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tables/table4.xml" ContentType="application/vnd.openxmlformats-officedocument.spreadsheetml.table+xml"/>
  <Override PartName="/xl/drawings/drawing6.xml" ContentType="application/vnd.openxmlformats-officedocument.drawing+xml"/>
  <Override PartName="/xl/tables/table5.xml" ContentType="application/vnd.openxmlformats-officedocument.spreadsheetml.table+xml"/>
  <Override PartName="/xl/drawings/drawing7.xml" ContentType="application/vnd.openxmlformats-officedocument.drawing+xml"/>
  <Override PartName="/xl/tables/table6.xml" ContentType="application/vnd.openxmlformats-officedocument.spreadsheetml.table+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fhjuj\Downloads\"/>
    </mc:Choice>
  </mc:AlternateContent>
  <xr:revisionPtr revIDLastSave="0" documentId="13_ncr:1_{F36FB3EA-8EAC-4C09-A48C-25784717520A}" xr6:coauthVersionLast="47" xr6:coauthVersionMax="47" xr10:uidLastSave="{00000000-0000-0000-0000-000000000000}"/>
  <bookViews>
    <workbookView xWindow="-108" yWindow="-108" windowWidth="23256" windowHeight="12456" xr2:uid="{00000000-000D-0000-FFFF-FFFF00000000}"/>
  </bookViews>
  <sheets>
    <sheet name="حر 2026-(3)" sheetId="19" r:id="rId1"/>
    <sheet name="معملجي 2026-(3)" sheetId="17" r:id="rId2"/>
    <sheet name="حر 2026-(2)" sheetId="15" r:id="rId3"/>
    <sheet name="معملجي 2026-(2)" sheetId="16" r:id="rId4"/>
    <sheet name="حر 2026-(1)" sheetId="13" r:id="rId5"/>
    <sheet name="معملجي 2026-(1)" sheetId="10" r:id="rId6"/>
    <sheet name="معملجي 2025-(11-12)" sheetId="11" r:id="rId7"/>
    <sheet name="حر 2025-(11-12)" sheetId="12" r:id="rId8"/>
    <sheet name="الإعدادات" sheetId="7" state="hidden" r:id="rId9"/>
  </sheets>
  <definedNames>
    <definedName name="_xlnm._FilterDatabase" localSheetId="7" hidden="1">'حر 2025-(11-12)'!$A$2:$A$590</definedName>
    <definedName name="_xlnm._FilterDatabase" localSheetId="4" hidden="1">'حر 2026-(1)'!$A$2:$A$590</definedName>
    <definedName name="_xlnm._FilterDatabase" localSheetId="2" hidden="1">'حر 2026-(2)'!$A$2:$A$590</definedName>
    <definedName name="_xlnm._FilterDatabase" localSheetId="0" hidden="1">'حر 2026-(3)'!$A$2:$A$590</definedName>
    <definedName name="_xlnm._FilterDatabase" localSheetId="6" hidden="1">'معملجي 2025-(11-12)'!$A$2:$A$590</definedName>
    <definedName name="_xlnm._FilterDatabase" localSheetId="5" hidden="1">'معملجي 2026-(1)'!$A$2:$A$590</definedName>
    <definedName name="_xlnm._FilterDatabase" localSheetId="3" hidden="1">'معملجي 2026-(2)'!$A$2:$A$590</definedName>
    <definedName name="_xlnm._FilterDatabase" localSheetId="1" hidden="1">'معملجي 2026-(3)'!$A$2:$A$590</definedName>
    <definedName name="Z_230B7950_A2D8_4702_A7AE_58086CEB2B82_.wvu.FilterData" localSheetId="7" hidden="1">'حر 2025-(11-12)'!$B$2:$N$1002</definedName>
    <definedName name="Z_230B7950_A2D8_4702_A7AE_58086CEB2B82_.wvu.FilterData" localSheetId="4" hidden="1">'حر 2026-(1)'!$B$2:$N$1002</definedName>
    <definedName name="Z_230B7950_A2D8_4702_A7AE_58086CEB2B82_.wvu.FilterData" localSheetId="2" hidden="1">'حر 2026-(2)'!$B$2:$N$1002</definedName>
    <definedName name="Z_230B7950_A2D8_4702_A7AE_58086CEB2B82_.wvu.FilterData" localSheetId="0" hidden="1">'حر 2026-(3)'!$B$2:$N$1002</definedName>
    <definedName name="Z_230B7950_A2D8_4702_A7AE_58086CEB2B82_.wvu.FilterData" localSheetId="6" hidden="1">'معملجي 2025-(11-12)'!$B$2:$N$1002</definedName>
    <definedName name="Z_230B7950_A2D8_4702_A7AE_58086CEB2B82_.wvu.FilterData" localSheetId="5" hidden="1">'معملجي 2026-(1)'!$B$2:$N$1002</definedName>
    <definedName name="Z_230B7950_A2D8_4702_A7AE_58086CEB2B82_.wvu.FilterData" localSheetId="3" hidden="1">'معملجي 2026-(2)'!$B$2:$N$1002</definedName>
    <definedName name="Z_230B7950_A2D8_4702_A7AE_58086CEB2B82_.wvu.FilterData" localSheetId="1" hidden="1">'معملجي 2026-(3)'!$B$2:$N$1002</definedName>
    <definedName name="Z_9CD84C83_20A6_43E9_845B_58E81C83F28A_.wvu.FilterData" localSheetId="7" hidden="1">'حر 2025-(11-12)'!$B$2:$N$1002</definedName>
    <definedName name="Z_9CD84C83_20A6_43E9_845B_58E81C83F28A_.wvu.FilterData" localSheetId="4" hidden="1">'حر 2026-(1)'!$B$2:$N$1002</definedName>
    <definedName name="Z_9CD84C83_20A6_43E9_845B_58E81C83F28A_.wvu.FilterData" localSheetId="2" hidden="1">'حر 2026-(2)'!$B$2:$N$1002</definedName>
    <definedName name="Z_9CD84C83_20A6_43E9_845B_58E81C83F28A_.wvu.FilterData" localSheetId="0" hidden="1">'حر 2026-(3)'!$B$2:$N$1002</definedName>
    <definedName name="Z_9CD84C83_20A6_43E9_845B_58E81C83F28A_.wvu.FilterData" localSheetId="6" hidden="1">'معملجي 2025-(11-12)'!$B$2:$N$1002</definedName>
    <definedName name="Z_9CD84C83_20A6_43E9_845B_58E81C83F28A_.wvu.FilterData" localSheetId="5" hidden="1">'معملجي 2026-(1)'!$B$2:$N$1002</definedName>
    <definedName name="Z_9CD84C83_20A6_43E9_845B_58E81C83F28A_.wvu.FilterData" localSheetId="3" hidden="1">'معملجي 2026-(2)'!$B$2:$N$1002</definedName>
    <definedName name="Z_9CD84C83_20A6_43E9_845B_58E81C83F28A_.wvu.FilterData" localSheetId="1" hidden="1">'معملجي 2026-(3)'!$B$2:$N$1002</definedName>
    <definedName name="Z_DEFAECCF_EBBD_406D_BCDE_E68D508B403D_.wvu.FilterData" localSheetId="7" hidden="1">'حر 2025-(11-12)'!$B$2:$N$1002</definedName>
    <definedName name="Z_DEFAECCF_EBBD_406D_BCDE_E68D508B403D_.wvu.FilterData" localSheetId="4" hidden="1">'حر 2026-(1)'!$B$2:$N$1002</definedName>
    <definedName name="Z_DEFAECCF_EBBD_406D_BCDE_E68D508B403D_.wvu.FilterData" localSheetId="2" hidden="1">'حر 2026-(2)'!$B$2:$N$1002</definedName>
    <definedName name="Z_DEFAECCF_EBBD_406D_BCDE_E68D508B403D_.wvu.FilterData" localSheetId="0" hidden="1">'حر 2026-(3)'!$B$2:$N$1002</definedName>
    <definedName name="Z_DEFAECCF_EBBD_406D_BCDE_E68D508B403D_.wvu.FilterData" localSheetId="6" hidden="1">'معملجي 2025-(11-12)'!$B$2:$N$1002</definedName>
    <definedName name="Z_DEFAECCF_EBBD_406D_BCDE_E68D508B403D_.wvu.FilterData" localSheetId="5" hidden="1">'معملجي 2026-(1)'!$B$2:$N$1002</definedName>
    <definedName name="Z_DEFAECCF_EBBD_406D_BCDE_E68D508B403D_.wvu.FilterData" localSheetId="3" hidden="1">'معملجي 2026-(2)'!$B$2:$N$1002</definedName>
    <definedName name="Z_DEFAECCF_EBBD_406D_BCDE_E68D508B403D_.wvu.FilterData" localSheetId="1" hidden="1">'معملجي 2026-(3)'!$B$2:$N$1002</definedName>
  </definedNames>
  <calcPr calcId="191029"/>
  <customWorkbookViews>
    <customWorkbookView name="الفلتر 1" guid="{9CD84C83-20A6-43E9-845B-58E81C83F28A}" maximized="1" windowWidth="0" windowHeight="0" activeSheetId="0"/>
    <customWorkbookView name="الفلتر 2" guid="{DEFAECCF-EBBD-406D-BCDE-E68D508B403D}" maximized="1" windowWidth="0" windowHeight="0" activeSheetId="0"/>
    <customWorkbookView name="الفلتر 3" guid="{230B7950-A2D8-4702-A7AE-58086CEB2B82}"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092" i="16" l="1"/>
  <c r="G1092" i="16"/>
  <c r="F1092" i="16"/>
  <c r="E1092" i="16"/>
  <c r="D1092" i="16"/>
  <c r="C1092" i="16"/>
  <c r="B1092" i="16"/>
  <c r="H1091" i="16"/>
  <c r="G1091" i="16"/>
  <c r="F1091" i="16"/>
  <c r="E1091" i="16"/>
  <c r="D1091" i="16"/>
  <c r="C1091" i="16"/>
  <c r="B1091" i="16"/>
  <c r="H1090" i="16"/>
  <c r="G1090" i="16"/>
  <c r="F1090" i="16"/>
  <c r="E1090" i="16"/>
  <c r="D1090" i="16"/>
  <c r="C1090" i="16"/>
  <c r="B1090" i="16"/>
  <c r="H1089" i="16"/>
  <c r="G1089" i="16"/>
  <c r="F1089" i="16"/>
  <c r="E1089" i="16"/>
  <c r="D1089" i="16"/>
  <c r="C1089" i="16"/>
  <c r="B1089" i="16"/>
  <c r="H1088" i="16"/>
  <c r="G1088" i="16"/>
  <c r="F1088" i="16"/>
  <c r="E1088" i="16"/>
  <c r="D1088" i="16"/>
  <c r="C1088" i="16"/>
  <c r="B1088" i="16"/>
  <c r="H1087" i="16"/>
  <c r="F1087" i="16"/>
  <c r="E1087" i="16"/>
  <c r="D1087" i="16"/>
  <c r="C1087" i="16"/>
  <c r="B1087" i="16"/>
  <c r="H1086" i="16"/>
  <c r="G1086" i="16"/>
  <c r="F1086" i="16"/>
  <c r="E1086" i="16"/>
  <c r="D1086" i="16"/>
  <c r="C1086" i="16"/>
  <c r="B1086" i="16"/>
  <c r="H1085" i="16"/>
  <c r="F1085" i="16"/>
  <c r="E1085" i="16"/>
  <c r="D1085" i="16"/>
  <c r="C1085" i="16"/>
  <c r="B1085" i="16"/>
  <c r="H1084" i="16"/>
  <c r="F1084" i="16"/>
  <c r="E1084" i="16"/>
  <c r="D1084" i="16"/>
  <c r="C1084" i="16"/>
  <c r="B1084" i="16"/>
  <c r="H1083" i="16"/>
  <c r="G1083" i="16"/>
  <c r="F1083" i="16"/>
  <c r="E1083" i="16"/>
  <c r="D1083" i="16"/>
  <c r="C1083" i="16"/>
  <c r="B1083" i="16"/>
  <c r="H1082" i="16"/>
  <c r="G1082" i="16"/>
  <c r="F1082" i="16"/>
  <c r="E1082" i="16"/>
  <c r="D1082" i="16"/>
  <c r="C1082" i="16"/>
  <c r="B1082" i="16"/>
  <c r="H1081" i="16"/>
  <c r="F1081" i="16"/>
  <c r="E1081" i="16"/>
  <c r="D1081" i="16"/>
  <c r="C1081" i="16"/>
  <c r="B1081" i="16"/>
  <c r="H1080" i="16"/>
  <c r="F1080" i="16"/>
  <c r="E1080" i="16"/>
  <c r="D1080" i="16"/>
  <c r="C1080" i="16"/>
  <c r="B1080" i="16"/>
  <c r="H1079" i="16"/>
  <c r="F1079" i="16"/>
  <c r="E1079" i="16"/>
  <c r="D1079" i="16"/>
  <c r="C1079" i="16"/>
  <c r="B1079" i="16"/>
  <c r="H1078" i="16"/>
  <c r="G1078" i="16"/>
  <c r="F1078" i="16"/>
  <c r="E1078" i="16"/>
  <c r="D1078" i="16"/>
  <c r="C1078" i="16"/>
  <c r="B1078" i="16"/>
  <c r="H1077" i="16"/>
  <c r="F1077" i="16"/>
  <c r="E1077" i="16"/>
  <c r="D1077" i="16"/>
  <c r="C1077" i="16"/>
  <c r="B1077" i="16"/>
  <c r="H1076" i="16"/>
  <c r="F1076" i="16"/>
  <c r="E1076" i="16"/>
  <c r="D1076" i="16"/>
  <c r="C1076" i="16"/>
  <c r="B1076" i="16"/>
  <c r="H1075" i="16"/>
  <c r="F1075" i="16"/>
  <c r="E1075" i="16"/>
  <c r="D1075" i="16"/>
  <c r="C1075" i="16"/>
  <c r="B1075" i="16"/>
  <c r="H1074" i="16"/>
  <c r="F1074" i="16"/>
  <c r="E1074" i="16"/>
  <c r="D1074" i="16"/>
  <c r="C1074" i="16"/>
  <c r="B1074" i="16"/>
  <c r="H1073" i="16"/>
  <c r="F1073" i="16"/>
  <c r="E1073" i="16"/>
  <c r="D1073" i="16"/>
  <c r="C1073" i="16"/>
  <c r="B1073" i="16"/>
  <c r="H1072" i="16"/>
  <c r="G1072" i="16"/>
  <c r="F1072" i="16"/>
  <c r="E1072" i="16"/>
  <c r="D1072" i="16"/>
  <c r="C1072" i="16"/>
  <c r="B1072" i="16"/>
  <c r="H1071" i="16"/>
  <c r="G1071" i="16"/>
  <c r="F1071" i="16"/>
  <c r="E1071" i="16"/>
  <c r="D1071" i="16"/>
  <c r="C1071" i="16"/>
  <c r="B1071" i="16"/>
  <c r="H1070" i="16"/>
  <c r="G1070" i="16"/>
  <c r="F1070" i="16"/>
  <c r="E1070" i="16"/>
  <c r="D1070" i="16"/>
  <c r="C1070" i="16"/>
  <c r="B1070" i="16"/>
  <c r="H1069" i="16"/>
  <c r="G1069" i="16"/>
  <c r="F1069" i="16"/>
  <c r="E1069" i="16"/>
  <c r="D1069" i="16"/>
  <c r="C1069" i="16"/>
  <c r="B1069" i="16"/>
  <c r="H1068" i="16"/>
  <c r="G1068" i="16"/>
  <c r="F1068" i="16"/>
  <c r="E1068" i="16"/>
  <c r="D1068" i="16"/>
  <c r="C1068" i="16"/>
  <c r="B1068" i="16"/>
  <c r="H1067" i="16"/>
  <c r="G1067" i="16"/>
  <c r="F1067" i="16"/>
  <c r="E1067" i="16"/>
  <c r="D1067" i="16"/>
  <c r="C1067" i="16"/>
  <c r="B1067" i="16"/>
  <c r="H1066" i="16"/>
  <c r="G1066" i="16"/>
  <c r="F1066" i="16"/>
  <c r="E1066" i="16"/>
  <c r="D1066" i="16"/>
  <c r="C1066" i="16"/>
  <c r="B1066" i="16"/>
  <c r="H1065" i="16"/>
  <c r="G1065" i="16"/>
  <c r="F1065" i="16"/>
  <c r="E1065" i="16"/>
  <c r="D1065" i="16"/>
  <c r="C1065" i="16"/>
  <c r="B1065" i="16"/>
  <c r="H1064" i="16"/>
  <c r="G1064" i="16"/>
  <c r="F1064" i="16"/>
  <c r="E1064" i="16"/>
  <c r="D1064" i="16"/>
  <c r="C1064" i="16"/>
  <c r="B1064" i="16"/>
  <c r="H1063" i="16"/>
  <c r="G1063" i="16"/>
  <c r="F1063" i="16"/>
  <c r="E1063" i="16"/>
  <c r="D1063" i="16"/>
  <c r="C1063" i="16"/>
  <c r="B1063" i="16"/>
  <c r="H1062" i="16"/>
  <c r="G1062" i="16"/>
  <c r="F1062" i="16"/>
  <c r="E1062" i="16"/>
  <c r="D1062" i="16"/>
  <c r="C1062" i="16"/>
  <c r="B1062" i="16"/>
  <c r="H1061" i="16"/>
  <c r="G1061" i="16"/>
  <c r="F1061" i="16"/>
  <c r="E1061" i="16"/>
  <c r="D1061" i="16"/>
  <c r="C1061" i="16"/>
  <c r="B1061" i="16"/>
  <c r="H1060" i="16"/>
  <c r="G1060" i="16"/>
  <c r="F1060" i="16"/>
  <c r="E1060" i="16"/>
  <c r="D1060" i="16"/>
  <c r="C1060" i="16"/>
  <c r="B1060" i="16"/>
  <c r="H1059" i="16"/>
  <c r="F1059" i="16"/>
  <c r="E1059" i="16"/>
  <c r="D1059" i="16"/>
  <c r="C1059" i="16"/>
  <c r="B1059" i="16"/>
  <c r="H1058" i="16"/>
  <c r="G1058" i="16"/>
  <c r="F1058" i="16"/>
  <c r="E1058" i="16"/>
  <c r="D1058" i="16"/>
  <c r="C1058" i="16"/>
  <c r="B1058" i="16"/>
  <c r="H1057" i="16"/>
  <c r="G1057" i="16"/>
  <c r="F1057" i="16"/>
  <c r="E1057" i="16"/>
  <c r="D1057" i="16"/>
  <c r="C1057" i="16"/>
  <c r="B1057" i="16"/>
  <c r="H1056" i="16"/>
  <c r="G1056" i="16"/>
  <c r="F1056" i="16"/>
  <c r="E1056" i="16"/>
  <c r="D1056" i="16"/>
  <c r="C1056" i="16"/>
  <c r="B1056" i="16"/>
  <c r="H1055" i="16"/>
  <c r="G1055" i="16"/>
  <c r="F1055" i="16"/>
  <c r="E1055" i="16"/>
  <c r="D1055" i="16"/>
  <c r="C1055" i="16"/>
  <c r="B1055" i="16"/>
  <c r="H1054" i="16"/>
  <c r="F1054" i="16"/>
  <c r="E1054" i="16"/>
  <c r="D1054" i="16"/>
  <c r="C1054" i="16"/>
  <c r="B1054" i="16"/>
  <c r="H1053" i="16"/>
  <c r="G1053" i="16"/>
  <c r="F1053" i="16"/>
  <c r="E1053" i="16"/>
  <c r="D1053" i="16"/>
  <c r="C1053" i="16"/>
  <c r="B1053" i="16"/>
  <c r="H1052" i="16"/>
  <c r="G1052" i="16"/>
  <c r="F1052" i="16"/>
  <c r="E1052" i="16"/>
  <c r="D1052" i="16"/>
  <c r="C1052" i="16"/>
  <c r="B1052" i="16"/>
  <c r="H1051" i="16"/>
  <c r="F1051" i="16"/>
  <c r="E1051" i="16"/>
  <c r="D1051" i="16"/>
  <c r="C1051" i="16"/>
  <c r="B1051" i="16"/>
  <c r="H1050" i="16"/>
  <c r="F1050" i="16"/>
  <c r="E1050" i="16"/>
  <c r="D1050" i="16"/>
  <c r="C1050" i="16"/>
  <c r="B1050" i="16"/>
  <c r="H1049" i="16"/>
  <c r="G1049" i="16"/>
  <c r="F1049" i="16"/>
  <c r="E1049" i="16"/>
  <c r="D1049" i="16"/>
  <c r="C1049" i="16"/>
  <c r="B1049" i="16"/>
  <c r="H1048" i="16"/>
  <c r="G1048" i="16"/>
  <c r="F1048" i="16"/>
  <c r="E1048" i="16"/>
  <c r="D1048" i="16"/>
  <c r="C1048" i="16"/>
  <c r="B1048" i="16"/>
  <c r="H1047" i="16"/>
  <c r="G1047" i="16"/>
  <c r="F1047" i="16"/>
  <c r="E1047" i="16"/>
  <c r="D1047" i="16"/>
  <c r="C1047" i="16"/>
  <c r="B1047" i="16"/>
  <c r="H1046" i="16"/>
  <c r="F1046" i="16"/>
  <c r="E1046" i="16"/>
  <c r="D1046" i="16"/>
  <c r="C1046" i="16"/>
  <c r="B1046" i="16"/>
  <c r="H1045" i="16"/>
  <c r="F1045" i="16"/>
  <c r="E1045" i="16"/>
  <c r="D1045" i="16"/>
  <c r="C1045" i="16"/>
  <c r="B1045" i="16"/>
  <c r="H1044" i="16"/>
  <c r="G1044" i="16"/>
  <c r="F1044" i="16"/>
  <c r="E1044" i="16"/>
  <c r="D1044" i="16"/>
  <c r="C1044" i="16"/>
  <c r="B1044" i="16"/>
  <c r="H1043" i="16"/>
  <c r="G1043" i="16"/>
  <c r="F1043" i="16"/>
  <c r="E1043" i="16"/>
  <c r="D1043" i="16"/>
  <c r="C1043" i="16"/>
  <c r="B1043" i="16"/>
  <c r="H1042" i="16"/>
  <c r="G1042" i="16"/>
  <c r="F1042" i="16"/>
  <c r="E1042" i="16"/>
  <c r="D1042" i="16"/>
  <c r="C1042" i="16"/>
  <c r="B1042" i="16"/>
  <c r="H1041" i="16"/>
  <c r="F1041" i="16"/>
  <c r="E1041" i="16"/>
  <c r="D1041" i="16"/>
  <c r="C1041" i="16"/>
  <c r="B1041" i="16"/>
  <c r="H1040" i="16"/>
  <c r="G1040" i="16"/>
  <c r="F1040" i="16"/>
  <c r="E1040" i="16"/>
  <c r="D1040" i="16"/>
  <c r="C1040" i="16"/>
  <c r="B1040" i="16"/>
  <c r="H1039" i="16"/>
  <c r="G1039" i="16"/>
  <c r="F1039" i="16"/>
  <c r="E1039" i="16"/>
  <c r="D1039" i="16"/>
  <c r="C1039" i="16"/>
  <c r="B1039" i="16"/>
  <c r="H1038" i="16"/>
  <c r="G1038" i="16"/>
  <c r="F1038" i="16"/>
  <c r="E1038" i="16"/>
  <c r="D1038" i="16"/>
  <c r="C1038" i="16"/>
  <c r="B1038" i="16"/>
  <c r="H1037" i="16"/>
  <c r="G1037" i="16"/>
  <c r="F1037" i="16"/>
  <c r="E1037" i="16"/>
  <c r="D1037" i="16"/>
  <c r="C1037" i="16"/>
  <c r="B1037" i="16"/>
  <c r="H1036" i="16"/>
  <c r="G1036" i="16"/>
  <c r="F1036" i="16"/>
  <c r="E1036" i="16"/>
  <c r="D1036" i="16"/>
  <c r="C1036" i="16"/>
  <c r="B1036" i="16"/>
  <c r="H1035" i="16"/>
  <c r="G1035" i="16"/>
  <c r="F1035" i="16"/>
  <c r="E1035" i="16"/>
  <c r="D1035" i="16"/>
  <c r="C1035" i="16"/>
  <c r="B1035" i="16"/>
  <c r="H1034" i="16"/>
  <c r="G1034" i="16"/>
  <c r="F1034" i="16"/>
  <c r="E1034" i="16"/>
  <c r="D1034" i="16"/>
  <c r="C1034" i="16"/>
  <c r="B1034" i="16"/>
  <c r="H1033" i="16"/>
  <c r="G1033" i="16"/>
  <c r="F1033" i="16"/>
  <c r="E1033" i="16"/>
  <c r="D1033" i="16"/>
  <c r="C1033" i="16"/>
  <c r="B1033" i="16"/>
  <c r="H1032" i="16"/>
  <c r="G1032" i="16"/>
  <c r="F1032" i="16"/>
  <c r="E1032" i="16"/>
  <c r="D1032" i="16"/>
  <c r="C1032" i="16"/>
  <c r="B1032" i="16"/>
  <c r="H1031" i="16"/>
  <c r="G1031" i="16"/>
  <c r="F1031" i="16"/>
  <c r="E1031" i="16"/>
  <c r="D1031" i="16"/>
  <c r="C1031" i="16"/>
  <c r="B1031" i="16"/>
  <c r="H1030" i="16"/>
  <c r="G1030" i="16"/>
  <c r="F1030" i="16"/>
  <c r="E1030" i="16"/>
  <c r="D1030" i="16"/>
  <c r="C1030" i="16"/>
  <c r="B1030" i="16"/>
  <c r="H1029" i="16"/>
  <c r="G1029" i="16"/>
  <c r="F1029" i="16"/>
  <c r="E1029" i="16"/>
  <c r="D1029" i="16"/>
  <c r="C1029" i="16"/>
  <c r="B1029" i="16"/>
  <c r="H1028" i="16"/>
  <c r="G1028" i="16"/>
  <c r="F1028" i="16"/>
  <c r="E1028" i="16"/>
  <c r="D1028" i="16"/>
  <c r="C1028" i="16"/>
  <c r="B1028" i="16"/>
  <c r="H1027" i="16"/>
  <c r="G1027" i="16"/>
  <c r="F1027" i="16"/>
  <c r="E1027" i="16"/>
  <c r="D1027" i="16"/>
  <c r="C1027" i="16"/>
  <c r="B1027" i="16"/>
  <c r="H1026" i="16"/>
  <c r="G1026" i="16"/>
  <c r="F1026" i="16"/>
  <c r="E1026" i="16"/>
  <c r="D1026" i="16"/>
  <c r="C1026" i="16"/>
  <c r="B1026" i="16"/>
  <c r="H1025" i="16"/>
  <c r="G1025" i="16"/>
  <c r="F1025" i="16"/>
  <c r="E1025" i="16"/>
  <c r="D1025" i="16"/>
  <c r="C1025" i="16"/>
  <c r="B1025" i="16"/>
  <c r="H1024" i="16"/>
  <c r="G1024" i="16"/>
  <c r="F1024" i="16"/>
  <c r="E1024" i="16"/>
  <c r="D1024" i="16"/>
  <c r="C1024" i="16"/>
  <c r="B1024" i="16"/>
  <c r="H1023" i="16"/>
  <c r="G1023" i="16"/>
  <c r="F1023" i="16"/>
  <c r="E1023" i="16"/>
  <c r="D1023" i="16"/>
  <c r="C1023" i="16"/>
  <c r="B1023" i="16"/>
  <c r="H1022" i="16"/>
  <c r="G1022" i="16"/>
  <c r="F1022" i="16"/>
  <c r="E1022" i="16"/>
  <c r="D1022" i="16"/>
  <c r="C1022" i="16"/>
  <c r="B1022" i="16"/>
  <c r="H1021" i="16"/>
  <c r="G1021" i="16"/>
  <c r="F1021" i="16"/>
  <c r="E1021" i="16"/>
  <c r="D1021" i="16"/>
  <c r="C1021" i="16"/>
  <c r="B1021" i="16"/>
  <c r="H1020" i="16"/>
  <c r="G1020" i="16"/>
  <c r="F1020" i="16"/>
  <c r="E1020" i="16"/>
  <c r="D1020" i="16"/>
  <c r="C1020" i="16"/>
  <c r="B1020" i="16"/>
  <c r="H1019" i="16"/>
  <c r="G1019" i="16"/>
  <c r="F1019" i="16"/>
  <c r="E1019" i="16"/>
  <c r="D1019" i="16"/>
  <c r="C1019" i="16"/>
  <c r="B1019" i="16"/>
  <c r="H1018" i="16"/>
  <c r="G1018" i="16"/>
  <c r="F1018" i="16"/>
  <c r="E1018" i="16"/>
  <c r="D1018" i="16"/>
  <c r="C1018" i="16"/>
  <c r="B1018" i="16"/>
  <c r="H1017" i="16"/>
  <c r="G1017" i="16"/>
  <c r="F1017" i="16"/>
  <c r="E1017" i="16"/>
  <c r="D1017" i="16"/>
  <c r="C1017" i="16"/>
  <c r="B1017" i="16"/>
  <c r="H1016" i="16"/>
  <c r="G1016" i="16"/>
  <c r="F1016" i="16"/>
  <c r="E1016" i="16"/>
  <c r="D1016" i="16"/>
  <c r="C1016" i="16"/>
  <c r="B1016" i="16"/>
  <c r="H1015" i="16"/>
  <c r="G1015" i="16"/>
  <c r="F1015" i="16"/>
  <c r="E1015" i="16"/>
  <c r="D1015" i="16"/>
  <c r="C1015" i="16"/>
  <c r="B1015" i="16"/>
  <c r="H1014" i="16"/>
  <c r="G1014" i="16"/>
  <c r="F1014" i="16"/>
  <c r="E1014" i="16"/>
  <c r="D1014" i="16"/>
  <c r="C1014" i="16"/>
  <c r="B1014" i="16"/>
  <c r="H1013" i="16"/>
  <c r="G1013" i="16"/>
  <c r="F1013" i="16"/>
  <c r="E1013" i="16"/>
  <c r="D1013" i="16"/>
  <c r="C1013" i="16"/>
  <c r="B1013" i="16"/>
  <c r="H1012" i="16"/>
  <c r="G1012" i="16"/>
  <c r="F1012" i="16"/>
  <c r="E1012" i="16"/>
  <c r="D1012" i="16"/>
  <c r="C1012" i="16"/>
  <c r="B1012" i="16"/>
  <c r="H1011" i="16"/>
  <c r="G1011" i="16"/>
  <c r="F1011" i="16"/>
  <c r="E1011" i="16"/>
  <c r="D1011" i="16"/>
  <c r="C1011" i="16"/>
  <c r="B1011" i="16"/>
  <c r="H1010" i="16"/>
  <c r="G1010" i="16"/>
  <c r="F1010" i="16"/>
  <c r="E1010" i="16"/>
  <c r="D1010" i="16"/>
  <c r="C1010" i="16"/>
  <c r="B1010" i="16"/>
  <c r="H1009" i="16"/>
  <c r="G1009" i="16"/>
  <c r="F1009" i="16"/>
  <c r="E1009" i="16"/>
  <c r="D1009" i="16"/>
  <c r="C1009" i="16"/>
  <c r="B1009" i="16"/>
  <c r="H1008" i="16"/>
  <c r="G1008" i="16"/>
  <c r="F1008" i="16"/>
  <c r="E1008" i="16"/>
  <c r="D1008" i="16"/>
  <c r="C1008" i="16"/>
  <c r="B1008" i="16"/>
  <c r="H1007" i="16"/>
  <c r="G1007" i="16"/>
  <c r="F1007" i="16"/>
  <c r="E1007" i="16"/>
  <c r="D1007" i="16"/>
  <c r="C1007" i="16"/>
  <c r="B1007" i="16"/>
  <c r="H1006" i="16"/>
  <c r="G1006" i="16"/>
  <c r="F1006" i="16"/>
  <c r="E1006" i="16"/>
  <c r="D1006" i="16"/>
  <c r="C1006" i="16"/>
  <c r="B1006" i="16"/>
  <c r="H1005" i="16"/>
  <c r="G1005" i="16"/>
  <c r="F1005" i="16"/>
  <c r="E1005" i="16"/>
  <c r="D1005" i="16"/>
  <c r="C1005" i="16"/>
  <c r="B1005" i="16"/>
  <c r="H1004" i="16"/>
  <c r="G1004" i="16"/>
  <c r="F1004" i="16"/>
  <c r="E1004" i="16"/>
  <c r="D1004" i="16"/>
  <c r="C1004" i="16"/>
  <c r="B1004" i="16"/>
  <c r="H1003" i="16"/>
  <c r="G1003" i="16"/>
  <c r="F1003" i="16"/>
  <c r="E1003" i="16"/>
  <c r="D1003" i="16"/>
  <c r="C1003" i="16"/>
  <c r="B1003" i="16"/>
  <c r="H1002" i="16"/>
  <c r="G1002" i="16"/>
  <c r="F1002" i="16"/>
  <c r="E1002" i="16"/>
  <c r="D1002" i="16"/>
  <c r="C1002" i="16"/>
  <c r="B1002" i="16"/>
  <c r="H1001" i="16"/>
  <c r="G1001" i="16"/>
  <c r="F1001" i="16"/>
  <c r="E1001" i="16"/>
  <c r="D1001" i="16"/>
  <c r="C1001" i="16"/>
  <c r="B1001" i="16"/>
  <c r="H1000" i="16"/>
  <c r="G1000" i="16"/>
  <c r="F1000" i="16"/>
  <c r="E1000" i="16"/>
  <c r="D1000" i="16"/>
  <c r="C1000" i="16"/>
  <c r="B1000" i="16"/>
  <c r="H999" i="16"/>
  <c r="G999" i="16"/>
  <c r="F999" i="16"/>
  <c r="E999" i="16"/>
  <c r="D999" i="16"/>
  <c r="C999" i="16"/>
  <c r="B999" i="16"/>
  <c r="H998" i="16"/>
  <c r="G998" i="16"/>
  <c r="F998" i="16"/>
  <c r="E998" i="16"/>
  <c r="D998" i="16"/>
  <c r="C998" i="16"/>
  <c r="B998" i="16"/>
  <c r="H997" i="16"/>
  <c r="G997" i="16"/>
  <c r="F997" i="16"/>
  <c r="E997" i="16"/>
  <c r="D997" i="16"/>
  <c r="C997" i="16"/>
  <c r="B997" i="16"/>
  <c r="H996" i="16"/>
  <c r="G996" i="16"/>
  <c r="F996" i="16"/>
  <c r="E996" i="16"/>
  <c r="D996" i="16"/>
  <c r="C996" i="16"/>
  <c r="B996" i="16"/>
  <c r="H995" i="16"/>
  <c r="G995" i="16"/>
  <c r="F995" i="16"/>
  <c r="E995" i="16"/>
  <c r="D995" i="16"/>
  <c r="C995" i="16"/>
  <c r="B995" i="16"/>
  <c r="H994" i="16"/>
  <c r="G994" i="16"/>
  <c r="F994" i="16"/>
  <c r="E994" i="16"/>
  <c r="D994" i="16"/>
  <c r="C994" i="16"/>
  <c r="B994" i="16"/>
  <c r="H993" i="16"/>
  <c r="G993" i="16"/>
  <c r="F993" i="16"/>
  <c r="E993" i="16"/>
  <c r="D993" i="16"/>
  <c r="C993" i="16"/>
  <c r="B993" i="16"/>
  <c r="H992" i="16"/>
  <c r="G992" i="16"/>
  <c r="F992" i="16"/>
  <c r="E992" i="16"/>
  <c r="D992" i="16"/>
  <c r="C992" i="16"/>
  <c r="B992" i="16"/>
  <c r="H991" i="16"/>
  <c r="G991" i="16"/>
  <c r="F991" i="16"/>
  <c r="E991" i="16"/>
  <c r="D991" i="16"/>
  <c r="C991" i="16"/>
  <c r="B991" i="16"/>
  <c r="H990" i="16"/>
  <c r="G990" i="16"/>
  <c r="F990" i="16"/>
  <c r="E990" i="16"/>
  <c r="D990" i="16"/>
  <c r="C990" i="16"/>
  <c r="B990" i="16"/>
  <c r="H989" i="16"/>
  <c r="G989" i="16"/>
  <c r="F989" i="16"/>
  <c r="E989" i="16"/>
  <c r="D989" i="16"/>
  <c r="C989" i="16"/>
  <c r="B989" i="16"/>
  <c r="H988" i="16"/>
  <c r="G988" i="16"/>
  <c r="F988" i="16"/>
  <c r="E988" i="16"/>
  <c r="D988" i="16"/>
  <c r="C988" i="16"/>
  <c r="B988" i="16"/>
  <c r="H987" i="16"/>
  <c r="G987" i="16"/>
  <c r="F987" i="16"/>
  <c r="E987" i="16"/>
  <c r="D987" i="16"/>
  <c r="C987" i="16"/>
  <c r="B987" i="16"/>
  <c r="H986" i="16"/>
  <c r="G986" i="16"/>
  <c r="F986" i="16"/>
  <c r="E986" i="16"/>
  <c r="D986" i="16"/>
  <c r="C986" i="16"/>
  <c r="B986" i="16"/>
  <c r="H985" i="16"/>
  <c r="G985" i="16"/>
  <c r="F985" i="16"/>
  <c r="E985" i="16"/>
  <c r="D985" i="16"/>
  <c r="C985" i="16"/>
  <c r="B985" i="16"/>
  <c r="H984" i="16"/>
  <c r="G984" i="16"/>
  <c r="F984" i="16"/>
  <c r="E984" i="16"/>
  <c r="D984" i="16"/>
  <c r="C984" i="16"/>
  <c r="B984" i="16"/>
  <c r="H983" i="16"/>
  <c r="G983" i="16"/>
  <c r="F983" i="16"/>
  <c r="E983" i="16"/>
  <c r="D983" i="16"/>
  <c r="C983" i="16"/>
  <c r="B983" i="16"/>
  <c r="H982" i="16"/>
  <c r="G982" i="16"/>
  <c r="F982" i="16"/>
  <c r="E982" i="16"/>
  <c r="D982" i="16"/>
  <c r="C982" i="16"/>
  <c r="B982" i="16"/>
  <c r="H981" i="16"/>
  <c r="G981" i="16"/>
  <c r="F981" i="16"/>
  <c r="E981" i="16"/>
  <c r="D981" i="16"/>
  <c r="C981" i="16"/>
  <c r="B981" i="16"/>
  <c r="H980" i="16"/>
  <c r="G980" i="16"/>
  <c r="F980" i="16"/>
  <c r="E980" i="16"/>
  <c r="D980" i="16"/>
  <c r="C980" i="16"/>
  <c r="B980" i="16"/>
  <c r="H979" i="16"/>
  <c r="G979" i="16"/>
  <c r="F979" i="16"/>
  <c r="E979" i="16"/>
  <c r="D979" i="16"/>
  <c r="C979" i="16"/>
  <c r="B979" i="16"/>
  <c r="H978" i="16"/>
  <c r="G978" i="16"/>
  <c r="F978" i="16"/>
  <c r="E978" i="16"/>
  <c r="D978" i="16"/>
  <c r="C978" i="16"/>
  <c r="B978" i="16"/>
  <c r="H977" i="16"/>
  <c r="G977" i="16"/>
  <c r="F977" i="16"/>
  <c r="E977" i="16"/>
  <c r="D977" i="16"/>
  <c r="C977" i="16"/>
  <c r="B977" i="16"/>
  <c r="H976" i="16"/>
  <c r="G976" i="16"/>
  <c r="F976" i="16"/>
  <c r="E976" i="16"/>
  <c r="D976" i="16"/>
  <c r="C976" i="16"/>
  <c r="B976" i="16"/>
  <c r="H975" i="16"/>
  <c r="G975" i="16"/>
  <c r="F975" i="16"/>
  <c r="E975" i="16"/>
  <c r="D975" i="16"/>
  <c r="C975" i="16"/>
  <c r="B975" i="16"/>
  <c r="H974" i="16"/>
  <c r="G974" i="16"/>
  <c r="F974" i="16"/>
  <c r="E974" i="16"/>
  <c r="D974" i="16"/>
  <c r="C974" i="16"/>
  <c r="B974" i="16"/>
  <c r="H973" i="16"/>
  <c r="F973" i="16"/>
  <c r="E973" i="16"/>
  <c r="D973" i="16"/>
  <c r="C973" i="16"/>
  <c r="B973" i="16"/>
  <c r="H972" i="16"/>
  <c r="G972" i="16"/>
  <c r="F972" i="16"/>
  <c r="E972" i="16"/>
  <c r="D972" i="16"/>
  <c r="C972" i="16"/>
  <c r="B972" i="16"/>
  <c r="H971" i="16"/>
  <c r="G971" i="16"/>
  <c r="F971" i="16"/>
  <c r="E971" i="16"/>
  <c r="D971" i="16"/>
  <c r="C971" i="16"/>
  <c r="B971" i="16"/>
  <c r="H970" i="16"/>
  <c r="G970" i="16"/>
  <c r="F970" i="16"/>
  <c r="E970" i="16"/>
  <c r="D970" i="16"/>
  <c r="C970" i="16"/>
  <c r="B970" i="16"/>
  <c r="H969" i="16"/>
  <c r="F969" i="16"/>
  <c r="E969" i="16"/>
  <c r="D969" i="16"/>
  <c r="C969" i="16"/>
  <c r="B969" i="16"/>
  <c r="H968" i="16"/>
  <c r="F968" i="16"/>
  <c r="E968" i="16"/>
  <c r="D968" i="16"/>
  <c r="C968" i="16"/>
  <c r="B968" i="16"/>
  <c r="H967" i="16"/>
  <c r="G967" i="16"/>
  <c r="F967" i="16"/>
  <c r="E967" i="16"/>
  <c r="D967" i="16"/>
  <c r="C967" i="16"/>
  <c r="B967" i="16"/>
  <c r="H966" i="16"/>
  <c r="G966" i="16"/>
  <c r="F966" i="16"/>
  <c r="E966" i="16"/>
  <c r="D966" i="16"/>
  <c r="C966" i="16"/>
  <c r="B966" i="16"/>
  <c r="H965" i="16"/>
  <c r="F965" i="16"/>
  <c r="E965" i="16"/>
  <c r="D965" i="16"/>
  <c r="C965" i="16"/>
  <c r="B965" i="16"/>
  <c r="H964" i="16"/>
  <c r="F964" i="16"/>
  <c r="E964" i="16"/>
  <c r="D964" i="16"/>
  <c r="C964" i="16"/>
  <c r="B964" i="16"/>
  <c r="H963" i="16"/>
  <c r="G963" i="16"/>
  <c r="F963" i="16"/>
  <c r="E963" i="16"/>
  <c r="D963" i="16"/>
  <c r="C963" i="16"/>
  <c r="B963" i="16"/>
  <c r="H962" i="16"/>
  <c r="F962" i="16"/>
  <c r="E962" i="16"/>
  <c r="D962" i="16"/>
  <c r="C962" i="16"/>
  <c r="B962" i="16"/>
  <c r="H961" i="16"/>
  <c r="G961" i="16"/>
  <c r="F961" i="16"/>
  <c r="E961" i="16"/>
  <c r="D961" i="16"/>
  <c r="C961" i="16"/>
  <c r="B961" i="16"/>
  <c r="H960" i="16"/>
  <c r="G960" i="16"/>
  <c r="F960" i="16"/>
  <c r="E960" i="16"/>
  <c r="D960" i="16"/>
  <c r="C960" i="16"/>
  <c r="B960" i="16"/>
  <c r="H959" i="16"/>
  <c r="G959" i="16"/>
  <c r="F959" i="16"/>
  <c r="E959" i="16"/>
  <c r="D959" i="16"/>
  <c r="C959" i="16"/>
  <c r="B959" i="16"/>
  <c r="H958" i="16"/>
  <c r="G958" i="16"/>
  <c r="F958" i="16"/>
  <c r="E958" i="16"/>
  <c r="D958" i="16"/>
  <c r="C958" i="16"/>
  <c r="B958" i="16"/>
  <c r="H957" i="16"/>
  <c r="G957" i="16"/>
  <c r="F957" i="16"/>
  <c r="E957" i="16"/>
  <c r="D957" i="16"/>
  <c r="C957" i="16"/>
  <c r="B957" i="16"/>
  <c r="H956" i="16"/>
  <c r="G956" i="16"/>
  <c r="F956" i="16"/>
  <c r="E956" i="16"/>
  <c r="D956" i="16"/>
  <c r="C956" i="16"/>
  <c r="B956" i="16"/>
  <c r="H955" i="16"/>
  <c r="G955" i="16"/>
  <c r="F955" i="16"/>
  <c r="E955" i="16"/>
  <c r="D955" i="16"/>
  <c r="C955" i="16"/>
  <c r="B955" i="16"/>
  <c r="H954" i="16"/>
  <c r="G954" i="16"/>
  <c r="F954" i="16"/>
  <c r="E954" i="16"/>
  <c r="D954" i="16"/>
  <c r="C954" i="16"/>
  <c r="B954" i="16"/>
  <c r="H953" i="16"/>
  <c r="F953" i="16"/>
  <c r="E953" i="16"/>
  <c r="D953" i="16"/>
  <c r="C953" i="16"/>
  <c r="B953" i="16"/>
  <c r="H952" i="16"/>
  <c r="F952" i="16"/>
  <c r="E952" i="16"/>
  <c r="D952" i="16"/>
  <c r="C952" i="16"/>
  <c r="B952" i="16"/>
  <c r="H951" i="16"/>
  <c r="F951" i="16"/>
  <c r="E951" i="16"/>
  <c r="D951" i="16"/>
  <c r="C951" i="16"/>
  <c r="B951" i="16"/>
  <c r="H950" i="16"/>
  <c r="F950" i="16"/>
  <c r="E950" i="16"/>
  <c r="D950" i="16"/>
  <c r="C950" i="16"/>
  <c r="B950" i="16"/>
  <c r="H949" i="16"/>
  <c r="F949" i="16"/>
  <c r="E949" i="16"/>
  <c r="D949" i="16"/>
  <c r="C949" i="16"/>
  <c r="B949" i="16"/>
  <c r="H948" i="16"/>
  <c r="F948" i="16"/>
  <c r="E948" i="16"/>
  <c r="D948" i="16"/>
  <c r="C948" i="16"/>
  <c r="B948" i="16"/>
  <c r="H947" i="16"/>
  <c r="G947" i="16"/>
  <c r="F947" i="16"/>
  <c r="E947" i="16"/>
  <c r="D947" i="16"/>
  <c r="C947" i="16"/>
  <c r="B947" i="16"/>
  <c r="H946" i="16"/>
  <c r="G946" i="16"/>
  <c r="F946" i="16"/>
  <c r="E946" i="16"/>
  <c r="D946" i="16"/>
  <c r="C946" i="16"/>
  <c r="B946" i="16"/>
  <c r="H945" i="16"/>
  <c r="G945" i="16"/>
  <c r="F945" i="16"/>
  <c r="E945" i="16"/>
  <c r="D945" i="16"/>
  <c r="C945" i="16"/>
  <c r="B945" i="16"/>
  <c r="H944" i="16"/>
  <c r="G944" i="16"/>
  <c r="F944" i="16"/>
  <c r="E944" i="16"/>
  <c r="D944" i="16"/>
  <c r="C944" i="16"/>
  <c r="B944" i="16"/>
  <c r="H943" i="16"/>
  <c r="G943" i="16"/>
  <c r="F943" i="16"/>
  <c r="E943" i="16"/>
  <c r="D943" i="16"/>
  <c r="C943" i="16"/>
  <c r="B943" i="16"/>
  <c r="H942" i="16"/>
  <c r="G942" i="16"/>
  <c r="F942" i="16"/>
  <c r="E942" i="16"/>
  <c r="D942" i="16"/>
  <c r="C942" i="16"/>
  <c r="B942" i="16"/>
  <c r="H941" i="16"/>
  <c r="G941" i="16"/>
  <c r="F941" i="16"/>
  <c r="E941" i="16"/>
  <c r="D941" i="16"/>
  <c r="C941" i="16"/>
  <c r="B941" i="16"/>
  <c r="H940" i="16"/>
  <c r="G940" i="16"/>
  <c r="F940" i="16"/>
  <c r="E940" i="16"/>
  <c r="D940" i="16"/>
  <c r="C940" i="16"/>
  <c r="B940" i="16"/>
  <c r="H939" i="16"/>
  <c r="G939" i="16"/>
  <c r="F939" i="16"/>
  <c r="E939" i="16"/>
  <c r="D939" i="16"/>
  <c r="C939" i="16"/>
  <c r="B939" i="16"/>
  <c r="H938" i="16"/>
  <c r="G938" i="16"/>
  <c r="F938" i="16"/>
  <c r="E938" i="16"/>
  <c r="D938" i="16"/>
  <c r="C938" i="16"/>
  <c r="B938" i="16"/>
  <c r="H937" i="16"/>
  <c r="G937" i="16"/>
  <c r="F937" i="16"/>
  <c r="E937" i="16"/>
  <c r="D937" i="16"/>
  <c r="C937" i="16"/>
  <c r="B937" i="16"/>
  <c r="H936" i="16"/>
  <c r="G936" i="16"/>
  <c r="F936" i="16"/>
  <c r="E936" i="16"/>
  <c r="D936" i="16"/>
  <c r="C936" i="16"/>
  <c r="B936" i="16"/>
  <c r="H935" i="16"/>
  <c r="G935" i="16"/>
  <c r="F935" i="16"/>
  <c r="E935" i="16"/>
  <c r="D935" i="16"/>
  <c r="C935" i="16"/>
  <c r="B935" i="16"/>
  <c r="H934" i="16"/>
  <c r="F934" i="16"/>
  <c r="E934" i="16"/>
  <c r="D934" i="16"/>
  <c r="C934" i="16"/>
  <c r="B934" i="16"/>
  <c r="H933" i="16"/>
  <c r="F933" i="16"/>
  <c r="E933" i="16"/>
  <c r="D933" i="16"/>
  <c r="C933" i="16"/>
  <c r="B933" i="16"/>
  <c r="H932" i="16"/>
  <c r="F932" i="16"/>
  <c r="E932" i="16"/>
  <c r="D932" i="16"/>
  <c r="C932" i="16"/>
  <c r="B932" i="16"/>
  <c r="H931" i="16"/>
  <c r="F931" i="16"/>
  <c r="E931" i="16"/>
  <c r="D931" i="16"/>
  <c r="C931" i="16"/>
  <c r="B931" i="16"/>
  <c r="H930" i="16"/>
  <c r="F930" i="16"/>
  <c r="E930" i="16"/>
  <c r="D930" i="16"/>
  <c r="C930" i="16"/>
  <c r="B930" i="16"/>
  <c r="H929" i="16"/>
  <c r="G929" i="16"/>
  <c r="F929" i="16"/>
  <c r="E929" i="16"/>
  <c r="D929" i="16"/>
  <c r="C929" i="16"/>
  <c r="B929" i="16"/>
  <c r="H928" i="16"/>
  <c r="F928" i="16"/>
  <c r="E928" i="16"/>
  <c r="D928" i="16"/>
  <c r="C928" i="16"/>
  <c r="B928" i="16"/>
  <c r="H927" i="16"/>
  <c r="G927" i="16"/>
  <c r="F927" i="16"/>
  <c r="E927" i="16"/>
  <c r="D927" i="16"/>
  <c r="C927" i="16"/>
  <c r="B927" i="16"/>
  <c r="H926" i="16"/>
  <c r="G926" i="16"/>
  <c r="F926" i="16"/>
  <c r="E926" i="16"/>
  <c r="D926" i="16"/>
  <c r="C926" i="16"/>
  <c r="B926" i="16"/>
  <c r="H925" i="16"/>
  <c r="F925" i="16"/>
  <c r="E925" i="16"/>
  <c r="D925" i="16"/>
  <c r="C925" i="16"/>
  <c r="B925" i="16"/>
  <c r="H924" i="16"/>
  <c r="F924" i="16"/>
  <c r="E924" i="16"/>
  <c r="D924" i="16"/>
  <c r="C924" i="16"/>
  <c r="B924" i="16"/>
  <c r="H923" i="16"/>
  <c r="G923" i="16"/>
  <c r="F923" i="16"/>
  <c r="E923" i="16"/>
  <c r="D923" i="16"/>
  <c r="C923" i="16"/>
  <c r="B923" i="16"/>
  <c r="H922" i="16"/>
  <c r="G922" i="16"/>
  <c r="F922" i="16"/>
  <c r="E922" i="16"/>
  <c r="D922" i="16"/>
  <c r="C922" i="16"/>
  <c r="B922" i="16"/>
  <c r="H921" i="16"/>
  <c r="G921" i="16"/>
  <c r="F921" i="16"/>
  <c r="E921" i="16"/>
  <c r="D921" i="16"/>
  <c r="C921" i="16"/>
  <c r="B921" i="16"/>
  <c r="H920" i="16"/>
  <c r="G920" i="16"/>
  <c r="F920" i="16"/>
  <c r="E920" i="16"/>
  <c r="D920" i="16"/>
  <c r="C920" i="16"/>
  <c r="B920" i="16"/>
  <c r="H919" i="16"/>
  <c r="G919" i="16"/>
  <c r="F919" i="16"/>
  <c r="E919" i="16"/>
  <c r="D919" i="16"/>
  <c r="C919" i="16"/>
  <c r="B919" i="16"/>
  <c r="H918" i="16"/>
  <c r="G918" i="16"/>
  <c r="F918" i="16"/>
  <c r="E918" i="16"/>
  <c r="D918" i="16"/>
  <c r="C918" i="16"/>
  <c r="B918" i="16"/>
  <c r="H917" i="16"/>
  <c r="G917" i="16"/>
  <c r="F917" i="16"/>
  <c r="E917" i="16"/>
  <c r="D917" i="16"/>
  <c r="C917" i="16"/>
  <c r="B917" i="16"/>
  <c r="H916" i="16"/>
  <c r="G916" i="16"/>
  <c r="F916" i="16"/>
  <c r="E916" i="16"/>
  <c r="D916" i="16"/>
  <c r="C916" i="16"/>
  <c r="B916" i="16"/>
  <c r="H915" i="16"/>
  <c r="G915" i="16"/>
  <c r="F915" i="16"/>
  <c r="E915" i="16"/>
  <c r="D915" i="16"/>
  <c r="C915" i="16"/>
  <c r="B915" i="16"/>
  <c r="H914" i="16"/>
  <c r="G914" i="16"/>
  <c r="F914" i="16"/>
  <c r="E914" i="16"/>
  <c r="D914" i="16"/>
  <c r="C914" i="16"/>
  <c r="B914" i="16"/>
  <c r="H913" i="16"/>
  <c r="G913" i="16"/>
  <c r="F913" i="16"/>
  <c r="E913" i="16"/>
  <c r="D913" i="16"/>
  <c r="C913" i="16"/>
  <c r="B913" i="16"/>
  <c r="H912" i="16"/>
  <c r="G912" i="16"/>
  <c r="F912" i="16"/>
  <c r="E912" i="16"/>
  <c r="D912" i="16"/>
  <c r="C912" i="16"/>
  <c r="B912" i="16"/>
  <c r="H911" i="16"/>
  <c r="G911" i="16"/>
  <c r="F911" i="16"/>
  <c r="E911" i="16"/>
  <c r="D911" i="16"/>
  <c r="C911" i="16"/>
  <c r="B911" i="16"/>
  <c r="H910" i="16"/>
  <c r="G910" i="16"/>
  <c r="F910" i="16"/>
  <c r="E910" i="16"/>
  <c r="D910" i="16"/>
  <c r="C910" i="16"/>
  <c r="B910" i="16"/>
  <c r="H909" i="16"/>
  <c r="G909" i="16"/>
  <c r="F909" i="16"/>
  <c r="E909" i="16"/>
  <c r="D909" i="16"/>
  <c r="C909" i="16"/>
  <c r="B909" i="16"/>
  <c r="H908" i="16"/>
  <c r="G908" i="16"/>
  <c r="F908" i="16"/>
  <c r="E908" i="16"/>
  <c r="D908" i="16"/>
  <c r="C908" i="16"/>
  <c r="B908" i="16"/>
  <c r="H907" i="16"/>
  <c r="G907" i="16"/>
  <c r="F907" i="16"/>
  <c r="E907" i="16"/>
  <c r="D907" i="16"/>
  <c r="C907" i="16"/>
  <c r="B907" i="16"/>
  <c r="H906" i="16"/>
  <c r="G906" i="16"/>
  <c r="F906" i="16"/>
  <c r="E906" i="16"/>
  <c r="D906" i="16"/>
  <c r="C906" i="16"/>
  <c r="B906" i="16"/>
  <c r="H905" i="16"/>
  <c r="G905" i="16"/>
  <c r="F905" i="16"/>
  <c r="E905" i="16"/>
  <c r="D905" i="16"/>
  <c r="C905" i="16"/>
  <c r="B905" i="16"/>
  <c r="H904" i="16"/>
  <c r="G904" i="16"/>
  <c r="F904" i="16"/>
  <c r="E904" i="16"/>
  <c r="D904" i="16"/>
  <c r="C904" i="16"/>
  <c r="B904" i="16"/>
  <c r="H903" i="16"/>
  <c r="G903" i="16"/>
  <c r="F903" i="16"/>
  <c r="E903" i="16"/>
  <c r="D903" i="16"/>
  <c r="C903" i="16"/>
  <c r="B903" i="16"/>
  <c r="H902" i="16"/>
  <c r="G902" i="16"/>
  <c r="F902" i="16"/>
  <c r="E902" i="16"/>
  <c r="D902" i="16"/>
  <c r="C902" i="16"/>
  <c r="B902" i="16"/>
  <c r="H901" i="16"/>
  <c r="G901" i="16"/>
  <c r="F901" i="16"/>
  <c r="E901" i="16"/>
  <c r="D901" i="16"/>
  <c r="C901" i="16"/>
  <c r="B901" i="16"/>
  <c r="H900" i="16"/>
  <c r="F900" i="16"/>
  <c r="E900" i="16"/>
  <c r="D900" i="16"/>
  <c r="C900" i="16"/>
  <c r="B900" i="16"/>
  <c r="H899" i="16"/>
  <c r="G899" i="16"/>
  <c r="F899" i="16"/>
  <c r="E899" i="16"/>
  <c r="D899" i="16"/>
  <c r="C899" i="16"/>
  <c r="B899" i="16"/>
  <c r="H898" i="16"/>
  <c r="G898" i="16"/>
  <c r="F898" i="16"/>
  <c r="E898" i="16"/>
  <c r="D898" i="16"/>
  <c r="C898" i="16"/>
  <c r="B898" i="16"/>
  <c r="H897" i="16"/>
  <c r="G897" i="16"/>
  <c r="F897" i="16"/>
  <c r="E897" i="16"/>
  <c r="D897" i="16"/>
  <c r="C897" i="16"/>
  <c r="B897" i="16"/>
  <c r="H896" i="16"/>
  <c r="G896" i="16"/>
  <c r="F896" i="16"/>
  <c r="E896" i="16"/>
  <c r="D896" i="16"/>
  <c r="C896" i="16"/>
  <c r="B896" i="16"/>
  <c r="H895" i="16"/>
  <c r="G895" i="16"/>
  <c r="F895" i="16"/>
  <c r="E895" i="16"/>
  <c r="D895" i="16"/>
  <c r="C895" i="16"/>
  <c r="B895" i="16"/>
  <c r="H894" i="16"/>
  <c r="G894" i="16"/>
  <c r="F894" i="16"/>
  <c r="E894" i="16"/>
  <c r="D894" i="16"/>
  <c r="C894" i="16"/>
  <c r="B894" i="16"/>
  <c r="H893" i="16"/>
  <c r="F893" i="16"/>
  <c r="E893" i="16"/>
  <c r="D893" i="16"/>
  <c r="C893" i="16"/>
  <c r="B893" i="16"/>
  <c r="H892" i="16"/>
  <c r="G892" i="16"/>
  <c r="F892" i="16"/>
  <c r="E892" i="16"/>
  <c r="D892" i="16"/>
  <c r="C892" i="16"/>
  <c r="B892" i="16"/>
  <c r="H891" i="16"/>
  <c r="F891" i="16"/>
  <c r="E891" i="16"/>
  <c r="D891" i="16"/>
  <c r="C891" i="16"/>
  <c r="B891" i="16"/>
  <c r="H890" i="16"/>
  <c r="F890" i="16"/>
  <c r="E890" i="16"/>
  <c r="D890" i="16"/>
  <c r="C890" i="16"/>
  <c r="B890" i="16"/>
  <c r="H889" i="16"/>
  <c r="G889" i="16"/>
  <c r="F889" i="16"/>
  <c r="E889" i="16"/>
  <c r="D889" i="16"/>
  <c r="C889" i="16"/>
  <c r="B889" i="16"/>
  <c r="H888" i="16"/>
  <c r="G888" i="16"/>
  <c r="F888" i="16"/>
  <c r="E888" i="16"/>
  <c r="D888" i="16"/>
  <c r="C888" i="16"/>
  <c r="B888" i="16"/>
  <c r="H887" i="16"/>
  <c r="G887" i="16"/>
  <c r="F887" i="16"/>
  <c r="E887" i="16"/>
  <c r="D887" i="16"/>
  <c r="C887" i="16"/>
  <c r="B887" i="16"/>
  <c r="H886" i="16"/>
  <c r="G886" i="16"/>
  <c r="F886" i="16"/>
  <c r="E886" i="16"/>
  <c r="D886" i="16"/>
  <c r="C886" i="16"/>
  <c r="B886" i="16"/>
  <c r="H885" i="16"/>
  <c r="G885" i="16"/>
  <c r="F885" i="16"/>
  <c r="E885" i="16"/>
  <c r="D885" i="16"/>
  <c r="C885" i="16"/>
  <c r="B885" i="16"/>
  <c r="H884" i="16"/>
  <c r="G884" i="16"/>
  <c r="F884" i="16"/>
  <c r="E884" i="16"/>
  <c r="D884" i="16"/>
  <c r="C884" i="16"/>
  <c r="B884" i="16"/>
  <c r="H883" i="16"/>
  <c r="F883" i="16"/>
  <c r="E883" i="16"/>
  <c r="D883" i="16"/>
  <c r="C883" i="16"/>
  <c r="B883" i="16"/>
  <c r="H882" i="16"/>
  <c r="F882" i="16"/>
  <c r="E882" i="16"/>
  <c r="D882" i="16"/>
  <c r="C882" i="16"/>
  <c r="B882" i="16"/>
  <c r="H881" i="16"/>
  <c r="G881" i="16"/>
  <c r="F881" i="16"/>
  <c r="E881" i="16"/>
  <c r="D881" i="16"/>
  <c r="C881" i="16"/>
  <c r="B881" i="16"/>
  <c r="H880" i="16"/>
  <c r="G880" i="16"/>
  <c r="F880" i="16"/>
  <c r="E880" i="16"/>
  <c r="D880" i="16"/>
  <c r="C880" i="16"/>
  <c r="B880" i="16"/>
  <c r="H879" i="16"/>
  <c r="F879" i="16"/>
  <c r="E879" i="16"/>
  <c r="D879" i="16"/>
  <c r="C879" i="16"/>
  <c r="B879" i="16"/>
  <c r="H878" i="16"/>
  <c r="G878" i="16"/>
  <c r="F878" i="16"/>
  <c r="E878" i="16"/>
  <c r="D878" i="16"/>
  <c r="C878" i="16"/>
  <c r="B878" i="16"/>
  <c r="H877" i="16"/>
  <c r="G877" i="16"/>
  <c r="F877" i="16"/>
  <c r="E877" i="16"/>
  <c r="D877" i="16"/>
  <c r="C877" i="16"/>
  <c r="B877" i="16"/>
  <c r="H876" i="16"/>
  <c r="G876" i="16"/>
  <c r="F876" i="16"/>
  <c r="E876" i="16"/>
  <c r="D876" i="16"/>
  <c r="C876" i="16"/>
  <c r="B876" i="16"/>
  <c r="H875" i="16"/>
  <c r="F875" i="16"/>
  <c r="E875" i="16"/>
  <c r="D875" i="16"/>
  <c r="C875" i="16"/>
  <c r="B875" i="16"/>
  <c r="H874" i="16"/>
  <c r="G874" i="16"/>
  <c r="F874" i="16"/>
  <c r="E874" i="16"/>
  <c r="D874" i="16"/>
  <c r="C874" i="16"/>
  <c r="B874" i="16"/>
  <c r="H873" i="16"/>
  <c r="G873" i="16"/>
  <c r="F873" i="16"/>
  <c r="E873" i="16"/>
  <c r="D873" i="16"/>
  <c r="C873" i="16"/>
  <c r="B873" i="16"/>
  <c r="H872" i="16"/>
  <c r="G872" i="16"/>
  <c r="F872" i="16"/>
  <c r="E872" i="16"/>
  <c r="D872" i="16"/>
  <c r="C872" i="16"/>
  <c r="B872" i="16"/>
  <c r="H871" i="16"/>
  <c r="G871" i="16"/>
  <c r="F871" i="16"/>
  <c r="E871" i="16"/>
  <c r="D871" i="16"/>
  <c r="C871" i="16"/>
  <c r="B871" i="16"/>
  <c r="H870" i="16"/>
  <c r="G870" i="16"/>
  <c r="F870" i="16"/>
  <c r="E870" i="16"/>
  <c r="D870" i="16"/>
  <c r="C870" i="16"/>
  <c r="B870" i="16"/>
  <c r="H869" i="16"/>
  <c r="G869" i="16"/>
  <c r="F869" i="16"/>
  <c r="E869" i="16"/>
  <c r="D869" i="16"/>
  <c r="C869" i="16"/>
  <c r="B869" i="16"/>
  <c r="H868" i="16"/>
  <c r="F868" i="16"/>
  <c r="E868" i="16"/>
  <c r="D868" i="16"/>
  <c r="C868" i="16"/>
  <c r="B868" i="16"/>
  <c r="H867" i="16"/>
  <c r="G867" i="16"/>
  <c r="F867" i="16"/>
  <c r="E867" i="16"/>
  <c r="D867" i="16"/>
  <c r="C867" i="16"/>
  <c r="B867" i="16"/>
  <c r="H866" i="16"/>
  <c r="G866" i="16"/>
  <c r="F866" i="16"/>
  <c r="E866" i="16"/>
  <c r="D866" i="16"/>
  <c r="C866" i="16"/>
  <c r="B866" i="16"/>
  <c r="H865" i="16"/>
  <c r="G865" i="16"/>
  <c r="F865" i="16"/>
  <c r="E865" i="16"/>
  <c r="D865" i="16"/>
  <c r="C865" i="16"/>
  <c r="B865" i="16"/>
  <c r="H864" i="16"/>
  <c r="G864" i="16"/>
  <c r="F864" i="16"/>
  <c r="E864" i="16"/>
  <c r="D864" i="16"/>
  <c r="C864" i="16"/>
  <c r="B864" i="16"/>
  <c r="H863" i="16"/>
  <c r="G863" i="16"/>
  <c r="F863" i="16"/>
  <c r="E863" i="16"/>
  <c r="D863" i="16"/>
  <c r="C863" i="16"/>
  <c r="B863" i="16"/>
  <c r="H862" i="16"/>
  <c r="G862" i="16"/>
  <c r="F862" i="16"/>
  <c r="E862" i="16"/>
  <c r="D862" i="16"/>
  <c r="C862" i="16"/>
  <c r="B862" i="16"/>
  <c r="H861" i="16"/>
  <c r="G861" i="16"/>
  <c r="F861" i="16"/>
  <c r="E861" i="16"/>
  <c r="D861" i="16"/>
  <c r="C861" i="16"/>
  <c r="B861" i="16"/>
  <c r="H860" i="16"/>
  <c r="G860" i="16"/>
  <c r="F860" i="16"/>
  <c r="E860" i="16"/>
  <c r="D860" i="16"/>
  <c r="C860" i="16"/>
  <c r="B860" i="16"/>
  <c r="H859" i="16"/>
  <c r="G859" i="16"/>
  <c r="F859" i="16"/>
  <c r="E859" i="16"/>
  <c r="D859" i="16"/>
  <c r="C859" i="16"/>
  <c r="B859" i="16"/>
  <c r="H858" i="16"/>
  <c r="G858" i="16"/>
  <c r="F858" i="16"/>
  <c r="E858" i="16"/>
  <c r="D858" i="16"/>
  <c r="C858" i="16"/>
  <c r="B858" i="16"/>
  <c r="H857" i="16"/>
  <c r="G857" i="16"/>
  <c r="F857" i="16"/>
  <c r="E857" i="16"/>
  <c r="D857" i="16"/>
  <c r="C857" i="16"/>
  <c r="B857" i="16"/>
  <c r="H856" i="16"/>
  <c r="G856" i="16"/>
  <c r="F856" i="16"/>
  <c r="E856" i="16"/>
  <c r="D856" i="16"/>
  <c r="C856" i="16"/>
  <c r="B856" i="16"/>
  <c r="H855" i="16"/>
  <c r="G855" i="16"/>
  <c r="F855" i="16"/>
  <c r="E855" i="16"/>
  <c r="D855" i="16"/>
  <c r="C855" i="16"/>
  <c r="B855" i="16"/>
  <c r="H854" i="16"/>
  <c r="G854" i="16"/>
  <c r="F854" i="16"/>
  <c r="E854" i="16"/>
  <c r="D854" i="16"/>
  <c r="C854" i="16"/>
  <c r="B854" i="16"/>
  <c r="H853" i="16"/>
  <c r="G853" i="16"/>
  <c r="F853" i="16"/>
  <c r="E853" i="16"/>
  <c r="D853" i="16"/>
  <c r="C853" i="16"/>
  <c r="B853" i="16"/>
  <c r="H852" i="16"/>
  <c r="G852" i="16"/>
  <c r="F852" i="16"/>
  <c r="E852" i="16"/>
  <c r="D852" i="16"/>
  <c r="C852" i="16"/>
  <c r="B852" i="16"/>
  <c r="H851" i="16"/>
  <c r="G851" i="16"/>
  <c r="F851" i="16"/>
  <c r="E851" i="16"/>
  <c r="D851" i="16"/>
  <c r="C851" i="16"/>
  <c r="B851" i="16"/>
  <c r="H850" i="16"/>
  <c r="G850" i="16"/>
  <c r="F850" i="16"/>
  <c r="E850" i="16"/>
  <c r="D850" i="16"/>
  <c r="C850" i="16"/>
  <c r="B850" i="16"/>
  <c r="H849" i="16"/>
  <c r="G849" i="16"/>
  <c r="F849" i="16"/>
  <c r="E849" i="16"/>
  <c r="D849" i="16"/>
  <c r="C849" i="16"/>
  <c r="B849" i="16"/>
  <c r="H848" i="16"/>
  <c r="G848" i="16"/>
  <c r="F848" i="16"/>
  <c r="E848" i="16"/>
  <c r="D848" i="16"/>
  <c r="C848" i="16"/>
  <c r="B848" i="16"/>
  <c r="H847" i="16"/>
  <c r="G847" i="16"/>
  <c r="F847" i="16"/>
  <c r="E847" i="16"/>
  <c r="D847" i="16"/>
  <c r="C847" i="16"/>
  <c r="B847" i="16"/>
  <c r="H846" i="16"/>
  <c r="G846" i="16"/>
  <c r="F846" i="16"/>
  <c r="E846" i="16"/>
  <c r="D846" i="16"/>
  <c r="C846" i="16"/>
  <c r="B846" i="16"/>
  <c r="H845" i="16"/>
  <c r="G845" i="16"/>
  <c r="F845" i="16"/>
  <c r="E845" i="16"/>
  <c r="D845" i="16"/>
  <c r="C845" i="16"/>
  <c r="B845" i="16"/>
  <c r="H844" i="16"/>
  <c r="G844" i="16"/>
  <c r="F844" i="16"/>
  <c r="E844" i="16"/>
  <c r="D844" i="16"/>
  <c r="C844" i="16"/>
  <c r="B844" i="16"/>
  <c r="H843" i="16"/>
  <c r="G843" i="16"/>
  <c r="F843" i="16"/>
  <c r="E843" i="16"/>
  <c r="D843" i="16"/>
  <c r="C843" i="16"/>
  <c r="B843" i="16"/>
  <c r="H842" i="16"/>
  <c r="G842" i="16"/>
  <c r="F842" i="16"/>
  <c r="E842" i="16"/>
  <c r="D842" i="16"/>
  <c r="C842" i="16"/>
  <c r="B842" i="16"/>
  <c r="H841" i="16"/>
  <c r="G841" i="16"/>
  <c r="F841" i="16"/>
  <c r="E841" i="16"/>
  <c r="D841" i="16"/>
  <c r="C841" i="16"/>
  <c r="B841" i="16"/>
  <c r="H840" i="16"/>
  <c r="G840" i="16"/>
  <c r="F840" i="16"/>
  <c r="E840" i="16"/>
  <c r="D840" i="16"/>
  <c r="C840" i="16"/>
  <c r="B840" i="16"/>
  <c r="H839" i="16"/>
  <c r="G839" i="16"/>
  <c r="F839" i="16"/>
  <c r="E839" i="16"/>
  <c r="D839" i="16"/>
  <c r="C839" i="16"/>
  <c r="B839" i="16"/>
  <c r="H838" i="16"/>
  <c r="G838" i="16"/>
  <c r="F838" i="16"/>
  <c r="E838" i="16"/>
  <c r="D838" i="16"/>
  <c r="C838" i="16"/>
  <c r="B838" i="16"/>
  <c r="H837" i="16"/>
  <c r="G837" i="16"/>
  <c r="F837" i="16"/>
  <c r="E837" i="16"/>
  <c r="D837" i="16"/>
  <c r="C837" i="16"/>
  <c r="B837" i="16"/>
  <c r="H836" i="16"/>
  <c r="G836" i="16"/>
  <c r="F836" i="16"/>
  <c r="E836" i="16"/>
  <c r="D836" i="16"/>
  <c r="C836" i="16"/>
  <c r="B836" i="16"/>
  <c r="H835" i="16"/>
  <c r="G835" i="16"/>
  <c r="F835" i="16"/>
  <c r="E835" i="16"/>
  <c r="D835" i="16"/>
  <c r="C835" i="16"/>
  <c r="B835" i="16"/>
  <c r="H834" i="16"/>
  <c r="G834" i="16"/>
  <c r="F834" i="16"/>
  <c r="E834" i="16"/>
  <c r="D834" i="16"/>
  <c r="C834" i="16"/>
  <c r="B834" i="16"/>
  <c r="H833" i="16"/>
  <c r="G833" i="16"/>
  <c r="F833" i="16"/>
  <c r="E833" i="16"/>
  <c r="D833" i="16"/>
  <c r="C833" i="16"/>
  <c r="B833" i="16"/>
  <c r="H832" i="16"/>
  <c r="G832" i="16"/>
  <c r="F832" i="16"/>
  <c r="E832" i="16"/>
  <c r="D832" i="16"/>
  <c r="C832" i="16"/>
  <c r="B832" i="16"/>
  <c r="H831" i="16"/>
  <c r="G831" i="16"/>
  <c r="F831" i="16"/>
  <c r="E831" i="16"/>
  <c r="D831" i="16"/>
  <c r="C831" i="16"/>
  <c r="B831" i="16"/>
  <c r="H830" i="16"/>
  <c r="G830" i="16"/>
  <c r="F830" i="16"/>
  <c r="E830" i="16"/>
  <c r="D830" i="16"/>
  <c r="C830" i="16"/>
  <c r="B830" i="16"/>
  <c r="H829" i="16"/>
  <c r="G829" i="16"/>
  <c r="F829" i="16"/>
  <c r="E829" i="16"/>
  <c r="D829" i="16"/>
  <c r="C829" i="16"/>
  <c r="B829" i="16"/>
  <c r="H828" i="16"/>
  <c r="G828" i="16"/>
  <c r="F828" i="16"/>
  <c r="E828" i="16"/>
  <c r="D828" i="16"/>
  <c r="C828" i="16"/>
  <c r="B828" i="16"/>
  <c r="H827" i="16"/>
  <c r="G827" i="16"/>
  <c r="F827" i="16"/>
  <c r="E827" i="16"/>
  <c r="D827" i="16"/>
  <c r="C827" i="16"/>
  <c r="B827" i="16"/>
  <c r="H826" i="16"/>
  <c r="G826" i="16"/>
  <c r="F826" i="16"/>
  <c r="E826" i="16"/>
  <c r="D826" i="16"/>
  <c r="C826" i="16"/>
  <c r="B826" i="16"/>
  <c r="H825" i="16"/>
  <c r="G825" i="16"/>
  <c r="F825" i="16"/>
  <c r="E825" i="16"/>
  <c r="D825" i="16"/>
  <c r="C825" i="16"/>
  <c r="B825" i="16"/>
  <c r="H824" i="16"/>
  <c r="G824" i="16"/>
  <c r="F824" i="16"/>
  <c r="E824" i="16"/>
  <c r="D824" i="16"/>
  <c r="C824" i="16"/>
  <c r="B824" i="16"/>
  <c r="H823" i="16"/>
  <c r="G823" i="16"/>
  <c r="F823" i="16"/>
  <c r="E823" i="16"/>
  <c r="D823" i="16"/>
  <c r="C823" i="16"/>
  <c r="B823" i="16"/>
  <c r="H822" i="16"/>
  <c r="G822" i="16"/>
  <c r="F822" i="16"/>
  <c r="E822" i="16"/>
  <c r="D822" i="16"/>
  <c r="C822" i="16"/>
  <c r="B822" i="16"/>
  <c r="H821" i="16"/>
  <c r="G821" i="16"/>
  <c r="F821" i="16"/>
  <c r="E821" i="16"/>
  <c r="D821" i="16"/>
  <c r="C821" i="16"/>
  <c r="B821" i="16"/>
  <c r="H820" i="16"/>
  <c r="G820" i="16"/>
  <c r="F820" i="16"/>
  <c r="E820" i="16"/>
  <c r="D820" i="16"/>
  <c r="C820" i="16"/>
  <c r="B820" i="16"/>
  <c r="H819" i="16"/>
  <c r="G819" i="16"/>
  <c r="F819" i="16"/>
  <c r="E819" i="16"/>
  <c r="D819" i="16"/>
  <c r="C819" i="16"/>
  <c r="B819" i="16"/>
  <c r="H818" i="16"/>
  <c r="G818" i="16"/>
  <c r="F818" i="16"/>
  <c r="E818" i="16"/>
  <c r="D818" i="16"/>
  <c r="C818" i="16"/>
  <c r="B818" i="16"/>
  <c r="H817" i="16"/>
  <c r="G817" i="16"/>
  <c r="F817" i="16"/>
  <c r="E817" i="16"/>
  <c r="D817" i="16"/>
  <c r="C817" i="16"/>
  <c r="B817" i="16"/>
  <c r="H816" i="16"/>
  <c r="G816" i="16"/>
  <c r="F816" i="16"/>
  <c r="E816" i="16"/>
  <c r="D816" i="16"/>
  <c r="C816" i="16"/>
  <c r="B816" i="16"/>
  <c r="H815" i="16"/>
  <c r="G815" i="16"/>
  <c r="F815" i="16"/>
  <c r="E815" i="16"/>
  <c r="D815" i="16"/>
  <c r="C815" i="16"/>
  <c r="B815" i="16"/>
  <c r="H814" i="16"/>
  <c r="G814" i="16"/>
  <c r="F814" i="16"/>
  <c r="E814" i="16"/>
  <c r="D814" i="16"/>
  <c r="C814" i="16"/>
  <c r="B814" i="16"/>
  <c r="H813" i="16"/>
  <c r="G813" i="16"/>
  <c r="F813" i="16"/>
  <c r="E813" i="16"/>
  <c r="D813" i="16"/>
  <c r="C813" i="16"/>
  <c r="B813" i="16"/>
  <c r="H812" i="16"/>
  <c r="G812" i="16"/>
  <c r="F812" i="16"/>
  <c r="E812" i="16"/>
  <c r="D812" i="16"/>
  <c r="C812" i="16"/>
  <c r="B812" i="16"/>
  <c r="H811" i="16"/>
  <c r="G811" i="16"/>
  <c r="F811" i="16"/>
  <c r="E811" i="16"/>
  <c r="D811" i="16"/>
  <c r="C811" i="16"/>
  <c r="B811" i="16"/>
  <c r="H810" i="16"/>
  <c r="G810" i="16"/>
  <c r="F810" i="16"/>
  <c r="E810" i="16"/>
  <c r="D810" i="16"/>
  <c r="C810" i="16"/>
  <c r="B810" i="16"/>
  <c r="H809" i="16"/>
  <c r="F809" i="16"/>
  <c r="E809" i="16"/>
  <c r="D809" i="16"/>
  <c r="C809" i="16"/>
  <c r="B809" i="16"/>
  <c r="H808" i="16"/>
  <c r="G808" i="16"/>
  <c r="F808" i="16"/>
  <c r="E808" i="16"/>
  <c r="D808" i="16"/>
  <c r="C808" i="16"/>
  <c r="B808" i="16"/>
  <c r="H807" i="16"/>
  <c r="F807" i="16"/>
  <c r="E807" i="16"/>
  <c r="D807" i="16"/>
  <c r="C807" i="16"/>
  <c r="B807" i="16"/>
  <c r="H806" i="16"/>
  <c r="F806" i="16"/>
  <c r="E806" i="16"/>
  <c r="D806" i="16"/>
  <c r="C806" i="16"/>
  <c r="B806" i="16"/>
  <c r="H805" i="16"/>
  <c r="G805" i="16"/>
  <c r="F805" i="16"/>
  <c r="E805" i="16"/>
  <c r="D805" i="16"/>
  <c r="C805" i="16"/>
  <c r="B805" i="16"/>
  <c r="H804" i="16"/>
  <c r="F804" i="16"/>
  <c r="E804" i="16"/>
  <c r="D804" i="16"/>
  <c r="C804" i="16"/>
  <c r="B804" i="16"/>
  <c r="H803" i="16"/>
  <c r="F803" i="16"/>
  <c r="E803" i="16"/>
  <c r="D803" i="16"/>
  <c r="C803" i="16"/>
  <c r="B803" i="16"/>
  <c r="H802" i="16"/>
  <c r="F802" i="16"/>
  <c r="E802" i="16"/>
  <c r="D802" i="16"/>
  <c r="C802" i="16"/>
  <c r="B802" i="16"/>
  <c r="H801" i="16"/>
  <c r="F801" i="16"/>
  <c r="E801" i="16"/>
  <c r="D801" i="16"/>
  <c r="C801" i="16"/>
  <c r="B801" i="16"/>
  <c r="H800" i="16"/>
  <c r="F800" i="16"/>
  <c r="E800" i="16"/>
  <c r="D800" i="16"/>
  <c r="C800" i="16"/>
  <c r="B800" i="16"/>
  <c r="H799" i="16"/>
  <c r="F799" i="16"/>
  <c r="E799" i="16"/>
  <c r="D799" i="16"/>
  <c r="C799" i="16"/>
  <c r="B799" i="16"/>
  <c r="H798" i="16"/>
  <c r="F798" i="16"/>
  <c r="E798" i="16"/>
  <c r="D798" i="16"/>
  <c r="C798" i="16"/>
  <c r="B798" i="16"/>
  <c r="H797" i="16"/>
  <c r="F797" i="16"/>
  <c r="E797" i="16"/>
  <c r="D797" i="16"/>
  <c r="C797" i="16"/>
  <c r="B797" i="16"/>
  <c r="H796" i="16"/>
  <c r="F796" i="16"/>
  <c r="E796" i="16"/>
  <c r="D796" i="16"/>
  <c r="C796" i="16"/>
  <c r="B796" i="16"/>
  <c r="H795" i="16"/>
  <c r="F795" i="16"/>
  <c r="E795" i="16"/>
  <c r="D795" i="16"/>
  <c r="C795" i="16"/>
  <c r="B795" i="16"/>
  <c r="H794" i="16"/>
  <c r="F794" i="16"/>
  <c r="E794" i="16"/>
  <c r="D794" i="16"/>
  <c r="C794" i="16"/>
  <c r="B794" i="16"/>
  <c r="H793" i="16"/>
  <c r="F793" i="16"/>
  <c r="E793" i="16"/>
  <c r="D793" i="16"/>
  <c r="C793" i="16"/>
  <c r="B793" i="16"/>
  <c r="H792" i="16"/>
  <c r="F792" i="16"/>
  <c r="E792" i="16"/>
  <c r="D792" i="16"/>
  <c r="C792" i="16"/>
  <c r="B792" i="16"/>
  <c r="H791" i="16"/>
  <c r="F791" i="16"/>
  <c r="E791" i="16"/>
  <c r="D791" i="16"/>
  <c r="C791" i="16"/>
  <c r="B791" i="16"/>
  <c r="H790" i="16"/>
  <c r="F790" i="16"/>
  <c r="E790" i="16"/>
  <c r="D790" i="16"/>
  <c r="C790" i="16"/>
  <c r="B790" i="16"/>
  <c r="H789" i="16"/>
  <c r="G789" i="16"/>
  <c r="F789" i="16"/>
  <c r="E789" i="16"/>
  <c r="D789" i="16"/>
  <c r="C789" i="16"/>
  <c r="B789" i="16"/>
  <c r="H788" i="16"/>
  <c r="G788" i="16"/>
  <c r="F788" i="16"/>
  <c r="E788" i="16"/>
  <c r="D788" i="16"/>
  <c r="C788" i="16"/>
  <c r="B788" i="16"/>
  <c r="H787" i="16"/>
  <c r="F787" i="16"/>
  <c r="E787" i="16"/>
  <c r="D787" i="16"/>
  <c r="C787" i="16"/>
  <c r="B787" i="16"/>
  <c r="H786" i="16"/>
  <c r="F786" i="16"/>
  <c r="E786" i="16"/>
  <c r="D786" i="16"/>
  <c r="C786" i="16"/>
  <c r="B786" i="16"/>
  <c r="H785" i="16"/>
  <c r="F785" i="16"/>
  <c r="E785" i="16"/>
  <c r="D785" i="16"/>
  <c r="C785" i="16"/>
  <c r="B785" i="16"/>
  <c r="H784" i="16"/>
  <c r="F784" i="16"/>
  <c r="E784" i="16"/>
  <c r="D784" i="16"/>
  <c r="C784" i="16"/>
  <c r="B784" i="16"/>
  <c r="H783" i="16"/>
  <c r="F783" i="16"/>
  <c r="E783" i="16"/>
  <c r="D783" i="16"/>
  <c r="C783" i="16"/>
  <c r="B783" i="16"/>
  <c r="H782" i="16"/>
  <c r="F782" i="16"/>
  <c r="E782" i="16"/>
  <c r="D782" i="16"/>
  <c r="C782" i="16"/>
  <c r="B782" i="16"/>
  <c r="H781" i="16"/>
  <c r="F781" i="16"/>
  <c r="E781" i="16"/>
  <c r="D781" i="16"/>
  <c r="C781" i="16"/>
  <c r="B781" i="16"/>
  <c r="H780" i="16"/>
  <c r="F780" i="16"/>
  <c r="E780" i="16"/>
  <c r="D780" i="16"/>
  <c r="C780" i="16"/>
  <c r="B780" i="16"/>
  <c r="H779" i="16"/>
  <c r="G779" i="16"/>
  <c r="F779" i="16"/>
  <c r="E779" i="16"/>
  <c r="D779" i="16"/>
  <c r="C779" i="16"/>
  <c r="B779" i="16"/>
  <c r="H778" i="16"/>
  <c r="F778" i="16"/>
  <c r="E778" i="16"/>
  <c r="D778" i="16"/>
  <c r="C778" i="16"/>
  <c r="B778" i="16"/>
  <c r="H777" i="16"/>
  <c r="F777" i="16"/>
  <c r="E777" i="16"/>
  <c r="D777" i="16"/>
  <c r="C777" i="16"/>
  <c r="B777" i="16"/>
  <c r="H776" i="16"/>
  <c r="F776" i="16"/>
  <c r="E776" i="16"/>
  <c r="D776" i="16"/>
  <c r="C776" i="16"/>
  <c r="B776" i="16"/>
  <c r="H775" i="16"/>
  <c r="F775" i="16"/>
  <c r="E775" i="16"/>
  <c r="D775" i="16"/>
  <c r="C775" i="16"/>
  <c r="B775" i="16"/>
  <c r="H774" i="16"/>
  <c r="G774" i="16"/>
  <c r="F774" i="16"/>
  <c r="E774" i="16"/>
  <c r="D774" i="16"/>
  <c r="C774" i="16"/>
  <c r="B774" i="16"/>
  <c r="H773" i="16"/>
  <c r="G773" i="16"/>
  <c r="F773" i="16"/>
  <c r="E773" i="16"/>
  <c r="D773" i="16"/>
  <c r="C773" i="16"/>
  <c r="B773" i="16"/>
  <c r="H772" i="16"/>
  <c r="F772" i="16"/>
  <c r="E772" i="16"/>
  <c r="D772" i="16"/>
  <c r="C772" i="16"/>
  <c r="B772" i="16"/>
  <c r="H771" i="16"/>
  <c r="F771" i="16"/>
  <c r="E771" i="16"/>
  <c r="D771" i="16"/>
  <c r="C771" i="16"/>
  <c r="B771" i="16"/>
  <c r="H770" i="16"/>
  <c r="F770" i="16"/>
  <c r="E770" i="16"/>
  <c r="D770" i="16"/>
  <c r="C770" i="16"/>
  <c r="B770" i="16"/>
  <c r="H769" i="16"/>
  <c r="G769" i="16"/>
  <c r="F769" i="16"/>
  <c r="E769" i="16"/>
  <c r="D769" i="16"/>
  <c r="C769" i="16"/>
  <c r="B769" i="16"/>
  <c r="H768" i="16"/>
  <c r="G768" i="16"/>
  <c r="F768" i="16"/>
  <c r="E768" i="16"/>
  <c r="D768" i="16"/>
  <c r="C768" i="16"/>
  <c r="B768" i="16"/>
  <c r="H767" i="16"/>
  <c r="G767" i="16"/>
  <c r="F767" i="16"/>
  <c r="E767" i="16"/>
  <c r="D767" i="16"/>
  <c r="C767" i="16"/>
  <c r="B767" i="16"/>
  <c r="H766" i="16"/>
  <c r="G766" i="16"/>
  <c r="F766" i="16"/>
  <c r="E766" i="16"/>
  <c r="D766" i="16"/>
  <c r="C766" i="16"/>
  <c r="B766" i="16"/>
  <c r="H765" i="16"/>
  <c r="G765" i="16"/>
  <c r="F765" i="16"/>
  <c r="E765" i="16"/>
  <c r="D765" i="16"/>
  <c r="C765" i="16"/>
  <c r="B765" i="16"/>
  <c r="H764" i="16"/>
  <c r="G764" i="16"/>
  <c r="F764" i="16"/>
  <c r="E764" i="16"/>
  <c r="D764" i="16"/>
  <c r="C764" i="16"/>
  <c r="B764" i="16"/>
  <c r="H763" i="16"/>
  <c r="G763" i="16"/>
  <c r="F763" i="16"/>
  <c r="E763" i="16"/>
  <c r="D763" i="16"/>
  <c r="C763" i="16"/>
  <c r="B763" i="16"/>
  <c r="H762" i="16"/>
  <c r="G762" i="16"/>
  <c r="F762" i="16"/>
  <c r="E762" i="16"/>
  <c r="D762" i="16"/>
  <c r="C762" i="16"/>
  <c r="B762" i="16"/>
  <c r="H761" i="16"/>
  <c r="G761" i="16"/>
  <c r="F761" i="16"/>
  <c r="E761" i="16"/>
  <c r="D761" i="16"/>
  <c r="C761" i="16"/>
  <c r="B761" i="16"/>
  <c r="H760" i="16"/>
  <c r="G760" i="16"/>
  <c r="F760" i="16"/>
  <c r="E760" i="16"/>
  <c r="D760" i="16"/>
  <c r="C760" i="16"/>
  <c r="B760" i="16"/>
  <c r="H759" i="16"/>
  <c r="G759" i="16"/>
  <c r="F759" i="16"/>
  <c r="E759" i="16"/>
  <c r="D759" i="16"/>
  <c r="C759" i="16"/>
  <c r="B759" i="16"/>
  <c r="H758" i="16"/>
  <c r="G758" i="16"/>
  <c r="F758" i="16"/>
  <c r="E758" i="16"/>
  <c r="D758" i="16"/>
  <c r="C758" i="16"/>
  <c r="B758" i="16"/>
  <c r="H757" i="16"/>
  <c r="G757" i="16"/>
  <c r="F757" i="16"/>
  <c r="E757" i="16"/>
  <c r="D757" i="16"/>
  <c r="C757" i="16"/>
  <c r="B757" i="16"/>
  <c r="H756" i="16"/>
  <c r="G756" i="16"/>
  <c r="F756" i="16"/>
  <c r="E756" i="16"/>
  <c r="D756" i="16"/>
  <c r="C756" i="16"/>
  <c r="B756" i="16"/>
  <c r="H755" i="16"/>
  <c r="G755" i="16"/>
  <c r="F755" i="16"/>
  <c r="E755" i="16"/>
  <c r="D755" i="16"/>
  <c r="C755" i="16"/>
  <c r="B755" i="16"/>
  <c r="H754" i="16"/>
  <c r="G754" i="16"/>
  <c r="F754" i="16"/>
  <c r="E754" i="16"/>
  <c r="D754" i="16"/>
  <c r="C754" i="16"/>
  <c r="B754" i="16"/>
  <c r="H753" i="16"/>
  <c r="G753" i="16"/>
  <c r="F753" i="16"/>
  <c r="E753" i="16"/>
  <c r="D753" i="16"/>
  <c r="C753" i="16"/>
  <c r="B753" i="16"/>
  <c r="H752" i="16"/>
  <c r="G752" i="16"/>
  <c r="F752" i="16"/>
  <c r="E752" i="16"/>
  <c r="D752" i="16"/>
  <c r="C752" i="16"/>
  <c r="B752" i="16"/>
  <c r="H751" i="16"/>
  <c r="G751" i="16"/>
  <c r="F751" i="16"/>
  <c r="E751" i="16"/>
  <c r="D751" i="16"/>
  <c r="C751" i="16"/>
  <c r="B751" i="16"/>
  <c r="H750" i="16"/>
  <c r="G750" i="16"/>
  <c r="F750" i="16"/>
  <c r="E750" i="16"/>
  <c r="D750" i="16"/>
  <c r="C750" i="16"/>
  <c r="B750" i="16"/>
  <c r="H749" i="16"/>
  <c r="G749" i="16"/>
  <c r="F749" i="16"/>
  <c r="E749" i="16"/>
  <c r="D749" i="16"/>
  <c r="C749" i="16"/>
  <c r="B749" i="16"/>
  <c r="H748" i="16"/>
  <c r="G748" i="16"/>
  <c r="F748" i="16"/>
  <c r="E748" i="16"/>
  <c r="D748" i="16"/>
  <c r="C748" i="16"/>
  <c r="B748" i="16"/>
  <c r="H747" i="16"/>
  <c r="G747" i="16"/>
  <c r="F747" i="16"/>
  <c r="E747" i="16"/>
  <c r="D747" i="16"/>
  <c r="C747" i="16"/>
  <c r="B747" i="16"/>
  <c r="H746" i="16"/>
  <c r="G746" i="16"/>
  <c r="F746" i="16"/>
  <c r="E746" i="16"/>
  <c r="D746" i="16"/>
  <c r="C746" i="16"/>
  <c r="B746" i="16"/>
  <c r="H745" i="16"/>
  <c r="G745" i="16"/>
  <c r="F745" i="16"/>
  <c r="E745" i="16"/>
  <c r="D745" i="16"/>
  <c r="C745" i="16"/>
  <c r="B745" i="16"/>
  <c r="H744" i="16"/>
  <c r="G744" i="16"/>
  <c r="F744" i="16"/>
  <c r="E744" i="16"/>
  <c r="D744" i="16"/>
  <c r="C744" i="16"/>
  <c r="B744" i="16"/>
  <c r="H743" i="16"/>
  <c r="G743" i="16"/>
  <c r="F743" i="16"/>
  <c r="E743" i="16"/>
  <c r="D743" i="16"/>
  <c r="C743" i="16"/>
  <c r="B743" i="16"/>
  <c r="H742" i="16"/>
  <c r="G742" i="16"/>
  <c r="F742" i="16"/>
  <c r="E742" i="16"/>
  <c r="D742" i="16"/>
  <c r="C742" i="16"/>
  <c r="B742" i="16"/>
  <c r="H741" i="16"/>
  <c r="G741" i="16"/>
  <c r="F741" i="16"/>
  <c r="E741" i="16"/>
  <c r="D741" i="16"/>
  <c r="C741" i="16"/>
  <c r="B741" i="16"/>
  <c r="H740" i="16"/>
  <c r="G740" i="16"/>
  <c r="F740" i="16"/>
  <c r="E740" i="16"/>
  <c r="D740" i="16"/>
  <c r="C740" i="16"/>
  <c r="B740" i="16"/>
  <c r="H739" i="16"/>
  <c r="G739" i="16"/>
  <c r="F739" i="16"/>
  <c r="E739" i="16"/>
  <c r="D739" i="16"/>
  <c r="C739" i="16"/>
  <c r="B739" i="16"/>
  <c r="H738" i="16"/>
  <c r="G738" i="16"/>
  <c r="F738" i="16"/>
  <c r="E738" i="16"/>
  <c r="D738" i="16"/>
  <c r="C738" i="16"/>
  <c r="B738" i="16"/>
  <c r="H737" i="16"/>
  <c r="G737" i="16"/>
  <c r="F737" i="16"/>
  <c r="E737" i="16"/>
  <c r="D737" i="16"/>
  <c r="C737" i="16"/>
  <c r="B737" i="16"/>
  <c r="H736" i="16"/>
  <c r="G736" i="16"/>
  <c r="F736" i="16"/>
  <c r="E736" i="16"/>
  <c r="D736" i="16"/>
  <c r="C736" i="16"/>
  <c r="B736" i="16"/>
  <c r="H735" i="16"/>
  <c r="G735" i="16"/>
  <c r="F735" i="16"/>
  <c r="E735" i="16"/>
  <c r="D735" i="16"/>
  <c r="C735" i="16"/>
  <c r="B735" i="16"/>
  <c r="H734" i="16"/>
  <c r="G734" i="16"/>
  <c r="F734" i="16"/>
  <c r="E734" i="16"/>
  <c r="D734" i="16"/>
  <c r="C734" i="16"/>
  <c r="B734" i="16"/>
  <c r="H733" i="16"/>
  <c r="G733" i="16"/>
  <c r="F733" i="16"/>
  <c r="E733" i="16"/>
  <c r="D733" i="16"/>
  <c r="C733" i="16"/>
  <c r="B733" i="16"/>
  <c r="H732" i="16"/>
  <c r="G732" i="16"/>
  <c r="F732" i="16"/>
  <c r="E732" i="16"/>
  <c r="D732" i="16"/>
  <c r="C732" i="16"/>
  <c r="B732" i="16"/>
  <c r="H731" i="16"/>
  <c r="G731" i="16"/>
  <c r="F731" i="16"/>
  <c r="E731" i="16"/>
  <c r="D731" i="16"/>
  <c r="C731" i="16"/>
  <c r="B731" i="16"/>
  <c r="H730" i="16"/>
  <c r="G730" i="16"/>
  <c r="F730" i="16"/>
  <c r="E730" i="16"/>
  <c r="D730" i="16"/>
  <c r="C730" i="16"/>
  <c r="B730" i="16"/>
  <c r="H729" i="16"/>
  <c r="G729" i="16"/>
  <c r="F729" i="16"/>
  <c r="E729" i="16"/>
  <c r="D729" i="16"/>
  <c r="C729" i="16"/>
  <c r="B729" i="16"/>
  <c r="H728" i="16"/>
  <c r="G728" i="16"/>
  <c r="F728" i="16"/>
  <c r="E728" i="16"/>
  <c r="D728" i="16"/>
  <c r="C728" i="16"/>
  <c r="B728" i="16"/>
  <c r="H727" i="16"/>
  <c r="G727" i="16"/>
  <c r="F727" i="16"/>
  <c r="E727" i="16"/>
  <c r="D727" i="16"/>
  <c r="C727" i="16"/>
  <c r="B727" i="16"/>
  <c r="H726" i="16"/>
  <c r="G726" i="16"/>
  <c r="F726" i="16"/>
  <c r="E726" i="16"/>
  <c r="D726" i="16"/>
  <c r="C726" i="16"/>
  <c r="B726" i="16"/>
  <c r="H725" i="16"/>
  <c r="G725" i="16"/>
  <c r="F725" i="16"/>
  <c r="E725" i="16"/>
  <c r="D725" i="16"/>
  <c r="C725" i="16"/>
  <c r="B725" i="16"/>
  <c r="H724" i="16"/>
  <c r="G724" i="16"/>
  <c r="F724" i="16"/>
  <c r="E724" i="16"/>
  <c r="D724" i="16"/>
  <c r="C724" i="16"/>
  <c r="B724" i="16"/>
  <c r="H723" i="16"/>
  <c r="G723" i="16"/>
  <c r="F723" i="16"/>
  <c r="E723" i="16"/>
  <c r="D723" i="16"/>
  <c r="C723" i="16"/>
  <c r="B723" i="16"/>
  <c r="H722" i="16"/>
  <c r="G722" i="16"/>
  <c r="F722" i="16"/>
  <c r="E722" i="16"/>
  <c r="D722" i="16"/>
  <c r="C722" i="16"/>
  <c r="B722" i="16"/>
  <c r="H721" i="16"/>
  <c r="G721" i="16"/>
  <c r="F721" i="16"/>
  <c r="E721" i="16"/>
  <c r="D721" i="16"/>
  <c r="C721" i="16"/>
  <c r="B721" i="16"/>
  <c r="H720" i="16"/>
  <c r="G720" i="16"/>
  <c r="F720" i="16"/>
  <c r="E720" i="16"/>
  <c r="D720" i="16"/>
  <c r="C720" i="16"/>
  <c r="B720" i="16"/>
  <c r="H719" i="16"/>
  <c r="G719" i="16"/>
  <c r="F719" i="16"/>
  <c r="E719" i="16"/>
  <c r="D719" i="16"/>
  <c r="C719" i="16"/>
  <c r="B719" i="16"/>
  <c r="H718" i="16"/>
  <c r="G718" i="16"/>
  <c r="F718" i="16"/>
  <c r="E718" i="16"/>
  <c r="D718" i="16"/>
  <c r="C718" i="16"/>
  <c r="B718" i="16"/>
  <c r="H717" i="16"/>
  <c r="G717" i="16"/>
  <c r="F717" i="16"/>
  <c r="E717" i="16"/>
  <c r="D717" i="16"/>
  <c r="C717" i="16"/>
  <c r="B717" i="16"/>
  <c r="H716" i="16"/>
  <c r="G716" i="16"/>
  <c r="F716" i="16"/>
  <c r="E716" i="16"/>
  <c r="D716" i="16"/>
  <c r="C716" i="16"/>
  <c r="B716" i="16"/>
  <c r="H715" i="16"/>
  <c r="G715" i="16"/>
  <c r="F715" i="16"/>
  <c r="E715" i="16"/>
  <c r="D715" i="16"/>
  <c r="C715" i="16"/>
  <c r="B715" i="16"/>
  <c r="H714" i="16"/>
  <c r="G714" i="16"/>
  <c r="F714" i="16"/>
  <c r="E714" i="16"/>
  <c r="D714" i="16"/>
  <c r="C714" i="16"/>
  <c r="B714" i="16"/>
  <c r="H713" i="16"/>
  <c r="G713" i="16"/>
  <c r="F713" i="16"/>
  <c r="E713" i="16"/>
  <c r="D713" i="16"/>
  <c r="C713" i="16"/>
  <c r="B713" i="16"/>
  <c r="H712" i="16"/>
  <c r="G712" i="16"/>
  <c r="F712" i="16"/>
  <c r="E712" i="16"/>
  <c r="D712" i="16"/>
  <c r="C712" i="16"/>
  <c r="B712" i="16"/>
  <c r="H711" i="16"/>
  <c r="G711" i="16"/>
  <c r="F711" i="16"/>
  <c r="E711" i="16"/>
  <c r="D711" i="16"/>
  <c r="C711" i="16"/>
  <c r="B711" i="16"/>
  <c r="H710" i="16"/>
  <c r="G710" i="16"/>
  <c r="F710" i="16"/>
  <c r="E710" i="16"/>
  <c r="D710" i="16"/>
  <c r="C710" i="16"/>
  <c r="B710" i="16"/>
  <c r="H709" i="16"/>
  <c r="G709" i="16"/>
  <c r="F709" i="16"/>
  <c r="E709" i="16"/>
  <c r="D709" i="16"/>
  <c r="C709" i="16"/>
  <c r="B709" i="16"/>
  <c r="H708" i="16"/>
  <c r="G708" i="16"/>
  <c r="F708" i="16"/>
  <c r="E708" i="16"/>
  <c r="D708" i="16"/>
  <c r="C708" i="16"/>
  <c r="B708" i="16"/>
  <c r="H707" i="16"/>
  <c r="G707" i="16"/>
  <c r="F707" i="16"/>
  <c r="E707" i="16"/>
  <c r="D707" i="16"/>
  <c r="C707" i="16"/>
  <c r="B707" i="16"/>
  <c r="H706" i="16"/>
  <c r="G706" i="16"/>
  <c r="F706" i="16"/>
  <c r="E706" i="16"/>
  <c r="D706" i="16"/>
  <c r="C706" i="16"/>
  <c r="B706" i="16"/>
  <c r="H705" i="16"/>
  <c r="G705" i="16"/>
  <c r="F705" i="16"/>
  <c r="E705" i="16"/>
  <c r="D705" i="16"/>
  <c r="C705" i="16"/>
  <c r="B705" i="16"/>
  <c r="H704" i="16"/>
  <c r="F704" i="16"/>
  <c r="E704" i="16"/>
  <c r="D704" i="16"/>
  <c r="C704" i="16"/>
  <c r="B704" i="16"/>
  <c r="H703" i="16"/>
  <c r="G703" i="16"/>
  <c r="F703" i="16"/>
  <c r="E703" i="16"/>
  <c r="D703" i="16"/>
  <c r="C703" i="16"/>
  <c r="B703" i="16"/>
  <c r="H702" i="16"/>
  <c r="G702" i="16"/>
  <c r="F702" i="16"/>
  <c r="E702" i="16"/>
  <c r="D702" i="16"/>
  <c r="C702" i="16"/>
  <c r="B702" i="16"/>
  <c r="H701" i="16"/>
  <c r="F701" i="16"/>
  <c r="E701" i="16"/>
  <c r="D701" i="16"/>
  <c r="C701" i="16"/>
  <c r="B701" i="16"/>
  <c r="H700" i="16"/>
  <c r="G700" i="16"/>
  <c r="F700" i="16"/>
  <c r="E700" i="16"/>
  <c r="D700" i="16"/>
  <c r="C700" i="16"/>
  <c r="B700" i="16"/>
  <c r="H699" i="16"/>
  <c r="F699" i="16"/>
  <c r="E699" i="16"/>
  <c r="D699" i="16"/>
  <c r="C699" i="16"/>
  <c r="B699" i="16"/>
  <c r="H698" i="16"/>
  <c r="G698" i="16"/>
  <c r="F698" i="16"/>
  <c r="E698" i="16"/>
  <c r="D698" i="16"/>
  <c r="C698" i="16"/>
  <c r="B698" i="16"/>
  <c r="H697" i="16"/>
  <c r="G697" i="16"/>
  <c r="F697" i="16"/>
  <c r="E697" i="16"/>
  <c r="D697" i="16"/>
  <c r="C697" i="16"/>
  <c r="B697" i="16"/>
  <c r="H696" i="16"/>
  <c r="G696" i="16"/>
  <c r="F696" i="16"/>
  <c r="E696" i="16"/>
  <c r="D696" i="16"/>
  <c r="C696" i="16"/>
  <c r="B696" i="16"/>
  <c r="H695" i="16"/>
  <c r="G695" i="16"/>
  <c r="F695" i="16"/>
  <c r="E695" i="16"/>
  <c r="D695" i="16"/>
  <c r="C695" i="16"/>
  <c r="B695" i="16"/>
  <c r="H694" i="16"/>
  <c r="G694" i="16"/>
  <c r="F694" i="16"/>
  <c r="E694" i="16"/>
  <c r="D694" i="16"/>
  <c r="C694" i="16"/>
  <c r="B694" i="16"/>
  <c r="H693" i="16"/>
  <c r="G693" i="16"/>
  <c r="F693" i="16"/>
  <c r="E693" i="16"/>
  <c r="D693" i="16"/>
  <c r="C693" i="16"/>
  <c r="B693" i="16"/>
  <c r="H692" i="16"/>
  <c r="G692" i="16"/>
  <c r="F692" i="16"/>
  <c r="E692" i="16"/>
  <c r="D692" i="16"/>
  <c r="C692" i="16"/>
  <c r="B692" i="16"/>
  <c r="H691" i="16"/>
  <c r="G691" i="16"/>
  <c r="F691" i="16"/>
  <c r="E691" i="16"/>
  <c r="D691" i="16"/>
  <c r="C691" i="16"/>
  <c r="B691" i="16"/>
  <c r="H690" i="16"/>
  <c r="G690" i="16"/>
  <c r="F690" i="16"/>
  <c r="E690" i="16"/>
  <c r="D690" i="16"/>
  <c r="C690" i="16"/>
  <c r="B690" i="16"/>
  <c r="H689" i="16"/>
  <c r="G689" i="16"/>
  <c r="F689" i="16"/>
  <c r="E689" i="16"/>
  <c r="D689" i="16"/>
  <c r="C689" i="16"/>
  <c r="B689" i="16"/>
  <c r="H688" i="16"/>
  <c r="G688" i="16"/>
  <c r="F688" i="16"/>
  <c r="E688" i="16"/>
  <c r="D688" i="16"/>
  <c r="C688" i="16"/>
  <c r="B688" i="16"/>
  <c r="H687" i="16"/>
  <c r="G687" i="16"/>
  <c r="F687" i="16"/>
  <c r="E687" i="16"/>
  <c r="D687" i="16"/>
  <c r="C687" i="16"/>
  <c r="B687" i="16"/>
  <c r="H686" i="16"/>
  <c r="G686" i="16"/>
  <c r="F686" i="16"/>
  <c r="E686" i="16"/>
  <c r="D686" i="16"/>
  <c r="C686" i="16"/>
  <c r="B686" i="16"/>
  <c r="H685" i="16"/>
  <c r="G685" i="16"/>
  <c r="F685" i="16"/>
  <c r="E685" i="16"/>
  <c r="D685" i="16"/>
  <c r="C685" i="16"/>
  <c r="B685" i="16"/>
  <c r="H684" i="16"/>
  <c r="G684" i="16"/>
  <c r="F684" i="16"/>
  <c r="E684" i="16"/>
  <c r="D684" i="16"/>
  <c r="C684" i="16"/>
  <c r="B684" i="16"/>
  <c r="H683" i="16"/>
  <c r="G683" i="16"/>
  <c r="F683" i="16"/>
  <c r="E683" i="16"/>
  <c r="D683" i="16"/>
  <c r="C683" i="16"/>
  <c r="B683" i="16"/>
  <c r="H682" i="16"/>
  <c r="G682" i="16"/>
  <c r="F682" i="16"/>
  <c r="E682" i="16"/>
  <c r="D682" i="16"/>
  <c r="C682" i="16"/>
  <c r="B682" i="16"/>
  <c r="H681" i="16"/>
  <c r="G681" i="16"/>
  <c r="F681" i="16"/>
  <c r="E681" i="16"/>
  <c r="D681" i="16"/>
  <c r="C681" i="16"/>
  <c r="B681" i="16"/>
  <c r="H680" i="16"/>
  <c r="G680" i="16"/>
  <c r="F680" i="16"/>
  <c r="E680" i="16"/>
  <c r="D680" i="16"/>
  <c r="C680" i="16"/>
  <c r="B680" i="16"/>
  <c r="H679" i="16"/>
  <c r="G679" i="16"/>
  <c r="F679" i="16"/>
  <c r="E679" i="16"/>
  <c r="D679" i="16"/>
  <c r="C679" i="16"/>
  <c r="B679" i="16"/>
  <c r="H678" i="16"/>
  <c r="G678" i="16"/>
  <c r="F678" i="16"/>
  <c r="E678" i="16"/>
  <c r="D678" i="16"/>
  <c r="C678" i="16"/>
  <c r="B678" i="16"/>
  <c r="H677" i="16"/>
  <c r="G677" i="16"/>
  <c r="F677" i="16"/>
  <c r="E677" i="16"/>
  <c r="D677" i="16"/>
  <c r="C677" i="16"/>
  <c r="B677" i="16"/>
  <c r="H676" i="16"/>
  <c r="G676" i="16"/>
  <c r="F676" i="16"/>
  <c r="E676" i="16"/>
  <c r="D676" i="16"/>
  <c r="C676" i="16"/>
  <c r="B676" i="16"/>
  <c r="H675" i="16"/>
  <c r="G675" i="16"/>
  <c r="F675" i="16"/>
  <c r="E675" i="16"/>
  <c r="D675" i="16"/>
  <c r="C675" i="16"/>
  <c r="B675" i="16"/>
  <c r="H674" i="16"/>
  <c r="G674" i="16"/>
  <c r="F674" i="16"/>
  <c r="E674" i="16"/>
  <c r="D674" i="16"/>
  <c r="C674" i="16"/>
  <c r="B674" i="16"/>
  <c r="H673" i="16"/>
  <c r="G673" i="16"/>
  <c r="F673" i="16"/>
  <c r="E673" i="16"/>
  <c r="D673" i="16"/>
  <c r="C673" i="16"/>
  <c r="B673" i="16"/>
  <c r="H672" i="16"/>
  <c r="G672" i="16"/>
  <c r="F672" i="16"/>
  <c r="E672" i="16"/>
  <c r="D672" i="16"/>
  <c r="C672" i="16"/>
  <c r="B672" i="16"/>
  <c r="H671" i="16"/>
  <c r="G671" i="16"/>
  <c r="F671" i="16"/>
  <c r="E671" i="16"/>
  <c r="D671" i="16"/>
  <c r="C671" i="16"/>
  <c r="B671" i="16"/>
  <c r="H670" i="16"/>
  <c r="G670" i="16"/>
  <c r="F670" i="16"/>
  <c r="E670" i="16"/>
  <c r="D670" i="16"/>
  <c r="C670" i="16"/>
  <c r="B670" i="16"/>
  <c r="H669" i="16"/>
  <c r="G669" i="16"/>
  <c r="F669" i="16"/>
  <c r="E669" i="16"/>
  <c r="D669" i="16"/>
  <c r="C669" i="16"/>
  <c r="B669" i="16"/>
  <c r="H668" i="16"/>
  <c r="G668" i="16"/>
  <c r="F668" i="16"/>
  <c r="E668" i="16"/>
  <c r="D668" i="16"/>
  <c r="C668" i="16"/>
  <c r="B668" i="16"/>
  <c r="H667" i="16"/>
  <c r="G667" i="16"/>
  <c r="F667" i="16"/>
  <c r="E667" i="16"/>
  <c r="D667" i="16"/>
  <c r="C667" i="16"/>
  <c r="B667" i="16"/>
  <c r="H666" i="16"/>
  <c r="G666" i="16"/>
  <c r="F666" i="16"/>
  <c r="E666" i="16"/>
  <c r="D666" i="16"/>
  <c r="C666" i="16"/>
  <c r="B666" i="16"/>
  <c r="H665" i="16"/>
  <c r="G665" i="16"/>
  <c r="F665" i="16"/>
  <c r="E665" i="16"/>
  <c r="D665" i="16"/>
  <c r="C665" i="16"/>
  <c r="B665" i="16"/>
  <c r="H664" i="16"/>
  <c r="G664" i="16"/>
  <c r="F664" i="16"/>
  <c r="E664" i="16"/>
  <c r="D664" i="16"/>
  <c r="C664" i="16"/>
  <c r="B664" i="16"/>
  <c r="H663" i="16"/>
  <c r="G663" i="16"/>
  <c r="F663" i="16"/>
  <c r="E663" i="16"/>
  <c r="D663" i="16"/>
  <c r="C663" i="16"/>
  <c r="B663" i="16"/>
  <c r="H662" i="16"/>
  <c r="G662" i="16"/>
  <c r="F662" i="16"/>
  <c r="E662" i="16"/>
  <c r="D662" i="16"/>
  <c r="C662" i="16"/>
  <c r="B662" i="16"/>
  <c r="H661" i="16"/>
  <c r="G661" i="16"/>
  <c r="F661" i="16"/>
  <c r="E661" i="16"/>
  <c r="D661" i="16"/>
  <c r="C661" i="16"/>
  <c r="B661" i="16"/>
  <c r="H660" i="16"/>
  <c r="G660" i="16"/>
  <c r="F660" i="16"/>
  <c r="E660" i="16"/>
  <c r="D660" i="16"/>
  <c r="C660" i="16"/>
  <c r="B660" i="16"/>
  <c r="H659" i="16"/>
  <c r="G659" i="16"/>
  <c r="F659" i="16"/>
  <c r="E659" i="16"/>
  <c r="D659" i="16"/>
  <c r="C659" i="16"/>
  <c r="B659" i="16"/>
  <c r="H658" i="16"/>
  <c r="G658" i="16"/>
  <c r="F658" i="16"/>
  <c r="E658" i="16"/>
  <c r="D658" i="16"/>
  <c r="C658" i="16"/>
  <c r="B658" i="16"/>
  <c r="H657" i="16"/>
  <c r="G657" i="16"/>
  <c r="F657" i="16"/>
  <c r="E657" i="16"/>
  <c r="D657" i="16"/>
  <c r="C657" i="16"/>
  <c r="B657" i="16"/>
  <c r="H656" i="16"/>
  <c r="G656" i="16"/>
  <c r="F656" i="16"/>
  <c r="E656" i="16"/>
  <c r="D656" i="16"/>
  <c r="C656" i="16"/>
  <c r="B656" i="16"/>
  <c r="H655" i="16"/>
  <c r="G655" i="16"/>
  <c r="F655" i="16"/>
  <c r="E655" i="16"/>
  <c r="D655" i="16"/>
  <c r="C655" i="16"/>
  <c r="B655" i="16"/>
  <c r="H654" i="16"/>
  <c r="G654" i="16"/>
  <c r="F654" i="16"/>
  <c r="E654" i="16"/>
  <c r="D654" i="16"/>
  <c r="C654" i="16"/>
  <c r="B654" i="16"/>
  <c r="H653" i="16"/>
  <c r="G653" i="16"/>
  <c r="F653" i="16"/>
  <c r="E653" i="16"/>
  <c r="D653" i="16"/>
  <c r="C653" i="16"/>
  <c r="B653" i="16"/>
  <c r="H652" i="16"/>
  <c r="G652" i="16"/>
  <c r="F652" i="16"/>
  <c r="E652" i="16"/>
  <c r="D652" i="16"/>
  <c r="C652" i="16"/>
  <c r="B652" i="16"/>
  <c r="H651" i="16"/>
  <c r="G651" i="16"/>
  <c r="F651" i="16"/>
  <c r="E651" i="16"/>
  <c r="D651" i="16"/>
  <c r="C651" i="16"/>
  <c r="B651" i="16"/>
  <c r="H650" i="16"/>
  <c r="G650" i="16"/>
  <c r="F650" i="16"/>
  <c r="E650" i="16"/>
  <c r="D650" i="16"/>
  <c r="C650" i="16"/>
  <c r="B650" i="16"/>
  <c r="H649" i="16"/>
  <c r="G649" i="16"/>
  <c r="F649" i="16"/>
  <c r="E649" i="16"/>
  <c r="D649" i="16"/>
  <c r="C649" i="16"/>
  <c r="B649" i="16"/>
  <c r="H648" i="16"/>
  <c r="G648" i="16"/>
  <c r="F648" i="16"/>
  <c r="E648" i="16"/>
  <c r="D648" i="16"/>
  <c r="C648" i="16"/>
  <c r="B648" i="16"/>
  <c r="H647" i="16"/>
  <c r="G647" i="16"/>
  <c r="F647" i="16"/>
  <c r="E647" i="16"/>
  <c r="D647" i="16"/>
  <c r="C647" i="16"/>
  <c r="B647" i="16"/>
  <c r="H646" i="16"/>
  <c r="G646" i="16"/>
  <c r="F646" i="16"/>
  <c r="E646" i="16"/>
  <c r="D646" i="16"/>
  <c r="C646" i="16"/>
  <c r="B646" i="16"/>
  <c r="H645" i="16"/>
  <c r="G645" i="16"/>
  <c r="F645" i="16"/>
  <c r="E645" i="16"/>
  <c r="D645" i="16"/>
  <c r="C645" i="16"/>
  <c r="B645" i="16"/>
  <c r="H644" i="16"/>
  <c r="G644" i="16"/>
  <c r="F644" i="16"/>
  <c r="E644" i="16"/>
  <c r="D644" i="16"/>
  <c r="C644" i="16"/>
  <c r="B644" i="16"/>
  <c r="H643" i="16"/>
  <c r="G643" i="16"/>
  <c r="F643" i="16"/>
  <c r="E643" i="16"/>
  <c r="D643" i="16"/>
  <c r="C643" i="16"/>
  <c r="B643" i="16"/>
  <c r="H642" i="16"/>
  <c r="G642" i="16"/>
  <c r="F642" i="16"/>
  <c r="E642" i="16"/>
  <c r="D642" i="16"/>
  <c r="C642" i="16"/>
  <c r="B642" i="16"/>
  <c r="H641" i="16"/>
  <c r="G641" i="16"/>
  <c r="F641" i="16"/>
  <c r="E641" i="16"/>
  <c r="D641" i="16"/>
  <c r="C641" i="16"/>
  <c r="B641" i="16"/>
  <c r="H640" i="16"/>
  <c r="G640" i="16"/>
  <c r="F640" i="16"/>
  <c r="E640" i="16"/>
  <c r="D640" i="16"/>
  <c r="C640" i="16"/>
  <c r="B640" i="16"/>
  <c r="H639" i="16"/>
  <c r="G639" i="16"/>
  <c r="F639" i="16"/>
  <c r="E639" i="16"/>
  <c r="D639" i="16"/>
  <c r="C639" i="16"/>
  <c r="B639" i="16"/>
  <c r="H638" i="16"/>
  <c r="G638" i="16"/>
  <c r="F638" i="16"/>
  <c r="E638" i="16"/>
  <c r="D638" i="16"/>
  <c r="C638" i="16"/>
  <c r="B638" i="16"/>
  <c r="H637" i="16"/>
  <c r="G637" i="16"/>
  <c r="F637" i="16"/>
  <c r="E637" i="16"/>
  <c r="D637" i="16"/>
  <c r="C637" i="16"/>
  <c r="B637" i="16"/>
  <c r="H636" i="16"/>
  <c r="G636" i="16"/>
  <c r="F636" i="16"/>
  <c r="E636" i="16"/>
  <c r="D636" i="16"/>
  <c r="C636" i="16"/>
  <c r="B636" i="16"/>
  <c r="H635" i="16"/>
  <c r="G635" i="16"/>
  <c r="F635" i="16"/>
  <c r="E635" i="16"/>
  <c r="D635" i="16"/>
  <c r="C635" i="16"/>
  <c r="B635" i="16"/>
  <c r="H634" i="16"/>
  <c r="G634" i="16"/>
  <c r="F634" i="16"/>
  <c r="E634" i="16"/>
  <c r="D634" i="16"/>
  <c r="C634" i="16"/>
  <c r="B634" i="16"/>
  <c r="H633" i="16"/>
  <c r="G633" i="16"/>
  <c r="F633" i="16"/>
  <c r="E633" i="16"/>
  <c r="D633" i="16"/>
  <c r="C633" i="16"/>
  <c r="B633" i="16"/>
  <c r="H632" i="16"/>
  <c r="G632" i="16"/>
  <c r="F632" i="16"/>
  <c r="E632" i="16"/>
  <c r="D632" i="16"/>
  <c r="C632" i="16"/>
  <c r="B632" i="16"/>
  <c r="H631" i="16"/>
  <c r="G631" i="16"/>
  <c r="F631" i="16"/>
  <c r="E631" i="16"/>
  <c r="D631" i="16"/>
  <c r="C631" i="16"/>
  <c r="B631" i="16"/>
  <c r="H630" i="16"/>
  <c r="G630" i="16"/>
  <c r="F630" i="16"/>
  <c r="E630" i="16"/>
  <c r="D630" i="16"/>
  <c r="C630" i="16"/>
  <c r="B630" i="16"/>
  <c r="H629" i="16"/>
  <c r="G629" i="16"/>
  <c r="F629" i="16"/>
  <c r="E629" i="16"/>
  <c r="D629" i="16"/>
  <c r="C629" i="16"/>
  <c r="B629" i="16"/>
  <c r="H628" i="16"/>
  <c r="G628" i="16"/>
  <c r="F628" i="16"/>
  <c r="E628" i="16"/>
  <c r="D628" i="16"/>
  <c r="C628" i="16"/>
  <c r="B628" i="16"/>
  <c r="H627" i="16"/>
  <c r="G627" i="16"/>
  <c r="F627" i="16"/>
  <c r="E627" i="16"/>
  <c r="D627" i="16"/>
  <c r="C627" i="16"/>
  <c r="B627" i="16"/>
  <c r="H626" i="16"/>
  <c r="G626" i="16"/>
  <c r="F626" i="16"/>
  <c r="E626" i="16"/>
  <c r="D626" i="16"/>
  <c r="C626" i="16"/>
  <c r="B626" i="16"/>
  <c r="H625" i="16"/>
  <c r="G625" i="16"/>
  <c r="F625" i="16"/>
  <c r="E625" i="16"/>
  <c r="D625" i="16"/>
  <c r="C625" i="16"/>
  <c r="B625" i="16"/>
  <c r="H624" i="16"/>
  <c r="G624" i="16"/>
  <c r="F624" i="16"/>
  <c r="E624" i="16"/>
  <c r="D624" i="16"/>
  <c r="C624" i="16"/>
  <c r="B624" i="16"/>
  <c r="H623" i="16"/>
  <c r="G623" i="16"/>
  <c r="F623" i="16"/>
  <c r="E623" i="16"/>
  <c r="D623" i="16"/>
  <c r="C623" i="16"/>
  <c r="B623" i="16"/>
  <c r="H622" i="16"/>
  <c r="G622" i="16"/>
  <c r="F622" i="16"/>
  <c r="E622" i="16"/>
  <c r="D622" i="16"/>
  <c r="C622" i="16"/>
  <c r="B622" i="16"/>
  <c r="H621" i="16"/>
  <c r="G621" i="16"/>
  <c r="F621" i="16"/>
  <c r="E621" i="16"/>
  <c r="D621" i="16"/>
  <c r="C621" i="16"/>
  <c r="B621" i="16"/>
  <c r="H620" i="16"/>
  <c r="G620" i="16"/>
  <c r="F620" i="16"/>
  <c r="E620" i="16"/>
  <c r="D620" i="16"/>
  <c r="C620" i="16"/>
  <c r="B620" i="16"/>
  <c r="H619" i="16"/>
  <c r="F619" i="16"/>
  <c r="E619" i="16"/>
  <c r="D619" i="16"/>
  <c r="C619" i="16"/>
  <c r="B619" i="16"/>
  <c r="H618" i="16"/>
  <c r="G618" i="16"/>
  <c r="F618" i="16"/>
  <c r="E618" i="16"/>
  <c r="D618" i="16"/>
  <c r="C618" i="16"/>
  <c r="B618" i="16"/>
  <c r="H617" i="16"/>
  <c r="G617" i="16"/>
  <c r="F617" i="16"/>
  <c r="E617" i="16"/>
  <c r="D617" i="16"/>
  <c r="C617" i="16"/>
  <c r="B617" i="16"/>
  <c r="H616" i="16"/>
  <c r="G616" i="16"/>
  <c r="F616" i="16"/>
  <c r="E616" i="16"/>
  <c r="D616" i="16"/>
  <c r="C616" i="16"/>
  <c r="B616" i="16"/>
  <c r="H615" i="16"/>
  <c r="G615" i="16"/>
  <c r="F615" i="16"/>
  <c r="E615" i="16"/>
  <c r="D615" i="16"/>
  <c r="C615" i="16"/>
  <c r="B615" i="16"/>
  <c r="H614" i="16"/>
  <c r="G614" i="16"/>
  <c r="F614" i="16"/>
  <c r="E614" i="16"/>
  <c r="D614" i="16"/>
  <c r="C614" i="16"/>
  <c r="B614" i="16"/>
  <c r="H613" i="16"/>
  <c r="G613" i="16"/>
  <c r="F613" i="16"/>
  <c r="E613" i="16"/>
  <c r="D613" i="16"/>
  <c r="C613" i="16"/>
  <c r="B613" i="16"/>
  <c r="H612" i="16"/>
  <c r="G612" i="16"/>
  <c r="F612" i="16"/>
  <c r="E612" i="16"/>
  <c r="D612" i="16"/>
  <c r="C612" i="16"/>
  <c r="B612" i="16"/>
  <c r="H611" i="16"/>
  <c r="G611" i="16"/>
  <c r="F611" i="16"/>
  <c r="E611" i="16"/>
  <c r="D611" i="16"/>
  <c r="C611" i="16"/>
  <c r="B611" i="16"/>
  <c r="H610" i="16"/>
  <c r="G610" i="16"/>
  <c r="F610" i="16"/>
  <c r="E610" i="16"/>
  <c r="D610" i="16"/>
  <c r="C610" i="16"/>
  <c r="B610" i="16"/>
  <c r="H609" i="16"/>
  <c r="F609" i="16"/>
  <c r="E609" i="16"/>
  <c r="D609" i="16"/>
  <c r="C609" i="16"/>
  <c r="B609" i="16"/>
  <c r="H608" i="16"/>
  <c r="F608" i="16"/>
  <c r="E608" i="16"/>
  <c r="D608" i="16"/>
  <c r="C608" i="16"/>
  <c r="B608" i="16"/>
  <c r="H607" i="16"/>
  <c r="G607" i="16"/>
  <c r="F607" i="16"/>
  <c r="E607" i="16"/>
  <c r="D607" i="16"/>
  <c r="C607" i="16"/>
  <c r="B607" i="16"/>
  <c r="H606" i="16"/>
  <c r="F606" i="16"/>
  <c r="E606" i="16"/>
  <c r="D606" i="16"/>
  <c r="C606" i="16"/>
  <c r="B606" i="16"/>
  <c r="H605" i="16"/>
  <c r="F605" i="16"/>
  <c r="E605" i="16"/>
  <c r="D605" i="16"/>
  <c r="C605" i="16"/>
  <c r="B605" i="16"/>
  <c r="H604" i="16"/>
  <c r="F604" i="16"/>
  <c r="E604" i="16"/>
  <c r="D604" i="16"/>
  <c r="C604" i="16"/>
  <c r="B604" i="16"/>
  <c r="H603" i="16"/>
  <c r="F603" i="16"/>
  <c r="E603" i="16"/>
  <c r="D603" i="16"/>
  <c r="C603" i="16"/>
  <c r="B603" i="16"/>
  <c r="H602" i="16"/>
  <c r="F602" i="16"/>
  <c r="E602" i="16"/>
  <c r="D602" i="16"/>
  <c r="C602" i="16"/>
  <c r="B602" i="16"/>
  <c r="H601" i="16"/>
  <c r="F601" i="16"/>
  <c r="E601" i="16"/>
  <c r="D601" i="16"/>
  <c r="C601" i="16"/>
  <c r="B601" i="16"/>
  <c r="H600" i="16"/>
  <c r="G600" i="16"/>
  <c r="F600" i="16"/>
  <c r="E600" i="16"/>
  <c r="D600" i="16"/>
  <c r="C600" i="16"/>
  <c r="B600" i="16"/>
  <c r="H599" i="16"/>
  <c r="G599" i="16"/>
  <c r="F599" i="16"/>
  <c r="E599" i="16"/>
  <c r="D599" i="16"/>
  <c r="C599" i="16"/>
  <c r="B599" i="16"/>
  <c r="H598" i="16"/>
  <c r="G598" i="16"/>
  <c r="F598" i="16"/>
  <c r="E598" i="16"/>
  <c r="D598" i="16"/>
  <c r="C598" i="16"/>
  <c r="B598" i="16"/>
  <c r="H597" i="16"/>
  <c r="G597" i="16"/>
  <c r="F597" i="16"/>
  <c r="E597" i="16"/>
  <c r="D597" i="16"/>
  <c r="C597" i="16"/>
  <c r="B597" i="16"/>
  <c r="H596" i="16"/>
  <c r="F596" i="16"/>
  <c r="E596" i="16"/>
  <c r="D596" i="16"/>
  <c r="C596" i="16"/>
  <c r="B596" i="16"/>
  <c r="H595" i="16"/>
  <c r="F595" i="16"/>
  <c r="E595" i="16"/>
  <c r="D595" i="16"/>
  <c r="C595" i="16"/>
  <c r="B595" i="16"/>
  <c r="H594" i="16"/>
  <c r="F594" i="16"/>
  <c r="E594" i="16"/>
  <c r="D594" i="16"/>
  <c r="C594" i="16"/>
  <c r="B594" i="16"/>
  <c r="H593" i="16"/>
  <c r="G593" i="16"/>
  <c r="F593" i="16"/>
  <c r="E593" i="16"/>
  <c r="D593" i="16"/>
  <c r="C593" i="16"/>
  <c r="B593" i="16"/>
  <c r="H592" i="16"/>
  <c r="F592" i="16"/>
  <c r="E592" i="16"/>
  <c r="D592" i="16"/>
  <c r="C592" i="16"/>
  <c r="B592" i="16"/>
  <c r="H591" i="16"/>
  <c r="F591" i="16"/>
  <c r="E591" i="16"/>
  <c r="D591" i="16"/>
  <c r="C591" i="16"/>
  <c r="B591" i="16"/>
  <c r="H590" i="16"/>
  <c r="F590" i="16"/>
  <c r="E590" i="16"/>
  <c r="D590" i="16"/>
  <c r="C590" i="16"/>
  <c r="B590" i="16"/>
  <c r="H589" i="16"/>
  <c r="G589" i="16"/>
  <c r="F589" i="16"/>
  <c r="E589" i="16"/>
  <c r="D589" i="16"/>
  <c r="C589" i="16"/>
  <c r="B589" i="16"/>
  <c r="H588" i="16"/>
  <c r="F588" i="16"/>
  <c r="E588" i="16"/>
  <c r="D588" i="16"/>
  <c r="C588" i="16"/>
  <c r="B588" i="16"/>
  <c r="H587" i="16"/>
  <c r="F587" i="16"/>
  <c r="E587" i="16"/>
  <c r="D587" i="16"/>
  <c r="C587" i="16"/>
  <c r="B587" i="16"/>
  <c r="H586" i="16"/>
  <c r="F586" i="16"/>
  <c r="E586" i="16"/>
  <c r="D586" i="16"/>
  <c r="C586" i="16"/>
  <c r="B586" i="16"/>
  <c r="H585" i="16"/>
  <c r="G585" i="16"/>
  <c r="F585" i="16"/>
  <c r="E585" i="16"/>
  <c r="D585" i="16"/>
  <c r="C585" i="16"/>
  <c r="B585" i="16"/>
  <c r="H584" i="16"/>
  <c r="G584" i="16"/>
  <c r="F584" i="16"/>
  <c r="E584" i="16"/>
  <c r="D584" i="16"/>
  <c r="C584" i="16"/>
  <c r="B584" i="16"/>
  <c r="H583" i="16"/>
  <c r="G583" i="16"/>
  <c r="F583" i="16"/>
  <c r="E583" i="16"/>
  <c r="D583" i="16"/>
  <c r="C583" i="16"/>
  <c r="B583" i="16"/>
  <c r="H582" i="16"/>
  <c r="G582" i="16"/>
  <c r="F582" i="16"/>
  <c r="E582" i="16"/>
  <c r="D582" i="16"/>
  <c r="C582" i="16"/>
  <c r="B582" i="16"/>
  <c r="H581" i="16"/>
  <c r="G581" i="16"/>
  <c r="F581" i="16"/>
  <c r="E581" i="16"/>
  <c r="D581" i="16"/>
  <c r="C581" i="16"/>
  <c r="B581" i="16"/>
  <c r="H580" i="16"/>
  <c r="F580" i="16"/>
  <c r="E580" i="16"/>
  <c r="D580" i="16"/>
  <c r="C580" i="16"/>
  <c r="B580" i="16"/>
  <c r="H579" i="16"/>
  <c r="F579" i="16"/>
  <c r="E579" i="16"/>
  <c r="D579" i="16"/>
  <c r="C579" i="16"/>
  <c r="B579" i="16"/>
  <c r="H578" i="16"/>
  <c r="G578" i="16"/>
  <c r="F578" i="16"/>
  <c r="E578" i="16"/>
  <c r="D578" i="16"/>
  <c r="C578" i="16"/>
  <c r="B578" i="16"/>
  <c r="H577" i="16"/>
  <c r="G577" i="16"/>
  <c r="F577" i="16"/>
  <c r="E577" i="16"/>
  <c r="D577" i="16"/>
  <c r="C577" i="16"/>
  <c r="B577" i="16"/>
  <c r="H576" i="16"/>
  <c r="G576" i="16"/>
  <c r="F576" i="16"/>
  <c r="E576" i="16"/>
  <c r="D576" i="16"/>
  <c r="C576" i="16"/>
  <c r="B576" i="16"/>
  <c r="H575" i="16"/>
  <c r="F575" i="16"/>
  <c r="E575" i="16"/>
  <c r="D575" i="16"/>
  <c r="C575" i="16"/>
  <c r="B575" i="16"/>
  <c r="H574" i="16"/>
  <c r="F574" i="16"/>
  <c r="E574" i="16"/>
  <c r="D574" i="16"/>
  <c r="C574" i="16"/>
  <c r="B574" i="16"/>
  <c r="H573" i="16"/>
  <c r="G573" i="16"/>
  <c r="F573" i="16"/>
  <c r="E573" i="16"/>
  <c r="D573" i="16"/>
  <c r="C573" i="16"/>
  <c r="B573" i="16"/>
  <c r="H572" i="16"/>
  <c r="G572" i="16"/>
  <c r="F572" i="16"/>
  <c r="E572" i="16"/>
  <c r="D572" i="16"/>
  <c r="C572" i="16"/>
  <c r="B572" i="16"/>
  <c r="H571" i="16"/>
  <c r="F571" i="16"/>
  <c r="E571" i="16"/>
  <c r="D571" i="16"/>
  <c r="C571" i="16"/>
  <c r="B571" i="16"/>
  <c r="H570" i="16"/>
  <c r="F570" i="16"/>
  <c r="E570" i="16"/>
  <c r="D570" i="16"/>
  <c r="C570" i="16"/>
  <c r="B570" i="16"/>
  <c r="H569" i="16"/>
  <c r="F569" i="16"/>
  <c r="E569" i="16"/>
  <c r="D569" i="16"/>
  <c r="C569" i="16"/>
  <c r="B569" i="16"/>
  <c r="H568" i="16"/>
  <c r="F568" i="16"/>
  <c r="E568" i="16"/>
  <c r="D568" i="16"/>
  <c r="C568" i="16"/>
  <c r="B568" i="16"/>
  <c r="H567" i="16"/>
  <c r="F567" i="16"/>
  <c r="E567" i="16"/>
  <c r="D567" i="16"/>
  <c r="C567" i="16"/>
  <c r="B567" i="16"/>
  <c r="H566" i="16"/>
  <c r="F566" i="16"/>
  <c r="E566" i="16"/>
  <c r="D566" i="16"/>
  <c r="C566" i="16"/>
  <c r="B566" i="16"/>
  <c r="H565" i="16"/>
  <c r="F565" i="16"/>
  <c r="E565" i="16"/>
  <c r="D565" i="16"/>
  <c r="C565" i="16"/>
  <c r="B565" i="16"/>
  <c r="H564" i="16"/>
  <c r="F564" i="16"/>
  <c r="E564" i="16"/>
  <c r="D564" i="16"/>
  <c r="C564" i="16"/>
  <c r="B564" i="16"/>
  <c r="H563" i="16"/>
  <c r="F563" i="16"/>
  <c r="E563" i="16"/>
  <c r="D563" i="16"/>
  <c r="C563" i="16"/>
  <c r="B563" i="16"/>
  <c r="H562" i="16"/>
  <c r="F562" i="16"/>
  <c r="E562" i="16"/>
  <c r="D562" i="16"/>
  <c r="C562" i="16"/>
  <c r="B562" i="16"/>
  <c r="H561" i="16"/>
  <c r="F561" i="16"/>
  <c r="E561" i="16"/>
  <c r="D561" i="16"/>
  <c r="C561" i="16"/>
  <c r="B561" i="16"/>
  <c r="H560" i="16"/>
  <c r="G560" i="16"/>
  <c r="F560" i="16"/>
  <c r="E560" i="16"/>
  <c r="D560" i="16"/>
  <c r="C560" i="16"/>
  <c r="B560" i="16"/>
  <c r="H559" i="16"/>
  <c r="F559" i="16"/>
  <c r="E559" i="16"/>
  <c r="D559" i="16"/>
  <c r="C559" i="16"/>
  <c r="B559" i="16"/>
  <c r="H558" i="16"/>
  <c r="F558" i="16"/>
  <c r="E558" i="16"/>
  <c r="D558" i="16"/>
  <c r="C558" i="16"/>
  <c r="B558" i="16"/>
  <c r="H557" i="16"/>
  <c r="F557" i="16"/>
  <c r="E557" i="16"/>
  <c r="D557" i="16"/>
  <c r="C557" i="16"/>
  <c r="B557" i="16"/>
  <c r="H556" i="16"/>
  <c r="F556" i="16"/>
  <c r="E556" i="16"/>
  <c r="D556" i="16"/>
  <c r="C556" i="16"/>
  <c r="B556" i="16"/>
  <c r="H555" i="16"/>
  <c r="F555" i="16"/>
  <c r="E555" i="16"/>
  <c r="D555" i="16"/>
  <c r="C555" i="16"/>
  <c r="B555" i="16"/>
  <c r="H554" i="16"/>
  <c r="F554" i="16"/>
  <c r="E554" i="16"/>
  <c r="D554" i="16"/>
  <c r="C554" i="16"/>
  <c r="B554" i="16"/>
  <c r="H553" i="16"/>
  <c r="G553" i="16"/>
  <c r="F553" i="16"/>
  <c r="E553" i="16"/>
  <c r="D553" i="16"/>
  <c r="C553" i="16"/>
  <c r="B553" i="16"/>
  <c r="H552" i="16"/>
  <c r="F552" i="16"/>
  <c r="E552" i="16"/>
  <c r="D552" i="16"/>
  <c r="C552" i="16"/>
  <c r="B552" i="16"/>
  <c r="H551" i="16"/>
  <c r="G551" i="16"/>
  <c r="F551" i="16"/>
  <c r="E551" i="16"/>
  <c r="D551" i="16"/>
  <c r="C551" i="16"/>
  <c r="B551" i="16"/>
  <c r="H550" i="16"/>
  <c r="F550" i="16"/>
  <c r="E550" i="16"/>
  <c r="D550" i="16"/>
  <c r="C550" i="16"/>
  <c r="B550" i="16"/>
  <c r="H549" i="16"/>
  <c r="F549" i="16"/>
  <c r="E549" i="16"/>
  <c r="D549" i="16"/>
  <c r="C549" i="16"/>
  <c r="B549" i="16"/>
  <c r="H548" i="16"/>
  <c r="F548" i="16"/>
  <c r="E548" i="16"/>
  <c r="D548" i="16"/>
  <c r="C548" i="16"/>
  <c r="B548" i="16"/>
  <c r="H547" i="16"/>
  <c r="F547" i="16"/>
  <c r="E547" i="16"/>
  <c r="D547" i="16"/>
  <c r="C547" i="16"/>
  <c r="B547" i="16"/>
  <c r="H546" i="16"/>
  <c r="F546" i="16"/>
  <c r="E546" i="16"/>
  <c r="D546" i="16"/>
  <c r="C546" i="16"/>
  <c r="B546" i="16"/>
  <c r="H545" i="16"/>
  <c r="F545" i="16"/>
  <c r="E545" i="16"/>
  <c r="D545" i="16"/>
  <c r="C545" i="16"/>
  <c r="B545" i="16"/>
  <c r="H544" i="16"/>
  <c r="F544" i="16"/>
  <c r="E544" i="16"/>
  <c r="D544" i="16"/>
  <c r="C544" i="16"/>
  <c r="B544" i="16"/>
  <c r="H543" i="16"/>
  <c r="G543" i="16"/>
  <c r="F543" i="16"/>
  <c r="E543" i="16"/>
  <c r="D543" i="16"/>
  <c r="C543" i="16"/>
  <c r="B543" i="16"/>
  <c r="H542" i="16"/>
  <c r="G542" i="16"/>
  <c r="F542" i="16"/>
  <c r="E542" i="16"/>
  <c r="D542" i="16"/>
  <c r="C542" i="16"/>
  <c r="B542" i="16"/>
  <c r="H541" i="16"/>
  <c r="F541" i="16"/>
  <c r="E541" i="16"/>
  <c r="D541" i="16"/>
  <c r="C541" i="16"/>
  <c r="B541" i="16"/>
  <c r="H540" i="16"/>
  <c r="F540" i="16"/>
  <c r="E540" i="16"/>
  <c r="D540" i="16"/>
  <c r="C540" i="16"/>
  <c r="B540" i="16"/>
  <c r="H539" i="16"/>
  <c r="G539" i="16"/>
  <c r="F539" i="16"/>
  <c r="E539" i="16"/>
  <c r="D539" i="16"/>
  <c r="C539" i="16"/>
  <c r="B539" i="16"/>
  <c r="H538" i="16"/>
  <c r="F538" i="16"/>
  <c r="E538" i="16"/>
  <c r="D538" i="16"/>
  <c r="C538" i="16"/>
  <c r="B538" i="16"/>
  <c r="H537" i="16"/>
  <c r="F537" i="16"/>
  <c r="E537" i="16"/>
  <c r="D537" i="16"/>
  <c r="C537" i="16"/>
  <c r="B537" i="16"/>
  <c r="H536" i="16"/>
  <c r="F536" i="16"/>
  <c r="E536" i="16"/>
  <c r="D536" i="16"/>
  <c r="C536" i="16"/>
  <c r="B536" i="16"/>
  <c r="H535" i="16"/>
  <c r="G535" i="16"/>
  <c r="F535" i="16"/>
  <c r="E535" i="16"/>
  <c r="D535" i="16"/>
  <c r="C535" i="16"/>
  <c r="B535" i="16"/>
  <c r="H534" i="16"/>
  <c r="F534" i="16"/>
  <c r="E534" i="16"/>
  <c r="D534" i="16"/>
  <c r="C534" i="16"/>
  <c r="B534" i="16"/>
  <c r="H533" i="16"/>
  <c r="F533" i="16"/>
  <c r="E533" i="16"/>
  <c r="D533" i="16"/>
  <c r="C533" i="16"/>
  <c r="B533" i="16"/>
  <c r="H532" i="16"/>
  <c r="G532" i="16"/>
  <c r="F532" i="16"/>
  <c r="E532" i="16"/>
  <c r="D532" i="16"/>
  <c r="C532" i="16"/>
  <c r="B532" i="16"/>
  <c r="H531" i="16"/>
  <c r="F531" i="16"/>
  <c r="E531" i="16"/>
  <c r="D531" i="16"/>
  <c r="C531" i="16"/>
  <c r="B531" i="16"/>
  <c r="H530" i="16"/>
  <c r="F530" i="16"/>
  <c r="E530" i="16"/>
  <c r="D530" i="16"/>
  <c r="C530" i="16"/>
  <c r="B530" i="16"/>
  <c r="H529" i="16"/>
  <c r="F529" i="16"/>
  <c r="E529" i="16"/>
  <c r="D529" i="16"/>
  <c r="C529" i="16"/>
  <c r="B529" i="16"/>
  <c r="H528" i="16"/>
  <c r="G528" i="16"/>
  <c r="F528" i="16"/>
  <c r="E528" i="16"/>
  <c r="D528" i="16"/>
  <c r="C528" i="16"/>
  <c r="B528" i="16"/>
  <c r="H527" i="16"/>
  <c r="G527" i="16"/>
  <c r="F527" i="16"/>
  <c r="E527" i="16"/>
  <c r="D527" i="16"/>
  <c r="C527" i="16"/>
  <c r="B527" i="16"/>
  <c r="H526" i="16"/>
  <c r="G526" i="16"/>
  <c r="F526" i="16"/>
  <c r="E526" i="16"/>
  <c r="D526" i="16"/>
  <c r="C526" i="16"/>
  <c r="B526" i="16"/>
  <c r="H525" i="16"/>
  <c r="G525" i="16"/>
  <c r="F525" i="16"/>
  <c r="E525" i="16"/>
  <c r="D525" i="16"/>
  <c r="C525" i="16"/>
  <c r="B525" i="16"/>
  <c r="H524" i="16"/>
  <c r="F524" i="16"/>
  <c r="E524" i="16"/>
  <c r="D524" i="16"/>
  <c r="C524" i="16"/>
  <c r="B524" i="16"/>
  <c r="H523" i="16"/>
  <c r="G523" i="16"/>
  <c r="F523" i="16"/>
  <c r="E523" i="16"/>
  <c r="D523" i="16"/>
  <c r="C523" i="16"/>
  <c r="B523" i="16"/>
  <c r="H522" i="16"/>
  <c r="G522" i="16"/>
  <c r="F522" i="16"/>
  <c r="E522" i="16"/>
  <c r="D522" i="16"/>
  <c r="C522" i="16"/>
  <c r="B522" i="16"/>
  <c r="H521" i="16"/>
  <c r="G521" i="16"/>
  <c r="F521" i="16"/>
  <c r="E521" i="16"/>
  <c r="D521" i="16"/>
  <c r="C521" i="16"/>
  <c r="B521" i="16"/>
  <c r="H520" i="16"/>
  <c r="G520" i="16"/>
  <c r="F520" i="16"/>
  <c r="E520" i="16"/>
  <c r="D520" i="16"/>
  <c r="C520" i="16"/>
  <c r="B520" i="16"/>
  <c r="H519" i="16"/>
  <c r="G519" i="16"/>
  <c r="F519" i="16"/>
  <c r="E519" i="16"/>
  <c r="D519" i="16"/>
  <c r="C519" i="16"/>
  <c r="B519" i="16"/>
  <c r="H518" i="16"/>
  <c r="G518" i="16"/>
  <c r="F518" i="16"/>
  <c r="E518" i="16"/>
  <c r="D518" i="16"/>
  <c r="C518" i="16"/>
  <c r="B518" i="16"/>
  <c r="H517" i="16"/>
  <c r="G517" i="16"/>
  <c r="F517" i="16"/>
  <c r="E517" i="16"/>
  <c r="D517" i="16"/>
  <c r="C517" i="16"/>
  <c r="B517" i="16"/>
  <c r="H516" i="16"/>
  <c r="G516" i="16"/>
  <c r="F516" i="16"/>
  <c r="E516" i="16"/>
  <c r="D516" i="16"/>
  <c r="C516" i="16"/>
  <c r="B516" i="16"/>
  <c r="H515" i="16"/>
  <c r="G515" i="16"/>
  <c r="F515" i="16"/>
  <c r="E515" i="16"/>
  <c r="D515" i="16"/>
  <c r="C515" i="16"/>
  <c r="B515" i="16"/>
  <c r="H514" i="16"/>
  <c r="G514" i="16"/>
  <c r="F514" i="16"/>
  <c r="E514" i="16"/>
  <c r="D514" i="16"/>
  <c r="C514" i="16"/>
  <c r="B514" i="16"/>
  <c r="H513" i="16"/>
  <c r="F513" i="16"/>
  <c r="E513" i="16"/>
  <c r="D513" i="16"/>
  <c r="C513" i="16"/>
  <c r="B513" i="16"/>
  <c r="H512" i="16"/>
  <c r="F512" i="16"/>
  <c r="E512" i="16"/>
  <c r="D512" i="16"/>
  <c r="C512" i="16"/>
  <c r="B512" i="16"/>
  <c r="H511" i="16"/>
  <c r="G511" i="16"/>
  <c r="F511" i="16"/>
  <c r="E511" i="16"/>
  <c r="D511" i="16"/>
  <c r="C511" i="16"/>
  <c r="B511" i="16"/>
  <c r="H510" i="16"/>
  <c r="G510" i="16"/>
  <c r="F510" i="16"/>
  <c r="E510" i="16"/>
  <c r="D510" i="16"/>
  <c r="C510" i="16"/>
  <c r="B510" i="16"/>
  <c r="H509" i="16"/>
  <c r="G509" i="16"/>
  <c r="F509" i="16"/>
  <c r="E509" i="16"/>
  <c r="D509" i="16"/>
  <c r="C509" i="16"/>
  <c r="B509" i="16"/>
  <c r="H508" i="16"/>
  <c r="G508" i="16"/>
  <c r="F508" i="16"/>
  <c r="E508" i="16"/>
  <c r="D508" i="16"/>
  <c r="C508" i="16"/>
  <c r="B508" i="16"/>
  <c r="H507" i="16"/>
  <c r="G507" i="16"/>
  <c r="F507" i="16"/>
  <c r="E507" i="16"/>
  <c r="D507" i="16"/>
  <c r="C507" i="16"/>
  <c r="B507" i="16"/>
  <c r="H506" i="16"/>
  <c r="G506" i="16"/>
  <c r="F506" i="16"/>
  <c r="E506" i="16"/>
  <c r="D506" i="16"/>
  <c r="C506" i="16"/>
  <c r="B506" i="16"/>
  <c r="H505" i="16"/>
  <c r="G505" i="16"/>
  <c r="F505" i="16"/>
  <c r="E505" i="16"/>
  <c r="D505" i="16"/>
  <c r="C505" i="16"/>
  <c r="B505" i="16"/>
  <c r="H504" i="16"/>
  <c r="G504" i="16"/>
  <c r="F504" i="16"/>
  <c r="E504" i="16"/>
  <c r="D504" i="16"/>
  <c r="C504" i="16"/>
  <c r="B504" i="16"/>
  <c r="H503" i="16"/>
  <c r="G503" i="16"/>
  <c r="F503" i="16"/>
  <c r="E503" i="16"/>
  <c r="D503" i="16"/>
  <c r="C503" i="16"/>
  <c r="B503" i="16"/>
  <c r="H502" i="16"/>
  <c r="G502" i="16"/>
  <c r="F502" i="16"/>
  <c r="E502" i="16"/>
  <c r="D502" i="16"/>
  <c r="C502" i="16"/>
  <c r="B502" i="16"/>
  <c r="H501" i="16"/>
  <c r="G501" i="16"/>
  <c r="F501" i="16"/>
  <c r="E501" i="16"/>
  <c r="D501" i="16"/>
  <c r="C501" i="16"/>
  <c r="B501" i="16"/>
  <c r="H500" i="16"/>
  <c r="G500" i="16"/>
  <c r="F500" i="16"/>
  <c r="E500" i="16"/>
  <c r="D500" i="16"/>
  <c r="C500" i="16"/>
  <c r="B500" i="16"/>
  <c r="H499" i="16"/>
  <c r="G499" i="16"/>
  <c r="F499" i="16"/>
  <c r="E499" i="16"/>
  <c r="D499" i="16"/>
  <c r="C499" i="16"/>
  <c r="B499" i="16"/>
  <c r="H498" i="16"/>
  <c r="G498" i="16"/>
  <c r="F498" i="16"/>
  <c r="E498" i="16"/>
  <c r="D498" i="16"/>
  <c r="C498" i="16"/>
  <c r="B498" i="16"/>
  <c r="H497" i="16"/>
  <c r="G497" i="16"/>
  <c r="F497" i="16"/>
  <c r="E497" i="16"/>
  <c r="D497" i="16"/>
  <c r="C497" i="16"/>
  <c r="B497" i="16"/>
  <c r="H496" i="16"/>
  <c r="G496" i="16"/>
  <c r="F496" i="16"/>
  <c r="E496" i="16"/>
  <c r="D496" i="16"/>
  <c r="C496" i="16"/>
  <c r="B496" i="16"/>
  <c r="H495" i="16"/>
  <c r="G495" i="16"/>
  <c r="F495" i="16"/>
  <c r="E495" i="16"/>
  <c r="D495" i="16"/>
  <c r="C495" i="16"/>
  <c r="B495" i="16"/>
  <c r="H494" i="16"/>
  <c r="G494" i="16"/>
  <c r="F494" i="16"/>
  <c r="E494" i="16"/>
  <c r="D494" i="16"/>
  <c r="C494" i="16"/>
  <c r="B494" i="16"/>
  <c r="H493" i="16"/>
  <c r="G493" i="16"/>
  <c r="F493" i="16"/>
  <c r="E493" i="16"/>
  <c r="D493" i="16"/>
  <c r="C493" i="16"/>
  <c r="B493" i="16"/>
  <c r="H492" i="16"/>
  <c r="G492" i="16"/>
  <c r="F492" i="16"/>
  <c r="E492" i="16"/>
  <c r="D492" i="16"/>
  <c r="C492" i="16"/>
  <c r="B492" i="16"/>
  <c r="H491" i="16"/>
  <c r="G491" i="16"/>
  <c r="F491" i="16"/>
  <c r="E491" i="16"/>
  <c r="D491" i="16"/>
  <c r="C491" i="16"/>
  <c r="B491" i="16"/>
  <c r="H490" i="16"/>
  <c r="G490" i="16"/>
  <c r="F490" i="16"/>
  <c r="E490" i="16"/>
  <c r="D490" i="16"/>
  <c r="C490" i="16"/>
  <c r="B490" i="16"/>
  <c r="H489" i="16"/>
  <c r="G489" i="16"/>
  <c r="F489" i="16"/>
  <c r="E489" i="16"/>
  <c r="D489" i="16"/>
  <c r="C489" i="16"/>
  <c r="B489" i="16"/>
  <c r="H488" i="16"/>
  <c r="G488" i="16"/>
  <c r="F488" i="16"/>
  <c r="E488" i="16"/>
  <c r="D488" i="16"/>
  <c r="C488" i="16"/>
  <c r="B488" i="16"/>
  <c r="H487" i="16"/>
  <c r="G487" i="16"/>
  <c r="F487" i="16"/>
  <c r="E487" i="16"/>
  <c r="D487" i="16"/>
  <c r="C487" i="16"/>
  <c r="B487" i="16"/>
  <c r="H486" i="16"/>
  <c r="G486" i="16"/>
  <c r="F486" i="16"/>
  <c r="E486" i="16"/>
  <c r="D486" i="16"/>
  <c r="C486" i="16"/>
  <c r="B486" i="16"/>
  <c r="H485" i="16"/>
  <c r="G485" i="16"/>
  <c r="F485" i="16"/>
  <c r="E485" i="16"/>
  <c r="D485" i="16"/>
  <c r="C485" i="16"/>
  <c r="B485" i="16"/>
  <c r="H484" i="16"/>
  <c r="G484" i="16"/>
  <c r="F484" i="16"/>
  <c r="E484" i="16"/>
  <c r="D484" i="16"/>
  <c r="C484" i="16"/>
  <c r="B484" i="16"/>
  <c r="H483" i="16"/>
  <c r="G483" i="16"/>
  <c r="F483" i="16"/>
  <c r="E483" i="16"/>
  <c r="D483" i="16"/>
  <c r="C483" i="16"/>
  <c r="B483" i="16"/>
  <c r="H482" i="16"/>
  <c r="G482" i="16"/>
  <c r="F482" i="16"/>
  <c r="E482" i="16"/>
  <c r="D482" i="16"/>
  <c r="C482" i="16"/>
  <c r="B482" i="16"/>
  <c r="H481" i="16"/>
  <c r="G481" i="16"/>
  <c r="F481" i="16"/>
  <c r="E481" i="16"/>
  <c r="D481" i="16"/>
  <c r="C481" i="16"/>
  <c r="B481" i="16"/>
  <c r="H480" i="16"/>
  <c r="G480" i="16"/>
  <c r="F480" i="16"/>
  <c r="E480" i="16"/>
  <c r="D480" i="16"/>
  <c r="C480" i="16"/>
  <c r="B480" i="16"/>
  <c r="H479" i="16"/>
  <c r="G479" i="16"/>
  <c r="F479" i="16"/>
  <c r="E479" i="16"/>
  <c r="D479" i="16"/>
  <c r="C479" i="16"/>
  <c r="B479" i="16"/>
  <c r="H478" i="16"/>
  <c r="G478" i="16"/>
  <c r="F478" i="16"/>
  <c r="E478" i="16"/>
  <c r="D478" i="16"/>
  <c r="C478" i="16"/>
  <c r="B478" i="16"/>
  <c r="H477" i="16"/>
  <c r="G477" i="16"/>
  <c r="F477" i="16"/>
  <c r="E477" i="16"/>
  <c r="D477" i="16"/>
  <c r="C477" i="16"/>
  <c r="B477" i="16"/>
  <c r="H476" i="16"/>
  <c r="G476" i="16"/>
  <c r="F476" i="16"/>
  <c r="E476" i="16"/>
  <c r="D476" i="16"/>
  <c r="C476" i="16"/>
  <c r="B476" i="16"/>
  <c r="H475" i="16"/>
  <c r="G475" i="16"/>
  <c r="F475" i="16"/>
  <c r="E475" i="16"/>
  <c r="D475" i="16"/>
  <c r="C475" i="16"/>
  <c r="B475" i="16"/>
  <c r="H474" i="16"/>
  <c r="G474" i="16"/>
  <c r="F474" i="16"/>
  <c r="E474" i="16"/>
  <c r="D474" i="16"/>
  <c r="C474" i="16"/>
  <c r="B474" i="16"/>
  <c r="H473" i="16"/>
  <c r="G473" i="16"/>
  <c r="F473" i="16"/>
  <c r="E473" i="16"/>
  <c r="D473" i="16"/>
  <c r="C473" i="16"/>
  <c r="B473" i="16"/>
  <c r="H472" i="16"/>
  <c r="G472" i="16"/>
  <c r="F472" i="16"/>
  <c r="E472" i="16"/>
  <c r="D472" i="16"/>
  <c r="C472" i="16"/>
  <c r="B472" i="16"/>
  <c r="H471" i="16"/>
  <c r="G471" i="16"/>
  <c r="F471" i="16"/>
  <c r="E471" i="16"/>
  <c r="D471" i="16"/>
  <c r="C471" i="16"/>
  <c r="B471" i="16"/>
  <c r="H470" i="16"/>
  <c r="G470" i="16"/>
  <c r="F470" i="16"/>
  <c r="E470" i="16"/>
  <c r="D470" i="16"/>
  <c r="C470" i="16"/>
  <c r="B470" i="16"/>
  <c r="H469" i="16"/>
  <c r="G469" i="16"/>
  <c r="F469" i="16"/>
  <c r="E469" i="16"/>
  <c r="D469" i="16"/>
  <c r="C469" i="16"/>
  <c r="B469" i="16"/>
  <c r="H468" i="16"/>
  <c r="F468" i="16"/>
  <c r="E468" i="16"/>
  <c r="D468" i="16"/>
  <c r="C468" i="16"/>
  <c r="B468" i="16"/>
  <c r="H467" i="16"/>
  <c r="G467" i="16"/>
  <c r="F467" i="16"/>
  <c r="E467" i="16"/>
  <c r="D467" i="16"/>
  <c r="C467" i="16"/>
  <c r="B467" i="16"/>
  <c r="H466" i="16"/>
  <c r="G466" i="16"/>
  <c r="F466" i="16"/>
  <c r="E466" i="16"/>
  <c r="D466" i="16"/>
  <c r="C466" i="16"/>
  <c r="B466" i="16"/>
  <c r="H465" i="16"/>
  <c r="G465" i="16"/>
  <c r="F465" i="16"/>
  <c r="E465" i="16"/>
  <c r="D465" i="16"/>
  <c r="C465" i="16"/>
  <c r="B465" i="16"/>
  <c r="H464" i="16"/>
  <c r="G464" i="16"/>
  <c r="F464" i="16"/>
  <c r="E464" i="16"/>
  <c r="D464" i="16"/>
  <c r="C464" i="16"/>
  <c r="B464" i="16"/>
  <c r="H463" i="16"/>
  <c r="G463" i="16"/>
  <c r="F463" i="16"/>
  <c r="E463" i="16"/>
  <c r="D463" i="16"/>
  <c r="C463" i="16"/>
  <c r="B463" i="16"/>
  <c r="H462" i="16"/>
  <c r="G462" i="16"/>
  <c r="F462" i="16"/>
  <c r="E462" i="16"/>
  <c r="D462" i="16"/>
  <c r="C462" i="16"/>
  <c r="B462" i="16"/>
  <c r="H461" i="16"/>
  <c r="G461" i="16"/>
  <c r="F461" i="16"/>
  <c r="E461" i="16"/>
  <c r="D461" i="16"/>
  <c r="C461" i="16"/>
  <c r="B461" i="16"/>
  <c r="H460" i="16"/>
  <c r="G460" i="16"/>
  <c r="F460" i="16"/>
  <c r="E460" i="16"/>
  <c r="D460" i="16"/>
  <c r="C460" i="16"/>
  <c r="B460" i="16"/>
  <c r="H459" i="16"/>
  <c r="G459" i="16"/>
  <c r="F459" i="16"/>
  <c r="E459" i="16"/>
  <c r="D459" i="16"/>
  <c r="C459" i="16"/>
  <c r="B459" i="16"/>
  <c r="H458" i="16"/>
  <c r="G458" i="16"/>
  <c r="F458" i="16"/>
  <c r="E458" i="16"/>
  <c r="D458" i="16"/>
  <c r="C458" i="16"/>
  <c r="B458" i="16"/>
  <c r="H457" i="16"/>
  <c r="G457" i="16"/>
  <c r="F457" i="16"/>
  <c r="E457" i="16"/>
  <c r="D457" i="16"/>
  <c r="C457" i="16"/>
  <c r="B457" i="16"/>
  <c r="H456" i="16"/>
  <c r="G456" i="16"/>
  <c r="F456" i="16"/>
  <c r="E456" i="16"/>
  <c r="D456" i="16"/>
  <c r="C456" i="16"/>
  <c r="B456" i="16"/>
  <c r="H455" i="16"/>
  <c r="G455" i="16"/>
  <c r="F455" i="16"/>
  <c r="E455" i="16"/>
  <c r="D455" i="16"/>
  <c r="C455" i="16"/>
  <c r="B455" i="16"/>
  <c r="H454" i="16"/>
  <c r="G454" i="16"/>
  <c r="F454" i="16"/>
  <c r="E454" i="16"/>
  <c r="D454" i="16"/>
  <c r="C454" i="16"/>
  <c r="B454" i="16"/>
  <c r="H453" i="16"/>
  <c r="G453" i="16"/>
  <c r="F453" i="16"/>
  <c r="E453" i="16"/>
  <c r="D453" i="16"/>
  <c r="C453" i="16"/>
  <c r="B453" i="16"/>
  <c r="H452" i="16"/>
  <c r="G452" i="16"/>
  <c r="F452" i="16"/>
  <c r="E452" i="16"/>
  <c r="D452" i="16"/>
  <c r="C452" i="16"/>
  <c r="B452" i="16"/>
  <c r="H451" i="16"/>
  <c r="G451" i="16"/>
  <c r="F451" i="16"/>
  <c r="E451" i="16"/>
  <c r="D451" i="16"/>
  <c r="C451" i="16"/>
  <c r="B451" i="16"/>
  <c r="H450" i="16"/>
  <c r="G450" i="16"/>
  <c r="F450" i="16"/>
  <c r="E450" i="16"/>
  <c r="D450" i="16"/>
  <c r="C450" i="16"/>
  <c r="B450" i="16"/>
  <c r="H449" i="16"/>
  <c r="G449" i="16"/>
  <c r="F449" i="16"/>
  <c r="E449" i="16"/>
  <c r="D449" i="16"/>
  <c r="C449" i="16"/>
  <c r="B449" i="16"/>
  <c r="H448" i="16"/>
  <c r="G448" i="16"/>
  <c r="F448" i="16"/>
  <c r="E448" i="16"/>
  <c r="D448" i="16"/>
  <c r="C448" i="16"/>
  <c r="B448" i="16"/>
  <c r="H447" i="16"/>
  <c r="G447" i="16"/>
  <c r="F447" i="16"/>
  <c r="E447" i="16"/>
  <c r="D447" i="16"/>
  <c r="C447" i="16"/>
  <c r="B447" i="16"/>
  <c r="H446" i="16"/>
  <c r="G446" i="16"/>
  <c r="F446" i="16"/>
  <c r="E446" i="16"/>
  <c r="D446" i="16"/>
  <c r="C446" i="16"/>
  <c r="B446" i="16"/>
  <c r="H445" i="16"/>
  <c r="G445" i="16"/>
  <c r="F445" i="16"/>
  <c r="E445" i="16"/>
  <c r="D445" i="16"/>
  <c r="C445" i="16"/>
  <c r="B445" i="16"/>
  <c r="H444" i="16"/>
  <c r="G444" i="16"/>
  <c r="F444" i="16"/>
  <c r="E444" i="16"/>
  <c r="D444" i="16"/>
  <c r="C444" i="16"/>
  <c r="B444" i="16"/>
  <c r="H443" i="16"/>
  <c r="G443" i="16"/>
  <c r="F443" i="16"/>
  <c r="E443" i="16"/>
  <c r="D443" i="16"/>
  <c r="C443" i="16"/>
  <c r="B443" i="16"/>
  <c r="H442" i="16"/>
  <c r="G442" i="16"/>
  <c r="F442" i="16"/>
  <c r="E442" i="16"/>
  <c r="D442" i="16"/>
  <c r="C442" i="16"/>
  <c r="B442" i="16"/>
  <c r="H441" i="16"/>
  <c r="G441" i="16"/>
  <c r="F441" i="16"/>
  <c r="E441" i="16"/>
  <c r="D441" i="16"/>
  <c r="C441" i="16"/>
  <c r="B441" i="16"/>
  <c r="H440" i="16"/>
  <c r="G440" i="16"/>
  <c r="F440" i="16"/>
  <c r="E440" i="16"/>
  <c r="D440" i="16"/>
  <c r="C440" i="16"/>
  <c r="B440" i="16"/>
  <c r="H439" i="16"/>
  <c r="G439" i="16"/>
  <c r="F439" i="16"/>
  <c r="E439" i="16"/>
  <c r="D439" i="16"/>
  <c r="C439" i="16"/>
  <c r="B439" i="16"/>
  <c r="H438" i="16"/>
  <c r="G438" i="16"/>
  <c r="F438" i="16"/>
  <c r="E438" i="16"/>
  <c r="D438" i="16"/>
  <c r="C438" i="16"/>
  <c r="B438" i="16"/>
  <c r="H437" i="16"/>
  <c r="G437" i="16"/>
  <c r="F437" i="16"/>
  <c r="E437" i="16"/>
  <c r="D437" i="16"/>
  <c r="C437" i="16"/>
  <c r="B437" i="16"/>
  <c r="H436" i="16"/>
  <c r="G436" i="16"/>
  <c r="F436" i="16"/>
  <c r="E436" i="16"/>
  <c r="D436" i="16"/>
  <c r="C436" i="16"/>
  <c r="B436" i="16"/>
  <c r="H435" i="16"/>
  <c r="G435" i="16"/>
  <c r="F435" i="16"/>
  <c r="E435" i="16"/>
  <c r="D435" i="16"/>
  <c r="C435" i="16"/>
  <c r="B435" i="16"/>
  <c r="H434" i="16"/>
  <c r="G434" i="16"/>
  <c r="F434" i="16"/>
  <c r="E434" i="16"/>
  <c r="D434" i="16"/>
  <c r="C434" i="16"/>
  <c r="B434" i="16"/>
  <c r="H433" i="16"/>
  <c r="G433" i="16"/>
  <c r="F433" i="16"/>
  <c r="E433" i="16"/>
  <c r="D433" i="16"/>
  <c r="C433" i="16"/>
  <c r="B433" i="16"/>
  <c r="H432" i="16"/>
  <c r="G432" i="16"/>
  <c r="F432" i="16"/>
  <c r="E432" i="16"/>
  <c r="D432" i="16"/>
  <c r="C432" i="16"/>
  <c r="B432" i="16"/>
  <c r="H431" i="16"/>
  <c r="G431" i="16"/>
  <c r="F431" i="16"/>
  <c r="E431" i="16"/>
  <c r="D431" i="16"/>
  <c r="C431" i="16"/>
  <c r="B431" i="16"/>
  <c r="H430" i="16"/>
  <c r="G430" i="16"/>
  <c r="F430" i="16"/>
  <c r="E430" i="16"/>
  <c r="D430" i="16"/>
  <c r="C430" i="16"/>
  <c r="B430" i="16"/>
  <c r="H429" i="16"/>
  <c r="G429" i="16"/>
  <c r="F429" i="16"/>
  <c r="E429" i="16"/>
  <c r="D429" i="16"/>
  <c r="C429" i="16"/>
  <c r="B429" i="16"/>
  <c r="H428" i="16"/>
  <c r="G428" i="16"/>
  <c r="F428" i="16"/>
  <c r="E428" i="16"/>
  <c r="D428" i="16"/>
  <c r="C428" i="16"/>
  <c r="B428" i="16"/>
  <c r="H427" i="16"/>
  <c r="G427" i="16"/>
  <c r="F427" i="16"/>
  <c r="E427" i="16"/>
  <c r="D427" i="16"/>
  <c r="C427" i="16"/>
  <c r="B427" i="16"/>
  <c r="H426" i="16"/>
  <c r="G426" i="16"/>
  <c r="F426" i="16"/>
  <c r="E426" i="16"/>
  <c r="D426" i="16"/>
  <c r="C426" i="16"/>
  <c r="B426" i="16"/>
  <c r="H425" i="16"/>
  <c r="G425" i="16"/>
  <c r="F425" i="16"/>
  <c r="E425" i="16"/>
  <c r="D425" i="16"/>
  <c r="C425" i="16"/>
  <c r="B425" i="16"/>
  <c r="H424" i="16"/>
  <c r="G424" i="16"/>
  <c r="F424" i="16"/>
  <c r="E424" i="16"/>
  <c r="D424" i="16"/>
  <c r="C424" i="16"/>
  <c r="B424" i="16"/>
  <c r="H423" i="16"/>
  <c r="G423" i="16"/>
  <c r="F423" i="16"/>
  <c r="E423" i="16"/>
  <c r="D423" i="16"/>
  <c r="C423" i="16"/>
  <c r="B423" i="16"/>
  <c r="H422" i="16"/>
  <c r="G422" i="16"/>
  <c r="F422" i="16"/>
  <c r="E422" i="16"/>
  <c r="D422" i="16"/>
  <c r="C422" i="16"/>
  <c r="B422" i="16"/>
  <c r="H421" i="16"/>
  <c r="G421" i="16"/>
  <c r="F421" i="16"/>
  <c r="E421" i="16"/>
  <c r="D421" i="16"/>
  <c r="C421" i="16"/>
  <c r="B421" i="16"/>
  <c r="H420" i="16"/>
  <c r="G420" i="16"/>
  <c r="F420" i="16"/>
  <c r="E420" i="16"/>
  <c r="D420" i="16"/>
  <c r="C420" i="16"/>
  <c r="B420" i="16"/>
  <c r="H419" i="16"/>
  <c r="G419" i="16"/>
  <c r="F419" i="16"/>
  <c r="E419" i="16"/>
  <c r="D419" i="16"/>
  <c r="C419" i="16"/>
  <c r="B419" i="16"/>
  <c r="H418" i="16"/>
  <c r="G418" i="16"/>
  <c r="F418" i="16"/>
  <c r="E418" i="16"/>
  <c r="D418" i="16"/>
  <c r="C418" i="16"/>
  <c r="B418" i="16"/>
  <c r="H417" i="16"/>
  <c r="G417" i="16"/>
  <c r="F417" i="16"/>
  <c r="E417" i="16"/>
  <c r="D417" i="16"/>
  <c r="C417" i="16"/>
  <c r="B417" i="16"/>
  <c r="H416" i="16"/>
  <c r="G416" i="16"/>
  <c r="F416" i="16"/>
  <c r="E416" i="16"/>
  <c r="D416" i="16"/>
  <c r="C416" i="16"/>
  <c r="B416" i="16"/>
  <c r="H415" i="16"/>
  <c r="G415" i="16"/>
  <c r="F415" i="16"/>
  <c r="E415" i="16"/>
  <c r="D415" i="16"/>
  <c r="C415" i="16"/>
  <c r="B415" i="16"/>
  <c r="H414" i="16"/>
  <c r="G414" i="16"/>
  <c r="F414" i="16"/>
  <c r="E414" i="16"/>
  <c r="D414" i="16"/>
  <c r="C414" i="16"/>
  <c r="B414" i="16"/>
  <c r="H413" i="16"/>
  <c r="G413" i="16"/>
  <c r="F413" i="16"/>
  <c r="E413" i="16"/>
  <c r="D413" i="16"/>
  <c r="C413" i="16"/>
  <c r="B413" i="16"/>
  <c r="H412" i="16"/>
  <c r="G412" i="16"/>
  <c r="F412" i="16"/>
  <c r="E412" i="16"/>
  <c r="D412" i="16"/>
  <c r="C412" i="16"/>
  <c r="B412" i="16"/>
  <c r="H411" i="16"/>
  <c r="G411" i="16"/>
  <c r="F411" i="16"/>
  <c r="E411" i="16"/>
  <c r="D411" i="16"/>
  <c r="C411" i="16"/>
  <c r="B411" i="16"/>
  <c r="H410" i="16"/>
  <c r="G410" i="16"/>
  <c r="F410" i="16"/>
  <c r="E410" i="16"/>
  <c r="D410" i="16"/>
  <c r="C410" i="16"/>
  <c r="B410" i="16"/>
  <c r="H409" i="16"/>
  <c r="G409" i="16"/>
  <c r="F409" i="16"/>
  <c r="E409" i="16"/>
  <c r="D409" i="16"/>
  <c r="C409" i="16"/>
  <c r="B409" i="16"/>
  <c r="H408" i="16"/>
  <c r="G408" i="16"/>
  <c r="F408" i="16"/>
  <c r="E408" i="16"/>
  <c r="D408" i="16"/>
  <c r="C408" i="16"/>
  <c r="B408" i="16"/>
  <c r="H407" i="16"/>
  <c r="G407" i="16"/>
  <c r="F407" i="16"/>
  <c r="E407" i="16"/>
  <c r="D407" i="16"/>
  <c r="C407" i="16"/>
  <c r="B407" i="16"/>
  <c r="H406" i="16"/>
  <c r="G406" i="16"/>
  <c r="F406" i="16"/>
  <c r="E406" i="16"/>
  <c r="D406" i="16"/>
  <c r="C406" i="16"/>
  <c r="B406" i="16"/>
  <c r="H405" i="16"/>
  <c r="G405" i="16"/>
  <c r="F405" i="16"/>
  <c r="E405" i="16"/>
  <c r="D405" i="16"/>
  <c r="C405" i="16"/>
  <c r="B405" i="16"/>
  <c r="H404" i="16"/>
  <c r="G404" i="16"/>
  <c r="F404" i="16"/>
  <c r="E404" i="16"/>
  <c r="D404" i="16"/>
  <c r="C404" i="16"/>
  <c r="B404" i="16"/>
  <c r="H403" i="16"/>
  <c r="G403" i="16"/>
  <c r="F403" i="16"/>
  <c r="E403" i="16"/>
  <c r="D403" i="16"/>
  <c r="C403" i="16"/>
  <c r="B403" i="16"/>
  <c r="H402" i="16"/>
  <c r="G402" i="16"/>
  <c r="F402" i="16"/>
  <c r="E402" i="16"/>
  <c r="D402" i="16"/>
  <c r="C402" i="16"/>
  <c r="B402" i="16"/>
  <c r="H401" i="16"/>
  <c r="G401" i="16"/>
  <c r="F401" i="16"/>
  <c r="E401" i="16"/>
  <c r="D401" i="16"/>
  <c r="C401" i="16"/>
  <c r="B401" i="16"/>
  <c r="H400" i="16"/>
  <c r="G400" i="16"/>
  <c r="F400" i="16"/>
  <c r="E400" i="16"/>
  <c r="D400" i="16"/>
  <c r="C400" i="16"/>
  <c r="B400" i="16"/>
  <c r="H399" i="16"/>
  <c r="G399" i="16"/>
  <c r="F399" i="16"/>
  <c r="E399" i="16"/>
  <c r="D399" i="16"/>
  <c r="C399" i="16"/>
  <c r="B399" i="16"/>
  <c r="H398" i="16"/>
  <c r="G398" i="16"/>
  <c r="F398" i="16"/>
  <c r="E398" i="16"/>
  <c r="D398" i="16"/>
  <c r="C398" i="16"/>
  <c r="B398" i="16"/>
  <c r="H397" i="16"/>
  <c r="G397" i="16"/>
  <c r="F397" i="16"/>
  <c r="E397" i="16"/>
  <c r="D397" i="16"/>
  <c r="C397" i="16"/>
  <c r="B397" i="16"/>
  <c r="H396" i="16"/>
  <c r="G396" i="16"/>
  <c r="F396" i="16"/>
  <c r="E396" i="16"/>
  <c r="D396" i="16"/>
  <c r="C396" i="16"/>
  <c r="B396" i="16"/>
  <c r="H395" i="16"/>
  <c r="G395" i="16"/>
  <c r="F395" i="16"/>
  <c r="E395" i="16"/>
  <c r="D395" i="16"/>
  <c r="C395" i="16"/>
  <c r="B395" i="16"/>
  <c r="H394" i="16"/>
  <c r="G394" i="16"/>
  <c r="F394" i="16"/>
  <c r="E394" i="16"/>
  <c r="D394" i="16"/>
  <c r="C394" i="16"/>
  <c r="B394" i="16"/>
  <c r="H393" i="16"/>
  <c r="G393" i="16"/>
  <c r="F393" i="16"/>
  <c r="E393" i="16"/>
  <c r="D393" i="16"/>
  <c r="C393" i="16"/>
  <c r="B393" i="16"/>
  <c r="H392" i="16"/>
  <c r="G392" i="16"/>
  <c r="F392" i="16"/>
  <c r="E392" i="16"/>
  <c r="D392" i="16"/>
  <c r="C392" i="16"/>
  <c r="B392" i="16"/>
  <c r="H391" i="16"/>
  <c r="G391" i="16"/>
  <c r="F391" i="16"/>
  <c r="E391" i="16"/>
  <c r="D391" i="16"/>
  <c r="C391" i="16"/>
  <c r="B391" i="16"/>
  <c r="H390" i="16"/>
  <c r="G390" i="16"/>
  <c r="F390" i="16"/>
  <c r="E390" i="16"/>
  <c r="D390" i="16"/>
  <c r="C390" i="16"/>
  <c r="B390" i="16"/>
  <c r="H389" i="16"/>
  <c r="G389" i="16"/>
  <c r="F389" i="16"/>
  <c r="E389" i="16"/>
  <c r="D389" i="16"/>
  <c r="C389" i="16"/>
  <c r="B389" i="16"/>
  <c r="H388" i="16"/>
  <c r="G388" i="16"/>
  <c r="F388" i="16"/>
  <c r="E388" i="16"/>
  <c r="D388" i="16"/>
  <c r="C388" i="16"/>
  <c r="B388" i="16"/>
  <c r="H387" i="16"/>
  <c r="G387" i="16"/>
  <c r="F387" i="16"/>
  <c r="E387" i="16"/>
  <c r="D387" i="16"/>
  <c r="C387" i="16"/>
  <c r="B387" i="16"/>
  <c r="H386" i="16"/>
  <c r="G386" i="16"/>
  <c r="F386" i="16"/>
  <c r="E386" i="16"/>
  <c r="D386" i="16"/>
  <c r="C386" i="16"/>
  <c r="B386" i="16"/>
  <c r="H385" i="16"/>
  <c r="G385" i="16"/>
  <c r="F385" i="16"/>
  <c r="E385" i="16"/>
  <c r="D385" i="16"/>
  <c r="C385" i="16"/>
  <c r="B385" i="16"/>
  <c r="H384" i="16"/>
  <c r="G384" i="16"/>
  <c r="F384" i="16"/>
  <c r="E384" i="16"/>
  <c r="D384" i="16"/>
  <c r="C384" i="16"/>
  <c r="B384" i="16"/>
  <c r="H383" i="16"/>
  <c r="G383" i="16"/>
  <c r="F383" i="16"/>
  <c r="E383" i="16"/>
  <c r="D383" i="16"/>
  <c r="C383" i="16"/>
  <c r="B383" i="16"/>
  <c r="H382" i="16"/>
  <c r="G382" i="16"/>
  <c r="F382" i="16"/>
  <c r="E382" i="16"/>
  <c r="D382" i="16"/>
  <c r="C382" i="16"/>
  <c r="B382" i="16"/>
  <c r="H381" i="16"/>
  <c r="G381" i="16"/>
  <c r="F381" i="16"/>
  <c r="E381" i="16"/>
  <c r="D381" i="16"/>
  <c r="C381" i="16"/>
  <c r="B381" i="16"/>
  <c r="H380" i="16"/>
  <c r="G380" i="16"/>
  <c r="F380" i="16"/>
  <c r="E380" i="16"/>
  <c r="D380" i="16"/>
  <c r="C380" i="16"/>
  <c r="B380" i="16"/>
  <c r="H379" i="16"/>
  <c r="G379" i="16"/>
  <c r="F379" i="16"/>
  <c r="E379" i="16"/>
  <c r="D379" i="16"/>
  <c r="C379" i="16"/>
  <c r="B379" i="16"/>
  <c r="H378" i="16"/>
  <c r="G378" i="16"/>
  <c r="F378" i="16"/>
  <c r="E378" i="16"/>
  <c r="D378" i="16"/>
  <c r="C378" i="16"/>
  <c r="B378" i="16"/>
  <c r="H377" i="16"/>
  <c r="G377" i="16"/>
  <c r="F377" i="16"/>
  <c r="E377" i="16"/>
  <c r="D377" i="16"/>
  <c r="C377" i="16"/>
  <c r="B377" i="16"/>
  <c r="H376" i="16"/>
  <c r="G376" i="16"/>
  <c r="F376" i="16"/>
  <c r="E376" i="16"/>
  <c r="D376" i="16"/>
  <c r="C376" i="16"/>
  <c r="B376" i="16"/>
  <c r="H375" i="16"/>
  <c r="G375" i="16"/>
  <c r="F375" i="16"/>
  <c r="E375" i="16"/>
  <c r="D375" i="16"/>
  <c r="C375" i="16"/>
  <c r="B375" i="16"/>
  <c r="H374" i="16"/>
  <c r="G374" i="16"/>
  <c r="F374" i="16"/>
  <c r="E374" i="16"/>
  <c r="D374" i="16"/>
  <c r="C374" i="16"/>
  <c r="B374" i="16"/>
  <c r="H373" i="16"/>
  <c r="G373" i="16"/>
  <c r="F373" i="16"/>
  <c r="E373" i="16"/>
  <c r="D373" i="16"/>
  <c r="C373" i="16"/>
  <c r="B373" i="16"/>
  <c r="H372" i="16"/>
  <c r="G372" i="16"/>
  <c r="F372" i="16"/>
  <c r="E372" i="16"/>
  <c r="D372" i="16"/>
  <c r="C372" i="16"/>
  <c r="B372" i="16"/>
  <c r="H371" i="16"/>
  <c r="G371" i="16"/>
  <c r="F371" i="16"/>
  <c r="E371" i="16"/>
  <c r="D371" i="16"/>
  <c r="C371" i="16"/>
  <c r="B371" i="16"/>
  <c r="H370" i="16"/>
  <c r="G370" i="16"/>
  <c r="F370" i="16"/>
  <c r="E370" i="16"/>
  <c r="D370" i="16"/>
  <c r="C370" i="16"/>
  <c r="B370" i="16"/>
  <c r="H369" i="16"/>
  <c r="G369" i="16"/>
  <c r="F369" i="16"/>
  <c r="E369" i="16"/>
  <c r="D369" i="16"/>
  <c r="C369" i="16"/>
  <c r="B369" i="16"/>
  <c r="H368" i="16"/>
  <c r="G368" i="16"/>
  <c r="F368" i="16"/>
  <c r="E368" i="16"/>
  <c r="D368" i="16"/>
  <c r="C368" i="16"/>
  <c r="B368" i="16"/>
  <c r="H367" i="16"/>
  <c r="G367" i="16"/>
  <c r="F367" i="16"/>
  <c r="E367" i="16"/>
  <c r="D367" i="16"/>
  <c r="C367" i="16"/>
  <c r="B367" i="16"/>
  <c r="H366" i="16"/>
  <c r="G366" i="16"/>
  <c r="F366" i="16"/>
  <c r="E366" i="16"/>
  <c r="D366" i="16"/>
  <c r="C366" i="16"/>
  <c r="B366" i="16"/>
  <c r="H365" i="16"/>
  <c r="G365" i="16"/>
  <c r="F365" i="16"/>
  <c r="E365" i="16"/>
  <c r="D365" i="16"/>
  <c r="C365" i="16"/>
  <c r="B365" i="16"/>
  <c r="H364" i="16"/>
  <c r="G364" i="16"/>
  <c r="F364" i="16"/>
  <c r="E364" i="16"/>
  <c r="D364" i="16"/>
  <c r="C364" i="16"/>
  <c r="B364" i="16"/>
  <c r="H363" i="16"/>
  <c r="G363" i="16"/>
  <c r="F363" i="16"/>
  <c r="E363" i="16"/>
  <c r="D363" i="16"/>
  <c r="C363" i="16"/>
  <c r="B363" i="16"/>
  <c r="H362" i="16"/>
  <c r="G362" i="16"/>
  <c r="F362" i="16"/>
  <c r="E362" i="16"/>
  <c r="D362" i="16"/>
  <c r="C362" i="16"/>
  <c r="B362" i="16"/>
  <c r="H361" i="16"/>
  <c r="G361" i="16"/>
  <c r="F361" i="16"/>
  <c r="E361" i="16"/>
  <c r="D361" i="16"/>
  <c r="C361" i="16"/>
  <c r="B361" i="16"/>
  <c r="H360" i="16"/>
  <c r="G360" i="16"/>
  <c r="F360" i="16"/>
  <c r="E360" i="16"/>
  <c r="D360" i="16"/>
  <c r="C360" i="16"/>
  <c r="B360" i="16"/>
  <c r="H359" i="16"/>
  <c r="G359" i="16"/>
  <c r="F359" i="16"/>
  <c r="E359" i="16"/>
  <c r="D359" i="16"/>
  <c r="C359" i="16"/>
  <c r="B359" i="16"/>
  <c r="H358" i="16"/>
  <c r="G358" i="16"/>
  <c r="F358" i="16"/>
  <c r="E358" i="16"/>
  <c r="D358" i="16"/>
  <c r="C358" i="16"/>
  <c r="B358" i="16"/>
  <c r="H357" i="16"/>
  <c r="G357" i="16"/>
  <c r="F357" i="16"/>
  <c r="E357" i="16"/>
  <c r="D357" i="16"/>
  <c r="C357" i="16"/>
  <c r="B357" i="16"/>
  <c r="H356" i="16"/>
  <c r="G356" i="16"/>
  <c r="F356" i="16"/>
  <c r="E356" i="16"/>
  <c r="D356" i="16"/>
  <c r="C356" i="16"/>
  <c r="B356" i="16"/>
  <c r="H355" i="16"/>
  <c r="G355" i="16"/>
  <c r="F355" i="16"/>
  <c r="E355" i="16"/>
  <c r="D355" i="16"/>
  <c r="C355" i="16"/>
  <c r="B355" i="16"/>
  <c r="H354" i="16"/>
  <c r="F354" i="16"/>
  <c r="E354" i="16"/>
  <c r="D354" i="16"/>
  <c r="C354" i="16"/>
  <c r="B354" i="16"/>
  <c r="H353" i="16"/>
  <c r="G353" i="16"/>
  <c r="F353" i="16"/>
  <c r="E353" i="16"/>
  <c r="D353" i="16"/>
  <c r="C353" i="16"/>
  <c r="B353" i="16"/>
  <c r="H352" i="16"/>
  <c r="F352" i="16"/>
  <c r="E352" i="16"/>
  <c r="D352" i="16"/>
  <c r="C352" i="16"/>
  <c r="B352" i="16"/>
  <c r="H351" i="16"/>
  <c r="F351" i="16"/>
  <c r="E351" i="16"/>
  <c r="D351" i="16"/>
  <c r="C351" i="16"/>
  <c r="B351" i="16"/>
  <c r="H350" i="16"/>
  <c r="F350" i="16"/>
  <c r="E350" i="16"/>
  <c r="D350" i="16"/>
  <c r="C350" i="16"/>
  <c r="B350" i="16"/>
  <c r="H349" i="16"/>
  <c r="F349" i="16"/>
  <c r="E349" i="16"/>
  <c r="D349" i="16"/>
  <c r="C349" i="16"/>
  <c r="B349" i="16"/>
  <c r="H348" i="16"/>
  <c r="F348" i="16"/>
  <c r="E348" i="16"/>
  <c r="D348" i="16"/>
  <c r="C348" i="16"/>
  <c r="B348" i="16"/>
  <c r="H347" i="16"/>
  <c r="F347" i="16"/>
  <c r="E347" i="16"/>
  <c r="D347" i="16"/>
  <c r="C347" i="16"/>
  <c r="B347" i="16"/>
  <c r="H346" i="16"/>
  <c r="F346" i="16"/>
  <c r="E346" i="16"/>
  <c r="D346" i="16"/>
  <c r="C346" i="16"/>
  <c r="B346" i="16"/>
  <c r="H345" i="16"/>
  <c r="F345" i="16"/>
  <c r="E345" i="16"/>
  <c r="D345" i="16"/>
  <c r="C345" i="16"/>
  <c r="B345" i="16"/>
  <c r="H344" i="16"/>
  <c r="F344" i="16"/>
  <c r="E344" i="16"/>
  <c r="D344" i="16"/>
  <c r="C344" i="16"/>
  <c r="B344" i="16"/>
  <c r="H343" i="16"/>
  <c r="F343" i="16"/>
  <c r="E343" i="16"/>
  <c r="D343" i="16"/>
  <c r="C343" i="16"/>
  <c r="B343" i="16"/>
  <c r="H342" i="16"/>
  <c r="F342" i="16"/>
  <c r="E342" i="16"/>
  <c r="D342" i="16"/>
  <c r="C342" i="16"/>
  <c r="B342" i="16"/>
  <c r="H341" i="16"/>
  <c r="G341" i="16"/>
  <c r="F341" i="16"/>
  <c r="E341" i="16"/>
  <c r="D341" i="16"/>
  <c r="C341" i="16"/>
  <c r="B341" i="16"/>
  <c r="H340" i="16"/>
  <c r="G340" i="16"/>
  <c r="F340" i="16"/>
  <c r="E340" i="16"/>
  <c r="D340" i="16"/>
  <c r="C340" i="16"/>
  <c r="B340" i="16"/>
  <c r="H339" i="16"/>
  <c r="G339" i="16"/>
  <c r="F339" i="16"/>
  <c r="E339" i="16"/>
  <c r="D339" i="16"/>
  <c r="C339" i="16"/>
  <c r="B339" i="16"/>
  <c r="H338" i="16"/>
  <c r="G338" i="16"/>
  <c r="F338" i="16"/>
  <c r="E338" i="16"/>
  <c r="D338" i="16"/>
  <c r="C338" i="16"/>
  <c r="B338" i="16"/>
  <c r="H337" i="16"/>
  <c r="F337" i="16"/>
  <c r="E337" i="16"/>
  <c r="D337" i="16"/>
  <c r="C337" i="16"/>
  <c r="B337" i="16"/>
  <c r="H336" i="16"/>
  <c r="G336" i="16"/>
  <c r="F336" i="16"/>
  <c r="E336" i="16"/>
  <c r="D336" i="16"/>
  <c r="C336" i="16"/>
  <c r="B336" i="16"/>
  <c r="H335" i="16"/>
  <c r="G335" i="16"/>
  <c r="F335" i="16"/>
  <c r="E335" i="16"/>
  <c r="D335" i="16"/>
  <c r="C335" i="16"/>
  <c r="B335" i="16"/>
  <c r="H334" i="16"/>
  <c r="G334" i="16"/>
  <c r="F334" i="16"/>
  <c r="E334" i="16"/>
  <c r="D334" i="16"/>
  <c r="C334" i="16"/>
  <c r="B334" i="16"/>
  <c r="H333" i="16"/>
  <c r="G333" i="16"/>
  <c r="F333" i="16"/>
  <c r="E333" i="16"/>
  <c r="D333" i="16"/>
  <c r="C333" i="16"/>
  <c r="B333" i="16"/>
  <c r="H332" i="16"/>
  <c r="G332" i="16"/>
  <c r="F332" i="16"/>
  <c r="E332" i="16"/>
  <c r="D332" i="16"/>
  <c r="C332" i="16"/>
  <c r="B332" i="16"/>
  <c r="H331" i="16"/>
  <c r="G331" i="16"/>
  <c r="F331" i="16"/>
  <c r="E331" i="16"/>
  <c r="D331" i="16"/>
  <c r="C331" i="16"/>
  <c r="B331" i="16"/>
  <c r="H330" i="16"/>
  <c r="F330" i="16"/>
  <c r="E330" i="16"/>
  <c r="D330" i="16"/>
  <c r="C330" i="16"/>
  <c r="B330" i="16"/>
  <c r="H329" i="16"/>
  <c r="F329" i="16"/>
  <c r="E329" i="16"/>
  <c r="D329" i="16"/>
  <c r="C329" i="16"/>
  <c r="B329" i="16"/>
  <c r="H328" i="16"/>
  <c r="F328" i="16"/>
  <c r="E328" i="16"/>
  <c r="D328" i="16"/>
  <c r="C328" i="16"/>
  <c r="B328" i="16"/>
  <c r="H327" i="16"/>
  <c r="F327" i="16"/>
  <c r="E327" i="16"/>
  <c r="D327" i="16"/>
  <c r="C327" i="16"/>
  <c r="B327" i="16"/>
  <c r="H326" i="16"/>
  <c r="G326" i="16"/>
  <c r="F326" i="16"/>
  <c r="E326" i="16"/>
  <c r="D326" i="16"/>
  <c r="C326" i="16"/>
  <c r="B326" i="16"/>
  <c r="H325" i="16"/>
  <c r="G325" i="16"/>
  <c r="F325" i="16"/>
  <c r="E325" i="16"/>
  <c r="D325" i="16"/>
  <c r="C325" i="16"/>
  <c r="B325" i="16"/>
  <c r="H324" i="16"/>
  <c r="F324" i="16"/>
  <c r="E324" i="16"/>
  <c r="D324" i="16"/>
  <c r="C324" i="16"/>
  <c r="B324" i="16"/>
  <c r="H323" i="16"/>
  <c r="F323" i="16"/>
  <c r="E323" i="16"/>
  <c r="D323" i="16"/>
  <c r="C323" i="16"/>
  <c r="B323" i="16"/>
  <c r="H322" i="16"/>
  <c r="G322" i="16"/>
  <c r="F322" i="16"/>
  <c r="E322" i="16"/>
  <c r="D322" i="16"/>
  <c r="C322" i="16"/>
  <c r="B322" i="16"/>
  <c r="H321" i="16"/>
  <c r="G321" i="16"/>
  <c r="F321" i="16"/>
  <c r="E321" i="16"/>
  <c r="D321" i="16"/>
  <c r="C321" i="16"/>
  <c r="B321" i="16"/>
  <c r="H320" i="16"/>
  <c r="G320" i="16"/>
  <c r="F320" i="16"/>
  <c r="E320" i="16"/>
  <c r="D320" i="16"/>
  <c r="C320" i="16"/>
  <c r="B320" i="16"/>
  <c r="H319" i="16"/>
  <c r="G319" i="16"/>
  <c r="F319" i="16"/>
  <c r="E319" i="16"/>
  <c r="D319" i="16"/>
  <c r="C319" i="16"/>
  <c r="B319" i="16"/>
  <c r="H318" i="16"/>
  <c r="G318" i="16"/>
  <c r="F318" i="16"/>
  <c r="E318" i="16"/>
  <c r="D318" i="16"/>
  <c r="C318" i="16"/>
  <c r="B318" i="16"/>
  <c r="H317" i="16"/>
  <c r="G317" i="16"/>
  <c r="F317" i="16"/>
  <c r="E317" i="16"/>
  <c r="D317" i="16"/>
  <c r="C317" i="16"/>
  <c r="B317" i="16"/>
  <c r="H316" i="16"/>
  <c r="G316" i="16"/>
  <c r="F316" i="16"/>
  <c r="E316" i="16"/>
  <c r="D316" i="16"/>
  <c r="C316" i="16"/>
  <c r="B316" i="16"/>
  <c r="H315" i="16"/>
  <c r="G315" i="16"/>
  <c r="F315" i="16"/>
  <c r="E315" i="16"/>
  <c r="D315" i="16"/>
  <c r="C315" i="16"/>
  <c r="B315" i="16"/>
  <c r="H314" i="16"/>
  <c r="G314" i="16"/>
  <c r="F314" i="16"/>
  <c r="E314" i="16"/>
  <c r="D314" i="16"/>
  <c r="C314" i="16"/>
  <c r="B314" i="16"/>
  <c r="H313" i="16"/>
  <c r="G313" i="16"/>
  <c r="F313" i="16"/>
  <c r="E313" i="16"/>
  <c r="D313" i="16"/>
  <c r="C313" i="16"/>
  <c r="B313" i="16"/>
  <c r="H312" i="16"/>
  <c r="G312" i="16"/>
  <c r="F312" i="16"/>
  <c r="E312" i="16"/>
  <c r="D312" i="16"/>
  <c r="C312" i="16"/>
  <c r="B312" i="16"/>
  <c r="H311" i="16"/>
  <c r="G311" i="16"/>
  <c r="F311" i="16"/>
  <c r="E311" i="16"/>
  <c r="D311" i="16"/>
  <c r="C311" i="16"/>
  <c r="B311" i="16"/>
  <c r="H310" i="16"/>
  <c r="G310" i="16"/>
  <c r="F310" i="16"/>
  <c r="E310" i="16"/>
  <c r="D310" i="16"/>
  <c r="C310" i="16"/>
  <c r="B310" i="16"/>
  <c r="H309" i="16"/>
  <c r="G309" i="16"/>
  <c r="F309" i="16"/>
  <c r="E309" i="16"/>
  <c r="D309" i="16"/>
  <c r="C309" i="16"/>
  <c r="B309" i="16"/>
  <c r="H308" i="16"/>
  <c r="G308" i="16"/>
  <c r="F308" i="16"/>
  <c r="E308" i="16"/>
  <c r="D308" i="16"/>
  <c r="C308" i="16"/>
  <c r="B308" i="16"/>
  <c r="H307" i="16"/>
  <c r="G307" i="16"/>
  <c r="F307" i="16"/>
  <c r="E307" i="16"/>
  <c r="D307" i="16"/>
  <c r="C307" i="16"/>
  <c r="B307" i="16"/>
  <c r="H306" i="16"/>
  <c r="G306" i="16"/>
  <c r="F306" i="16"/>
  <c r="E306" i="16"/>
  <c r="D306" i="16"/>
  <c r="C306" i="16"/>
  <c r="B306" i="16"/>
  <c r="H305" i="16"/>
  <c r="G305" i="16"/>
  <c r="F305" i="16"/>
  <c r="E305" i="16"/>
  <c r="D305" i="16"/>
  <c r="C305" i="16"/>
  <c r="B305" i="16"/>
  <c r="H304" i="16"/>
  <c r="G304" i="16"/>
  <c r="F304" i="16"/>
  <c r="E304" i="16"/>
  <c r="D304" i="16"/>
  <c r="C304" i="16"/>
  <c r="B304" i="16"/>
  <c r="H303" i="16"/>
  <c r="G303" i="16"/>
  <c r="F303" i="16"/>
  <c r="E303" i="16"/>
  <c r="D303" i="16"/>
  <c r="C303" i="16"/>
  <c r="B303" i="16"/>
  <c r="H302" i="16"/>
  <c r="G302" i="16"/>
  <c r="F302" i="16"/>
  <c r="E302" i="16"/>
  <c r="D302" i="16"/>
  <c r="C302" i="16"/>
  <c r="B302" i="16"/>
  <c r="H301" i="16"/>
  <c r="G301" i="16"/>
  <c r="F301" i="16"/>
  <c r="E301" i="16"/>
  <c r="D301" i="16"/>
  <c r="C301" i="16"/>
  <c r="B301" i="16"/>
  <c r="H300" i="16"/>
  <c r="G300" i="16"/>
  <c r="F300" i="16"/>
  <c r="E300" i="16"/>
  <c r="D300" i="16"/>
  <c r="C300" i="16"/>
  <c r="B300" i="16"/>
  <c r="H299" i="16"/>
  <c r="G299" i="16"/>
  <c r="F299" i="16"/>
  <c r="E299" i="16"/>
  <c r="D299" i="16"/>
  <c r="C299" i="16"/>
  <c r="B299" i="16"/>
  <c r="H298" i="16"/>
  <c r="G298" i="16"/>
  <c r="F298" i="16"/>
  <c r="E298" i="16"/>
  <c r="D298" i="16"/>
  <c r="C298" i="16"/>
  <c r="B298" i="16"/>
  <c r="H297" i="16"/>
  <c r="G297" i="16"/>
  <c r="F297" i="16"/>
  <c r="E297" i="16"/>
  <c r="D297" i="16"/>
  <c r="C297" i="16"/>
  <c r="B297" i="16"/>
  <c r="H296" i="16"/>
  <c r="G296" i="16"/>
  <c r="F296" i="16"/>
  <c r="E296" i="16"/>
  <c r="D296" i="16"/>
  <c r="C296" i="16"/>
  <c r="B296" i="16"/>
  <c r="H295" i="16"/>
  <c r="G295" i="16"/>
  <c r="F295" i="16"/>
  <c r="E295" i="16"/>
  <c r="D295" i="16"/>
  <c r="C295" i="16"/>
  <c r="B295" i="16"/>
  <c r="H294" i="16"/>
  <c r="G294" i="16"/>
  <c r="F294" i="16"/>
  <c r="E294" i="16"/>
  <c r="D294" i="16"/>
  <c r="C294" i="16"/>
  <c r="B294" i="16"/>
  <c r="H293" i="16"/>
  <c r="G293" i="16"/>
  <c r="F293" i="16"/>
  <c r="E293" i="16"/>
  <c r="D293" i="16"/>
  <c r="C293" i="16"/>
  <c r="B293" i="16"/>
  <c r="H292" i="16"/>
  <c r="G292" i="16"/>
  <c r="F292" i="16"/>
  <c r="E292" i="16"/>
  <c r="D292" i="16"/>
  <c r="C292" i="16"/>
  <c r="B292" i="16"/>
  <c r="H291" i="16"/>
  <c r="G291" i="16"/>
  <c r="F291" i="16"/>
  <c r="E291" i="16"/>
  <c r="D291" i="16"/>
  <c r="C291" i="16"/>
  <c r="B291" i="16"/>
  <c r="H290" i="16"/>
  <c r="G290" i="16"/>
  <c r="F290" i="16"/>
  <c r="E290" i="16"/>
  <c r="D290" i="16"/>
  <c r="C290" i="16"/>
  <c r="B290" i="16"/>
  <c r="H289" i="16"/>
  <c r="G289" i="16"/>
  <c r="F289" i="16"/>
  <c r="E289" i="16"/>
  <c r="D289" i="16"/>
  <c r="C289" i="16"/>
  <c r="B289" i="16"/>
  <c r="H288" i="16"/>
  <c r="G288" i="16"/>
  <c r="F288" i="16"/>
  <c r="E288" i="16"/>
  <c r="D288" i="16"/>
  <c r="C288" i="16"/>
  <c r="B288" i="16"/>
  <c r="H287" i="16"/>
  <c r="G287" i="16"/>
  <c r="F287" i="16"/>
  <c r="E287" i="16"/>
  <c r="D287" i="16"/>
  <c r="C287" i="16"/>
  <c r="B287" i="16"/>
  <c r="H286" i="16"/>
  <c r="G286" i="16"/>
  <c r="F286" i="16"/>
  <c r="E286" i="16"/>
  <c r="D286" i="16"/>
  <c r="C286" i="16"/>
  <c r="B286" i="16"/>
  <c r="H285" i="16"/>
  <c r="G285" i="16"/>
  <c r="F285" i="16"/>
  <c r="E285" i="16"/>
  <c r="D285" i="16"/>
  <c r="C285" i="16"/>
  <c r="B285" i="16"/>
  <c r="H284" i="16"/>
  <c r="G284" i="16"/>
  <c r="F284" i="16"/>
  <c r="E284" i="16"/>
  <c r="D284" i="16"/>
  <c r="C284" i="16"/>
  <c r="B284" i="16"/>
  <c r="H283" i="16"/>
  <c r="G283" i="16"/>
  <c r="F283" i="16"/>
  <c r="E283" i="16"/>
  <c r="D283" i="16"/>
  <c r="C283" i="16"/>
  <c r="B283" i="16"/>
  <c r="H282" i="16"/>
  <c r="G282" i="16"/>
  <c r="F282" i="16"/>
  <c r="E282" i="16"/>
  <c r="D282" i="16"/>
  <c r="C282" i="16"/>
  <c r="B282" i="16"/>
  <c r="H281" i="16"/>
  <c r="G281" i="16"/>
  <c r="F281" i="16"/>
  <c r="E281" i="16"/>
  <c r="D281" i="16"/>
  <c r="C281" i="16"/>
  <c r="B281" i="16"/>
  <c r="H280" i="16"/>
  <c r="G280" i="16"/>
  <c r="F280" i="16"/>
  <c r="E280" i="16"/>
  <c r="D280" i="16"/>
  <c r="C280" i="16"/>
  <c r="B280" i="16"/>
  <c r="H279" i="16"/>
  <c r="G279" i="16"/>
  <c r="F279" i="16"/>
  <c r="E279" i="16"/>
  <c r="D279" i="16"/>
  <c r="C279" i="16"/>
  <c r="B279" i="16"/>
  <c r="H278" i="16"/>
  <c r="F278" i="16"/>
  <c r="E278" i="16"/>
  <c r="D278" i="16"/>
  <c r="C278" i="16"/>
  <c r="B278" i="16"/>
  <c r="H277" i="16"/>
  <c r="G277" i="16"/>
  <c r="F277" i="16"/>
  <c r="E277" i="16"/>
  <c r="D277" i="16"/>
  <c r="C277" i="16"/>
  <c r="B277" i="16"/>
  <c r="H276" i="16"/>
  <c r="G276" i="16"/>
  <c r="F276" i="16"/>
  <c r="E276" i="16"/>
  <c r="D276" i="16"/>
  <c r="C276" i="16"/>
  <c r="B276" i="16"/>
  <c r="H275" i="16"/>
  <c r="G275" i="16"/>
  <c r="F275" i="16"/>
  <c r="E275" i="16"/>
  <c r="D275" i="16"/>
  <c r="C275" i="16"/>
  <c r="B275" i="16"/>
  <c r="H274" i="16"/>
  <c r="G274" i="16"/>
  <c r="F274" i="16"/>
  <c r="E274" i="16"/>
  <c r="D274" i="16"/>
  <c r="C274" i="16"/>
  <c r="B274" i="16"/>
  <c r="H273" i="16"/>
  <c r="G273" i="16"/>
  <c r="F273" i="16"/>
  <c r="E273" i="16"/>
  <c r="D273" i="16"/>
  <c r="C273" i="16"/>
  <c r="B273" i="16"/>
  <c r="H272" i="16"/>
  <c r="G272" i="16"/>
  <c r="F272" i="16"/>
  <c r="E272" i="16"/>
  <c r="D272" i="16"/>
  <c r="C272" i="16"/>
  <c r="B272" i="16"/>
  <c r="H271" i="16"/>
  <c r="G271" i="16"/>
  <c r="F271" i="16"/>
  <c r="E271" i="16"/>
  <c r="D271" i="16"/>
  <c r="C271" i="16"/>
  <c r="B271" i="16"/>
  <c r="H270" i="16"/>
  <c r="G270" i="16"/>
  <c r="F270" i="16"/>
  <c r="E270" i="16"/>
  <c r="D270" i="16"/>
  <c r="C270" i="16"/>
  <c r="B270" i="16"/>
  <c r="H269" i="16"/>
  <c r="G269" i="16"/>
  <c r="F269" i="16"/>
  <c r="E269" i="16"/>
  <c r="D269" i="16"/>
  <c r="C269" i="16"/>
  <c r="B269" i="16"/>
  <c r="H268" i="16"/>
  <c r="G268" i="16"/>
  <c r="F268" i="16"/>
  <c r="E268" i="16"/>
  <c r="D268" i="16"/>
  <c r="C268" i="16"/>
  <c r="B268" i="16"/>
  <c r="H267" i="16"/>
  <c r="G267" i="16"/>
  <c r="F267" i="16"/>
  <c r="E267" i="16"/>
  <c r="D267" i="16"/>
  <c r="C267" i="16"/>
  <c r="B267" i="16"/>
  <c r="H266" i="16"/>
  <c r="G266" i="16"/>
  <c r="F266" i="16"/>
  <c r="E266" i="16"/>
  <c r="D266" i="16"/>
  <c r="C266" i="16"/>
  <c r="B266" i="16"/>
  <c r="H265" i="16"/>
  <c r="G265" i="16"/>
  <c r="F265" i="16"/>
  <c r="E265" i="16"/>
  <c r="D265" i="16"/>
  <c r="C265" i="16"/>
  <c r="B265" i="16"/>
  <c r="H264" i="16"/>
  <c r="G264" i="16"/>
  <c r="F264" i="16"/>
  <c r="E264" i="16"/>
  <c r="D264" i="16"/>
  <c r="C264" i="16"/>
  <c r="B264" i="16"/>
  <c r="H263" i="16"/>
  <c r="F263" i="16"/>
  <c r="E263" i="16"/>
  <c r="D263" i="16"/>
  <c r="C263" i="16"/>
  <c r="B263" i="16"/>
  <c r="H262" i="16"/>
  <c r="G262" i="16"/>
  <c r="F262" i="16"/>
  <c r="E262" i="16"/>
  <c r="D262" i="16"/>
  <c r="C262" i="16"/>
  <c r="B262" i="16"/>
  <c r="H261" i="16"/>
  <c r="G261" i="16"/>
  <c r="F261" i="16"/>
  <c r="E261" i="16"/>
  <c r="D261" i="16"/>
  <c r="C261" i="16"/>
  <c r="B261" i="16"/>
  <c r="H260" i="16"/>
  <c r="G260" i="16"/>
  <c r="F260" i="16"/>
  <c r="E260" i="16"/>
  <c r="D260" i="16"/>
  <c r="C260" i="16"/>
  <c r="B260" i="16"/>
  <c r="H259" i="16"/>
  <c r="G259" i="16"/>
  <c r="F259" i="16"/>
  <c r="E259" i="16"/>
  <c r="D259" i="16"/>
  <c r="C259" i="16"/>
  <c r="B259" i="16"/>
  <c r="H258" i="16"/>
  <c r="G258" i="16"/>
  <c r="F258" i="16"/>
  <c r="E258" i="16"/>
  <c r="D258" i="16"/>
  <c r="C258" i="16"/>
  <c r="B258" i="16"/>
  <c r="H257" i="16"/>
  <c r="G257" i="16"/>
  <c r="F257" i="16"/>
  <c r="E257" i="16"/>
  <c r="D257" i="16"/>
  <c r="C257" i="16"/>
  <c r="B257" i="16"/>
  <c r="H256" i="16"/>
  <c r="G256" i="16"/>
  <c r="F256" i="16"/>
  <c r="E256" i="16"/>
  <c r="D256" i="16"/>
  <c r="C256" i="16"/>
  <c r="B256" i="16"/>
  <c r="H255" i="16"/>
  <c r="G255" i="16"/>
  <c r="F255" i="16"/>
  <c r="E255" i="16"/>
  <c r="D255" i="16"/>
  <c r="C255" i="16"/>
  <c r="B255" i="16"/>
  <c r="H254" i="16"/>
  <c r="G254" i="16"/>
  <c r="F254" i="16"/>
  <c r="E254" i="16"/>
  <c r="D254" i="16"/>
  <c r="C254" i="16"/>
  <c r="B254" i="16"/>
  <c r="H253" i="16"/>
  <c r="G253" i="16"/>
  <c r="F253" i="16"/>
  <c r="E253" i="16"/>
  <c r="D253" i="16"/>
  <c r="C253" i="16"/>
  <c r="B253" i="16"/>
  <c r="H252" i="16"/>
  <c r="G252" i="16"/>
  <c r="F252" i="16"/>
  <c r="E252" i="16"/>
  <c r="D252" i="16"/>
  <c r="C252" i="16"/>
  <c r="B252" i="16"/>
  <c r="H251" i="16"/>
  <c r="G251" i="16"/>
  <c r="F251" i="16"/>
  <c r="E251" i="16"/>
  <c r="D251" i="16"/>
  <c r="C251" i="16"/>
  <c r="B251" i="16"/>
  <c r="H250" i="16"/>
  <c r="G250" i="16"/>
  <c r="F250" i="16"/>
  <c r="E250" i="16"/>
  <c r="D250" i="16"/>
  <c r="C250" i="16"/>
  <c r="B250" i="16"/>
  <c r="H249" i="16"/>
  <c r="G249" i="16"/>
  <c r="F249" i="16"/>
  <c r="E249" i="16"/>
  <c r="D249" i="16"/>
  <c r="C249" i="16"/>
  <c r="B249" i="16"/>
  <c r="H248" i="16"/>
  <c r="G248" i="16"/>
  <c r="F248" i="16"/>
  <c r="E248" i="16"/>
  <c r="D248" i="16"/>
  <c r="C248" i="16"/>
  <c r="B248" i="16"/>
  <c r="H247" i="16"/>
  <c r="G247" i="16"/>
  <c r="F247" i="16"/>
  <c r="E247" i="16"/>
  <c r="D247" i="16"/>
  <c r="C247" i="16"/>
  <c r="B247" i="16"/>
  <c r="H246" i="16"/>
  <c r="G246" i="16"/>
  <c r="F246" i="16"/>
  <c r="E246" i="16"/>
  <c r="D246" i="16"/>
  <c r="C246" i="16"/>
  <c r="B246" i="16"/>
  <c r="H245" i="16"/>
  <c r="G245" i="16"/>
  <c r="F245" i="16"/>
  <c r="E245" i="16"/>
  <c r="D245" i="16"/>
  <c r="C245" i="16"/>
  <c r="B245" i="16"/>
  <c r="H244" i="16"/>
  <c r="G244" i="16"/>
  <c r="F244" i="16"/>
  <c r="E244" i="16"/>
  <c r="D244" i="16"/>
  <c r="C244" i="16"/>
  <c r="B244" i="16"/>
  <c r="H243" i="16"/>
  <c r="G243" i="16"/>
  <c r="F243" i="16"/>
  <c r="E243" i="16"/>
  <c r="D243" i="16"/>
  <c r="C243" i="16"/>
  <c r="B243" i="16"/>
  <c r="H242" i="16"/>
  <c r="G242" i="16"/>
  <c r="F242" i="16"/>
  <c r="E242" i="16"/>
  <c r="D242" i="16"/>
  <c r="C242" i="16"/>
  <c r="B242" i="16"/>
  <c r="H241" i="16"/>
  <c r="G241" i="16"/>
  <c r="F241" i="16"/>
  <c r="E241" i="16"/>
  <c r="D241" i="16"/>
  <c r="C241" i="16"/>
  <c r="B241" i="16"/>
  <c r="H240" i="16"/>
  <c r="G240" i="16"/>
  <c r="F240" i="16"/>
  <c r="E240" i="16"/>
  <c r="D240" i="16"/>
  <c r="C240" i="16"/>
  <c r="B240" i="16"/>
  <c r="H239" i="16"/>
  <c r="G239" i="16"/>
  <c r="F239" i="16"/>
  <c r="E239" i="16"/>
  <c r="D239" i="16"/>
  <c r="C239" i="16"/>
  <c r="B239" i="16"/>
  <c r="H238" i="16"/>
  <c r="G238" i="16"/>
  <c r="F238" i="16"/>
  <c r="E238" i="16"/>
  <c r="D238" i="16"/>
  <c r="C238" i="16"/>
  <c r="B238" i="16"/>
  <c r="H237" i="16"/>
  <c r="G237" i="16"/>
  <c r="F237" i="16"/>
  <c r="E237" i="16"/>
  <c r="D237" i="16"/>
  <c r="C237" i="16"/>
  <c r="B237" i="16"/>
  <c r="H236" i="16"/>
  <c r="G236" i="16"/>
  <c r="F236" i="16"/>
  <c r="E236" i="16"/>
  <c r="D236" i="16"/>
  <c r="C236" i="16"/>
  <c r="B236" i="16"/>
  <c r="H235" i="16"/>
  <c r="G235" i="16"/>
  <c r="F235" i="16"/>
  <c r="E235" i="16"/>
  <c r="D235" i="16"/>
  <c r="C235" i="16"/>
  <c r="B235" i="16"/>
  <c r="H234" i="16"/>
  <c r="G234" i="16"/>
  <c r="F234" i="16"/>
  <c r="E234" i="16"/>
  <c r="D234" i="16"/>
  <c r="C234" i="16"/>
  <c r="B234" i="16"/>
  <c r="H233" i="16"/>
  <c r="G233" i="16"/>
  <c r="F233" i="16"/>
  <c r="E233" i="16"/>
  <c r="D233" i="16"/>
  <c r="C233" i="16"/>
  <c r="B233" i="16"/>
  <c r="H232" i="16"/>
  <c r="G232" i="16"/>
  <c r="F232" i="16"/>
  <c r="E232" i="16"/>
  <c r="D232" i="16"/>
  <c r="C232" i="16"/>
  <c r="B232" i="16"/>
  <c r="H231" i="16"/>
  <c r="G231" i="16"/>
  <c r="F231" i="16"/>
  <c r="E231" i="16"/>
  <c r="D231" i="16"/>
  <c r="C231" i="16"/>
  <c r="B231" i="16"/>
  <c r="H230" i="16"/>
  <c r="G230" i="16"/>
  <c r="F230" i="16"/>
  <c r="E230" i="16"/>
  <c r="D230" i="16"/>
  <c r="C230" i="16"/>
  <c r="B230" i="16"/>
  <c r="H229" i="16"/>
  <c r="G229" i="16"/>
  <c r="F229" i="16"/>
  <c r="E229" i="16"/>
  <c r="D229" i="16"/>
  <c r="C229" i="16"/>
  <c r="B229" i="16"/>
  <c r="H228" i="16"/>
  <c r="G228" i="16"/>
  <c r="F228" i="16"/>
  <c r="E228" i="16"/>
  <c r="D228" i="16"/>
  <c r="C228" i="16"/>
  <c r="B228" i="16"/>
  <c r="H227" i="16"/>
  <c r="G227" i="16"/>
  <c r="F227" i="16"/>
  <c r="E227" i="16"/>
  <c r="D227" i="16"/>
  <c r="C227" i="16"/>
  <c r="B227" i="16"/>
  <c r="H226" i="16"/>
  <c r="G226" i="16"/>
  <c r="F226" i="16"/>
  <c r="E226" i="16"/>
  <c r="D226" i="16"/>
  <c r="C226" i="16"/>
  <c r="B226" i="16"/>
  <c r="H225" i="16"/>
  <c r="G225" i="16"/>
  <c r="F225" i="16"/>
  <c r="E225" i="16"/>
  <c r="D225" i="16"/>
  <c r="C225" i="16"/>
  <c r="B225" i="16"/>
  <c r="H224" i="16"/>
  <c r="G224" i="16"/>
  <c r="F224" i="16"/>
  <c r="E224" i="16"/>
  <c r="D224" i="16"/>
  <c r="C224" i="16"/>
  <c r="B224" i="16"/>
  <c r="H223" i="16"/>
  <c r="G223" i="16"/>
  <c r="F223" i="16"/>
  <c r="E223" i="16"/>
  <c r="D223" i="16"/>
  <c r="C223" i="16"/>
  <c r="B223" i="16"/>
  <c r="H222" i="16"/>
  <c r="G222" i="16"/>
  <c r="F222" i="16"/>
  <c r="E222" i="16"/>
  <c r="D222" i="16"/>
  <c r="C222" i="16"/>
  <c r="B222" i="16"/>
  <c r="H221" i="16"/>
  <c r="G221" i="16"/>
  <c r="F221" i="16"/>
  <c r="E221" i="16"/>
  <c r="D221" i="16"/>
  <c r="C221" i="16"/>
  <c r="B221" i="16"/>
  <c r="H220" i="16"/>
  <c r="G220" i="16"/>
  <c r="F220" i="16"/>
  <c r="E220" i="16"/>
  <c r="D220" i="16"/>
  <c r="C220" i="16"/>
  <c r="B220" i="16"/>
  <c r="H219" i="16"/>
  <c r="G219" i="16"/>
  <c r="F219" i="16"/>
  <c r="E219" i="16"/>
  <c r="D219" i="16"/>
  <c r="C219" i="16"/>
  <c r="B219" i="16"/>
  <c r="H218" i="16"/>
  <c r="G218" i="16"/>
  <c r="F218" i="16"/>
  <c r="E218" i="16"/>
  <c r="D218" i="16"/>
  <c r="C218" i="16"/>
  <c r="B218" i="16"/>
  <c r="H217" i="16"/>
  <c r="G217" i="16"/>
  <c r="F217" i="16"/>
  <c r="E217" i="16"/>
  <c r="D217" i="16"/>
  <c r="C217" i="16"/>
  <c r="B217" i="16"/>
  <c r="H216" i="16"/>
  <c r="G216" i="16"/>
  <c r="F216" i="16"/>
  <c r="E216" i="16"/>
  <c r="D216" i="16"/>
  <c r="C216" i="16"/>
  <c r="B216" i="16"/>
  <c r="H215" i="16"/>
  <c r="G215" i="16"/>
  <c r="F215" i="16"/>
  <c r="E215" i="16"/>
  <c r="D215" i="16"/>
  <c r="C215" i="16"/>
  <c r="B215" i="16"/>
  <c r="H214" i="16"/>
  <c r="G214" i="16"/>
  <c r="F214" i="16"/>
  <c r="E214" i="16"/>
  <c r="D214" i="16"/>
  <c r="C214" i="16"/>
  <c r="B214" i="16"/>
  <c r="H213" i="16"/>
  <c r="G213" i="16"/>
  <c r="F213" i="16"/>
  <c r="E213" i="16"/>
  <c r="D213" i="16"/>
  <c r="C213" i="16"/>
  <c r="B213" i="16"/>
  <c r="H212" i="16"/>
  <c r="G212" i="16"/>
  <c r="F212" i="16"/>
  <c r="E212" i="16"/>
  <c r="D212" i="16"/>
  <c r="C212" i="16"/>
  <c r="B212" i="16"/>
  <c r="H211" i="16"/>
  <c r="G211" i="16"/>
  <c r="F211" i="16"/>
  <c r="E211" i="16"/>
  <c r="D211" i="16"/>
  <c r="C211" i="16"/>
  <c r="B211" i="16"/>
  <c r="H210" i="16"/>
  <c r="G210" i="16"/>
  <c r="F210" i="16"/>
  <c r="E210" i="16"/>
  <c r="D210" i="16"/>
  <c r="C210" i="16"/>
  <c r="B210" i="16"/>
  <c r="H209" i="16"/>
  <c r="F209" i="16"/>
  <c r="E209" i="16"/>
  <c r="D209" i="16"/>
  <c r="C209" i="16"/>
  <c r="B209" i="16"/>
  <c r="H208" i="16"/>
  <c r="G208" i="16"/>
  <c r="F208" i="16"/>
  <c r="E208" i="16"/>
  <c r="D208" i="16"/>
  <c r="C208" i="16"/>
  <c r="B208" i="16"/>
  <c r="H207" i="16"/>
  <c r="G207" i="16"/>
  <c r="F207" i="16"/>
  <c r="E207" i="16"/>
  <c r="D207" i="16"/>
  <c r="C207" i="16"/>
  <c r="B207" i="16"/>
  <c r="H206" i="16"/>
  <c r="G206" i="16"/>
  <c r="F206" i="16"/>
  <c r="E206" i="16"/>
  <c r="D206" i="16"/>
  <c r="C206" i="16"/>
  <c r="B206" i="16"/>
  <c r="H205" i="16"/>
  <c r="G205" i="16"/>
  <c r="F205" i="16"/>
  <c r="E205" i="16"/>
  <c r="D205" i="16"/>
  <c r="C205" i="16"/>
  <c r="B205" i="16"/>
  <c r="H204" i="16"/>
  <c r="G204" i="16"/>
  <c r="F204" i="16"/>
  <c r="E204" i="16"/>
  <c r="D204" i="16"/>
  <c r="C204" i="16"/>
  <c r="B204" i="16"/>
  <c r="H203" i="16"/>
  <c r="G203" i="16"/>
  <c r="F203" i="16"/>
  <c r="E203" i="16"/>
  <c r="D203" i="16"/>
  <c r="C203" i="16"/>
  <c r="B203" i="16"/>
  <c r="H202" i="16"/>
  <c r="G202" i="16"/>
  <c r="F202" i="16"/>
  <c r="E202" i="16"/>
  <c r="D202" i="16"/>
  <c r="C202" i="16"/>
  <c r="B202" i="16"/>
  <c r="H201" i="16"/>
  <c r="G201" i="16"/>
  <c r="F201" i="16"/>
  <c r="E201" i="16"/>
  <c r="D201" i="16"/>
  <c r="C201" i="16"/>
  <c r="B201" i="16"/>
  <c r="H200" i="16"/>
  <c r="G200" i="16"/>
  <c r="F200" i="16"/>
  <c r="E200" i="16"/>
  <c r="D200" i="16"/>
  <c r="C200" i="16"/>
  <c r="B200" i="16"/>
  <c r="H199" i="16"/>
  <c r="G199" i="16"/>
  <c r="F199" i="16"/>
  <c r="E199" i="16"/>
  <c r="D199" i="16"/>
  <c r="C199" i="16"/>
  <c r="B199" i="16"/>
  <c r="H198" i="16"/>
  <c r="G198" i="16"/>
  <c r="F198" i="16"/>
  <c r="E198" i="16"/>
  <c r="D198" i="16"/>
  <c r="C198" i="16"/>
  <c r="B198" i="16"/>
  <c r="H197" i="16"/>
  <c r="G197" i="16"/>
  <c r="F197" i="16"/>
  <c r="E197" i="16"/>
  <c r="D197" i="16"/>
  <c r="C197" i="16"/>
  <c r="B197" i="16"/>
  <c r="H196" i="16"/>
  <c r="G196" i="16"/>
  <c r="F196" i="16"/>
  <c r="E196" i="16"/>
  <c r="D196" i="16"/>
  <c r="C196" i="16"/>
  <c r="B196" i="16"/>
  <c r="H195" i="16"/>
  <c r="G195" i="16"/>
  <c r="F195" i="16"/>
  <c r="E195" i="16"/>
  <c r="D195" i="16"/>
  <c r="C195" i="16"/>
  <c r="B195" i="16"/>
  <c r="H194" i="16"/>
  <c r="G194" i="16"/>
  <c r="F194" i="16"/>
  <c r="E194" i="16"/>
  <c r="D194" i="16"/>
  <c r="C194" i="16"/>
  <c r="B194" i="16"/>
  <c r="H193" i="16"/>
  <c r="G193" i="16"/>
  <c r="F193" i="16"/>
  <c r="E193" i="16"/>
  <c r="D193" i="16"/>
  <c r="C193" i="16"/>
  <c r="B193" i="16"/>
  <c r="H192" i="16"/>
  <c r="G192" i="16"/>
  <c r="F192" i="16"/>
  <c r="E192" i="16"/>
  <c r="D192" i="16"/>
  <c r="C192" i="16"/>
  <c r="B192" i="16"/>
  <c r="H191" i="16"/>
  <c r="G191" i="16"/>
  <c r="F191" i="16"/>
  <c r="E191" i="16"/>
  <c r="D191" i="16"/>
  <c r="C191" i="16"/>
  <c r="B191" i="16"/>
  <c r="H190" i="16"/>
  <c r="G190" i="16"/>
  <c r="F190" i="16"/>
  <c r="E190" i="16"/>
  <c r="D190" i="16"/>
  <c r="C190" i="16"/>
  <c r="B190" i="16"/>
  <c r="H189" i="16"/>
  <c r="G189" i="16"/>
  <c r="F189" i="16"/>
  <c r="E189" i="16"/>
  <c r="D189" i="16"/>
  <c r="C189" i="16"/>
  <c r="B189" i="16"/>
  <c r="H188" i="16"/>
  <c r="G188" i="16"/>
  <c r="F188" i="16"/>
  <c r="E188" i="16"/>
  <c r="D188" i="16"/>
  <c r="C188" i="16"/>
  <c r="B188" i="16"/>
  <c r="H187" i="16"/>
  <c r="G187" i="16"/>
  <c r="F187" i="16"/>
  <c r="E187" i="16"/>
  <c r="D187" i="16"/>
  <c r="C187" i="16"/>
  <c r="B187" i="16"/>
  <c r="H186" i="16"/>
  <c r="G186" i="16"/>
  <c r="F186" i="16"/>
  <c r="E186" i="16"/>
  <c r="D186" i="16"/>
  <c r="C186" i="16"/>
  <c r="B186" i="16"/>
  <c r="H185" i="16"/>
  <c r="G185" i="16"/>
  <c r="F185" i="16"/>
  <c r="E185" i="16"/>
  <c r="D185" i="16"/>
  <c r="C185" i="16"/>
  <c r="B185" i="16"/>
  <c r="H184" i="16"/>
  <c r="G184" i="16"/>
  <c r="F184" i="16"/>
  <c r="E184" i="16"/>
  <c r="D184" i="16"/>
  <c r="C184" i="16"/>
  <c r="B184" i="16"/>
  <c r="H183" i="16"/>
  <c r="G183" i="16"/>
  <c r="F183" i="16"/>
  <c r="E183" i="16"/>
  <c r="D183" i="16"/>
  <c r="C183" i="16"/>
  <c r="B183" i="16"/>
  <c r="H182" i="16"/>
  <c r="G182" i="16"/>
  <c r="F182" i="16"/>
  <c r="E182" i="16"/>
  <c r="D182" i="16"/>
  <c r="C182" i="16"/>
  <c r="B182" i="16"/>
  <c r="H181" i="16"/>
  <c r="G181" i="16"/>
  <c r="F181" i="16"/>
  <c r="E181" i="16"/>
  <c r="D181" i="16"/>
  <c r="C181" i="16"/>
  <c r="B181" i="16"/>
  <c r="H180" i="16"/>
  <c r="G180" i="16"/>
  <c r="F180" i="16"/>
  <c r="E180" i="16"/>
  <c r="D180" i="16"/>
  <c r="C180" i="16"/>
  <c r="B180" i="16"/>
  <c r="H179" i="16"/>
  <c r="G179" i="16"/>
  <c r="F179" i="16"/>
  <c r="E179" i="16"/>
  <c r="D179" i="16"/>
  <c r="C179" i="16"/>
  <c r="B179" i="16"/>
  <c r="H178" i="16"/>
  <c r="G178" i="16"/>
  <c r="F178" i="16"/>
  <c r="E178" i="16"/>
  <c r="D178" i="16"/>
  <c r="C178" i="16"/>
  <c r="B178" i="16"/>
  <c r="H177" i="16"/>
  <c r="G177" i="16"/>
  <c r="F177" i="16"/>
  <c r="E177" i="16"/>
  <c r="D177" i="16"/>
  <c r="C177" i="16"/>
  <c r="B177" i="16"/>
  <c r="H176" i="16"/>
  <c r="G176" i="16"/>
  <c r="F176" i="16"/>
  <c r="E176" i="16"/>
  <c r="D176" i="16"/>
  <c r="C176" i="16"/>
  <c r="B176" i="16"/>
  <c r="H175" i="16"/>
  <c r="G175" i="16"/>
  <c r="F175" i="16"/>
  <c r="E175" i="16"/>
  <c r="D175" i="16"/>
  <c r="C175" i="16"/>
  <c r="B175" i="16"/>
  <c r="H174" i="16"/>
  <c r="G174" i="16"/>
  <c r="F174" i="16"/>
  <c r="E174" i="16"/>
  <c r="D174" i="16"/>
  <c r="C174" i="16"/>
  <c r="B174" i="16"/>
  <c r="H173" i="16"/>
  <c r="F173" i="16"/>
  <c r="E173" i="16"/>
  <c r="D173" i="16"/>
  <c r="C173" i="16"/>
  <c r="B173" i="16"/>
  <c r="H172" i="16"/>
  <c r="G172" i="16"/>
  <c r="F172" i="16"/>
  <c r="E172" i="16"/>
  <c r="D172" i="16"/>
  <c r="C172" i="16"/>
  <c r="B172" i="16"/>
  <c r="H171" i="16"/>
  <c r="G171" i="16"/>
  <c r="F171" i="16"/>
  <c r="E171" i="16"/>
  <c r="D171" i="16"/>
  <c r="C171" i="16"/>
  <c r="B171" i="16"/>
  <c r="H170" i="16"/>
  <c r="G170" i="16"/>
  <c r="F170" i="16"/>
  <c r="E170" i="16"/>
  <c r="D170" i="16"/>
  <c r="C170" i="16"/>
  <c r="B170" i="16"/>
  <c r="H169" i="16"/>
  <c r="G169" i="16"/>
  <c r="F169" i="16"/>
  <c r="E169" i="16"/>
  <c r="D169" i="16"/>
  <c r="C169" i="16"/>
  <c r="B169" i="16"/>
  <c r="H168" i="16"/>
  <c r="G168" i="16"/>
  <c r="F168" i="16"/>
  <c r="E168" i="16"/>
  <c r="D168" i="16"/>
  <c r="C168" i="16"/>
  <c r="B168" i="16"/>
  <c r="H167" i="16"/>
  <c r="G167" i="16"/>
  <c r="F167" i="16"/>
  <c r="E167" i="16"/>
  <c r="D167" i="16"/>
  <c r="C167" i="16"/>
  <c r="B167" i="16"/>
  <c r="H166" i="16"/>
  <c r="G166" i="16"/>
  <c r="F166" i="16"/>
  <c r="E166" i="16"/>
  <c r="D166" i="16"/>
  <c r="C166" i="16"/>
  <c r="B166" i="16"/>
  <c r="H165" i="16"/>
  <c r="G165" i="16"/>
  <c r="F165" i="16"/>
  <c r="E165" i="16"/>
  <c r="D165" i="16"/>
  <c r="C165" i="16"/>
  <c r="B165" i="16"/>
  <c r="H164" i="16"/>
  <c r="G164" i="16"/>
  <c r="F164" i="16"/>
  <c r="E164" i="16"/>
  <c r="D164" i="16"/>
  <c r="C164" i="16"/>
  <c r="B164" i="16"/>
  <c r="H163" i="16"/>
  <c r="G163" i="16"/>
  <c r="F163" i="16"/>
  <c r="E163" i="16"/>
  <c r="D163" i="16"/>
  <c r="C163" i="16"/>
  <c r="B163" i="16"/>
  <c r="H162" i="16"/>
  <c r="G162" i="16"/>
  <c r="F162" i="16"/>
  <c r="E162" i="16"/>
  <c r="D162" i="16"/>
  <c r="C162" i="16"/>
  <c r="B162" i="16"/>
  <c r="H161" i="16"/>
  <c r="G161" i="16"/>
  <c r="F161" i="16"/>
  <c r="E161" i="16"/>
  <c r="D161" i="16"/>
  <c r="C161" i="16"/>
  <c r="B161" i="16"/>
  <c r="H160" i="16"/>
  <c r="G160" i="16"/>
  <c r="F160" i="16"/>
  <c r="E160" i="16"/>
  <c r="D160" i="16"/>
  <c r="C160" i="16"/>
  <c r="B160" i="16"/>
  <c r="H159" i="16"/>
  <c r="G159" i="16"/>
  <c r="F159" i="16"/>
  <c r="E159" i="16"/>
  <c r="D159" i="16"/>
  <c r="C159" i="16"/>
  <c r="B159" i="16"/>
  <c r="H158" i="16"/>
  <c r="G158" i="16"/>
  <c r="F158" i="16"/>
  <c r="E158" i="16"/>
  <c r="D158" i="16"/>
  <c r="C158" i="16"/>
  <c r="B158" i="16"/>
  <c r="H157" i="16"/>
  <c r="G157" i="16"/>
  <c r="F157" i="16"/>
  <c r="E157" i="16"/>
  <c r="D157" i="16"/>
  <c r="C157" i="16"/>
  <c r="B157" i="16"/>
  <c r="H156" i="16"/>
  <c r="G156" i="16"/>
  <c r="F156" i="16"/>
  <c r="E156" i="16"/>
  <c r="D156" i="16"/>
  <c r="C156" i="16"/>
  <c r="B156" i="16"/>
  <c r="H155" i="16"/>
  <c r="G155" i="16"/>
  <c r="F155" i="16"/>
  <c r="E155" i="16"/>
  <c r="D155" i="16"/>
  <c r="C155" i="16"/>
  <c r="B155" i="16"/>
  <c r="H154" i="16"/>
  <c r="G154" i="16"/>
  <c r="F154" i="16"/>
  <c r="E154" i="16"/>
  <c r="D154" i="16"/>
  <c r="C154" i="16"/>
  <c r="B154" i="16"/>
  <c r="H153" i="16"/>
  <c r="G153" i="16"/>
  <c r="F153" i="16"/>
  <c r="E153" i="16"/>
  <c r="D153" i="16"/>
  <c r="C153" i="16"/>
  <c r="B153" i="16"/>
  <c r="H152" i="16"/>
  <c r="G152" i="16"/>
  <c r="F152" i="16"/>
  <c r="E152" i="16"/>
  <c r="D152" i="16"/>
  <c r="C152" i="16"/>
  <c r="B152" i="16"/>
  <c r="H151" i="16"/>
  <c r="G151" i="16"/>
  <c r="F151" i="16"/>
  <c r="E151" i="16"/>
  <c r="D151" i="16"/>
  <c r="C151" i="16"/>
  <c r="B151" i="16"/>
  <c r="H150" i="16"/>
  <c r="G150" i="16"/>
  <c r="F150" i="16"/>
  <c r="E150" i="16"/>
  <c r="D150" i="16"/>
  <c r="C150" i="16"/>
  <c r="B150" i="16"/>
  <c r="H149" i="16"/>
  <c r="G149" i="16"/>
  <c r="F149" i="16"/>
  <c r="E149" i="16"/>
  <c r="D149" i="16"/>
  <c r="C149" i="16"/>
  <c r="B149" i="16"/>
  <c r="H148" i="16"/>
  <c r="G148" i="16"/>
  <c r="F148" i="16"/>
  <c r="E148" i="16"/>
  <c r="D148" i="16"/>
  <c r="C148" i="16"/>
  <c r="B148" i="16"/>
  <c r="H147" i="16"/>
  <c r="G147" i="16"/>
  <c r="F147" i="16"/>
  <c r="E147" i="16"/>
  <c r="D147" i="16"/>
  <c r="C147" i="16"/>
  <c r="B147" i="16"/>
  <c r="H146" i="16"/>
  <c r="G146" i="16"/>
  <c r="F146" i="16"/>
  <c r="E146" i="16"/>
  <c r="D146" i="16"/>
  <c r="C146" i="16"/>
  <c r="B146" i="16"/>
  <c r="H145" i="16"/>
  <c r="G145" i="16"/>
  <c r="F145" i="16"/>
  <c r="E145" i="16"/>
  <c r="D145" i="16"/>
  <c r="C145" i="16"/>
  <c r="B145" i="16"/>
  <c r="H144" i="16"/>
  <c r="G144" i="16"/>
  <c r="F144" i="16"/>
  <c r="E144" i="16"/>
  <c r="D144" i="16"/>
  <c r="C144" i="16"/>
  <c r="B144" i="16"/>
  <c r="H143" i="16"/>
  <c r="G143" i="16"/>
  <c r="F143" i="16"/>
  <c r="E143" i="16"/>
  <c r="D143" i="16"/>
  <c r="C143" i="16"/>
  <c r="B143" i="16"/>
  <c r="H142" i="16"/>
  <c r="G142" i="16"/>
  <c r="F142" i="16"/>
  <c r="E142" i="16"/>
  <c r="D142" i="16"/>
  <c r="C142" i="16"/>
  <c r="B142" i="16"/>
  <c r="H141" i="16"/>
  <c r="G141" i="16"/>
  <c r="F141" i="16"/>
  <c r="E141" i="16"/>
  <c r="D141" i="16"/>
  <c r="C141" i="16"/>
  <c r="B141" i="16"/>
  <c r="H140" i="16"/>
  <c r="G140" i="16"/>
  <c r="F140" i="16"/>
  <c r="E140" i="16"/>
  <c r="D140" i="16"/>
  <c r="C140" i="16"/>
  <c r="B140" i="16"/>
  <c r="H139" i="16"/>
  <c r="G139" i="16"/>
  <c r="F139" i="16"/>
  <c r="E139" i="16"/>
  <c r="D139" i="16"/>
  <c r="C139" i="16"/>
  <c r="B139" i="16"/>
  <c r="H138" i="16"/>
  <c r="G138" i="16"/>
  <c r="F138" i="16"/>
  <c r="E138" i="16"/>
  <c r="D138" i="16"/>
  <c r="C138" i="16"/>
  <c r="B138" i="16"/>
  <c r="H137" i="16"/>
  <c r="G137" i="16"/>
  <c r="F137" i="16"/>
  <c r="E137" i="16"/>
  <c r="D137" i="16"/>
  <c r="C137" i="16"/>
  <c r="B137" i="16"/>
  <c r="H136" i="16"/>
  <c r="G136" i="16"/>
  <c r="F136" i="16"/>
  <c r="E136" i="16"/>
  <c r="D136" i="16"/>
  <c r="C136" i="16"/>
  <c r="B136" i="16"/>
  <c r="H135" i="16"/>
  <c r="G135" i="16"/>
  <c r="F135" i="16"/>
  <c r="E135" i="16"/>
  <c r="D135" i="16"/>
  <c r="C135" i="16"/>
  <c r="B135" i="16"/>
  <c r="H134" i="16"/>
  <c r="G134" i="16"/>
  <c r="F134" i="16"/>
  <c r="E134" i="16"/>
  <c r="D134" i="16"/>
  <c r="C134" i="16"/>
  <c r="B134" i="16"/>
  <c r="H133" i="16"/>
  <c r="G133" i="16"/>
  <c r="F133" i="16"/>
  <c r="E133" i="16"/>
  <c r="D133" i="16"/>
  <c r="C133" i="16"/>
  <c r="B133" i="16"/>
  <c r="H132" i="16"/>
  <c r="G132" i="16"/>
  <c r="F132" i="16"/>
  <c r="E132" i="16"/>
  <c r="D132" i="16"/>
  <c r="C132" i="16"/>
  <c r="B132" i="16"/>
  <c r="H131" i="16"/>
  <c r="G131" i="16"/>
  <c r="F131" i="16"/>
  <c r="E131" i="16"/>
  <c r="D131" i="16"/>
  <c r="C131" i="16"/>
  <c r="B131" i="16"/>
  <c r="H130" i="16"/>
  <c r="F130" i="16"/>
  <c r="E130" i="16"/>
  <c r="D130" i="16"/>
  <c r="C130" i="16"/>
  <c r="B130" i="16"/>
  <c r="H129" i="16"/>
  <c r="G129" i="16"/>
  <c r="F129" i="16"/>
  <c r="E129" i="16"/>
  <c r="D129" i="16"/>
  <c r="C129" i="16"/>
  <c r="B129" i="16"/>
  <c r="H128" i="16"/>
  <c r="G128" i="16"/>
  <c r="F128" i="16"/>
  <c r="E128" i="16"/>
  <c r="D128" i="16"/>
  <c r="C128" i="16"/>
  <c r="B128" i="16"/>
  <c r="H127" i="16"/>
  <c r="G127" i="16"/>
  <c r="F127" i="16"/>
  <c r="E127" i="16"/>
  <c r="D127" i="16"/>
  <c r="C127" i="16"/>
  <c r="B127" i="16"/>
  <c r="H126" i="16"/>
  <c r="G126" i="16"/>
  <c r="F126" i="16"/>
  <c r="E126" i="16"/>
  <c r="D126" i="16"/>
  <c r="C126" i="16"/>
  <c r="B126" i="16"/>
  <c r="H125" i="16"/>
  <c r="G125" i="16"/>
  <c r="F125" i="16"/>
  <c r="E125" i="16"/>
  <c r="D125" i="16"/>
  <c r="C125" i="16"/>
  <c r="B125" i="16"/>
  <c r="H124" i="16"/>
  <c r="G124" i="16"/>
  <c r="F124" i="16"/>
  <c r="E124" i="16"/>
  <c r="D124" i="16"/>
  <c r="C124" i="16"/>
  <c r="B124" i="16"/>
  <c r="H123" i="16"/>
  <c r="G123" i="16"/>
  <c r="F123" i="16"/>
  <c r="E123" i="16"/>
  <c r="D123" i="16"/>
  <c r="C123" i="16"/>
  <c r="B123" i="16"/>
  <c r="H122" i="16"/>
  <c r="G122" i="16"/>
  <c r="F122" i="16"/>
  <c r="E122" i="16"/>
  <c r="D122" i="16"/>
  <c r="C122" i="16"/>
  <c r="B122" i="16"/>
  <c r="H121" i="16"/>
  <c r="G121" i="16"/>
  <c r="F121" i="16"/>
  <c r="E121" i="16"/>
  <c r="D121" i="16"/>
  <c r="C121" i="16"/>
  <c r="B121" i="16"/>
  <c r="H120" i="16"/>
  <c r="G120" i="16"/>
  <c r="F120" i="16"/>
  <c r="E120" i="16"/>
  <c r="D120" i="16"/>
  <c r="C120" i="16"/>
  <c r="B120" i="16"/>
  <c r="H119" i="16"/>
  <c r="G119" i="16"/>
  <c r="F119" i="16"/>
  <c r="E119" i="16"/>
  <c r="D119" i="16"/>
  <c r="C119" i="16"/>
  <c r="B119" i="16"/>
  <c r="H118" i="16"/>
  <c r="G118" i="16"/>
  <c r="F118" i="16"/>
  <c r="E118" i="16"/>
  <c r="D118" i="16"/>
  <c r="C118" i="16"/>
  <c r="B118" i="16"/>
  <c r="H117" i="16"/>
  <c r="G117" i="16"/>
  <c r="F117" i="16"/>
  <c r="E117" i="16"/>
  <c r="D117" i="16"/>
  <c r="C117" i="16"/>
  <c r="B117" i="16"/>
  <c r="H116" i="16"/>
  <c r="G116" i="16"/>
  <c r="F116" i="16"/>
  <c r="E116" i="16"/>
  <c r="D116" i="16"/>
  <c r="C116" i="16"/>
  <c r="B116" i="16"/>
  <c r="H115" i="16"/>
  <c r="G115" i="16"/>
  <c r="F115" i="16"/>
  <c r="E115" i="16"/>
  <c r="D115" i="16"/>
  <c r="C115" i="16"/>
  <c r="B115" i="16"/>
  <c r="H114" i="16"/>
  <c r="G114" i="16"/>
  <c r="F114" i="16"/>
  <c r="E114" i="16"/>
  <c r="D114" i="16"/>
  <c r="C114" i="16"/>
  <c r="B114" i="16"/>
  <c r="H113" i="16"/>
  <c r="G113" i="16"/>
  <c r="F113" i="16"/>
  <c r="E113" i="16"/>
  <c r="D113" i="16"/>
  <c r="C113" i="16"/>
  <c r="B113" i="16"/>
  <c r="H112" i="16"/>
  <c r="G112" i="16"/>
  <c r="F112" i="16"/>
  <c r="E112" i="16"/>
  <c r="D112" i="16"/>
  <c r="C112" i="16"/>
  <c r="B112" i="16"/>
  <c r="H111" i="16"/>
  <c r="G111" i="16"/>
  <c r="F111" i="16"/>
  <c r="E111" i="16"/>
  <c r="D111" i="16"/>
  <c r="C111" i="16"/>
  <c r="B111" i="16"/>
  <c r="H110" i="16"/>
  <c r="G110" i="16"/>
  <c r="F110" i="16"/>
  <c r="E110" i="16"/>
  <c r="D110" i="16"/>
  <c r="C110" i="16"/>
  <c r="B110" i="16"/>
  <c r="H109" i="16"/>
  <c r="G109" i="16"/>
  <c r="F109" i="16"/>
  <c r="E109" i="16"/>
  <c r="D109" i="16"/>
  <c r="C109" i="16"/>
  <c r="B109" i="16"/>
  <c r="H108" i="16"/>
  <c r="G108" i="16"/>
  <c r="F108" i="16"/>
  <c r="E108" i="16"/>
  <c r="D108" i="16"/>
  <c r="C108" i="16"/>
  <c r="B108" i="16"/>
  <c r="H107" i="16"/>
  <c r="G107" i="16"/>
  <c r="F107" i="16"/>
  <c r="E107" i="16"/>
  <c r="D107" i="16"/>
  <c r="C107" i="16"/>
  <c r="B107" i="16"/>
  <c r="H106" i="16"/>
  <c r="G106" i="16"/>
  <c r="F106" i="16"/>
  <c r="E106" i="16"/>
  <c r="D106" i="16"/>
  <c r="C106" i="16"/>
  <c r="B106" i="16"/>
  <c r="H105" i="16"/>
  <c r="G105" i="16"/>
  <c r="F105" i="16"/>
  <c r="E105" i="16"/>
  <c r="D105" i="16"/>
  <c r="C105" i="16"/>
  <c r="B105" i="16"/>
  <c r="H104" i="16"/>
  <c r="G104" i="16"/>
  <c r="F104" i="16"/>
  <c r="E104" i="16"/>
  <c r="D104" i="16"/>
  <c r="C104" i="16"/>
  <c r="B104" i="16"/>
  <c r="H103" i="16"/>
  <c r="G103" i="16"/>
  <c r="F103" i="16"/>
  <c r="E103" i="16"/>
  <c r="D103" i="16"/>
  <c r="C103" i="16"/>
  <c r="B103" i="16"/>
  <c r="H102" i="16"/>
  <c r="G102" i="16"/>
  <c r="F102" i="16"/>
  <c r="E102" i="16"/>
  <c r="D102" i="16"/>
  <c r="C102" i="16"/>
  <c r="B102" i="16"/>
  <c r="H101" i="16"/>
  <c r="G101" i="16"/>
  <c r="F101" i="16"/>
  <c r="E101" i="16"/>
  <c r="D101" i="16"/>
  <c r="C101" i="16"/>
  <c r="B101" i="16"/>
  <c r="H100" i="16"/>
  <c r="G100" i="16"/>
  <c r="F100" i="16"/>
  <c r="E100" i="16"/>
  <c r="D100" i="16"/>
  <c r="C100" i="16"/>
  <c r="B100" i="16"/>
  <c r="H99" i="16"/>
  <c r="G99" i="16"/>
  <c r="F99" i="16"/>
  <c r="E99" i="16"/>
  <c r="D99" i="16"/>
  <c r="C99" i="16"/>
  <c r="B99" i="16"/>
  <c r="H98" i="16"/>
  <c r="G98" i="16"/>
  <c r="F98" i="16"/>
  <c r="E98" i="16"/>
  <c r="D98" i="16"/>
  <c r="C98" i="16"/>
  <c r="B98" i="16"/>
  <c r="H97" i="16"/>
  <c r="G97" i="16"/>
  <c r="F97" i="16"/>
  <c r="E97" i="16"/>
  <c r="D97" i="16"/>
  <c r="C97" i="16"/>
  <c r="B97" i="16"/>
  <c r="H96" i="16"/>
  <c r="G96" i="16"/>
  <c r="F96" i="16"/>
  <c r="E96" i="16"/>
  <c r="D96" i="16"/>
  <c r="C96" i="16"/>
  <c r="B96" i="16"/>
  <c r="H95" i="16"/>
  <c r="G95" i="16"/>
  <c r="F95" i="16"/>
  <c r="E95" i="16"/>
  <c r="D95" i="16"/>
  <c r="C95" i="16"/>
  <c r="B95" i="16"/>
  <c r="H94" i="16"/>
  <c r="G94" i="16"/>
  <c r="F94" i="16"/>
  <c r="E94" i="16"/>
  <c r="D94" i="16"/>
  <c r="C94" i="16"/>
  <c r="B94" i="16"/>
  <c r="H93" i="16"/>
  <c r="G93" i="16"/>
  <c r="F93" i="16"/>
  <c r="E93" i="16"/>
  <c r="D93" i="16"/>
  <c r="C93" i="16"/>
  <c r="B93" i="16"/>
  <c r="H92" i="16"/>
  <c r="G92" i="16"/>
  <c r="F92" i="16"/>
  <c r="E92" i="16"/>
  <c r="D92" i="16"/>
  <c r="C92" i="16"/>
  <c r="B92" i="16"/>
  <c r="H91" i="16"/>
  <c r="G91" i="16"/>
  <c r="F91" i="16"/>
  <c r="E91" i="16"/>
  <c r="D91" i="16"/>
  <c r="C91" i="16"/>
  <c r="B91" i="16"/>
  <c r="H90" i="16"/>
  <c r="G90" i="16"/>
  <c r="F90" i="16"/>
  <c r="E90" i="16"/>
  <c r="D90" i="16"/>
  <c r="C90" i="16"/>
  <c r="B90" i="16"/>
  <c r="H89" i="16"/>
  <c r="G89" i="16"/>
  <c r="F89" i="16"/>
  <c r="E89" i="16"/>
  <c r="D89" i="16"/>
  <c r="C89" i="16"/>
  <c r="B89" i="16"/>
  <c r="H88" i="16"/>
  <c r="G88" i="16"/>
  <c r="F88" i="16"/>
  <c r="E88" i="16"/>
  <c r="D88" i="16"/>
  <c r="C88" i="16"/>
  <c r="B88" i="16"/>
  <c r="H87" i="16"/>
  <c r="G87" i="16"/>
  <c r="F87" i="16"/>
  <c r="E87" i="16"/>
  <c r="D87" i="16"/>
  <c r="C87" i="16"/>
  <c r="B87" i="16"/>
  <c r="H86" i="16"/>
  <c r="G86" i="16"/>
  <c r="F86" i="16"/>
  <c r="E86" i="16"/>
  <c r="D86" i="16"/>
  <c r="C86" i="16"/>
  <c r="B86" i="16"/>
  <c r="H85" i="16"/>
  <c r="G85" i="16"/>
  <c r="F85" i="16"/>
  <c r="E85" i="16"/>
  <c r="D85" i="16"/>
  <c r="C85" i="16"/>
  <c r="B85" i="16"/>
  <c r="H84" i="16"/>
  <c r="G84" i="16"/>
  <c r="F84" i="16"/>
  <c r="E84" i="16"/>
  <c r="D84" i="16"/>
  <c r="C84" i="16"/>
  <c r="B84" i="16"/>
  <c r="H83" i="16"/>
  <c r="G83" i="16"/>
  <c r="F83" i="16"/>
  <c r="E83" i="16"/>
  <c r="D83" i="16"/>
  <c r="C83" i="16"/>
  <c r="B83" i="16"/>
  <c r="H82" i="16"/>
  <c r="G82" i="16"/>
  <c r="F82" i="16"/>
  <c r="E82" i="16"/>
  <c r="D82" i="16"/>
  <c r="C82" i="16"/>
  <c r="B82" i="16"/>
  <c r="H81" i="16"/>
  <c r="G81" i="16"/>
  <c r="F81" i="16"/>
  <c r="E81" i="16"/>
  <c r="D81" i="16"/>
  <c r="C81" i="16"/>
  <c r="B81" i="16"/>
  <c r="H80" i="16"/>
  <c r="G80" i="16"/>
  <c r="F80" i="16"/>
  <c r="E80" i="16"/>
  <c r="D80" i="16"/>
  <c r="C80" i="16"/>
  <c r="B80" i="16"/>
  <c r="H79" i="16"/>
  <c r="G79" i="16"/>
  <c r="F79" i="16"/>
  <c r="E79" i="16"/>
  <c r="D79" i="16"/>
  <c r="C79" i="16"/>
  <c r="B79" i="16"/>
  <c r="H78" i="16"/>
  <c r="G78" i="16"/>
  <c r="F78" i="16"/>
  <c r="E78" i="16"/>
  <c r="D78" i="16"/>
  <c r="C78" i="16"/>
  <c r="B78" i="16"/>
  <c r="H77" i="16"/>
  <c r="G77" i="16"/>
  <c r="F77" i="16"/>
  <c r="E77" i="16"/>
  <c r="D77" i="16"/>
  <c r="C77" i="16"/>
  <c r="B77" i="16"/>
  <c r="H76" i="16"/>
  <c r="G76" i="16"/>
  <c r="F76" i="16"/>
  <c r="E76" i="16"/>
  <c r="D76" i="16"/>
  <c r="C76" i="16"/>
  <c r="B76" i="16"/>
  <c r="H75" i="16"/>
  <c r="G75" i="16"/>
  <c r="F75" i="16"/>
  <c r="E75" i="16"/>
  <c r="D75" i="16"/>
  <c r="C75" i="16"/>
  <c r="B75" i="16"/>
  <c r="H74" i="16"/>
  <c r="G74" i="16"/>
  <c r="F74" i="16"/>
  <c r="E74" i="16"/>
  <c r="D74" i="16"/>
  <c r="C74" i="16"/>
  <c r="B74" i="16"/>
  <c r="H73" i="16"/>
  <c r="G73" i="16"/>
  <c r="F73" i="16"/>
  <c r="E73" i="16"/>
  <c r="D73" i="16"/>
  <c r="C73" i="16"/>
  <c r="B73" i="16"/>
  <c r="H72" i="16"/>
  <c r="G72" i="16"/>
  <c r="F72" i="16"/>
  <c r="E72" i="16"/>
  <c r="D72" i="16"/>
  <c r="C72" i="16"/>
  <c r="B72" i="16"/>
  <c r="H71" i="16"/>
  <c r="G71" i="16"/>
  <c r="F71" i="16"/>
  <c r="E71" i="16"/>
  <c r="D71" i="16"/>
  <c r="C71" i="16"/>
  <c r="B71" i="16"/>
  <c r="H70" i="16"/>
  <c r="G70" i="16"/>
  <c r="F70" i="16"/>
  <c r="E70" i="16"/>
  <c r="D70" i="16"/>
  <c r="C70" i="16"/>
  <c r="B70" i="16"/>
  <c r="H69" i="16"/>
  <c r="G69" i="16"/>
  <c r="F69" i="16"/>
  <c r="E69" i="16"/>
  <c r="D69" i="16"/>
  <c r="C69" i="16"/>
  <c r="B69" i="16"/>
  <c r="H68" i="16"/>
  <c r="G68" i="16"/>
  <c r="F68" i="16"/>
  <c r="E68" i="16"/>
  <c r="D68" i="16"/>
  <c r="C68" i="16"/>
  <c r="B68" i="16"/>
  <c r="H67" i="16"/>
  <c r="G67" i="16"/>
  <c r="F67" i="16"/>
  <c r="E67" i="16"/>
  <c r="D67" i="16"/>
  <c r="C67" i="16"/>
  <c r="B67" i="16"/>
  <c r="H66" i="16"/>
  <c r="G66" i="16"/>
  <c r="F66" i="16"/>
  <c r="E66" i="16"/>
  <c r="D66" i="16"/>
  <c r="C66" i="16"/>
  <c r="B66" i="16"/>
  <c r="H65" i="16"/>
  <c r="G65" i="16"/>
  <c r="F65" i="16"/>
  <c r="E65" i="16"/>
  <c r="D65" i="16"/>
  <c r="C65" i="16"/>
  <c r="B65" i="16"/>
  <c r="H64" i="16"/>
  <c r="G64" i="16"/>
  <c r="F64" i="16"/>
  <c r="E64" i="16"/>
  <c r="D64" i="16"/>
  <c r="C64" i="16"/>
  <c r="B64" i="16"/>
  <c r="H63" i="16"/>
  <c r="G63" i="16"/>
  <c r="F63" i="16"/>
  <c r="E63" i="16"/>
  <c r="D63" i="16"/>
  <c r="C63" i="16"/>
  <c r="B63" i="16"/>
  <c r="H62" i="16"/>
  <c r="G62" i="16"/>
  <c r="F62" i="16"/>
  <c r="E62" i="16"/>
  <c r="D62" i="16"/>
  <c r="C62" i="16"/>
  <c r="B62" i="16"/>
  <c r="H61" i="16"/>
  <c r="G61" i="16"/>
  <c r="F61" i="16"/>
  <c r="E61" i="16"/>
  <c r="D61" i="16"/>
  <c r="C61" i="16"/>
  <c r="B61" i="16"/>
  <c r="H60" i="16"/>
  <c r="G60" i="16"/>
  <c r="F60" i="16"/>
  <c r="E60" i="16"/>
  <c r="D60" i="16"/>
  <c r="C60" i="16"/>
  <c r="B60" i="16"/>
  <c r="H59" i="16"/>
  <c r="G59" i="16"/>
  <c r="F59" i="16"/>
  <c r="E59" i="16"/>
  <c r="D59" i="16"/>
  <c r="C59" i="16"/>
  <c r="B59" i="16"/>
  <c r="H58" i="16"/>
  <c r="G58" i="16"/>
  <c r="F58" i="16"/>
  <c r="E58" i="16"/>
  <c r="D58" i="16"/>
  <c r="C58" i="16"/>
  <c r="B58" i="16"/>
  <c r="H57" i="16"/>
  <c r="G57" i="16"/>
  <c r="F57" i="16"/>
  <c r="E57" i="16"/>
  <c r="D57" i="16"/>
  <c r="C57" i="16"/>
  <c r="B57" i="16"/>
  <c r="H56" i="16"/>
  <c r="G56" i="16"/>
  <c r="F56" i="16"/>
  <c r="E56" i="16"/>
  <c r="D56" i="16"/>
  <c r="C56" i="16"/>
  <c r="B56" i="16"/>
  <c r="H55" i="16"/>
  <c r="G55" i="16"/>
  <c r="F55" i="16"/>
  <c r="E55" i="16"/>
  <c r="D55" i="16"/>
  <c r="C55" i="16"/>
  <c r="B55" i="16"/>
  <c r="H54" i="16"/>
  <c r="G54" i="16"/>
  <c r="F54" i="16"/>
  <c r="E54" i="16"/>
  <c r="D54" i="16"/>
  <c r="C54" i="16"/>
  <c r="B54" i="16"/>
  <c r="H53" i="16"/>
  <c r="G53" i="16"/>
  <c r="F53" i="16"/>
  <c r="E53" i="16"/>
  <c r="D53" i="16"/>
  <c r="C53" i="16"/>
  <c r="B53" i="16"/>
  <c r="H52" i="16"/>
  <c r="G52" i="16"/>
  <c r="F52" i="16"/>
  <c r="E52" i="16"/>
  <c r="D52" i="16"/>
  <c r="C52" i="16"/>
  <c r="B52" i="16"/>
  <c r="H51" i="16"/>
  <c r="G51" i="16"/>
  <c r="F51" i="16"/>
  <c r="E51" i="16"/>
  <c r="D51" i="16"/>
  <c r="C51" i="16"/>
  <c r="B51" i="16"/>
  <c r="H50" i="16"/>
  <c r="G50" i="16"/>
  <c r="F50" i="16"/>
  <c r="E50" i="16"/>
  <c r="D50" i="16"/>
  <c r="C50" i="16"/>
  <c r="B50" i="16"/>
  <c r="H49" i="16"/>
  <c r="G49" i="16"/>
  <c r="F49" i="16"/>
  <c r="E49" i="16"/>
  <c r="D49" i="16"/>
  <c r="C49" i="16"/>
  <c r="B49" i="16"/>
  <c r="H48" i="16"/>
  <c r="G48" i="16"/>
  <c r="F48" i="16"/>
  <c r="E48" i="16"/>
  <c r="D48" i="16"/>
  <c r="C48" i="16"/>
  <c r="B48" i="16"/>
  <c r="H47" i="16"/>
  <c r="G47" i="16"/>
  <c r="F47" i="16"/>
  <c r="E47" i="16"/>
  <c r="D47" i="16"/>
  <c r="C47" i="16"/>
  <c r="B47" i="16"/>
  <c r="H46" i="16"/>
  <c r="G46" i="16"/>
  <c r="F46" i="16"/>
  <c r="E46" i="16"/>
  <c r="D46" i="16"/>
  <c r="C46" i="16"/>
  <c r="B46" i="16"/>
  <c r="H45" i="16"/>
  <c r="G45" i="16"/>
  <c r="F45" i="16"/>
  <c r="E45" i="16"/>
  <c r="D45" i="16"/>
  <c r="C45" i="16"/>
  <c r="B45" i="16"/>
  <c r="H44" i="16"/>
  <c r="G44" i="16"/>
  <c r="F44" i="16"/>
  <c r="E44" i="16"/>
  <c r="D44" i="16"/>
  <c r="C44" i="16"/>
  <c r="B44" i="16"/>
  <c r="H43" i="16"/>
  <c r="G43" i="16"/>
  <c r="F43" i="16"/>
  <c r="E43" i="16"/>
  <c r="D43" i="16"/>
  <c r="C43" i="16"/>
  <c r="B43" i="16"/>
  <c r="H42" i="16"/>
  <c r="G42" i="16"/>
  <c r="F42" i="16"/>
  <c r="E42" i="16"/>
  <c r="D42" i="16"/>
  <c r="C42" i="16"/>
  <c r="B42" i="16"/>
  <c r="H41" i="16"/>
  <c r="G41" i="16"/>
  <c r="F41" i="16"/>
  <c r="E41" i="16"/>
  <c r="D41" i="16"/>
  <c r="C41" i="16"/>
  <c r="B41" i="16"/>
  <c r="H40" i="16"/>
  <c r="G40" i="16"/>
  <c r="F40" i="16"/>
  <c r="E40" i="16"/>
  <c r="D40" i="16"/>
  <c r="C40" i="16"/>
  <c r="B40" i="16"/>
  <c r="H39" i="16"/>
  <c r="G39" i="16"/>
  <c r="F39" i="16"/>
  <c r="E39" i="16"/>
  <c r="D39" i="16"/>
  <c r="C39" i="16"/>
  <c r="B39" i="16"/>
  <c r="H38" i="16"/>
  <c r="G38" i="16"/>
  <c r="F38" i="16"/>
  <c r="E38" i="16"/>
  <c r="D38" i="16"/>
  <c r="C38" i="16"/>
  <c r="B38" i="16"/>
  <c r="H37" i="16"/>
  <c r="G37" i="16"/>
  <c r="F37" i="16"/>
  <c r="E37" i="16"/>
  <c r="D37" i="16"/>
  <c r="C37" i="16"/>
  <c r="B37" i="16"/>
  <c r="H36" i="16"/>
  <c r="G36" i="16"/>
  <c r="F36" i="16"/>
  <c r="E36" i="16"/>
  <c r="D36" i="16"/>
  <c r="C36" i="16"/>
  <c r="B36" i="16"/>
  <c r="H35" i="16"/>
  <c r="G35" i="16"/>
  <c r="F35" i="16"/>
  <c r="E35" i="16"/>
  <c r="D35" i="16"/>
  <c r="C35" i="16"/>
  <c r="B35" i="16"/>
  <c r="H34" i="16"/>
  <c r="G34" i="16"/>
  <c r="F34" i="16"/>
  <c r="E34" i="16"/>
  <c r="D34" i="16"/>
  <c r="C34" i="16"/>
  <c r="B34" i="16"/>
  <c r="H33" i="16"/>
  <c r="F33" i="16"/>
  <c r="E33" i="16"/>
  <c r="D33" i="16"/>
  <c r="C33" i="16"/>
  <c r="B33" i="16"/>
  <c r="H32" i="16"/>
  <c r="G32" i="16"/>
  <c r="F32" i="16"/>
  <c r="E32" i="16"/>
  <c r="D32" i="16"/>
  <c r="C32" i="16"/>
  <c r="B32" i="16"/>
  <c r="H31" i="16"/>
  <c r="G31" i="16"/>
  <c r="F31" i="16"/>
  <c r="E31" i="16"/>
  <c r="D31" i="16"/>
  <c r="C31" i="16"/>
  <c r="B31" i="16"/>
  <c r="H30" i="16"/>
  <c r="G30" i="16"/>
  <c r="F30" i="16"/>
  <c r="E30" i="16"/>
  <c r="D30" i="16"/>
  <c r="C30" i="16"/>
  <c r="B30" i="16"/>
  <c r="H29" i="16"/>
  <c r="G29" i="16"/>
  <c r="F29" i="16"/>
  <c r="E29" i="16"/>
  <c r="D29" i="16"/>
  <c r="C29" i="16"/>
  <c r="B29" i="16"/>
  <c r="H28" i="16"/>
  <c r="G28" i="16"/>
  <c r="F28" i="16"/>
  <c r="E28" i="16"/>
  <c r="D28" i="16"/>
  <c r="C28" i="16"/>
  <c r="B28" i="16"/>
  <c r="H27" i="16"/>
  <c r="G27" i="16"/>
  <c r="F27" i="16"/>
  <c r="E27" i="16"/>
  <c r="D27" i="16"/>
  <c r="C27" i="16"/>
  <c r="B27" i="16"/>
  <c r="H26" i="16"/>
  <c r="G26" i="16"/>
  <c r="F26" i="16"/>
  <c r="E26" i="16"/>
  <c r="D26" i="16"/>
  <c r="C26" i="16"/>
  <c r="B26" i="16"/>
  <c r="H25" i="16"/>
  <c r="G25" i="16"/>
  <c r="F25" i="16"/>
  <c r="E25" i="16"/>
  <c r="D25" i="16"/>
  <c r="C25" i="16"/>
  <c r="B25" i="16"/>
  <c r="H24" i="16"/>
  <c r="G24" i="16"/>
  <c r="F24" i="16"/>
  <c r="E24" i="16"/>
  <c r="D24" i="16"/>
  <c r="C24" i="16"/>
  <c r="B24" i="16"/>
  <c r="H23" i="16"/>
  <c r="G23" i="16"/>
  <c r="F23" i="16"/>
  <c r="E23" i="16"/>
  <c r="D23" i="16"/>
  <c r="C23" i="16"/>
  <c r="B23" i="16"/>
  <c r="H22" i="16"/>
  <c r="G22" i="16"/>
  <c r="F22" i="16"/>
  <c r="E22" i="16"/>
  <c r="D22" i="16"/>
  <c r="C22" i="16"/>
  <c r="B22" i="16"/>
  <c r="H21" i="16"/>
  <c r="G21" i="16"/>
  <c r="F21" i="16"/>
  <c r="E21" i="16"/>
  <c r="D21" i="16"/>
  <c r="C21" i="16"/>
  <c r="B21" i="16"/>
  <c r="H20" i="16"/>
  <c r="G20" i="16"/>
  <c r="F20" i="16"/>
  <c r="E20" i="16"/>
  <c r="D20" i="16"/>
  <c r="C20" i="16"/>
  <c r="B20" i="16"/>
  <c r="H19" i="16"/>
  <c r="G19" i="16"/>
  <c r="F19" i="16"/>
  <c r="E19" i="16"/>
  <c r="D19" i="16"/>
  <c r="C19" i="16"/>
  <c r="B19" i="16"/>
  <c r="H18" i="16"/>
  <c r="G18" i="16"/>
  <c r="F18" i="16"/>
  <c r="E18" i="16"/>
  <c r="D18" i="16"/>
  <c r="C18" i="16"/>
  <c r="B18" i="16"/>
  <c r="H17" i="16"/>
  <c r="G17" i="16"/>
  <c r="F17" i="16"/>
  <c r="E17" i="16"/>
  <c r="D17" i="16"/>
  <c r="C17" i="16"/>
  <c r="B17" i="16"/>
  <c r="H16" i="16"/>
  <c r="G16" i="16"/>
  <c r="F16" i="16"/>
  <c r="E16" i="16"/>
  <c r="D16" i="16"/>
  <c r="C16" i="16"/>
  <c r="B16" i="16"/>
  <c r="H15" i="16"/>
  <c r="G15" i="16"/>
  <c r="F15" i="16"/>
  <c r="E15" i="16"/>
  <c r="D15" i="16"/>
  <c r="C15" i="16"/>
  <c r="B15" i="16"/>
  <c r="H14" i="16"/>
  <c r="G14" i="16"/>
  <c r="F14" i="16"/>
  <c r="E14" i="16"/>
  <c r="D14" i="16"/>
  <c r="C14" i="16"/>
  <c r="B14" i="16"/>
  <c r="H13" i="16"/>
  <c r="G13" i="16"/>
  <c r="F13" i="16"/>
  <c r="E13" i="16"/>
  <c r="D13" i="16"/>
  <c r="C13" i="16"/>
  <c r="B13" i="16"/>
  <c r="H12" i="16"/>
  <c r="G12" i="16"/>
  <c r="F12" i="16"/>
  <c r="E12" i="16"/>
  <c r="D12" i="16"/>
  <c r="C12" i="16"/>
  <c r="B12" i="16"/>
  <c r="H11" i="16"/>
  <c r="G11" i="16"/>
  <c r="F11" i="16"/>
  <c r="E11" i="16"/>
  <c r="D11" i="16"/>
  <c r="C11" i="16"/>
  <c r="B11" i="16"/>
  <c r="H10" i="16"/>
  <c r="G10" i="16"/>
  <c r="F10" i="16"/>
  <c r="E10" i="16"/>
  <c r="D10" i="16"/>
  <c r="C10" i="16"/>
  <c r="B10" i="16"/>
  <c r="H9" i="16"/>
  <c r="G9" i="16"/>
  <c r="F9" i="16"/>
  <c r="E9" i="16"/>
  <c r="D9" i="16"/>
  <c r="C9" i="16"/>
  <c r="B9" i="16"/>
  <c r="H8" i="16"/>
  <c r="G8" i="16"/>
  <c r="F8" i="16"/>
  <c r="E8" i="16"/>
  <c r="D8" i="16"/>
  <c r="C8" i="16"/>
  <c r="B8" i="16"/>
  <c r="H7" i="16"/>
  <c r="G7" i="16"/>
  <c r="F7" i="16"/>
  <c r="E7" i="16"/>
  <c r="D7" i="16"/>
  <c r="C7" i="16"/>
  <c r="B7" i="16"/>
  <c r="H6" i="16"/>
  <c r="G6" i="16"/>
  <c r="F6" i="16"/>
  <c r="E6" i="16"/>
  <c r="D6" i="16"/>
  <c r="C6" i="16"/>
  <c r="B6" i="16"/>
  <c r="H5" i="16"/>
  <c r="G5" i="16"/>
  <c r="F5" i="16"/>
  <c r="E5" i="16"/>
  <c r="D5" i="16"/>
  <c r="C5" i="16"/>
  <c r="B5" i="16"/>
  <c r="H4" i="16"/>
  <c r="G4" i="16"/>
  <c r="F4" i="16"/>
  <c r="E4" i="16"/>
  <c r="D4" i="16"/>
  <c r="C4" i="16"/>
  <c r="B4" i="16"/>
  <c r="H3" i="16"/>
  <c r="G3" i="16"/>
  <c r="F3" i="16"/>
  <c r="E3" i="16"/>
  <c r="D3" i="16"/>
  <c r="C3" i="16"/>
  <c r="B3" i="16"/>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658" i="15"/>
  <c r="C659" i="15"/>
  <c r="C660" i="15"/>
  <c r="C661" i="15"/>
  <c r="C662" i="15"/>
  <c r="C66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87" i="15"/>
  <c r="C688" i="15"/>
  <c r="C689" i="15"/>
  <c r="C690" i="15"/>
  <c r="C691" i="15"/>
  <c r="C692" i="15"/>
  <c r="C693" i="15"/>
  <c r="C694" i="15"/>
  <c r="C695" i="15"/>
  <c r="C696" i="15"/>
  <c r="C697" i="15"/>
  <c r="C698" i="15"/>
  <c r="C699" i="15"/>
  <c r="C700" i="15"/>
  <c r="C701" i="15"/>
  <c r="C702" i="15"/>
  <c r="C703" i="15"/>
  <c r="C704" i="15"/>
  <c r="C705" i="15"/>
  <c r="C706" i="15"/>
  <c r="C707" i="15"/>
  <c r="C708" i="15"/>
  <c r="C709" i="15"/>
  <c r="C710" i="15"/>
  <c r="C711" i="15"/>
  <c r="C712" i="15"/>
  <c r="C713" i="15"/>
  <c r="C714" i="15"/>
  <c r="C715" i="15"/>
  <c r="C716" i="15"/>
  <c r="C717" i="15"/>
  <c r="C718" i="15"/>
  <c r="C719" i="15"/>
  <c r="C720" i="15"/>
  <c r="C721" i="15"/>
  <c r="C722" i="15"/>
  <c r="C723" i="15"/>
  <c r="C724" i="15"/>
  <c r="C725" i="15"/>
  <c r="C726" i="15"/>
  <c r="C727" i="15"/>
  <c r="C728" i="15"/>
  <c r="C729" i="15"/>
  <c r="C730" i="15"/>
  <c r="C731" i="15"/>
  <c r="C732" i="15"/>
  <c r="C733" i="15"/>
  <c r="C734" i="15"/>
  <c r="C735" i="15"/>
  <c r="C736" i="15"/>
  <c r="C737" i="15"/>
  <c r="C738" i="15"/>
  <c r="C739" i="15"/>
  <c r="C740" i="15"/>
  <c r="C741" i="15"/>
  <c r="C742" i="15"/>
  <c r="C743" i="15"/>
  <c r="C744" i="15"/>
  <c r="C745" i="15"/>
  <c r="C746" i="15"/>
  <c r="C747" i="15"/>
  <c r="C748" i="15"/>
  <c r="C749" i="15"/>
  <c r="C750" i="15"/>
  <c r="C751" i="15"/>
  <c r="C752" i="15"/>
  <c r="C753" i="15"/>
  <c r="C754" i="15"/>
  <c r="C755" i="15"/>
  <c r="C756" i="15"/>
  <c r="C757" i="15"/>
  <c r="C758" i="15"/>
  <c r="C759" i="15"/>
  <c r="C760" i="15"/>
  <c r="C761" i="15"/>
  <c r="C762" i="15"/>
  <c r="C763" i="15"/>
  <c r="C764" i="15"/>
  <c r="C765" i="15"/>
  <c r="C766" i="15"/>
  <c r="C767" i="15"/>
  <c r="C768" i="15"/>
  <c r="C769" i="15"/>
  <c r="C770" i="15"/>
  <c r="C771" i="15"/>
  <c r="C772" i="15"/>
  <c r="C773" i="15"/>
  <c r="C774" i="15"/>
  <c r="C775" i="15"/>
  <c r="C776" i="15"/>
  <c r="C777" i="15"/>
  <c r="C778" i="15"/>
  <c r="C779" i="15"/>
  <c r="C780" i="15"/>
  <c r="C781" i="15"/>
  <c r="C782" i="15"/>
  <c r="C783" i="15"/>
  <c r="C784" i="15"/>
  <c r="C785" i="15"/>
  <c r="C786" i="15"/>
  <c r="C787" i="15"/>
  <c r="C788" i="15"/>
  <c r="C789" i="15"/>
  <c r="C790" i="15"/>
  <c r="C791" i="15"/>
  <c r="C792" i="15"/>
  <c r="C793" i="15"/>
  <c r="C794" i="15"/>
  <c r="C795" i="15"/>
  <c r="C796" i="15"/>
  <c r="C797" i="15"/>
  <c r="C798" i="15"/>
  <c r="C799" i="15"/>
  <c r="C800" i="15"/>
  <c r="C801" i="15"/>
  <c r="C802" i="15"/>
  <c r="C803" i="15"/>
  <c r="C804" i="15"/>
  <c r="C805" i="15"/>
  <c r="C806" i="15"/>
  <c r="C807" i="15"/>
  <c r="C808" i="15"/>
  <c r="C809" i="15"/>
  <c r="C810" i="15"/>
  <c r="C811" i="15"/>
  <c r="C812" i="15"/>
  <c r="C813" i="15"/>
  <c r="C814" i="15"/>
  <c r="C815" i="15"/>
  <c r="C816" i="15"/>
  <c r="C817" i="15"/>
  <c r="C818" i="15"/>
  <c r="C819" i="15"/>
  <c r="C820" i="15"/>
  <c r="C821" i="15"/>
  <c r="C822" i="15"/>
  <c r="C823" i="15"/>
  <c r="C824" i="15"/>
  <c r="C825" i="15"/>
  <c r="C826" i="15"/>
  <c r="C827" i="15"/>
  <c r="C828" i="15"/>
  <c r="C829" i="15"/>
  <c r="C830" i="15"/>
  <c r="C831" i="15"/>
  <c r="C832" i="15"/>
  <c r="C833" i="15"/>
  <c r="C834" i="15"/>
  <c r="C835" i="15"/>
  <c r="C836" i="15"/>
  <c r="C837" i="15"/>
  <c r="C838" i="15"/>
  <c r="C839" i="15"/>
  <c r="C840" i="15"/>
  <c r="C841" i="15"/>
  <c r="C842" i="15"/>
  <c r="C843" i="15"/>
  <c r="C844" i="15"/>
  <c r="C845" i="15"/>
  <c r="C846" i="15"/>
  <c r="C847" i="15"/>
  <c r="C848" i="15"/>
  <c r="C849" i="15"/>
  <c r="C850" i="15"/>
  <c r="C851" i="15"/>
  <c r="C852" i="15"/>
  <c r="C853" i="15"/>
  <c r="C854" i="15"/>
  <c r="C855" i="15"/>
  <c r="C856" i="15"/>
  <c r="C857" i="15"/>
  <c r="C858" i="15"/>
  <c r="C859" i="15"/>
  <c r="C860" i="15"/>
  <c r="C861" i="15"/>
  <c r="C862" i="15"/>
  <c r="C863" i="15"/>
  <c r="C864" i="15"/>
  <c r="C865" i="15"/>
  <c r="C866" i="15"/>
  <c r="C867" i="15"/>
  <c r="C868" i="15"/>
  <c r="C869" i="15"/>
  <c r="C870" i="15"/>
  <c r="C871" i="15"/>
  <c r="C872" i="15"/>
  <c r="C873" i="15"/>
  <c r="C874" i="15"/>
  <c r="C875" i="15"/>
  <c r="C876" i="15"/>
  <c r="C877" i="15"/>
  <c r="C878" i="15"/>
  <c r="C879" i="15"/>
  <c r="C880" i="15"/>
  <c r="C881" i="15"/>
  <c r="C882" i="15"/>
  <c r="C883" i="15"/>
  <c r="C884" i="15"/>
  <c r="C885" i="15"/>
  <c r="C886" i="15"/>
  <c r="C887" i="15"/>
  <c r="C888" i="15"/>
  <c r="C889" i="15"/>
  <c r="C890" i="15"/>
  <c r="C891" i="15"/>
  <c r="C892" i="15"/>
  <c r="C893" i="15"/>
  <c r="C894" i="15"/>
  <c r="C895" i="15"/>
  <c r="C896" i="15"/>
  <c r="C897" i="15"/>
  <c r="C898" i="15"/>
  <c r="C899" i="15"/>
  <c r="C900" i="15"/>
  <c r="C901" i="15"/>
  <c r="C902" i="15"/>
  <c r="C903" i="15"/>
  <c r="C904" i="15"/>
  <c r="C905" i="15"/>
  <c r="C906" i="15"/>
  <c r="C907" i="15"/>
  <c r="C908" i="15"/>
  <c r="C909" i="15"/>
  <c r="C910" i="15"/>
  <c r="C911" i="15"/>
  <c r="C912" i="15"/>
  <c r="C913" i="15"/>
  <c r="C914" i="15"/>
  <c r="C915" i="15"/>
  <c r="C916" i="15"/>
  <c r="C917" i="15"/>
  <c r="C918" i="15"/>
  <c r="C919" i="15"/>
  <c r="C920" i="15"/>
  <c r="C921" i="15"/>
  <c r="C922" i="15"/>
  <c r="C923" i="15"/>
  <c r="C924" i="15"/>
  <c r="C925" i="15"/>
  <c r="C926" i="15"/>
  <c r="C927" i="15"/>
  <c r="C928" i="15"/>
  <c r="C929" i="15"/>
  <c r="C930" i="15"/>
  <c r="C931" i="15"/>
  <c r="C932" i="15"/>
  <c r="C933" i="15"/>
  <c r="C934" i="15"/>
  <c r="C935" i="15"/>
  <c r="C936" i="15"/>
  <c r="C937" i="15"/>
  <c r="C938" i="15"/>
  <c r="C939" i="15"/>
  <c r="C940" i="15"/>
  <c r="C941" i="15"/>
  <c r="C942" i="15"/>
  <c r="C943" i="15"/>
  <c r="C944" i="15"/>
  <c r="C945" i="15"/>
  <c r="C946" i="15"/>
  <c r="C947" i="15"/>
  <c r="C948" i="15"/>
  <c r="C949" i="15"/>
  <c r="C950" i="15"/>
  <c r="C951" i="15"/>
  <c r="C952" i="15"/>
  <c r="C953" i="15"/>
  <c r="C954" i="15"/>
  <c r="C955" i="15"/>
  <c r="C956" i="15"/>
  <c r="C957" i="15"/>
  <c r="C958" i="15"/>
  <c r="C959" i="15"/>
  <c r="C960" i="15"/>
  <c r="C961" i="15"/>
  <c r="C962" i="15"/>
  <c r="C963" i="15"/>
  <c r="C964" i="15"/>
  <c r="C965" i="15"/>
  <c r="C966" i="15"/>
  <c r="C967" i="15"/>
  <c r="C968" i="15"/>
  <c r="C969" i="15"/>
  <c r="C970" i="15"/>
  <c r="C971" i="15"/>
  <c r="C972" i="15"/>
  <c r="C973" i="15"/>
  <c r="C974" i="15"/>
  <c r="C975" i="15"/>
  <c r="C976" i="15"/>
  <c r="C977" i="15"/>
  <c r="C978" i="15"/>
  <c r="C979" i="15"/>
  <c r="C980" i="15"/>
  <c r="C981" i="15"/>
  <c r="C982" i="15"/>
  <c r="C983" i="15"/>
  <c r="C984" i="15"/>
  <c r="C985" i="15"/>
  <c r="C986" i="15"/>
  <c r="C987" i="15"/>
  <c r="C988" i="15"/>
  <c r="C989" i="15"/>
  <c r="C990" i="15"/>
  <c r="C991" i="15"/>
  <c r="C992" i="15"/>
  <c r="C993" i="15"/>
  <c r="C994" i="15"/>
  <c r="C995" i="15"/>
  <c r="C996" i="15"/>
  <c r="C997" i="15"/>
  <c r="C998" i="15"/>
  <c r="C999" i="15"/>
  <c r="C1000" i="15"/>
  <c r="C1001" i="15"/>
  <c r="C1002" i="15"/>
  <c r="H172" i="15"/>
  <c r="G172" i="15"/>
  <c r="F172" i="15"/>
  <c r="E172" i="15"/>
  <c r="D172" i="15"/>
  <c r="B172" i="15"/>
  <c r="H171" i="15"/>
  <c r="G171" i="15"/>
  <c r="F171" i="15"/>
  <c r="E171" i="15"/>
  <c r="D171" i="15"/>
  <c r="B171" i="15"/>
  <c r="H170" i="15"/>
  <c r="G170" i="15"/>
  <c r="F170" i="15"/>
  <c r="E170" i="15"/>
  <c r="D170" i="15"/>
  <c r="B170" i="15"/>
  <c r="H169" i="15"/>
  <c r="G169" i="15"/>
  <c r="F169" i="15"/>
  <c r="E169" i="15"/>
  <c r="D169" i="15"/>
  <c r="B169" i="15"/>
  <c r="H168" i="15"/>
  <c r="G168" i="15"/>
  <c r="F168" i="15"/>
  <c r="E168" i="15"/>
  <c r="D168" i="15"/>
  <c r="B168" i="15"/>
  <c r="H167" i="15"/>
  <c r="G167" i="15"/>
  <c r="F167" i="15"/>
  <c r="E167" i="15"/>
  <c r="D167" i="15"/>
  <c r="B167" i="15"/>
  <c r="H166" i="15"/>
  <c r="G166" i="15"/>
  <c r="F166" i="15"/>
  <c r="E166" i="15"/>
  <c r="D166" i="15"/>
  <c r="B166" i="15"/>
  <c r="H165" i="15"/>
  <c r="G165" i="15"/>
  <c r="F165" i="15"/>
  <c r="E165" i="15"/>
  <c r="D165" i="15"/>
  <c r="B165" i="15"/>
  <c r="H164" i="15"/>
  <c r="G164" i="15"/>
  <c r="F164" i="15"/>
  <c r="E164" i="15"/>
  <c r="D164" i="15"/>
  <c r="B164" i="15"/>
  <c r="H163" i="15"/>
  <c r="G163" i="15"/>
  <c r="F163" i="15"/>
  <c r="E163" i="15"/>
  <c r="D163" i="15"/>
  <c r="B163" i="15"/>
  <c r="H162" i="15"/>
  <c r="G162" i="15"/>
  <c r="F162" i="15"/>
  <c r="E162" i="15"/>
  <c r="D162" i="15"/>
  <c r="B162" i="15"/>
  <c r="H161" i="15"/>
  <c r="G161" i="15"/>
  <c r="F161" i="15"/>
  <c r="E161" i="15"/>
  <c r="D161" i="15"/>
  <c r="B161" i="15"/>
  <c r="H160" i="15"/>
  <c r="G160" i="15"/>
  <c r="F160" i="15"/>
  <c r="E160" i="15"/>
  <c r="D160" i="15"/>
  <c r="B160" i="15"/>
  <c r="H159" i="15"/>
  <c r="G159" i="15"/>
  <c r="F159" i="15"/>
  <c r="E159" i="15"/>
  <c r="D159" i="15"/>
  <c r="B159" i="15"/>
  <c r="H158" i="15"/>
  <c r="G158" i="15"/>
  <c r="F158" i="15"/>
  <c r="E158" i="15"/>
  <c r="D158" i="15"/>
  <c r="B158" i="15"/>
  <c r="H157" i="15"/>
  <c r="G157" i="15"/>
  <c r="F157" i="15"/>
  <c r="E157" i="15"/>
  <c r="D157" i="15"/>
  <c r="B157" i="15"/>
  <c r="H156" i="15"/>
  <c r="G156" i="15"/>
  <c r="F156" i="15"/>
  <c r="E156" i="15"/>
  <c r="D156" i="15"/>
  <c r="B156" i="15"/>
  <c r="H155" i="15"/>
  <c r="G155" i="15"/>
  <c r="F155" i="15"/>
  <c r="E155" i="15"/>
  <c r="D155" i="15"/>
  <c r="B155" i="15"/>
  <c r="H154" i="15"/>
  <c r="G154" i="15"/>
  <c r="F154" i="15"/>
  <c r="E154" i="15"/>
  <c r="D154" i="15"/>
  <c r="B154" i="15"/>
  <c r="H153" i="15"/>
  <c r="G153" i="15"/>
  <c r="F153" i="15"/>
  <c r="E153" i="15"/>
  <c r="D153" i="15"/>
  <c r="B153" i="15"/>
  <c r="H152" i="15"/>
  <c r="G152" i="15"/>
  <c r="F152" i="15"/>
  <c r="E152" i="15"/>
  <c r="D152" i="15"/>
  <c r="B152" i="15"/>
  <c r="H151" i="15"/>
  <c r="G151" i="15"/>
  <c r="F151" i="15"/>
  <c r="E151" i="15"/>
  <c r="D151" i="15"/>
  <c r="B151" i="15"/>
  <c r="H150" i="15"/>
  <c r="G150" i="15"/>
  <c r="F150" i="15"/>
  <c r="E150" i="15"/>
  <c r="D150" i="15"/>
  <c r="B150" i="15"/>
  <c r="H149" i="15"/>
  <c r="G149" i="15"/>
  <c r="F149" i="15"/>
  <c r="E149" i="15"/>
  <c r="D149" i="15"/>
  <c r="B149" i="15"/>
  <c r="H148" i="15"/>
  <c r="G148" i="15"/>
  <c r="F148" i="15"/>
  <c r="E148" i="15"/>
  <c r="D148" i="15"/>
  <c r="B148" i="15"/>
  <c r="H147" i="15"/>
  <c r="G147" i="15"/>
  <c r="F147" i="15"/>
  <c r="E147" i="15"/>
  <c r="D147" i="15"/>
  <c r="B147" i="15"/>
  <c r="H146" i="15"/>
  <c r="G146" i="15"/>
  <c r="F146" i="15"/>
  <c r="E146" i="15"/>
  <c r="D146" i="15"/>
  <c r="B146" i="15"/>
  <c r="H145" i="15"/>
  <c r="G145" i="15"/>
  <c r="F145" i="15"/>
  <c r="E145" i="15"/>
  <c r="D145" i="15"/>
  <c r="B145" i="15"/>
  <c r="H144" i="15"/>
  <c r="G144" i="15"/>
  <c r="F144" i="15"/>
  <c r="E144" i="15"/>
  <c r="D144" i="15"/>
  <c r="B144" i="15"/>
  <c r="H143" i="15"/>
  <c r="G143" i="15"/>
  <c r="F143" i="15"/>
  <c r="E143" i="15"/>
  <c r="D143" i="15"/>
  <c r="B143" i="15"/>
  <c r="H142" i="15"/>
  <c r="G142" i="15"/>
  <c r="F142" i="15"/>
  <c r="E142" i="15"/>
  <c r="D142" i="15"/>
  <c r="B142" i="15"/>
  <c r="H141" i="15"/>
  <c r="G141" i="15"/>
  <c r="F141" i="15"/>
  <c r="E141" i="15"/>
  <c r="D141" i="15"/>
  <c r="B141" i="15"/>
  <c r="H140" i="15"/>
  <c r="G140" i="15"/>
  <c r="F140" i="15"/>
  <c r="E140" i="15"/>
  <c r="D140" i="15"/>
  <c r="B140" i="15"/>
  <c r="H139" i="15"/>
  <c r="G139" i="15"/>
  <c r="F139" i="15"/>
  <c r="E139" i="15"/>
  <c r="D139" i="15"/>
  <c r="B139" i="15"/>
  <c r="H138" i="15"/>
  <c r="G138" i="15"/>
  <c r="F138" i="15"/>
  <c r="E138" i="15"/>
  <c r="D138" i="15"/>
  <c r="B138" i="15"/>
  <c r="H137" i="15"/>
  <c r="G137" i="15"/>
  <c r="F137" i="15"/>
  <c r="E137" i="15"/>
  <c r="D137" i="15"/>
  <c r="B137" i="15"/>
  <c r="H136" i="15"/>
  <c r="G136" i="15"/>
  <c r="F136" i="15"/>
  <c r="E136" i="15"/>
  <c r="D136" i="15"/>
  <c r="B136" i="15"/>
  <c r="H135" i="15"/>
  <c r="G135" i="15"/>
  <c r="F135" i="15"/>
  <c r="E135" i="15"/>
  <c r="D135" i="15"/>
  <c r="B135" i="15"/>
  <c r="H134" i="15"/>
  <c r="G134" i="15"/>
  <c r="F134" i="15"/>
  <c r="E134" i="15"/>
  <c r="D134" i="15"/>
  <c r="B134" i="15"/>
  <c r="H133" i="15"/>
  <c r="G133" i="15"/>
  <c r="F133" i="15"/>
  <c r="E133" i="15"/>
  <c r="D133" i="15"/>
  <c r="B133" i="15"/>
  <c r="H132" i="15"/>
  <c r="G132" i="15"/>
  <c r="F132" i="15"/>
  <c r="E132" i="15"/>
  <c r="D132" i="15"/>
  <c r="B132" i="15"/>
  <c r="H131" i="15"/>
  <c r="G131" i="15"/>
  <c r="F131" i="15"/>
  <c r="E131" i="15"/>
  <c r="D131" i="15"/>
  <c r="B131" i="15"/>
  <c r="H130" i="15"/>
  <c r="G130" i="15"/>
  <c r="F130" i="15"/>
  <c r="E130" i="15"/>
  <c r="D130" i="15"/>
  <c r="B130" i="15"/>
  <c r="H129" i="15"/>
  <c r="G129" i="15"/>
  <c r="F129" i="15"/>
  <c r="E129" i="15"/>
  <c r="D129" i="15"/>
  <c r="B129" i="15"/>
  <c r="H128" i="15"/>
  <c r="G128" i="15"/>
  <c r="F128" i="15"/>
  <c r="E128" i="15"/>
  <c r="D128" i="15"/>
  <c r="B128" i="15"/>
  <c r="H127" i="15"/>
  <c r="G127" i="15"/>
  <c r="F127" i="15"/>
  <c r="E127" i="15"/>
  <c r="D127" i="15"/>
  <c r="B127" i="15"/>
  <c r="H126" i="15"/>
  <c r="G126" i="15"/>
  <c r="F126" i="15"/>
  <c r="E126" i="15"/>
  <c r="D126" i="15"/>
  <c r="B126" i="15"/>
  <c r="H125" i="15"/>
  <c r="G125" i="15"/>
  <c r="F125" i="15"/>
  <c r="E125" i="15"/>
  <c r="D125" i="15"/>
  <c r="B125" i="15"/>
  <c r="H124" i="15"/>
  <c r="G124" i="15"/>
  <c r="F124" i="15"/>
  <c r="E124" i="15"/>
  <c r="D124" i="15"/>
  <c r="B124" i="15"/>
  <c r="H123" i="15"/>
  <c r="G123" i="15"/>
  <c r="F123" i="15"/>
  <c r="E123" i="15"/>
  <c r="D123" i="15"/>
  <c r="B123" i="15"/>
  <c r="H122" i="15"/>
  <c r="G122" i="15"/>
  <c r="F122" i="15"/>
  <c r="E122" i="15"/>
  <c r="D122" i="15"/>
  <c r="B122" i="15"/>
  <c r="H121" i="15"/>
  <c r="G121" i="15"/>
  <c r="F121" i="15"/>
  <c r="E121" i="15"/>
  <c r="D121" i="15"/>
  <c r="B121" i="15"/>
  <c r="H120" i="15"/>
  <c r="G120" i="15"/>
  <c r="F120" i="15"/>
  <c r="E120" i="15"/>
  <c r="D120" i="15"/>
  <c r="B120" i="15"/>
  <c r="H119" i="15"/>
  <c r="G119" i="15"/>
  <c r="F119" i="15"/>
  <c r="E119" i="15"/>
  <c r="D119" i="15"/>
  <c r="B119" i="15"/>
  <c r="H118" i="15"/>
  <c r="G118" i="15"/>
  <c r="F118" i="15"/>
  <c r="E118" i="15"/>
  <c r="D118" i="15"/>
  <c r="B118" i="15"/>
  <c r="H117" i="15"/>
  <c r="G117" i="15"/>
  <c r="F117" i="15"/>
  <c r="E117" i="15"/>
  <c r="D117" i="15"/>
  <c r="B117" i="15"/>
  <c r="H116" i="15"/>
  <c r="G116" i="15"/>
  <c r="F116" i="15"/>
  <c r="E116" i="15"/>
  <c r="D116" i="15"/>
  <c r="B116" i="15"/>
  <c r="H115" i="15"/>
  <c r="G115" i="15"/>
  <c r="F115" i="15"/>
  <c r="E115" i="15"/>
  <c r="D115" i="15"/>
  <c r="B115" i="15"/>
  <c r="H114" i="15"/>
  <c r="G114" i="15"/>
  <c r="F114" i="15"/>
  <c r="E114" i="15"/>
  <c r="D114" i="15"/>
  <c r="B114" i="15"/>
  <c r="H113" i="15"/>
  <c r="G113" i="15"/>
  <c r="F113" i="15"/>
  <c r="E113" i="15"/>
  <c r="D113" i="15"/>
  <c r="B113" i="15"/>
  <c r="H112" i="15"/>
  <c r="G112" i="15"/>
  <c r="F112" i="15"/>
  <c r="E112" i="15"/>
  <c r="D112" i="15"/>
  <c r="B112" i="15"/>
  <c r="H111" i="15"/>
  <c r="G111" i="15"/>
  <c r="F111" i="15"/>
  <c r="E111" i="15"/>
  <c r="D111" i="15"/>
  <c r="B111" i="15"/>
  <c r="H110" i="15"/>
  <c r="G110" i="15"/>
  <c r="F110" i="15"/>
  <c r="E110" i="15"/>
  <c r="D110" i="15"/>
  <c r="B110" i="15"/>
  <c r="H109" i="15"/>
  <c r="G109" i="15"/>
  <c r="F109" i="15"/>
  <c r="E109" i="15"/>
  <c r="D109" i="15"/>
  <c r="B109" i="15"/>
  <c r="H108" i="15"/>
  <c r="G108" i="15"/>
  <c r="F108" i="15"/>
  <c r="E108" i="15"/>
  <c r="D108" i="15"/>
  <c r="B108" i="15"/>
  <c r="H107" i="15"/>
  <c r="G107" i="15"/>
  <c r="F107" i="15"/>
  <c r="E107" i="15"/>
  <c r="D107" i="15"/>
  <c r="B107" i="15"/>
  <c r="H106" i="15"/>
  <c r="G106" i="15"/>
  <c r="F106" i="15"/>
  <c r="E106" i="15"/>
  <c r="D106" i="15"/>
  <c r="B106" i="15"/>
  <c r="H105" i="15"/>
  <c r="G105" i="15"/>
  <c r="F105" i="15"/>
  <c r="E105" i="15"/>
  <c r="D105" i="15"/>
  <c r="B105" i="15"/>
  <c r="H104" i="15"/>
  <c r="G104" i="15"/>
  <c r="F104" i="15"/>
  <c r="E104" i="15"/>
  <c r="D104" i="15"/>
  <c r="B104" i="15"/>
  <c r="H103" i="15"/>
  <c r="G103" i="15"/>
  <c r="F103" i="15"/>
  <c r="E103" i="15"/>
  <c r="D103" i="15"/>
  <c r="B103" i="15"/>
  <c r="H102" i="15"/>
  <c r="G102" i="15"/>
  <c r="F102" i="15"/>
  <c r="E102" i="15"/>
  <c r="D102" i="15"/>
  <c r="B102" i="15"/>
  <c r="H101" i="15"/>
  <c r="G101" i="15"/>
  <c r="F101" i="15"/>
  <c r="E101" i="15"/>
  <c r="D101" i="15"/>
  <c r="B101" i="15"/>
  <c r="H100" i="15"/>
  <c r="G100" i="15"/>
  <c r="F100" i="15"/>
  <c r="E100" i="15"/>
  <c r="D100" i="15"/>
  <c r="B100" i="15"/>
  <c r="H99" i="15"/>
  <c r="G99" i="15"/>
  <c r="F99" i="15"/>
  <c r="E99" i="15"/>
  <c r="D99" i="15"/>
  <c r="B99" i="15"/>
  <c r="H98" i="15"/>
  <c r="G98" i="15"/>
  <c r="F98" i="15"/>
  <c r="E98" i="15"/>
  <c r="D98" i="15"/>
  <c r="B98" i="15"/>
  <c r="H97" i="15"/>
  <c r="G97" i="15"/>
  <c r="F97" i="15"/>
  <c r="E97" i="15"/>
  <c r="D97" i="15"/>
  <c r="B97" i="15"/>
  <c r="H96" i="15"/>
  <c r="G96" i="15"/>
  <c r="F96" i="15"/>
  <c r="E96" i="15"/>
  <c r="D96" i="15"/>
  <c r="B96" i="15"/>
  <c r="H95" i="15"/>
  <c r="G95" i="15"/>
  <c r="F95" i="15"/>
  <c r="E95" i="15"/>
  <c r="D95" i="15"/>
  <c r="B95" i="15"/>
  <c r="H94" i="15"/>
  <c r="G94" i="15"/>
  <c r="F94" i="15"/>
  <c r="E94" i="15"/>
  <c r="D94" i="15"/>
  <c r="B94" i="15"/>
  <c r="H93" i="15"/>
  <c r="G93" i="15"/>
  <c r="F93" i="15"/>
  <c r="E93" i="15"/>
  <c r="D93" i="15"/>
  <c r="B93" i="15"/>
  <c r="H92" i="15"/>
  <c r="G92" i="15"/>
  <c r="F92" i="15"/>
  <c r="E92" i="15"/>
  <c r="D92" i="15"/>
  <c r="B92" i="15"/>
  <c r="H91" i="15"/>
  <c r="G91" i="15"/>
  <c r="F91" i="15"/>
  <c r="E91" i="15"/>
  <c r="D91" i="15"/>
  <c r="B91" i="15"/>
  <c r="H90" i="15"/>
  <c r="G90" i="15"/>
  <c r="F90" i="15"/>
  <c r="E90" i="15"/>
  <c r="D90" i="15"/>
  <c r="B90" i="15"/>
  <c r="H89" i="15"/>
  <c r="G89" i="15"/>
  <c r="F89" i="15"/>
  <c r="E89" i="15"/>
  <c r="D89" i="15"/>
  <c r="B89" i="15"/>
  <c r="H88" i="15"/>
  <c r="G88" i="15"/>
  <c r="F88" i="15"/>
  <c r="E88" i="15"/>
  <c r="D88" i="15"/>
  <c r="B88" i="15"/>
  <c r="H87" i="15"/>
  <c r="G87" i="15"/>
  <c r="F87" i="15"/>
  <c r="E87" i="15"/>
  <c r="D87" i="15"/>
  <c r="B87" i="15"/>
  <c r="H86" i="15"/>
  <c r="G86" i="15"/>
  <c r="F86" i="15"/>
  <c r="E86" i="15"/>
  <c r="D86" i="15"/>
  <c r="B86" i="15"/>
  <c r="H85" i="15"/>
  <c r="G85" i="15"/>
  <c r="F85" i="15"/>
  <c r="E85" i="15"/>
  <c r="D85" i="15"/>
  <c r="B85" i="15"/>
  <c r="H84" i="15"/>
  <c r="G84" i="15"/>
  <c r="F84" i="15"/>
  <c r="E84" i="15"/>
  <c r="D84" i="15"/>
  <c r="B84" i="15"/>
  <c r="H83" i="15"/>
  <c r="G83" i="15"/>
  <c r="F83" i="15"/>
  <c r="E83" i="15"/>
  <c r="D83" i="15"/>
  <c r="B83" i="15"/>
  <c r="H82" i="15"/>
  <c r="G82" i="15"/>
  <c r="F82" i="15"/>
  <c r="E82" i="15"/>
  <c r="D82" i="15"/>
  <c r="B82" i="15"/>
  <c r="H81" i="15"/>
  <c r="G81" i="15"/>
  <c r="F81" i="15"/>
  <c r="E81" i="15"/>
  <c r="D81" i="15"/>
  <c r="B81" i="15"/>
  <c r="H80" i="15"/>
  <c r="G80" i="15"/>
  <c r="F80" i="15"/>
  <c r="E80" i="15"/>
  <c r="D80" i="15"/>
  <c r="B80" i="15"/>
  <c r="H79" i="15"/>
  <c r="G79" i="15"/>
  <c r="F79" i="15"/>
  <c r="E79" i="15"/>
  <c r="D79" i="15"/>
  <c r="B79" i="15"/>
  <c r="H78" i="15"/>
  <c r="G78" i="15"/>
  <c r="F78" i="15"/>
  <c r="E78" i="15"/>
  <c r="D78" i="15"/>
  <c r="B78" i="15"/>
  <c r="H77" i="15"/>
  <c r="G77" i="15"/>
  <c r="F77" i="15"/>
  <c r="E77" i="15"/>
  <c r="D77" i="15"/>
  <c r="B77" i="15"/>
  <c r="H76" i="15"/>
  <c r="G76" i="15"/>
  <c r="F76" i="15"/>
  <c r="E76" i="15"/>
  <c r="D76" i="15"/>
  <c r="B76" i="15"/>
  <c r="H75" i="15"/>
  <c r="G75" i="15"/>
  <c r="F75" i="15"/>
  <c r="E75" i="15"/>
  <c r="D75" i="15"/>
  <c r="B75" i="15"/>
  <c r="H74" i="15"/>
  <c r="G74" i="15"/>
  <c r="F74" i="15"/>
  <c r="E74" i="15"/>
  <c r="D74" i="15"/>
  <c r="B74" i="15"/>
  <c r="H73" i="15"/>
  <c r="G73" i="15"/>
  <c r="F73" i="15"/>
  <c r="E73" i="15"/>
  <c r="D73" i="15"/>
  <c r="B73" i="15"/>
  <c r="H72" i="15"/>
  <c r="G72" i="15"/>
  <c r="F72" i="15"/>
  <c r="E72" i="15"/>
  <c r="D72" i="15"/>
  <c r="B72" i="15"/>
  <c r="H71" i="15"/>
  <c r="G71" i="15"/>
  <c r="F71" i="15"/>
  <c r="E71" i="15"/>
  <c r="D71" i="15"/>
  <c r="B71" i="15"/>
  <c r="H70" i="15"/>
  <c r="G70" i="15"/>
  <c r="F70" i="15"/>
  <c r="E70" i="15"/>
  <c r="D70" i="15"/>
  <c r="B70" i="15"/>
  <c r="H69" i="15"/>
  <c r="G69" i="15"/>
  <c r="F69" i="15"/>
  <c r="E69" i="15"/>
  <c r="D69" i="15"/>
  <c r="B69" i="15"/>
  <c r="H68" i="15"/>
  <c r="G68" i="15"/>
  <c r="F68" i="15"/>
  <c r="E68" i="15"/>
  <c r="D68" i="15"/>
  <c r="B68" i="15"/>
  <c r="H67" i="15"/>
  <c r="G67" i="15"/>
  <c r="F67" i="15"/>
  <c r="E67" i="15"/>
  <c r="D67" i="15"/>
  <c r="B67" i="15"/>
  <c r="H66" i="15"/>
  <c r="G66" i="15"/>
  <c r="F66" i="15"/>
  <c r="E66" i="15"/>
  <c r="D66" i="15"/>
  <c r="B66" i="15"/>
  <c r="H65" i="15"/>
  <c r="G65" i="15"/>
  <c r="F65" i="15"/>
  <c r="E65" i="15"/>
  <c r="D65" i="15"/>
  <c r="B65" i="15"/>
  <c r="H64" i="15"/>
  <c r="G64" i="15"/>
  <c r="F64" i="15"/>
  <c r="E64" i="15"/>
  <c r="D64" i="15"/>
  <c r="B64" i="15"/>
  <c r="H63" i="15"/>
  <c r="G63" i="15"/>
  <c r="F63" i="15"/>
  <c r="E63" i="15"/>
  <c r="D63" i="15"/>
  <c r="B63" i="15"/>
  <c r="H62" i="15"/>
  <c r="G62" i="15"/>
  <c r="F62" i="15"/>
  <c r="E62" i="15"/>
  <c r="D62" i="15"/>
  <c r="B62" i="15"/>
  <c r="H61" i="15"/>
  <c r="G61" i="15"/>
  <c r="F61" i="15"/>
  <c r="E61" i="15"/>
  <c r="D61" i="15"/>
  <c r="B61" i="15"/>
  <c r="H60" i="15"/>
  <c r="G60" i="15"/>
  <c r="F60" i="15"/>
  <c r="E60" i="15"/>
  <c r="D60" i="15"/>
  <c r="B60" i="15"/>
  <c r="H59" i="15"/>
  <c r="G59" i="15"/>
  <c r="F59" i="15"/>
  <c r="E59" i="15"/>
  <c r="D59" i="15"/>
  <c r="B59" i="15"/>
  <c r="H58" i="15"/>
  <c r="G58" i="15"/>
  <c r="F58" i="15"/>
  <c r="E58" i="15"/>
  <c r="D58" i="15"/>
  <c r="B58" i="15"/>
  <c r="H57" i="15"/>
  <c r="G57" i="15"/>
  <c r="F57" i="15"/>
  <c r="E57" i="15"/>
  <c r="D57" i="15"/>
  <c r="B57" i="15"/>
  <c r="H56" i="15"/>
  <c r="G56" i="15"/>
  <c r="F56" i="15"/>
  <c r="E56" i="15"/>
  <c r="D56" i="15"/>
  <c r="B56" i="15"/>
  <c r="H55" i="15"/>
  <c r="G55" i="15"/>
  <c r="F55" i="15"/>
  <c r="E55" i="15"/>
  <c r="D55" i="15"/>
  <c r="B55" i="15"/>
  <c r="H54" i="15"/>
  <c r="G54" i="15"/>
  <c r="F54" i="15"/>
  <c r="E54" i="15"/>
  <c r="D54" i="15"/>
  <c r="B54" i="15"/>
  <c r="H53" i="15"/>
  <c r="G53" i="15"/>
  <c r="F53" i="15"/>
  <c r="E53" i="15"/>
  <c r="D53" i="15"/>
  <c r="B53" i="15"/>
  <c r="H52" i="15"/>
  <c r="G52" i="15"/>
  <c r="F52" i="15"/>
  <c r="E52" i="15"/>
  <c r="D52" i="15"/>
  <c r="B52" i="15"/>
  <c r="H51" i="15"/>
  <c r="G51" i="15"/>
  <c r="F51" i="15"/>
  <c r="E51" i="15"/>
  <c r="D51" i="15"/>
  <c r="B51" i="15"/>
  <c r="H50" i="15"/>
  <c r="G50" i="15"/>
  <c r="F50" i="15"/>
  <c r="E50" i="15"/>
  <c r="D50" i="15"/>
  <c r="B50" i="15"/>
  <c r="H49" i="15"/>
  <c r="G49" i="15"/>
  <c r="F49" i="15"/>
  <c r="E49" i="15"/>
  <c r="D49" i="15"/>
  <c r="B49" i="15"/>
  <c r="H48" i="15"/>
  <c r="G48" i="15"/>
  <c r="F48" i="15"/>
  <c r="E48" i="15"/>
  <c r="D48" i="15"/>
  <c r="B48" i="15"/>
  <c r="H47" i="15"/>
  <c r="G47" i="15"/>
  <c r="F47" i="15"/>
  <c r="E47" i="15"/>
  <c r="D47" i="15"/>
  <c r="B47" i="15"/>
  <c r="H46" i="15"/>
  <c r="G46" i="15"/>
  <c r="F46" i="15"/>
  <c r="E46" i="15"/>
  <c r="D46" i="15"/>
  <c r="B46" i="15"/>
  <c r="H45" i="15"/>
  <c r="G45" i="15"/>
  <c r="F45" i="15"/>
  <c r="E45" i="15"/>
  <c r="D45" i="15"/>
  <c r="B45" i="15"/>
  <c r="H44" i="15"/>
  <c r="G44" i="15"/>
  <c r="F44" i="15"/>
  <c r="E44" i="15"/>
  <c r="D44" i="15"/>
  <c r="B44" i="15"/>
  <c r="H43" i="15"/>
  <c r="G43" i="15"/>
  <c r="F43" i="15"/>
  <c r="E43" i="15"/>
  <c r="D43" i="15"/>
  <c r="B43" i="15"/>
  <c r="H42" i="15"/>
  <c r="G42" i="15"/>
  <c r="F42" i="15"/>
  <c r="E42" i="15"/>
  <c r="D42" i="15"/>
  <c r="B42" i="15"/>
  <c r="H41" i="15"/>
  <c r="G41" i="15"/>
  <c r="F41" i="15"/>
  <c r="E41" i="15"/>
  <c r="D41" i="15"/>
  <c r="B41" i="15"/>
  <c r="H40" i="15"/>
  <c r="G40" i="15"/>
  <c r="F40" i="15"/>
  <c r="E40" i="15"/>
  <c r="D40" i="15"/>
  <c r="B40" i="15"/>
  <c r="H39" i="15"/>
  <c r="G39" i="15"/>
  <c r="F39" i="15"/>
  <c r="E39" i="15"/>
  <c r="D39" i="15"/>
  <c r="B39" i="15"/>
  <c r="H38" i="15"/>
  <c r="G38" i="15"/>
  <c r="F38" i="15"/>
  <c r="E38" i="15"/>
  <c r="D38" i="15"/>
  <c r="B38" i="15"/>
  <c r="H37" i="15"/>
  <c r="G37" i="15"/>
  <c r="F37" i="15"/>
  <c r="E37" i="15"/>
  <c r="D37" i="15"/>
  <c r="B37" i="15"/>
  <c r="H36" i="15"/>
  <c r="G36" i="15"/>
  <c r="F36" i="15"/>
  <c r="E36" i="15"/>
  <c r="D36" i="15"/>
  <c r="B36" i="15"/>
  <c r="H35" i="15"/>
  <c r="G35" i="15"/>
  <c r="F35" i="15"/>
  <c r="E35" i="15"/>
  <c r="D35" i="15"/>
  <c r="B35" i="15"/>
  <c r="H34" i="15"/>
  <c r="G34" i="15"/>
  <c r="F34" i="15"/>
  <c r="E34" i="15"/>
  <c r="D34" i="15"/>
  <c r="B34" i="15"/>
  <c r="H33" i="15"/>
  <c r="G33" i="15"/>
  <c r="F33" i="15"/>
  <c r="E33" i="15"/>
  <c r="D33" i="15"/>
  <c r="B33" i="15"/>
  <c r="H32" i="15"/>
  <c r="G32" i="15"/>
  <c r="F32" i="15"/>
  <c r="E32" i="15"/>
  <c r="D32" i="15"/>
  <c r="B32" i="15"/>
  <c r="H31" i="15"/>
  <c r="G31" i="15"/>
  <c r="F31" i="15"/>
  <c r="E31" i="15"/>
  <c r="D31" i="15"/>
  <c r="B31" i="15"/>
  <c r="H30" i="15"/>
  <c r="G30" i="15"/>
  <c r="F30" i="15"/>
  <c r="E30" i="15"/>
  <c r="D30" i="15"/>
  <c r="B30" i="15"/>
  <c r="H29" i="15"/>
  <c r="G29" i="15"/>
  <c r="F29" i="15"/>
  <c r="E29" i="15"/>
  <c r="D29" i="15"/>
  <c r="B29" i="15"/>
  <c r="H28" i="15"/>
  <c r="G28" i="15"/>
  <c r="F28" i="15"/>
  <c r="E28" i="15"/>
  <c r="D28" i="15"/>
  <c r="B28" i="15"/>
  <c r="H27" i="15"/>
  <c r="G27" i="15"/>
  <c r="F27" i="15"/>
  <c r="E27" i="15"/>
  <c r="D27" i="15"/>
  <c r="B27" i="15"/>
  <c r="H26" i="15"/>
  <c r="G26" i="15"/>
  <c r="F26" i="15"/>
  <c r="E26" i="15"/>
  <c r="D26" i="15"/>
  <c r="B26" i="15"/>
  <c r="H25" i="15"/>
  <c r="G25" i="15"/>
  <c r="F25" i="15"/>
  <c r="E25" i="15"/>
  <c r="D25" i="15"/>
  <c r="B25" i="15"/>
  <c r="H24" i="15"/>
  <c r="G24" i="15"/>
  <c r="F24" i="15"/>
  <c r="E24" i="15"/>
  <c r="D24" i="15"/>
  <c r="B24" i="15"/>
  <c r="H23" i="15"/>
  <c r="G23" i="15"/>
  <c r="F23" i="15"/>
  <c r="E23" i="15"/>
  <c r="D23" i="15"/>
  <c r="B23" i="15"/>
  <c r="H22" i="15"/>
  <c r="G22" i="15"/>
  <c r="F22" i="15"/>
  <c r="E22" i="15"/>
  <c r="D22" i="15"/>
  <c r="B22" i="15"/>
  <c r="H21" i="15"/>
  <c r="G21" i="15"/>
  <c r="F21" i="15"/>
  <c r="E21" i="15"/>
  <c r="D21" i="15"/>
  <c r="B21" i="15"/>
  <c r="H20" i="15"/>
  <c r="G20" i="15"/>
  <c r="F20" i="15"/>
  <c r="E20" i="15"/>
  <c r="D20" i="15"/>
  <c r="B20" i="15"/>
  <c r="H19" i="15"/>
  <c r="G19" i="15"/>
  <c r="F19" i="15"/>
  <c r="E19" i="15"/>
  <c r="D19" i="15"/>
  <c r="B19" i="15"/>
  <c r="H18" i="15"/>
  <c r="G18" i="15"/>
  <c r="F18" i="15"/>
  <c r="E18" i="15"/>
  <c r="D18" i="15"/>
  <c r="B18" i="15"/>
  <c r="H17" i="15"/>
  <c r="G17" i="15"/>
  <c r="F17" i="15"/>
  <c r="E17" i="15"/>
  <c r="D17" i="15"/>
  <c r="B17" i="15"/>
  <c r="H16" i="15"/>
  <c r="G16" i="15"/>
  <c r="F16" i="15"/>
  <c r="E16" i="15"/>
  <c r="D16" i="15"/>
  <c r="B16" i="15"/>
  <c r="H15" i="15"/>
  <c r="G15" i="15"/>
  <c r="F15" i="15"/>
  <c r="E15" i="15"/>
  <c r="D15" i="15"/>
  <c r="B15" i="15"/>
  <c r="H14" i="15"/>
  <c r="G14" i="15"/>
  <c r="F14" i="15"/>
  <c r="E14" i="15"/>
  <c r="D14" i="15"/>
  <c r="B14" i="15"/>
  <c r="H13" i="15"/>
  <c r="G13" i="15"/>
  <c r="F13" i="15"/>
  <c r="E13" i="15"/>
  <c r="D13" i="15"/>
  <c r="B13" i="15"/>
  <c r="H12" i="15"/>
  <c r="G12" i="15"/>
  <c r="F12" i="15"/>
  <c r="E12" i="15"/>
  <c r="D12" i="15"/>
  <c r="B12" i="15"/>
  <c r="G11" i="15"/>
  <c r="F11" i="15"/>
  <c r="E11" i="15"/>
  <c r="D11" i="15"/>
  <c r="B11" i="15"/>
  <c r="G10" i="15"/>
  <c r="F10" i="15"/>
  <c r="E10" i="15"/>
  <c r="D10" i="15"/>
  <c r="B10" i="15"/>
  <c r="H9" i="15"/>
  <c r="G9" i="15"/>
  <c r="F9" i="15"/>
  <c r="E9" i="15"/>
  <c r="D9" i="15"/>
  <c r="B9" i="15"/>
  <c r="G8" i="15"/>
  <c r="F8" i="15"/>
  <c r="E8" i="15"/>
  <c r="D8" i="15"/>
  <c r="B8" i="15"/>
  <c r="G7" i="15"/>
  <c r="F7" i="15"/>
  <c r="E7" i="15"/>
  <c r="D7" i="15"/>
  <c r="B7" i="15"/>
  <c r="H6" i="15"/>
  <c r="G6" i="15"/>
  <c r="F6" i="15"/>
  <c r="E6" i="15"/>
  <c r="D6" i="15"/>
  <c r="B6" i="15"/>
  <c r="G5" i="15"/>
  <c r="F5" i="15"/>
  <c r="E5" i="15"/>
  <c r="D5" i="15"/>
  <c r="B5" i="15"/>
  <c r="H4" i="15"/>
  <c r="G4" i="15"/>
  <c r="F4" i="15"/>
  <c r="E4" i="15"/>
  <c r="D4" i="15"/>
  <c r="B4" i="15"/>
  <c r="H3" i="15"/>
  <c r="G3" i="15"/>
  <c r="F3" i="15"/>
  <c r="E3" i="15"/>
  <c r="D3" i="15"/>
  <c r="B3" i="15"/>
</calcChain>
</file>

<file path=xl/sharedStrings.xml><?xml version="1.0" encoding="utf-8"?>
<sst xmlns="http://schemas.openxmlformats.org/spreadsheetml/2006/main" count="61926" uniqueCount="9516">
  <si>
    <t>وقت رفع الطلب</t>
  </si>
  <si>
    <t>المجمع</t>
  </si>
  <si>
    <t xml:space="preserve"> مقدم الطلب </t>
  </si>
  <si>
    <t>القسم</t>
  </si>
  <si>
    <t>البناية</t>
  </si>
  <si>
    <t>العمل</t>
  </si>
  <si>
    <t>ملاحظات المدخل</t>
  </si>
  <si>
    <t xml:space="preserve">الوحدة </t>
  </si>
  <si>
    <t>حالة العمل</t>
  </si>
  <si>
    <t>وقت الانجاز</t>
  </si>
  <si>
    <t>ملاحظات الشعبة</t>
  </si>
  <si>
    <t>الإرسال اليدوي</t>
  </si>
  <si>
    <t>كهرباء</t>
  </si>
  <si>
    <t>منجز</t>
  </si>
  <si>
    <t>ميكانيك</t>
  </si>
  <si>
    <t>تبريد</t>
  </si>
  <si>
    <t>مدني</t>
  </si>
  <si>
    <t>تابع للتربية</t>
  </si>
  <si>
    <t>موقع الصيانة</t>
  </si>
  <si>
    <t>ملاحظات</t>
  </si>
  <si>
    <t>school.maintenance.division@gmail.com</t>
  </si>
  <si>
    <t>قسم التربية والتعليم العالي</t>
  </si>
  <si>
    <t>قسم المشاريع الهندسية</t>
  </si>
  <si>
    <t>aettfiyyrtr@gmail.com</t>
  </si>
  <si>
    <t>fhjuj02@gmail.com</t>
  </si>
  <si>
    <t>ZONE A - الطابق الارضي</t>
  </si>
  <si>
    <t>الحر</t>
  </si>
  <si>
    <t>علي فالح</t>
  </si>
  <si>
    <t>C- المتوسطة (البناية 3)</t>
  </si>
  <si>
    <t>احمد كريم عبد</t>
  </si>
  <si>
    <t>abodfitt@gmail.com</t>
  </si>
  <si>
    <t>D- الاعدادية (البناية 4)</t>
  </si>
  <si>
    <t>ZONE A - الطابق الارضي, ZONE B - الطابق الارضي</t>
  </si>
  <si>
    <t>تربية</t>
  </si>
  <si>
    <t>وحدة الكهرباء</t>
  </si>
  <si>
    <t>mohamedareem@gmail.com</t>
  </si>
  <si>
    <t>ZONE B - الطابق الارضي</t>
  </si>
  <si>
    <t>ZONE A - الطابق الاول</t>
  </si>
  <si>
    <t>ZONE B - الطابق الاول</t>
  </si>
  <si>
    <t>B- الابتدائية (البناية 2)</t>
  </si>
  <si>
    <t>السطح</t>
  </si>
  <si>
    <t>ZONE B - الطابق الاول, ZONE B - الطابق الثاني</t>
  </si>
  <si>
    <t>A- الابتدائية (البناية 1)</t>
  </si>
  <si>
    <t>ZONE A - الطابق الثاني</t>
  </si>
  <si>
    <t>ZONE B - الطابق الارضي, ZONE B - الطابق الثاني</t>
  </si>
  <si>
    <t>ZONE B - الطابق الارضي, ZONE B - الطابق الاول, ZONE B - الطابق الثاني</t>
  </si>
  <si>
    <t>ZONE A - الطابق الارضي, ZONE A - الطابق الاول, ZONE A - الطابق الثاني, ZONE B - الطابق الارضي, ZONE B - الطابق الاول, ZONE B - الطابق الثاني</t>
  </si>
  <si>
    <t>ZONE B - الطابق الثاني</t>
  </si>
  <si>
    <t>ZONE B - الطابق الارضي, ZONE B - الطابق الاول</t>
  </si>
  <si>
    <t xml:space="preserve">عيسى صالح </t>
  </si>
  <si>
    <t xml:space="preserve">علي فالح </t>
  </si>
  <si>
    <t xml:space="preserve">ابو كميل </t>
  </si>
  <si>
    <t>A- الابتدائية (البناية 1), B- الابتدائية (البناية 2), C- المتوسطة (البناية 3), D- الاعدادية (البناية 4)</t>
  </si>
  <si>
    <t>A- الابتدائية (البناية 1), C- المتوسطة (البناية 3), D- الاعدادية (البناية 4)</t>
  </si>
  <si>
    <t>B- الابتدائية (البناية 2), D- الاعدادية (البناية 4)</t>
  </si>
  <si>
    <t>علي حسين</t>
  </si>
  <si>
    <t>القاعة الرياضية جهة الابتدائية</t>
  </si>
  <si>
    <t xml:space="preserve">علي حسين عليوي </t>
  </si>
  <si>
    <t>القاعة الرياضية جهة المتوسطة</t>
  </si>
  <si>
    <t>شعبة الصيانة</t>
  </si>
  <si>
    <t>ZONE A - الطابق الارضي, ZONE A - الطابق الاول, ZONE A - الطابق الثاني</t>
  </si>
  <si>
    <t xml:space="preserve">محمد عباس </t>
  </si>
  <si>
    <t>الاسم</t>
  </si>
  <si>
    <t>الإيميل</t>
  </si>
  <si>
    <t>النوع</t>
  </si>
  <si>
    <t>الحالة</t>
  </si>
  <si>
    <t>رقم واتساب</t>
  </si>
  <si>
    <t>الوحدة</t>
  </si>
  <si>
    <t>telegram</t>
  </si>
  <si>
    <t>نطاق اسماء الوحدات</t>
  </si>
  <si>
    <t>سامر مقداد</t>
  </si>
  <si>
    <t>test1234@gmail.com</t>
  </si>
  <si>
    <t>فرعي</t>
  </si>
  <si>
    <t>نشط</t>
  </si>
  <si>
    <t>مولدات</t>
  </si>
  <si>
    <t>م حمزة</t>
  </si>
  <si>
    <t>alansarihamza56@gmail.com</t>
  </si>
  <si>
    <t>م مرتضى عباس</t>
  </si>
  <si>
    <t>mrtathaabbassps44@gmail.com</t>
  </si>
  <si>
    <t>علي عبدعلي</t>
  </si>
  <si>
    <t>عباس حسين</t>
  </si>
  <si>
    <t>م كريم</t>
  </si>
  <si>
    <t>امين كاظم</t>
  </si>
  <si>
    <t>مؤمل نصير</t>
  </si>
  <si>
    <t>اخرى</t>
  </si>
  <si>
    <t>م علي مطلق</t>
  </si>
  <si>
    <t>alimoutlaq@gmail.com</t>
  </si>
  <si>
    <t>م علي يسري</t>
  </si>
  <si>
    <t>alisonic999999@gmail.com</t>
  </si>
  <si>
    <t>مرتضى الكاظم</t>
  </si>
  <si>
    <t>عبدالله علوان</t>
  </si>
  <si>
    <t>حسين عباس</t>
  </si>
  <si>
    <t>جهاد جواد</t>
  </si>
  <si>
    <t>ادارية</t>
  </si>
  <si>
    <t>رئيسي</t>
  </si>
  <si>
    <t>مدير</t>
  </si>
  <si>
    <t>9647760055149</t>
  </si>
  <si>
    <t>فني متخصص</t>
  </si>
  <si>
    <t>م علي سعد</t>
  </si>
  <si>
    <t>ali12345alisaad@gmail.com</t>
  </si>
  <si>
    <t xml:space="preserve">منتظر ميثم </t>
  </si>
  <si>
    <t>محمد شهيد</t>
  </si>
  <si>
    <t>alfaraunm@gmail.com</t>
  </si>
  <si>
    <t>بهاء ادارية</t>
  </si>
  <si>
    <t>bahaaaloosh1989@gmail.com</t>
  </si>
  <si>
    <t>شعبة الخدمات</t>
  </si>
  <si>
    <t>عبدالله جابر</t>
  </si>
  <si>
    <t xml:space="preserve">رعد ابو نرجس </t>
  </si>
  <si>
    <t>raad63942@gmail.com</t>
  </si>
  <si>
    <t>م سجاد حميد</t>
  </si>
  <si>
    <t>علي محمد</t>
  </si>
  <si>
    <t>مصطفى عبدالرضا</t>
  </si>
  <si>
    <t>رقم العمل</t>
  </si>
  <si>
    <t>وحدة المدني</t>
  </si>
  <si>
    <t xml:space="preserve">وحدة المدني </t>
  </si>
  <si>
    <t xml:space="preserve">وحدة الميكانيك </t>
  </si>
  <si>
    <t xml:space="preserve">أعمال من قبل شعبة الإتصالات </t>
  </si>
  <si>
    <t>تابع الى الشركة</t>
  </si>
  <si>
    <t>لحين شراء كاوية بسبب فصل  اسلاك الانارة</t>
  </si>
  <si>
    <t>لحين جلب كاوية</t>
  </si>
  <si>
    <t xml:space="preserve">عطل في ملف المكنسة </t>
  </si>
  <si>
    <t>✅ تم تلقائي (1)</t>
  </si>
  <si>
    <t>✅ تم يدوي (واتساب): عبدالله علوان (1 صف)</t>
  </si>
  <si>
    <t>✅ تم يدوي (واتساب): مرتضى الكاظم (1 صف)</t>
  </si>
  <si>
    <t>✅ تم يدوي (واتساب): ادارية (2 صف)</t>
  </si>
  <si>
    <t>✅ تم يدوي (واتساب): م كريم (4 صف)</t>
  </si>
  <si>
    <t>✅ تم يدوي (واتساب): امين كاظم (5 صف)</t>
  </si>
  <si>
    <t>✅ تم يدوي (واتساب): امين كاظم (1 صف)</t>
  </si>
  <si>
    <t>✅ تم يدوي (واتساب): م كريم (1 صف)</t>
  </si>
  <si>
    <t>✅ تم يدوي (واتساب): امين كاظم (2 صف)</t>
  </si>
  <si>
    <t>✅ تم يدوي (واتساب): علي عبدعلي (2 صف)</t>
  </si>
  <si>
    <t xml:space="preserve"> </t>
  </si>
  <si>
    <t>صيانة سبور لايت عدد 2</t>
  </si>
  <si>
    <t xml:space="preserve">صيانة يدة باب عدد 2 + مرد باب الصحيات </t>
  </si>
  <si>
    <t xml:space="preserve">
صيانة براد ماء في البناية الاولى الطابق الارضي زون A</t>
  </si>
  <si>
    <t>A- الابتدائية (البناية 1), B- الابتدائية (البناية 2)</t>
  </si>
  <si>
    <t>السطح, ZONE B - الطابق الثاني</t>
  </si>
  <si>
    <t xml:space="preserve">صالح </t>
  </si>
  <si>
    <t xml:space="preserve">استبدال قفل القاعة الرياضية </t>
  </si>
  <si>
    <t xml:space="preserve"> عمل مشترك مدني ميكانيك</t>
  </si>
  <si>
    <t>طه</t>
  </si>
  <si>
    <t>C- المتوسطة (البناية 3), D- الاعدادية (البناية 4)</t>
  </si>
  <si>
    <t xml:space="preserve">مدير المدرسة </t>
  </si>
  <si>
    <t>الشفت المسائي</t>
  </si>
  <si>
    <t>صالح</t>
  </si>
  <si>
    <t>باب مقفل يحتاج إلى فتح</t>
  </si>
  <si>
    <t xml:space="preserve">صحيات تحتاج إلى تسليك </t>
  </si>
  <si>
    <t>كرار المدير</t>
  </si>
  <si>
    <t xml:space="preserve">الخامس ج تركيب خشبة الصف الجانبية </t>
  </si>
  <si>
    <t xml:space="preserve">الخامس د النافذة لاتغلق بسبب كسر مسند اليدة </t>
  </si>
  <si>
    <t xml:space="preserve">سيد كرار </t>
  </si>
  <si>
    <t>شباك مكسور في صف خامس د</t>
  </si>
  <si>
    <t xml:space="preserve">غرفة معاون شؤون الطلاب يوجد فيه شباك مكسور </t>
  </si>
  <si>
    <t>التواصل مع مدير المدرسة لمعرفة الموقع</t>
  </si>
  <si>
    <t>تم ارجاع قطع سقف ثانوي عدد (٢) ط الثاني زون B المدرسة الثالثة</t>
  </si>
  <si>
    <t xml:space="preserve">السخان في صحيات الطلبة يكهرب يرجى معالجة الامر </t>
  </si>
  <si>
    <t xml:space="preserve">تم فصله عن الطاقة الكهربائية في الساعة ب10 في تاريخ 7/1 </t>
  </si>
  <si>
    <t>مثنى هلال</t>
  </si>
  <si>
    <t xml:space="preserve">في غرفة الادارة لوحة تعريفية تحتاج الى صمغ وتركيب </t>
  </si>
  <si>
    <t>صالح المعاون</t>
  </si>
  <si>
    <t xml:space="preserve">استبدال </t>
  </si>
  <si>
    <t>اصلاح يدة الباب الرئيسية للاستعلامات</t>
  </si>
  <si>
    <t xml:space="preserve">صيانة الانارة الخاصة بالصحيات الداخلية و الخارجية </t>
  </si>
  <si>
    <t>المتضرر فقط في الزون B</t>
  </si>
  <si>
    <t>باب الزون الداخلي المطل على الساحة كسر في السرقي</t>
  </si>
  <si>
    <t>حسين فارس</t>
  </si>
  <si>
    <t xml:space="preserve">باب الاستعلامات كسر في المقبض للمرة الثانية </t>
  </si>
  <si>
    <t xml:space="preserve">ميز يحتاج الى صمغ قرب المرسم </t>
  </si>
  <si>
    <t xml:space="preserve">عيسى صالح السراي </t>
  </si>
  <si>
    <t>مجتبى رحمن</t>
  </si>
  <si>
    <t xml:space="preserve">الثالث و // سبورة تحتاج إلى تركيب </t>
  </si>
  <si>
    <t xml:space="preserve">يوجد تسريب مياه في الغرف الإدارية </t>
  </si>
  <si>
    <t>B- الابتدائية (البناية 2), C- المتوسطة (البناية 3)</t>
  </si>
  <si>
    <t xml:space="preserve">غرفة السنكرو </t>
  </si>
  <si>
    <t>غرفة السنكرو</t>
  </si>
  <si>
    <t>عمل مشترك مع وحدة المدني</t>
  </si>
  <si>
    <t>ZONE B - الطابق الارضي, حمامات الطلاب</t>
  </si>
  <si>
    <t xml:space="preserve">عدم وجود ماء حار في حمامات الطلاب لعدم اشتغال السخان </t>
  </si>
  <si>
    <t>قرب الباب الرئيسية</t>
  </si>
  <si>
    <t>تم رفع المقرنص و اعادة تطبيكه قرب الباب الرئيسية المدرسة الثانية</t>
  </si>
  <si>
    <t>ادارة المجمع</t>
  </si>
  <si>
    <t>جك باب هيدروليك</t>
  </si>
  <si>
    <t>الباب الوسطية مابين الزون a وb الباب تغلق بسرعة ممكن ان يتهشم زجاج الباب لطفا اجرائكم مع التقدير</t>
  </si>
  <si>
    <t>عيسى صالح</t>
  </si>
  <si>
    <t>A- الابتدائية (البناية 1), B- الابتدائية (البناية 2), C- المتوسطة (البناية 3)</t>
  </si>
  <si>
    <t xml:space="preserve">الشفت المسائي </t>
  </si>
  <si>
    <t xml:space="preserve">المضخة تحت الصيانة </t>
  </si>
  <si>
    <t xml:space="preserve">الجك الخاص بالباب الوسطي بين الزون A وزون B يحتاج إلى صيانة </t>
  </si>
  <si>
    <t xml:space="preserve">A - البناية الأولى </t>
  </si>
  <si>
    <t xml:space="preserve">تركيب أهداف كرة السلة </t>
  </si>
  <si>
    <t>فتح باب مقفل في الصحيات المدرسة الرابعة زون B ط الأرضي</t>
  </si>
  <si>
    <t xml:space="preserve">عيسى السراي </t>
  </si>
  <si>
    <t>ادارة مجمع الحر</t>
  </si>
  <si>
    <t xml:space="preserve">ZONE A - الطابق الارضي,  الباب الوسطي ما بين زون </t>
  </si>
  <si>
    <t>جك الباب الوسطي الحديد لا يعمل</t>
  </si>
  <si>
    <t>صيانة الرحلات الخاصة بالبناية</t>
  </si>
  <si>
    <t xml:space="preserve">جميع صحيات البناية الرابعة </t>
  </si>
  <si>
    <t xml:space="preserve">جميع البنايات </t>
  </si>
  <si>
    <t xml:space="preserve">جميع الطوابق البنايات زون بي </t>
  </si>
  <si>
    <t xml:space="preserve">تم اضافة بوتلس لجميع السلكترات الخاصة بساحبات  الزون B  في جميع البنايات  
</t>
  </si>
  <si>
    <t xml:space="preserve">قسم المشاريع الهندسية </t>
  </si>
  <si>
    <t>تم تزيت باب الساحة الدائرية ط ارضي زون A المدرسة الثالثة</t>
  </si>
  <si>
    <t>تم ارجاع قطعة مرمر صف الأول (ج) ط ارضي زون B المدرسة الثالثة</t>
  </si>
  <si>
    <t>اعمال يوم الخميس مسائي</t>
  </si>
  <si>
    <t>تم ارجاع خشبة جدار صف الأول (د) ط ارضي زون B المدرسة الثالثة</t>
  </si>
  <si>
    <t xml:space="preserve">و </t>
  </si>
  <si>
    <t>اعمال حفر ممر الصحيات طابق الثاني المدرسة الثانية</t>
  </si>
  <si>
    <t xml:space="preserve">الباب الرئيسي البناية </t>
  </si>
  <si>
    <t>اعمال حفر الصحيات ط الثاني المدرسة الثانية</t>
  </si>
  <si>
    <t>صيانة مقابض الباب الرئيس كونها مكسورة</t>
  </si>
  <si>
    <t xml:space="preserve">جميع بناية المجمع التربوي </t>
  </si>
  <si>
    <t xml:space="preserve">الصحيات المجاورة للقاعة يوجد بها انسداد </t>
  </si>
  <si>
    <t>اعمال حفر ارضية الصحيات ط الثاني  المدرسة الثانية</t>
  </si>
  <si>
    <t>الكراج</t>
  </si>
  <si>
    <t>أعمال حفر ارضية الصحيات ط الثاني المدرسة الثانية</t>
  </si>
  <si>
    <t>تم اكمال اعمال حفر الصحيات +نقل كواني بحص(حصو) قرب ممر البكجات الطابق الثاني البناية الثانية</t>
  </si>
  <si>
    <t xml:space="preserve">جميع الطوابق </t>
  </si>
  <si>
    <t xml:space="preserve">موقع المولدات </t>
  </si>
  <si>
    <t xml:space="preserve">
تم تبديل سخان الماء في البناية الثالثة طابق الأرضي زون A
</t>
  </si>
  <si>
    <t>باب الصحيات  يحتاج الى صيانة الكيلون</t>
  </si>
  <si>
    <t>صيانة او تبديل انبوب المياه في صحيات الادارة حمامات الجناح الاداري</t>
  </si>
  <si>
    <t>اادارة المجمع</t>
  </si>
  <si>
    <t>الساحة الرياضية الخارجية</t>
  </si>
  <si>
    <t>القاعة الرياضية جهة المتوسطة, الساحة الرياضية الخارجية</t>
  </si>
  <si>
    <t>تحتاج الى قفل مع اربعة نسخ للمفتاح</t>
  </si>
  <si>
    <t>تنزيل انقاض الصحيات الطابق الثاني البناية الثانية ووضعها قرب باب الاستعلامات</t>
  </si>
  <si>
    <t>صيانة الباب الخارجي للبناية الاولى</t>
  </si>
  <si>
    <t>صيانة باب الالمنيوم عدد(٢) في الصحيات البناية الاولى الطابق الثاني</t>
  </si>
  <si>
    <t xml:space="preserve">الملاعب الرياضية الخارجية </t>
  </si>
  <si>
    <t>تم تركيب قفل باب الملعب قرب المدرسة الرابعة</t>
  </si>
  <si>
    <t>كرفان الشركة الامنية في الساحة الخلفية للمجمع</t>
  </si>
  <si>
    <t xml:space="preserve">تبديل سويج بلك رباعي  كون القديم مستهلك ويشكل خطر </t>
  </si>
  <si>
    <t>استبدال سويج رباعي عدد 1 في كرفان الامنية في الكراج</t>
  </si>
  <si>
    <t>اعمال گير لبتلو الصحيات في المدرسة الثانية</t>
  </si>
  <si>
    <t xml:space="preserve"> في جميع البنايات</t>
  </si>
  <si>
    <t>تم اعادة ربط محولة سبور لايت في الصحيات قرب القاعة الرياضية مقابل البناية الاولى بسبب وجود رخاوة في الاسلاك.</t>
  </si>
  <si>
    <t xml:space="preserve">A- الابتدائية (البناية 1), </t>
  </si>
  <si>
    <t>تم استبدال فوتوسيل البناية الثانية</t>
  </si>
  <si>
    <t>تم تثبيت قطع مرد ماي عدد ٢ في صحيات الطابق الاول الزون B</t>
  </si>
  <si>
    <t>ZONE A - الطابق الثاني, ZONE B - الطابق الثاني</t>
  </si>
  <si>
    <t>صيانة مصد الباب مخاوف رجوع الباب على الشاشة التفاعلية</t>
  </si>
  <si>
    <t xml:space="preserve">ادارة المجمع </t>
  </si>
  <si>
    <t>ZONE A - الطابق الارضي, ZONE B - الطابق الارضي, باب دخول الطلاب من الممر مابين البناية الاولى والثانية</t>
  </si>
  <si>
    <t xml:space="preserve">الباب الالمنيوم لا يغلق بسبب السرقي الاسفل للباب </t>
  </si>
  <si>
    <t>ادالرة المجمع</t>
  </si>
  <si>
    <t>ZONE A - الطابق الثاني, ZONE B - الطابق الثاني, المصلى  وسقف الممر للصفوف الزون بي</t>
  </si>
  <si>
    <t>تطاير السقف الثانوي وصيانة واجهة الاعمدة في المصلى</t>
  </si>
  <si>
    <t>تم ارجاع قطع سقف ثانوي عدد (٧) ط أول المدرسة الثانية</t>
  </si>
  <si>
    <t xml:space="preserve">
تم وضع مادة الصوصج في انابيب الصرف الصحي PVC
</t>
  </si>
  <si>
    <t xml:space="preserve">مساعدة وحدة المدني في اعمال صب الصحيات </t>
  </si>
  <si>
    <t xml:space="preserve"> عيسى صالح </t>
  </si>
  <si>
    <t xml:space="preserve">تم إعادة تشغيل احد الشاشات لشركة الأمنية واعادتها إلى العمل </t>
  </si>
  <si>
    <t xml:space="preserve">مختلف الطوابق </t>
  </si>
  <si>
    <t>تحويل تغذية انارة غرفة الكهرباء وغرفة المحولات الى الطاقة الشمسية في الطابق الارضي البناية الرابعة .</t>
  </si>
  <si>
    <t xml:space="preserve">صيانة انارة منشورية 60×60 عدد 1 
</t>
  </si>
  <si>
    <t>ZONE A - الطابق الاول, ZONE B - الطابق الارضي</t>
  </si>
  <si>
    <t>اضافة فيوز لحماية دائرة السيطرة الخاصة بشحن منظومة الالواح الشمسية في غرفة التزامن .</t>
  </si>
  <si>
    <t>استبدال مأخذ قدرة 13A عدد 1 في البناية الثالثة الطابق الارضي الزون B .</t>
  </si>
  <si>
    <t>فصل سيار كهرباء من بورد الغطاس في الكراج .</t>
  </si>
  <si>
    <t xml:space="preserve">تم تغذية سيار كهرباء لوحدة الصيانة التابعة للتربية والتعليم. </t>
  </si>
  <si>
    <t>القاعات الرياضية</t>
  </si>
  <si>
    <t>تم ربط لاقطة( السماعات القاعة الرياضية) 
عدد 1 مع ضبط الإعدادات .</t>
  </si>
  <si>
    <t>تم إعادة تشغيل مضخات الماء الموزعة لخزانات المباني الاربعة بسبب طوافة الماء حيث كانت لا تعمل بالصورة الطبيعية.</t>
  </si>
  <si>
    <t>اعادة ربط ماطور ماء بعد صيانته من قبل وحدة الميكانيك في البناية الثانية.</t>
  </si>
  <si>
    <t>تم دفن البوري صحيات ط الثاني المدرسة الثانية</t>
  </si>
  <si>
    <t>تم تصعيد المواد الى الطابق الثاني المدرسة الثانية</t>
  </si>
  <si>
    <t>ادارة المجع</t>
  </si>
  <si>
    <t xml:space="preserve">الباب الخارجي مقابل البناية الثانية </t>
  </si>
  <si>
    <t>تم اعمال تصعيد المواد الى الطابق الثاني المدرسة الثانية</t>
  </si>
  <si>
    <t>تم عمل بسيس لغرض تثبيت مقاعد الصحيات ط الثاني المدرسة الثانية</t>
  </si>
  <si>
    <t>اعمال صب ارضية الصحيات البناية الثانية الطابق الثاني</t>
  </si>
  <si>
    <t>تنظيف مكان عمل صب الصحيات الطابق الثاني البناية الثانية</t>
  </si>
  <si>
    <t>تنظيف مكان عمل صب الصحيات الطابق الثاني البناية الثانية.</t>
  </si>
  <si>
    <t>صب ارضية الصحيات</t>
  </si>
  <si>
    <t>تنظيف موقع العمل بعد صب ارضية الصحيات</t>
  </si>
  <si>
    <t xml:space="preserve">الممر الي بين البناية الأولى والثانية </t>
  </si>
  <si>
    <t>تم رفع المقرنص واعادة التطبيك في الممر مابين البناية الاولى والثانية</t>
  </si>
  <si>
    <t>وضع مادة عازلة قبل التطبيك في الصحيات البناية الثانية الطابق الثاني</t>
  </si>
  <si>
    <t>تم تصعيد مواد تطبيك الصحيات البناية الثانية الطابق الثاني</t>
  </si>
  <si>
    <t>مختلف الطوابق</t>
  </si>
  <si>
    <t>تبديل يدة شباك حديد عدد(1) الصف الاول (د)  الطابق الارضي البناية الاولى الزونB</t>
  </si>
  <si>
    <t>صيانة اطار باب خشب الصف الرابع الابتدائي(ب) الطابق الارضي البناية الاولى الزون(B)</t>
  </si>
  <si>
    <t xml:space="preserve">تبديل اطارات حاويات النفايات الكبيرة  كونها تالفة وغير صالحة للاستخدام
</t>
  </si>
  <si>
    <t>تلف مقبض باب الحمامات</t>
  </si>
  <si>
    <t>كشف لجميع بنايات المجمع الجهة المطلة علي الملاعب وعلى المنازل السكنية المجاورة للمجمع</t>
  </si>
  <si>
    <t xml:space="preserve"> كشف لجميع بنايات المجمع الجهة المطلة علي الملاعب وعلى المنازل السكنية المجاورة للمجمع</t>
  </si>
  <si>
    <t>تضليل النوافذ  بلاصق المضلل</t>
  </si>
  <si>
    <t>صيانة ابواب الالمنيوم عدد(7) في الصحيات مختلف الطوابق البناية الثانية</t>
  </si>
  <si>
    <t>صيانة قطعة خشب ميز مكتبة قرب باب استعلامات البناية الثانية الطابق الارضي</t>
  </si>
  <si>
    <t>ارجاع سقف ثانوي قطع عدد(14) في البناية الاولى مخلف الطوابق الزونB+صحيات الخارجية للبناية الثانية</t>
  </si>
  <si>
    <t xml:space="preserve">ZONE B - الطابق الارضي, حمامات الطلاب </t>
  </si>
  <si>
    <t>سقوط السقف الثانوي في الحمام الثالث  مما ادى الى تناثر اجزاء السقف في كابينة الحمام</t>
  </si>
  <si>
    <t>ZONE B - الطابق الثاني, حمامات الطلاب  وسقوف الممرات الجانبية للجناح B</t>
  </si>
  <si>
    <t>الدارة المجمع</t>
  </si>
  <si>
    <t>انفكاك قطع السقوف الثانوية في الممرات قرب السلالم</t>
  </si>
  <si>
    <t>r</t>
  </si>
  <si>
    <t xml:space="preserve">تفضلكم بتثبيت الهزارة الخشبية في غرفة المرسم </t>
  </si>
  <si>
    <t xml:space="preserve">الباب الرئيسي </t>
  </si>
  <si>
    <t xml:space="preserve">يرجى تفضلكم بصيانة الباب الخارجي </t>
  </si>
  <si>
    <t>صيانة 5 أبواب ألمنيوم (الصحيات الخارجية/ البناية 2).
​استبدال الأقفال والمقابض المتضررة بأخرى جديدة</t>
  </si>
  <si>
    <t>ZONE A - الطابق الارضي, الباب ما بين زون A وB</t>
  </si>
  <si>
    <t>عطل جك الباب</t>
  </si>
  <si>
    <t>تم لحيم الباب الخارجي للبناية الثانية</t>
  </si>
  <si>
    <t>تثبيت بيم نرمادة باب خشب الصحيات البناية الثانية الطابق الاول</t>
  </si>
  <si>
    <t>ادارة مجمع البنين</t>
  </si>
  <si>
    <t>تثبيت ميز مكتب</t>
  </si>
  <si>
    <t>انسداد بالصحيات الموجدة داخل الصف السادس (ج)</t>
  </si>
  <si>
    <t xml:space="preserve">غسل وتنظيف فلاتر VRF  في البناية الثانية بالكامل </t>
  </si>
  <si>
    <t xml:space="preserve">تبديل وتنظيف السواقي في الساحات الداخلية </t>
  </si>
  <si>
    <t xml:space="preserve">تم معالجة الانسدادات في جميع البنايات </t>
  </si>
  <si>
    <t xml:space="preserve">حامل الاقداح للبرادات  المياه  للطلاب  مستهلك  تفضلكم باستبدالها مع مراعات اجراء كشف على بقية البرادات في المدارس البقية
</t>
  </si>
  <si>
    <t>انسداد في السيفون الخاص بالحمامات  الوسطية</t>
  </si>
  <si>
    <t>الصحيات الخارجية مقطوع فيها الماء</t>
  </si>
  <si>
    <t xml:space="preserve">ZONE A - الطابق الارضي, ZONE B - الطابق الارضي, صحيات الطلاب وصحيات الادراية </t>
  </si>
  <si>
    <t xml:space="preserve">صيانة عدد من ماخذ القدرة في مختبر الحاسوب البناية الرابعة الطابق الاول زون A .
</t>
  </si>
  <si>
    <t xml:space="preserve">
صيانة انارة في الصحيات البناية الاولى الطابق الاول  استبدال محولة 24v
</t>
  </si>
  <si>
    <t>تم فصل السماعات الموجودة في (الحانوت)
البناية الأولى الطابق الأول زون A</t>
  </si>
  <si>
    <t xml:space="preserve">الممر الفاصل بين البناية الثالثة والثانية </t>
  </si>
  <si>
    <t xml:space="preserve">فحص و صيانة مراوح بوردات غرف الكهرباء في البنايات الاربعة.
</t>
  </si>
  <si>
    <t xml:space="preserve">تم ربط وتغذيه سيار للأعمال الخارجية
</t>
  </si>
  <si>
    <t xml:space="preserve">الملاعب الخارجية </t>
  </si>
  <si>
    <t xml:space="preserve">خلف البناية الاولى </t>
  </si>
  <si>
    <t>الملعب الخارجي</t>
  </si>
  <si>
    <t xml:space="preserve">خلف البناية الثانية </t>
  </si>
  <si>
    <t>اضافة مأخذ قدرة مطري لبورد الغطاس لغرض الاعمال الخارجية.</t>
  </si>
  <si>
    <t>توقف المصد</t>
  </si>
  <si>
    <t>اضافة صندوق للاسعافات الاولية في غرفة الكهرباء والمدني البناية الرابعة.</t>
  </si>
  <si>
    <t xml:space="preserve">صيانة وترتيب كيبلات الشاشة في البناية الرابعة:
</t>
  </si>
  <si>
    <t xml:space="preserve">استبدال انارة منشورية 60×60 في البناية الاولى الطابق الأرضي </t>
  </si>
  <si>
    <t>تثبيت شعار في الحائط غرفة الاعلام التربوي</t>
  </si>
  <si>
    <t>كراسي المختبر تحتاج الى صيانة</t>
  </si>
  <si>
    <t>تم تزيت الأبواب الصحيات بل كامل</t>
  </si>
  <si>
    <t>تثبيت قطعة تعريفية قرب استعلامات البناية الرابعة الطابق الارضي الزون A.</t>
  </si>
  <si>
    <t>تركيب قطعة خشبية في الدرج الزون B الطابق الارضي البناية الاولى.</t>
  </si>
  <si>
    <t>تبديل عجلات عربة الخدمة الحديدة</t>
  </si>
  <si>
    <t>تثبيت الهزارة الخشبية في صف الثاني (ب)</t>
  </si>
  <si>
    <t xml:space="preserve">تثبيت سبورة في المكتبة </t>
  </si>
  <si>
    <t xml:space="preserve">جميع الطوابق زون بي </t>
  </si>
  <si>
    <t xml:space="preserve">تثبيت صيدلية في المختبرات </t>
  </si>
  <si>
    <t>تبديل يدة باب المنيوم في المدرسة الرابعة عدد ٢</t>
  </si>
  <si>
    <t>تبديل يدة شباك عدد ١ في المدرسة الرابعة زون B</t>
  </si>
  <si>
    <t>تثبيت سبورة في المكتبة مع رف مستوى الشاشة</t>
  </si>
  <si>
    <t>تثبيت مسطرة باب خشب الصف الرابع (ح) الطابق الارضي الزونB البناية الاولى</t>
  </si>
  <si>
    <t>تثبيت مصد باب خشب عدد(1)في الصحيات الطابق الاول الزون B المدرسة الثالثة</t>
  </si>
  <si>
    <t xml:space="preserve">خلف المدرسة الثالثة </t>
  </si>
  <si>
    <t>ZONE A - الطابق الثاني, الحمامات المجاورة للمصعد</t>
  </si>
  <si>
    <t>وجود فتحات في السقف الثانوي تسمح بدخول الطيور فوق السقف مما تؤدي الى تجمع مخلفات واوساخ تقع في الصحيات</t>
  </si>
  <si>
    <t>ادرة المجمع</t>
  </si>
  <si>
    <t>الممر الموجود بين البناية الثالثة و الرابعة</t>
  </si>
  <si>
    <t>توجد فتحة في اعلى البناية الثالثة تم اطلاع الاستاذ اركان عليها تحتاج الى غلق</t>
  </si>
  <si>
    <t>A- الابتدائية (البناية 1), C- المتوسطة (البناية 3)</t>
  </si>
  <si>
    <t xml:space="preserve">الممر الفاصل بين البناية الثالثة والرابعة </t>
  </si>
  <si>
    <t>تم تثبيت كابون في جانب مرتفع البناية الثالثة.</t>
  </si>
  <si>
    <t>تم شد صندوق خشب في البناية الرابعة الطابق الارضي الزون B</t>
  </si>
  <si>
    <t>صيانة رحلات عدد(17) في جميع الصفوف مختلف طوابق البناية الثانية</t>
  </si>
  <si>
    <t>صيانة كيلون باب خشب الصف الثاني ج الطابق الاول البناية الثانية</t>
  </si>
  <si>
    <t>تم صيانة كرسي في البناية الرابعة الطابق الاول الزون A</t>
  </si>
  <si>
    <t>تم ارجاع قطع سقف ثانوي عدد (٧) في جميع الطوابق زون B المدرسة الأولى</t>
  </si>
  <si>
    <t>تم رفع المقرنص لغرض تسليك بوري الكهرباء</t>
  </si>
  <si>
    <t>تم تركيب ملحق كاونتر عدد (٢) مختبر العلوم ط أول زون A المدرسة الأولى</t>
  </si>
  <si>
    <t>ZONE A - الطابق الارضي, ZONE B - الطابق الثاني, الاول  البناية الثالثة باب الاستعلامات الرئيسي والطلب الثاني حمامات  الطلاب الطابق الثاني البناية الرابعة</t>
  </si>
  <si>
    <t>تلف يدة باب المنيوم</t>
  </si>
  <si>
    <t xml:space="preserve">تثبيت مقاعد الخشبية في غرفة المكتبة
</t>
  </si>
  <si>
    <t>ادارة المجكمع</t>
  </si>
  <si>
    <t>ZONE A - الطابق الاول, المكتبة المدرسية</t>
  </si>
  <si>
    <t>تم تثبيت مرد ماء في صحيات البناية الثالثة الطابق الاول الزون B</t>
  </si>
  <si>
    <t>تم تزيت جميع أبواب الخشبية ط الثاني زون B المدرسة الأولى</t>
  </si>
  <si>
    <t>تم ارجاع مصد باب صف السادس (و) ط الثاني المدرسة الثانية مع صف السادس (ح)</t>
  </si>
  <si>
    <t>تم ارجاع مصد باب صف السادس (ج) ط أول المدرسة الثانية</t>
  </si>
  <si>
    <t>جميع الطوابق</t>
  </si>
  <si>
    <t>صيانة تور شباك عدد ٣ في المدرسة الثالثة</t>
  </si>
  <si>
    <t>تثبيت مصد باب خشب صف الثاني(د) و الثاني (أ) و الثاني(و) البناية الثالثة الطابق الاول الزونB</t>
  </si>
  <si>
    <t>تثبيت مصد باب خشب صف الثالث متوسط (ب) البناية الرابعة الطابق الارضي الزونB</t>
  </si>
  <si>
    <t>تثبيت مصد باب خشب صف الثالث متوسط(د) البناية الرابعة الطابق الارضي الزونB</t>
  </si>
  <si>
    <t>تثبيت مصد باب خشب صف الرابع الاعدادي(د) البناية الرابعة الطابق الاول الزونB</t>
  </si>
  <si>
    <t>تم ارجاع قطع سقف ثانوي عدد (١٤) ط أول زون B المدرسة الأولى</t>
  </si>
  <si>
    <t>تم تزيت جميع أبواب الحديد الفاصله بين الزونين ط ارضي و اول و الثاني المدرسة الأولى</t>
  </si>
  <si>
    <t>تم تركيب مصد الباب عدد اثنين صف السادس (ز) ط الثاني المدرسة الثانية</t>
  </si>
  <si>
    <t xml:space="preserve">صيانة مقابض ابواب الصحيات </t>
  </si>
  <si>
    <t xml:space="preserve">كيلون باب  غرفة المعاون الاداري </t>
  </si>
  <si>
    <t>تثبيت باب كرفان استراحة الامنية الخارجي</t>
  </si>
  <si>
    <t>تبديل يدة باب الالمنيوم عدد(1) في الصحيات الطابق الارضي الزون A البناية الرابعة</t>
  </si>
  <si>
    <t xml:space="preserve">بين البناية الثالثة والرابعة </t>
  </si>
  <si>
    <t>صيانة لوكر حديد في ممر بين البناية الثالثة البناية الرابعة</t>
  </si>
  <si>
    <t>فتح صندوق خشب في غرفة الارشاد التربوي الطابق الاول الزون B البناية الرابعة</t>
  </si>
  <si>
    <t>تبديل كيلون باب خشب غرفة المعاون الاداري الطابق الارضي الزون A البناية الثالثة</t>
  </si>
  <si>
    <t xml:space="preserve">
تم صيانة منظومة VRF في البناية الاولى الطابق الارضي
</t>
  </si>
  <si>
    <t>انسداد داخل الصحيات</t>
  </si>
  <si>
    <t xml:space="preserve">ZONE B - الطابق الاول, حمامات الطلاب </t>
  </si>
  <si>
    <t xml:space="preserve">تبديل حنفية مع تبديل حمالة شطاف </t>
  </si>
  <si>
    <t xml:space="preserve">فصل السيار الخارجي من بورد الغطاس 
</t>
  </si>
  <si>
    <t>ZONE A - الطابق الارضي, الحمامات الصحية</t>
  </si>
  <si>
    <t>نحتاج الى تقسيم حنفية بمعنى  مأخذ الى الشطاف ومأخذ الى حنفية غسل</t>
  </si>
  <si>
    <t xml:space="preserve">ZONE B - الطابق الارضي, ZONE B - الطابق الاول, ZONE B - الطابق الثاني, </t>
  </si>
  <si>
    <t>المعملجي</t>
  </si>
  <si>
    <t>سجاد تربية</t>
  </si>
  <si>
    <t>C- ثانوية العميد بناية الاعدادية  (الاولى)</t>
  </si>
  <si>
    <t xml:space="preserve">الطابق الارضي, الاستعلامات </t>
  </si>
  <si>
    <t xml:space="preserve">صيانة سبلت </t>
  </si>
  <si>
    <t>D- ثانوية العميد بناية المتوسطة  (الثانية)</t>
  </si>
  <si>
    <t xml:space="preserve">مختبر الكيمياء </t>
  </si>
  <si>
    <t>F-  ابتدائية جود العميد للبنات (الرابعة)</t>
  </si>
  <si>
    <t xml:space="preserve">كل المدرسة </t>
  </si>
  <si>
    <t>E- ابتدائية العميد للبنات (الثالثة)</t>
  </si>
  <si>
    <t>الطابق الاول</t>
  </si>
  <si>
    <t>A- المركز الثقافي</t>
  </si>
  <si>
    <t>الطابق الرابع</t>
  </si>
  <si>
    <t xml:space="preserve">الطابق الارضي, </t>
  </si>
  <si>
    <t>م.مرتضى</t>
  </si>
  <si>
    <t xml:space="preserve">إدامة وتنظيف القطع الخارجية لمنظومات التبريد في البناية </t>
  </si>
  <si>
    <t xml:space="preserve">م. مرتضى </t>
  </si>
  <si>
    <t>B- روضة القمر</t>
  </si>
  <si>
    <t>G- روضة الجود</t>
  </si>
  <si>
    <t>H- ابتدائية القمر للبنات (الخامسة)</t>
  </si>
  <si>
    <t xml:space="preserve">المطعم </t>
  </si>
  <si>
    <t xml:space="preserve">تحويل سبلت من بارد الى تدفئة </t>
  </si>
  <si>
    <t>I- ابتدائية الساقي للبنين (السادسة)</t>
  </si>
  <si>
    <t>J- ابتدائية الساقي للبنين الجانب الثاني (السابعة), J- جامعة العميد (السابعة)</t>
  </si>
  <si>
    <t>القاعة الرياضية مقابل الاولى</t>
  </si>
  <si>
    <t>إدامة وتنظيف منظومة البكج   الخاص بالقاعة</t>
  </si>
  <si>
    <t>القاعة الرياضية مقابل الالعاب</t>
  </si>
  <si>
    <t xml:space="preserve">القاعة الرياضية مقابل المدرسة الخامسة </t>
  </si>
  <si>
    <t>القاعة الرياضية مقابل المدرسة الرابعة</t>
  </si>
  <si>
    <t>الطابق الارضي, الطابق الاول, الطابق الثاني, الطابق الثالث, الطابق الرابع</t>
  </si>
  <si>
    <t>الطابق الارضي, الطابق الاول, الطابق الثاني</t>
  </si>
  <si>
    <t>الطابق الارضي, الطابق الاول, الطابق الثاني, جناح الادائرة ZONE A, جناح الساحة ZONE B</t>
  </si>
  <si>
    <t>الاستعلامات الرئيسية, المالية</t>
  </si>
  <si>
    <t>الطابق الارضي, الطابق الاول</t>
  </si>
  <si>
    <t>A- المركز الثقافي, قاعة سراج العميد</t>
  </si>
  <si>
    <t>تنظيف وادامة منظومة السبلت بكج الخاص بالقاعة</t>
  </si>
  <si>
    <t>A- المركز الثقافي, قاعة المؤتمرات</t>
  </si>
  <si>
    <t xml:space="preserve">تنظيف وادامة منظومة السبلت بكج الخاص بالقاعة </t>
  </si>
  <si>
    <t>تنظيف وادامة منظومة الهواء النقي dx في البناية</t>
  </si>
  <si>
    <t>B- روضة القمر, G- روضة الجود</t>
  </si>
  <si>
    <t>C- ثانوية العميد بناية الاعدادية  (الاولى), D- ثانوية العميد بناية المتوسطة  (الثانية)</t>
  </si>
  <si>
    <t>E- ابتدائية العميد للبنات (الثالثة), F-  ابتدائية جود العميد للبنات (الرابعة)</t>
  </si>
  <si>
    <t>H- ابتدائية القمر للبنات (الخامسة), I- ابتدائية الساقي للبنين (السادسة)</t>
  </si>
  <si>
    <t>الطابق الثالث</t>
  </si>
  <si>
    <t xml:space="preserve">صيانة مشكلة وتبريد والكارت الكهربائي الخاص بالموقع noise filter </t>
  </si>
  <si>
    <t>الطابق الثاني</t>
  </si>
  <si>
    <t>الطابق الاول, الطابق الثاني</t>
  </si>
  <si>
    <t>جناح الادائرة ZONE A</t>
  </si>
  <si>
    <t>الطابق الارضي</t>
  </si>
  <si>
    <t>صيانة التبريد في الطابق ومعالجة مشكلة الحمل الزائد والقواطع</t>
  </si>
  <si>
    <t>تحويل سبلت الى تدفئة</t>
  </si>
  <si>
    <t>تغير درجة السبلت او اطفائه</t>
  </si>
  <si>
    <t>/</t>
  </si>
  <si>
    <t>J- جامعة العميد (السابعة)</t>
  </si>
  <si>
    <t>ستخراج قابلو الأعمدة الخارجية المحيطة بالمدرسة السابعة وعمل ترامل له بحجم (35 ملم) وربطه لأحد قواطع بورد التوزيع الرئيسي للمدرسة وبحجم (40 امبير ثلاثي)</t>
  </si>
  <si>
    <t>.</t>
  </si>
  <si>
    <t>محطة الرفع</t>
  </si>
  <si>
    <t>غرفة الكهرباء</t>
  </si>
  <si>
    <t>تجهيز مسخنة الطعام وتغير ماشة من 13 امبير إلى 15 امبير</t>
  </si>
  <si>
    <t>C- ثانوية العميد بناية الاعدادية  (الاولى), H- ابتدائية القمر للبنات (الخامسة)</t>
  </si>
  <si>
    <t>الطابق الارضي, غرفة الكهرباء</t>
  </si>
  <si>
    <t>اعادة توجيه كاميرات غرف الكهرباء للروضتين الأولى والثانية</t>
  </si>
  <si>
    <t>موقع المهرجان</t>
  </si>
  <si>
    <t>تم ربط  3 سيارات قرب الستيج</t>
  </si>
  <si>
    <t>تم ربط سيار قرب الستيج الجهة الثانية</t>
  </si>
  <si>
    <t>تم ربط سيارات الصوتيات</t>
  </si>
  <si>
    <t>تم ربط سيار إلى المكانس الكهربائية</t>
  </si>
  <si>
    <t>تم ربط سيار قرب الستيج</t>
  </si>
  <si>
    <t>تم عمل سيار الى الصوتيات</t>
  </si>
  <si>
    <t xml:space="preserve">A- المركز الثقافي, </t>
  </si>
  <si>
    <t>.موقع المهرجان</t>
  </si>
  <si>
    <t xml:space="preserve"> ربط سيار كهرباء لتغذية مجموعة من كاميرات التصوير</t>
  </si>
  <si>
    <t>تم فصل جميع السيارات الكهربائية المغذية للحفل</t>
  </si>
  <si>
    <t>حفر مسار بين المنهولة الجديدة والمنهولة القديمة ومد سليف بحجم 4انج بينهما</t>
  </si>
  <si>
    <t>صحيات مقابل الالعاب</t>
  </si>
  <si>
    <t>المولدة الخاريجة</t>
  </si>
  <si>
    <t>إعادة تثبيت كاميرا مراقبة المولدات الخارجية  و توجيهها من جديد</t>
  </si>
  <si>
    <t xml:space="preserve">استحداث قاطع رباعي رئيسي  سعة 32A لراك منظومة UPS غرفة المراقبة </t>
  </si>
  <si>
    <t>الطابق الارضي, صف اللؤلؤ</t>
  </si>
  <si>
    <t xml:space="preserve">صيانة كهرباء </t>
  </si>
  <si>
    <t xml:space="preserve">مختبر العلوم </t>
  </si>
  <si>
    <t xml:space="preserve">صيانة نقطة </t>
  </si>
  <si>
    <t xml:space="preserve">صيانة نقطة كهرباء </t>
  </si>
  <si>
    <t>تثبيت نقطة سخان وتشغيل القاطع الخاص به</t>
  </si>
  <si>
    <t>الطابق الثاني, مختبر العلوم</t>
  </si>
  <si>
    <t>طُلب  عمل إضافي ، تثبيت بعض أجزاء الهيكل العظمي في مختبر العلوم.</t>
  </si>
  <si>
    <t>صيانة كارت (noise filter) الخاص بمنظومة (VRF)</t>
  </si>
  <si>
    <t>J- ابتدائية الساقي للبنين الجانب الثاني (السابعة)</t>
  </si>
  <si>
    <t>ربط سخان في صحيات الطابق الأرضي مع ابقاء السويتج مطفئً كون السخان مبلل نتيجة استبدال الهيتر</t>
  </si>
  <si>
    <t xml:space="preserve">صيانة سيار كهرباء في المركز الثقافي
</t>
  </si>
  <si>
    <t>المختبرات</t>
  </si>
  <si>
    <t>سحب كيبل (4x35 ملم) المسلح وحفر مسار جديد له وادخاله في المنهولة الجديدة ومنها الى غرفة كهرباء محطة الرفع.</t>
  </si>
  <si>
    <t>الطابق الارضي, جناح الادائرة ZONE A</t>
  </si>
  <si>
    <t>تبديل محولة سبوت لايت في الصحيات</t>
  </si>
  <si>
    <t xml:space="preserve">صيانة مصباح في الصحيات </t>
  </si>
  <si>
    <t xml:space="preserve">صيانة مفرغات </t>
  </si>
  <si>
    <t xml:space="preserve">صيانة مصعد </t>
  </si>
  <si>
    <t>المصعد الأول لا يعمل</t>
  </si>
  <si>
    <t xml:space="preserve">صيانة نقاط كهربائية </t>
  </si>
  <si>
    <t>0</t>
  </si>
  <si>
    <t xml:space="preserve">تبليغ مباشر </t>
  </si>
  <si>
    <t>القاعة الرياضية مقابل الألعاب</t>
  </si>
  <si>
    <t xml:space="preserve">السخان لا يعمل مشكلة في الهيتر </t>
  </si>
  <si>
    <t>الاستعلامات الرئيسية</t>
  </si>
  <si>
    <t xml:space="preserve">الجهة الخلفية </t>
  </si>
  <si>
    <t>A- المركز الثقافي, المختبرات</t>
  </si>
  <si>
    <t>البرج</t>
  </si>
  <si>
    <t xml:space="preserve">استبدال HVR القديم بـNVR 32CH  وتم تحديثه الى اخر إصدار. </t>
  </si>
  <si>
    <t>كل المجمع</t>
  </si>
  <si>
    <t>تم تنظيف جميع المصاعد في المجمع</t>
  </si>
  <si>
    <t>استبدال ATS المدرسة الخامسة بآخر جديد</t>
  </si>
  <si>
    <t>صيانة سيركت محطة الرفع من خلل (short circuit) فيه نتيجة دخول بعض المياه اليه.</t>
  </si>
  <si>
    <t>تم نقل مأخذ قدرة Ups من الطابق الاول الباب الفاصل بين الزون A والزون B الى السطح</t>
  </si>
  <si>
    <t>الغاء ثرموستات التبريد لأجهزة (AHU) وبهذا تم الأنتهاء من الغاء ثرموستات جميع منظومات التهوية للتبريد والتدفئة بشكل نهائي وحسب طلب وحدة التبريد</t>
  </si>
  <si>
    <t>المالية</t>
  </si>
  <si>
    <t>صيانة قانصة ذباب شعبة المالية بأعادة ربط احد الاسلاك</t>
  </si>
  <si>
    <t>القاعة الرياضية</t>
  </si>
  <si>
    <t>الطابق الارضي, data center</t>
  </si>
  <si>
    <t>إعادة توجيه كاميرات بعض غرف الإتصالات لإظهار RACK بصورة صحيحة في بناية المختبرات</t>
  </si>
  <si>
    <t>لصق ليبل لتشخيص القوابس و اسلاك بيانات NVR و UniFi  و البصمة.</t>
  </si>
  <si>
    <t>تم اضافة بلك سويج (15)امبير عدد(2) مع ماشة (15)امببر</t>
  </si>
  <si>
    <t xml:space="preserve">استبدال محولات سبوت لايت بقدرة (30 واط) عدد (3) </t>
  </si>
  <si>
    <t>أستبدال جوزة حجم (10A) بأخرى حجم (16A) في البورد</t>
  </si>
  <si>
    <t>استبدال ماشة (13A) تالفة بأخرى حرارية لهيتر الطعام</t>
  </si>
  <si>
    <t>مراب الكفيل</t>
  </si>
  <si>
    <t>تسليك كيبل ضوئي طول 400 متر</t>
  </si>
  <si>
    <t xml:space="preserve">عمل تري كيبلات الشاشات وترتيبها </t>
  </si>
  <si>
    <t xml:space="preserve">صف النجوم </t>
  </si>
  <si>
    <t xml:space="preserve">صيانة سخان حمامات  </t>
  </si>
  <si>
    <t xml:space="preserve">صيانة نقطة الكهرباء </t>
  </si>
  <si>
    <t xml:space="preserve">الطابق الارضي, الطابق الاول, الطابق الثاني, الطابق الثالث, الطابق الرابع, جناح الادائرة ZONE A, جناح الساحة ZONE B, </t>
  </si>
  <si>
    <t xml:space="preserve">المطبخ </t>
  </si>
  <si>
    <t>اضاءة تحت الدرج اضافية</t>
  </si>
  <si>
    <t xml:space="preserve">صيانة انارة </t>
  </si>
  <si>
    <t xml:space="preserve">اطفاء المفرغات </t>
  </si>
  <si>
    <t>القاعة الرياضية جهة البرج</t>
  </si>
  <si>
    <t>المدني</t>
  </si>
  <si>
    <t>تم استبدال سبوت لايت</t>
  </si>
  <si>
    <t xml:space="preserve">اضافة مأخذ قدرة 13A واستبدال مأخذ قدرة 15A </t>
  </si>
  <si>
    <t>حاسبات مجمع الحر</t>
  </si>
  <si>
    <t xml:space="preserve">A- المركز الثقافي, + كرفان الامنية </t>
  </si>
  <si>
    <t xml:space="preserve">شعبة الصيانة </t>
  </si>
  <si>
    <t>استبدال كيبل DISPLAY PORT حاسبة وحدة المدني</t>
  </si>
  <si>
    <t>غير محدد</t>
  </si>
  <si>
    <t xml:space="preserve">صيانة بلك سويچ </t>
  </si>
  <si>
    <t>تغذية سيار كهرباء من بورد اعمدة محطة الرفع الى الشركة</t>
  </si>
  <si>
    <t>الطابق الارضي, الادارة</t>
  </si>
  <si>
    <t xml:space="preserve">إعادة تثبيت كيستون </t>
  </si>
  <si>
    <t>الطابق الاول, رئاسة القسم</t>
  </si>
  <si>
    <t>تم استبدال محولة 50W خاصة بمنشورية</t>
  </si>
  <si>
    <t>الطابق الارضي, باب الدخول</t>
  </si>
  <si>
    <t xml:space="preserve">تم اضافه بلك سويج الى جهاز التتبع </t>
  </si>
  <si>
    <t>A- المركز الثقافي, G- روضة الجود</t>
  </si>
  <si>
    <t>الطابق الارضي, غرف الكهرباء</t>
  </si>
  <si>
    <t xml:space="preserve">تم تحويل نظام الإنارة الى الطاقة الشمسية </t>
  </si>
  <si>
    <t>الطابق الارضي, جناح الساحة ZONE B</t>
  </si>
  <si>
    <t>تسليك كيبل UTP CAT6 عدد 2 بطول 13 متر من الRACK الى الشاشات الأول لعرض XVR على الشاشة والثاني احتياط.</t>
  </si>
  <si>
    <t>تم استبدال جوزه من 10A إلى  16A</t>
  </si>
  <si>
    <t>مصعد</t>
  </si>
  <si>
    <t>صيانة مصعد</t>
  </si>
  <si>
    <t>صيانة مصباح قرب غرفة الادارة</t>
  </si>
  <si>
    <t xml:space="preserve">صيانة باب </t>
  </si>
  <si>
    <t>الطابق الاول, جناح الساحة ZONE B</t>
  </si>
  <si>
    <t>صيانة باب بين الزونيين</t>
  </si>
  <si>
    <t>تعليق بوستر</t>
  </si>
  <si>
    <t xml:space="preserve">الشاشة الرئيسية </t>
  </si>
  <si>
    <t>قرب المسرح</t>
  </si>
  <si>
    <t>صيانة قنفات</t>
  </si>
  <si>
    <t xml:space="preserve">م. كريم </t>
  </si>
  <si>
    <t xml:space="preserve">قرب مولدات المحطة </t>
  </si>
  <si>
    <t xml:space="preserve">صيانة باب حمام </t>
  </si>
  <si>
    <t>الطابق الاول, جناح الادائرة ZONE A</t>
  </si>
  <si>
    <t>صيانة شباك حديد</t>
  </si>
  <si>
    <t>صيانة بردة</t>
  </si>
  <si>
    <t xml:space="preserve"> معالجة رطوبة في حائط باب المنظومة </t>
  </si>
  <si>
    <t>صيانة باب الاستعلامات</t>
  </si>
  <si>
    <t xml:space="preserve">تعليق ساعات جدارية </t>
  </si>
  <si>
    <t>الطابق الارضي, //</t>
  </si>
  <si>
    <t xml:space="preserve">صيانة باب  الاستعلامات وباب اخرى </t>
  </si>
  <si>
    <t xml:space="preserve">تعليق رفوف </t>
  </si>
  <si>
    <t xml:space="preserve">شد ديكور خشب </t>
  </si>
  <si>
    <t xml:space="preserve">صف المرح / باب براد + 3 يدات شباك </t>
  </si>
  <si>
    <t xml:space="preserve">صف الفواكه / شباك لايقفل قرب المغاسل </t>
  </si>
  <si>
    <t xml:space="preserve">صف النور /  ميز معلمات مكسور </t>
  </si>
  <si>
    <t xml:space="preserve">تاكد من الاستعلامات اي صف </t>
  </si>
  <si>
    <t xml:space="preserve">صيانة جرابي </t>
  </si>
  <si>
    <t xml:space="preserve">صيانة الباب الرئيسية </t>
  </si>
  <si>
    <t>الطابق الارضي, /</t>
  </si>
  <si>
    <t xml:space="preserve">احتياج واير سيار 5 امتار لتعليق بردة 
</t>
  </si>
  <si>
    <t xml:space="preserve">سقف المصلى يسرب ماء </t>
  </si>
  <si>
    <t xml:space="preserve">غرفة الزينبيات </t>
  </si>
  <si>
    <t>صيانة كاونتر</t>
  </si>
  <si>
    <t xml:space="preserve">الطابق الاول, </t>
  </si>
  <si>
    <t xml:space="preserve">يوجد تسريب ماء في المصلى  </t>
  </si>
  <si>
    <t xml:space="preserve">المكتب النسوي </t>
  </si>
  <si>
    <t>تبديل سقف ثانوي</t>
  </si>
  <si>
    <t xml:space="preserve">لوكر </t>
  </si>
  <si>
    <t>م.كريم</t>
  </si>
  <si>
    <t>صيانة يدة شباك الحانوت</t>
  </si>
  <si>
    <t>الطابق الثاني, جناح الساحة ZONE B</t>
  </si>
  <si>
    <t>صيانة باب حمام عدد ٢</t>
  </si>
  <si>
    <t>سقف ثانوي</t>
  </si>
  <si>
    <t>صيانة مرمر ازارة</t>
  </si>
  <si>
    <t>؛</t>
  </si>
  <si>
    <t xml:space="preserve">رئاسة القسم </t>
  </si>
  <si>
    <t xml:space="preserve">الاستعلامات </t>
  </si>
  <si>
    <t xml:space="preserve">غرفة ست هاجر </t>
  </si>
  <si>
    <t xml:space="preserve">تعليق سبورة </t>
  </si>
  <si>
    <t>جناح الساحة ZONE B</t>
  </si>
  <si>
    <t>صيانة أبواب خشب عدد ٧</t>
  </si>
  <si>
    <t>صيانة مصد حائط عدد ٦</t>
  </si>
  <si>
    <t>صيانة رحلات عدد ٤</t>
  </si>
  <si>
    <t>صيانة ميز حاسبة عدد ٢</t>
  </si>
  <si>
    <t>تثبيت مرأة في صحيات مطبخ رئاسة القسم</t>
  </si>
  <si>
    <t>تثبيت بوستر عدد ٢ في قاعة الاجتماعات</t>
  </si>
  <si>
    <t>صيانة رحلات عدد 10</t>
  </si>
  <si>
    <t>صيانة قنفة</t>
  </si>
  <si>
    <t>تبديل يدة شباك</t>
  </si>
  <si>
    <t xml:space="preserve">تفليش وصيانة سيفونة </t>
  </si>
  <si>
    <t>تبديل كاك زاوية</t>
  </si>
  <si>
    <t>تصليح سيراميك مقابل الاول (ج)</t>
  </si>
  <si>
    <t xml:space="preserve">تعليق بوستر </t>
  </si>
  <si>
    <t>الطابق الاول, الطابق الثاني, الطابق الثالث, الطابق الرابع</t>
  </si>
  <si>
    <t xml:space="preserve">الصحيات ماقبيل الالعاب </t>
  </si>
  <si>
    <t xml:space="preserve">ثاني صحيات </t>
  </si>
  <si>
    <t xml:space="preserve">يدة مكسورة تبديل </t>
  </si>
  <si>
    <t xml:space="preserve">صيانة سقف ثانوية يسرب ماء </t>
  </si>
  <si>
    <t>حفر أرضية لصيانة مجري ماء في الصحيات</t>
  </si>
  <si>
    <t>تفليش وصيانة ومعالجة سيفونة السطح</t>
  </si>
  <si>
    <t xml:space="preserve">صيانة باب المنيوم عدد ٢ </t>
  </si>
  <si>
    <t>معالجة فتحات بوري الأمطار في المصلى</t>
  </si>
  <si>
    <t>معالجة منهولة عدد ٢ في السطح</t>
  </si>
  <si>
    <t xml:space="preserve">قاعة السراج الباب الرئيسة مقابيل مدرسة القمر </t>
  </si>
  <si>
    <t xml:space="preserve">صحيات مقابيل الالعاب </t>
  </si>
  <si>
    <t xml:space="preserve">صيانة يدات باب   وصوندة </t>
  </si>
  <si>
    <t>صيانة يدة شباك</t>
  </si>
  <si>
    <t xml:space="preserve">كرسي في غرفة استاذ يوسف يحتاج صيانة </t>
  </si>
  <si>
    <t>صيانة مصد حائط</t>
  </si>
  <si>
    <t>الالعاب الخارجية</t>
  </si>
  <si>
    <t>مقابل المركز الثقافي</t>
  </si>
  <si>
    <t>صيانة العاب</t>
  </si>
  <si>
    <t>سياج المولدة</t>
  </si>
  <si>
    <t xml:space="preserve">مقابل المركز الثقافي </t>
  </si>
  <si>
    <t>لحام عمود بي ارسي</t>
  </si>
  <si>
    <t>صيانة باب خشب</t>
  </si>
  <si>
    <t>النافورة</t>
  </si>
  <si>
    <t>تقشير وتنظيف الرصيف قرب النافورة</t>
  </si>
  <si>
    <t>تقشير و صبغ الأعمدة مجاور النافورة</t>
  </si>
  <si>
    <t xml:space="preserve">صحيات مقابيل رئاسة القسم </t>
  </si>
  <si>
    <t xml:space="preserve">سقوط باب  احدى الصحيات </t>
  </si>
  <si>
    <t xml:space="preserve">صيانة باب الاستعلامات </t>
  </si>
  <si>
    <t>م. مرتضى</t>
  </si>
  <si>
    <t xml:space="preserve">إدامة وتنظيف منظومة تصفية المياه في البناية </t>
  </si>
  <si>
    <t>الخارجية</t>
  </si>
  <si>
    <t xml:space="preserve">تبديل ماسكة شطاف </t>
  </si>
  <si>
    <t>الطابق الاول, الطابق الثاني, جناح الساحة ZONE B</t>
  </si>
  <si>
    <t xml:space="preserve">تبديل خرطوم + كاك زاوية </t>
  </si>
  <si>
    <t xml:space="preserve">صيانة خلاط مغسلة </t>
  </si>
  <si>
    <t xml:space="preserve">تبديل كاك زاوية </t>
  </si>
  <si>
    <t xml:space="preserve">تبديل فلاتر منظومة تصفية المياه في البناية </t>
  </si>
  <si>
    <t xml:space="preserve">تنظيف فلاتر التبريد الخاصة بالرئاسة والمسرح </t>
  </si>
  <si>
    <t>تنظيف وغسل القطع الخارجية الخاصة بمنظومات التيريد في البناية</t>
  </si>
  <si>
    <t xml:space="preserve">الطابق الارضي, صف البنفسج </t>
  </si>
  <si>
    <t xml:space="preserve">صيانة صوندة  الحمام الغربي </t>
  </si>
  <si>
    <t xml:space="preserve">تشغيل سخان صحيات </t>
  </si>
  <si>
    <t>تابع للشركة</t>
  </si>
  <si>
    <t xml:space="preserve">صيانة الحمامات </t>
  </si>
  <si>
    <t xml:space="preserve">صف / الشمس </t>
  </si>
  <si>
    <t xml:space="preserve">صيانة سخان صف  الشمس </t>
  </si>
  <si>
    <t xml:space="preserve">الطابق الارضي, الطابق الاول, </t>
  </si>
  <si>
    <t xml:space="preserve">صيانة بردات </t>
  </si>
  <si>
    <t xml:space="preserve">تعليق مطفاة حريق </t>
  </si>
  <si>
    <t>//</t>
  </si>
  <si>
    <t xml:space="preserve">صيانة برادات الخاصة بالتلاميذ </t>
  </si>
  <si>
    <t xml:space="preserve">صف الزهور / سيفونة حمام + خرطوم </t>
  </si>
  <si>
    <t>صيانة سخان</t>
  </si>
  <si>
    <t xml:space="preserve">تسليك مجاري صيانة صحيات </t>
  </si>
  <si>
    <t>صحيات مقابيل الالعاب</t>
  </si>
  <si>
    <t xml:space="preserve">صيانة غربي في الصحيات </t>
  </si>
  <si>
    <t xml:space="preserve">صيانة حمامات </t>
  </si>
  <si>
    <t xml:space="preserve">لايوجد ماء في المنظومه </t>
  </si>
  <si>
    <t>تبديل كاك سقي</t>
  </si>
  <si>
    <t>صيانة خلاط مغسلة</t>
  </si>
  <si>
    <t>تبديل صوندة شطاف</t>
  </si>
  <si>
    <t>وحدة الميكانيك</t>
  </si>
  <si>
    <t>تبديل خلاط مغسلة</t>
  </si>
  <si>
    <t>إضافة قاعدة صابون عدد ٢</t>
  </si>
  <si>
    <t>تبديل قاعدة شطاف</t>
  </si>
  <si>
    <t>تشغيل محطة الماء RO</t>
  </si>
  <si>
    <t xml:space="preserve">الطابق الارضي, صف الزهور </t>
  </si>
  <si>
    <t xml:space="preserve">صيانة صحيات </t>
  </si>
  <si>
    <t>صيانة حمامات</t>
  </si>
  <si>
    <t>إدامة فلاتر القطع الداخلية لمنظومة التبريد المركزي في البناية</t>
  </si>
  <si>
    <t xml:space="preserve">صحيات الادارة تحتاج صيانة </t>
  </si>
  <si>
    <t>صيانة كسر في بايب التصريف الخاص بالمغاسل في الطابق</t>
  </si>
  <si>
    <t xml:space="preserve">صيانة كسر في بايب تصريف الأمطار </t>
  </si>
  <si>
    <t xml:space="preserve">تبديل فلاتر 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</si>
  <si>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t>
  </si>
  <si>
    <t xml:space="preserve">إدامة أجهزة القياس الخاصة بمنظومة تحلية المياه </t>
  </si>
  <si>
    <t>B- روضة القمر, G- روضة الجود, 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 J- جامعة العميد (السابعة)</t>
  </si>
  <si>
    <t>تبديل أنابيب المواد الكيميائية الخاصة بمنظومة تحلية المياه</t>
  </si>
  <si>
    <t xml:space="preserve">استبدال وإعادة ملأ المواد الكيميائية الخاصة بمنظومة تحلية المياه </t>
  </si>
  <si>
    <t>الصحيات الخارجية</t>
  </si>
  <si>
    <t xml:space="preserve">صيانة المشاكل </t>
  </si>
  <si>
    <t xml:space="preserve">اطفاء التدفئة </t>
  </si>
  <si>
    <t>وحدة التبريد</t>
  </si>
  <si>
    <t>الطابق الارضي, الطابق الاول, إدارة المجمع</t>
  </si>
  <si>
    <t>الطابق الثاني, الطابق الثالث, الطابق الرابع</t>
  </si>
  <si>
    <t xml:space="preserve">غسل وادامة منظومة تصفية المياه في البناية </t>
  </si>
  <si>
    <t xml:space="preserve">الطابق الثالث, وحدة الاعلام </t>
  </si>
  <si>
    <t>تحويل تدفئة الى تبريد</t>
  </si>
  <si>
    <t xml:space="preserve">احتياج المدرسة لمنتسب  تبريد </t>
  </si>
  <si>
    <t>الطابق الارضي, الطابق الاول, الطابق الثاني, الطابق الثالث, الطابق الرابع, السطح</t>
  </si>
  <si>
    <t xml:space="preserve">الطابق الارضي, القاعه رياضية الاولى </t>
  </si>
  <si>
    <t>الطابق الارضي, القاعه رياضية الثانية</t>
  </si>
  <si>
    <t xml:space="preserve">صيانة كاسيت سنكل واصلاح الليك في غرفة الادارة </t>
  </si>
  <si>
    <t xml:space="preserve">ادامة وتنظيف منظومة السبلت بكج الخاصة بقاعة المؤتمرات </t>
  </si>
  <si>
    <t xml:space="preserve">ادامة وتنظيف منظومة السبلت بكج الخاصة بقاعة سراج العميد </t>
  </si>
  <si>
    <t>الطابق الارضي, الطابق الاول, الطابق الثاني, السطح</t>
  </si>
  <si>
    <t xml:space="preserve">برمجة شاشة الكنترول الرئيسية واعدة فرز قطع ال vrv الداخلية </t>
  </si>
  <si>
    <t xml:space="preserve">برمجة شاشة الكنترول الرئيسية وإعادة فرز قطع ال vrv </t>
  </si>
  <si>
    <t xml:space="preserve">صيانة سيار كهربائي في الاستعلامات </t>
  </si>
  <si>
    <t xml:space="preserve">يرجى اطفاء جهاز الانذار من المنظومة </t>
  </si>
  <si>
    <t>ملغي</t>
  </si>
  <si>
    <t xml:space="preserve">كهربائي الى غرفة الادارة </t>
  </si>
  <si>
    <t xml:space="preserve">صيانة نقطة كهرباء في غرفة الزينبيات </t>
  </si>
  <si>
    <t xml:space="preserve">احتياج ازالة الضوء </t>
  </si>
  <si>
    <t>تبديل محولة سبوت لايت 24w في شعبة المالية.</t>
  </si>
  <si>
    <t>غرفة المولدة</t>
  </si>
  <si>
    <t>السطح, في غرفة منظومة الماء (RO)</t>
  </si>
  <si>
    <t xml:space="preserve">تعديل طريقة ربط الريلي (220v) مع الفيوز الخاص بتشغيل مصابيح الإشارة بعد أن تبين وجود خطأ في طريقة الربط </t>
  </si>
  <si>
    <t>تبديل محولة  50w لشمعة منشورية</t>
  </si>
  <si>
    <t>غرفة مزامنة المولدة</t>
  </si>
  <si>
    <t>تسليك كيبل STP CAT6 طول 32 متر تقريبا بدل من الكيبل المقطوع الخاص بالكاميرا</t>
  </si>
  <si>
    <t>A- المركز الثقافي, C- ثانوية العميد بناية الاعدادية  (الاولى), D- ثانوية العميد بناية المتوسطة  (الثانية)</t>
  </si>
  <si>
    <t>لصق ليبل على الاسلاك الخاصة بالVRF و الأسلاك المضافة حديثا.</t>
  </si>
  <si>
    <t>الطابق الثاني, جناح الادائرة ZONE A</t>
  </si>
  <si>
    <t xml:space="preserve">جرد المدرسة الأولى :-  حيث تم إعادة تشغيل عدد 8 انارة منشورية 50w  وتبديل عدد 3 محولات 50w.
وتبديل عدد 2 محولات 24w لسبوت لايت </t>
  </si>
  <si>
    <t>تم جرد المدرسة الثالثة وجد 4 منشوريات وتم إعادة تثبيت بلك سويج عدد 2 منفذ انترنت 1 وتم تبديل محولة سبوت لايت في صحيات زون B</t>
  </si>
  <si>
    <t>صحيات مقابل الاولى</t>
  </si>
  <si>
    <t xml:space="preserve"> تبديل محولة سبوت لايت </t>
  </si>
  <si>
    <t>غرفة المضخة الرئيسية</t>
  </si>
  <si>
    <t>تم اضافة هولدر عدد2  مع مصباح 60W عدد 2</t>
  </si>
  <si>
    <t>I- ابتدائية الساقي للبنين (السادسة), J- ابتدائية الساقي للبنين الجانب الثاني (السابعة)</t>
  </si>
  <si>
    <t>لصق ليبل على الاسلاك الخاصة بال VRV و الأسلاك المضافة حديثا.</t>
  </si>
  <si>
    <t xml:space="preserve">الطابق الارضي,  مطبخ رئاسة القسم </t>
  </si>
  <si>
    <t>استبدال سبوت لايت شغال بآخر تالف لحين اصلاح التالف.</t>
  </si>
  <si>
    <t>كل المجمع عدا المركز والخارجية</t>
  </si>
  <si>
    <t>فحص منظومات تحسين معامل القدرة لجميع المحولات</t>
  </si>
  <si>
    <t xml:space="preserve">تم جرد بناية الروضة  حيث تم تبديل عدد 3  محولة 50w لانارة منشورية (60*60) </t>
  </si>
  <si>
    <t xml:space="preserve">تم غسل الالواح الشمسية بالكامل </t>
  </si>
  <si>
    <t>محولة المدرسة</t>
  </si>
  <si>
    <t>تم استبدال نرمادة باب عدد 2</t>
  </si>
  <si>
    <t>تم جرد المدرسة الخامسة حيث تم استبدال محولة منشورية 50W عدد7 واستبدال محولة سبوت لايت 24W عدد 5 وتم سحب منشورية في الطابق الأول الزون A صف الخامس"د" لوجود قطع في أحد الاسلاك</t>
  </si>
  <si>
    <t xml:space="preserve">تم استبدال سبوت لايت بقدرة24W عدد 2 </t>
  </si>
  <si>
    <t>صيانة مصباح</t>
  </si>
  <si>
    <t>مؤجل</t>
  </si>
  <si>
    <t>استبدال بلك اسويج عاطل</t>
  </si>
  <si>
    <t xml:space="preserve">صيانة حنفية في الصحيات </t>
  </si>
  <si>
    <t>صيانة انارات منشورية عدد 10 من خلال اعادة لحام النقاط المنقطعة فيها وكذلك اضافة محولة 50 واط لأحداهن</t>
  </si>
  <si>
    <t>D- ثانوية العميد بناية المتوسطة  (الثانية), E- ابتدائية العميد للبنات (الثالثة), F-  ابتدائية جود العميد للبنات (الرابعة), H- ابتدائية القمر للبنات (الخامسة)</t>
  </si>
  <si>
    <t>كل</t>
  </si>
  <si>
    <t>hub room</t>
  </si>
  <si>
    <t>الطابق الارضي, معاون رئيس القسم</t>
  </si>
  <si>
    <t xml:space="preserve">تم إعادة تثبيت تري لاصق </t>
  </si>
  <si>
    <t>تم تبديل بلك سويج 13A  وتم إعادة تشغيل جوزة الخاصة في البلاكات سويج في الصف المجاور للسطح اثر اترب</t>
  </si>
  <si>
    <t>الطابق الارضي, مطبخ رئاسة القسم</t>
  </si>
  <si>
    <t>اعادة تثبيت الإنارة المنشورية 60*60 بعد صيانتها .</t>
  </si>
  <si>
    <t>عمل ونصب بورد توزيع صغير يحوي على منجر رباعي وجوزات فرعية عدد 9 مغذى من منظومة الطاقة الشمسية بأستخدام كيبل 4x4 ملم ومن خلال منجر من موضع التجهيز في الغرفة الخارجية</t>
  </si>
  <si>
    <t>تم تفعيل إمكانية تشغيل التبريد المركزي VRV DAIKIN  عن طريق الهاتف او اي جهاز يدعم WIFI ومن أي متصفح .
وكذلك من المجمعين (حر ومعلمجي) مجرد الاتصال بشبكة STAFF او (ايثرنت كما في السابق)</t>
  </si>
  <si>
    <t>إدخال المدرسة الثالثة بالشبكة الجديدة و إعادة تعيين IP لكل شاشة و تعيين الشاشة الرئيسية والفرعية دون مشاكل</t>
  </si>
  <si>
    <t>تم تحويل انارة غرفة الكهرباء الخارجية وانارة الصحيات المقابلة للمدرسة الأولى إلى الطاقة الشمسية</t>
  </si>
  <si>
    <t xml:space="preserve">تم استبدال محولة سبوت لايت 24W </t>
  </si>
  <si>
    <t>دخال الروضتين بالشبكة الجديدة و إعادة تعيين IP لكل شاشة</t>
  </si>
  <si>
    <t>إدخال المركز الثقافي بالشبكة الجديدة و إعادة تعيين IP لكل شاشة و تعيين الشاشة الرئيسية والفرعية</t>
  </si>
  <si>
    <t>غرفة الكهرباء الخارجية</t>
  </si>
  <si>
    <t>كل الطوابق</t>
  </si>
  <si>
    <t>تم جرد انارة المركز الثقافي بالكامل وتم تبديل 7محولات سبوت لايت وتم تبديل سبوت لايت عدد 2</t>
  </si>
  <si>
    <t>تبديل بلك سويچ 13A</t>
  </si>
  <si>
    <t>القاعة مقابل الالعاب</t>
  </si>
  <si>
    <t>تم استبدال بلك سويج 13A عدد واحد  ومد ثنين سيار ثنائي</t>
  </si>
  <si>
    <t xml:space="preserve">القاعة مقابل الالعاب </t>
  </si>
  <si>
    <t>اضافة نقطة كهرباء جديدة UPS بجانب القديمة وتمت تغذيتها منها.</t>
  </si>
  <si>
    <t>ادخال المدرسة بالشبكة الجديدة و إعادة تعيين IP لكل شاشة و تعيين الشاشة الرئيسية والفرعية</t>
  </si>
  <si>
    <t>تجهيز وحدة التبريد بحاسبة (لابتوب HP) لتشغيل اجهزة التبريد المركزي فقط .
(تم تجهيز الحاسبة من قبل قسم التربية والتعليم).</t>
  </si>
  <si>
    <t>إدخال المدرسة بالشبكة الجديدة و إعادة تعيين IP لكل شاشة و تعيين الشاشة الرئيسية والفرعية</t>
  </si>
  <si>
    <t>تم تنظيف سيلات المصاعد</t>
  </si>
  <si>
    <t xml:space="preserve">صيانة مكنسة كهربائية </t>
  </si>
  <si>
    <t xml:space="preserve">صيانة سبورت لايت في الدرج الصاعد الى الساحة المستطيلة </t>
  </si>
  <si>
    <t>تم فحص ولوحظ عدم وجود خطا</t>
  </si>
  <si>
    <t>الشارع</t>
  </si>
  <si>
    <t>مقابل الاولى C</t>
  </si>
  <si>
    <t>من غرفة كهرباء محطة الرفع الى الاولى</t>
  </si>
  <si>
    <t>تم تسليك كيبل فلكس 2×1  بطول 120 متر</t>
  </si>
  <si>
    <t xml:space="preserve">فحص منظومة UPS  بعد قطع الكهرباء عنهُ:-
* حيث وصلت نسبة الشحن إلى 95٪ بعد إطفاء دام 30 دقيقة </t>
  </si>
  <si>
    <t>من الاولى الى الثانية</t>
  </si>
  <si>
    <t>تم تسليك كيبل فلكس 2×1 بطول 150 متر</t>
  </si>
  <si>
    <t>من غلافة كهرباء الثانية الى الثالثة</t>
  </si>
  <si>
    <t>تم تسليك كيبل فلكس 2×1  بطول 25 متر</t>
  </si>
  <si>
    <t>تزيت المصعد</t>
  </si>
  <si>
    <t>فحص منظومة UPS المركز (F1) بعد قطع الكهرباء عنهُ:-
* حيث وصلت نسبة الشحن إلى 2٪ بعد إطفاء دام 31 دقيقة</t>
  </si>
  <si>
    <t>data center</t>
  </si>
  <si>
    <t>فحص منظومة UPS المركز (data center) بعد قطع الكهرباء عنهُ:-
*  الاول بعد اطفاء 35 دقيقة وصلت نسبة الشحن 93%
*  الثاني بعد اطفاء 35 دقيقة وصلت نسبة الشحن 94%</t>
  </si>
  <si>
    <t>كل البناية</t>
  </si>
  <si>
    <t>تم تنظيف غرف الكهرباء</t>
  </si>
  <si>
    <t>تم تسليك كيبل فلكس 2×1 لتوصيل وأخذ إشارة الى ال emergency botton NC للتحكم في تشغيل مضخة الاطفاء الديزل يدويا من الطابق الارضي في حالة حدوث طارئ</t>
  </si>
  <si>
    <t>البيوت الخارجية</t>
  </si>
  <si>
    <t>من خلال المتابعة اليومية تم العثور على مشكلة في طوافة غطاس وتم صيانتها</t>
  </si>
  <si>
    <t>تفعيل بوش (Emegency Diesel Run) لمضخة المدرسة وذلك بعمل دائرة سيطرة مناسبة بفولتية 12V. مع أضافة بوش تشغيل يدوي للمضخة لغرض الفحص.</t>
  </si>
  <si>
    <t xml:space="preserve">فحص  UPS المدرسة بعد إطفاء الكهرباء عنهُ.
📌 حيث كانت نسبة الشحن بعد قطع الكهرباء لمدة 31 دقيقة 92٪
</t>
  </si>
  <si>
    <t xml:space="preserve">تم استبدال جوزة كهربائية مفردة عدد 2 بقدرة 10A </t>
  </si>
  <si>
    <t>تنضيف غرف الكهرباء</t>
  </si>
  <si>
    <t>فحص  UPS المدرسة بعد إطفاء الكهرباء عنهُ.
📌 حيث كانت نسبة الشحن بعد قطع الكهرباء لمدة 30 دقيقة 89٪</t>
  </si>
  <si>
    <t>صيانة بلك سويج 13A بدون استبدال</t>
  </si>
  <si>
    <t>تنظيف غرف الكهرباء</t>
  </si>
  <si>
    <t xml:space="preserve">فحص  UPS المدرسة بعد إطفاء الكهرباء عنهُ.
📌 حيث كانت نسبة الشحن بعد قطع الكهرباء لمدة 21 دقيقة 91٪
</t>
  </si>
  <si>
    <t>إطلاق النسخة التجريبية من برنامج الإسناد الهندسي الخاص بشعبة الصيانة</t>
  </si>
  <si>
    <t>تم تسليك كيبل 0.75*4 ملم من غرفة التزامن الى غرفة الكهرباء في مبنى المركز الثقافي وتحديدا لمكان البورد الجديد لكي يكون التحكم في البور الواصل من محطة الرفعة من غرفة التزامن.</t>
  </si>
  <si>
    <t>تم ترتيب وتنظيف مخزن وحدة الكهرباء</t>
  </si>
  <si>
    <t>معالجة وسنفرة الرصيف الخارجي للنافور</t>
  </si>
  <si>
    <t>معالجة وسنفرة أعمدة الانارة محيط النافورة</t>
  </si>
  <si>
    <t xml:space="preserve">النافورة </t>
  </si>
  <si>
    <t>معالجة الرصيف الداخلي لحديقة النافورة</t>
  </si>
  <si>
    <t>صبغ أساس وصبغ نهائي لرصيف النافورة الخارجي</t>
  </si>
  <si>
    <t>صبغ أساس وصبغ نهائي لاعمدة محيط النافورة</t>
  </si>
  <si>
    <t xml:space="preserve">النافوره </t>
  </si>
  <si>
    <t>صبغ أساس وصبغ نهائي لرصيف حديقة النافورة الداخلي</t>
  </si>
  <si>
    <t xml:space="preserve">صيانة باب المنيوم </t>
  </si>
  <si>
    <t>صيانة سقوف ثانوية</t>
  </si>
  <si>
    <t xml:space="preserve">صيانة سقوف ثانوية </t>
  </si>
  <si>
    <t xml:space="preserve">صيانة باب الالمنيوم المطلة على الساحة المستطيلة </t>
  </si>
  <si>
    <t xml:space="preserve">تركيب ستائر في الاستعلامات </t>
  </si>
  <si>
    <t xml:space="preserve">صيانة باب الالمنيوم غرفة المدرسات </t>
  </si>
  <si>
    <t xml:space="preserve">صيانة باب الصحيات الخارجي مقابيل الصف </t>
  </si>
  <si>
    <t>الطابق الارضي, صف الفرح</t>
  </si>
  <si>
    <t xml:space="preserve">الطابق الارضي, غرفة الكاميرات </t>
  </si>
  <si>
    <t>صيانة يدت شباك</t>
  </si>
  <si>
    <t xml:space="preserve">صيانة مقبض شباك  صف الثاني ، الثالث ، الخامس </t>
  </si>
  <si>
    <t>صيانة سقف الثانوي للمصلى  يسرب ماء</t>
  </si>
  <si>
    <t>نقل قواعد وطفايات عدد 2</t>
  </si>
  <si>
    <t>حفر واستخراج مقرنص</t>
  </si>
  <si>
    <t>عمل رصيف جديد وتطبيك مقرنص</t>
  </si>
  <si>
    <t>خارج البناية</t>
  </si>
  <si>
    <t>معالجة الفطور في ممر المدرسة</t>
  </si>
  <si>
    <t>عمل فتحة لمد بوري ماء لغسل الالواح</t>
  </si>
  <si>
    <t>الممر الخارجي</t>
  </si>
  <si>
    <t>صيانة الممر الخارجي</t>
  </si>
  <si>
    <t>صيانة ممر عدد 2</t>
  </si>
  <si>
    <t>فتح باب الصحيات</t>
  </si>
  <si>
    <t>تبديل يدة باب بين الزونين</t>
  </si>
  <si>
    <t>ارجاع سقوف ثانوية</t>
  </si>
  <si>
    <t>تبديل يدة باب المنيوم</t>
  </si>
  <si>
    <t>تثبيت تور شباك</t>
  </si>
  <si>
    <t>تبديل يدة باب بالصحيات</t>
  </si>
  <si>
    <t>تثبيت تور الاخضر سياج المولدة</t>
  </si>
  <si>
    <t xml:space="preserve">تبديل يدة باب بالصحيات </t>
  </si>
  <si>
    <t>غسل النافورة</t>
  </si>
  <si>
    <t>صيانة باب خشب الصحيات</t>
  </si>
  <si>
    <t>صيانة وتبديل يدة بالصحيات</t>
  </si>
  <si>
    <t xml:space="preserve">تثبيت لوحة خشب </t>
  </si>
  <si>
    <t>الرصيف الخارجي</t>
  </si>
  <si>
    <t>صبغ برايمر للرصيف</t>
  </si>
  <si>
    <t>تصليح الرصيف بمادة المعجون والسنفرة</t>
  </si>
  <si>
    <t xml:space="preserve">الرصيف الخارجي </t>
  </si>
  <si>
    <t xml:space="preserve">صبغ الرصيف بالون الابيض والاصفر </t>
  </si>
  <si>
    <t xml:space="preserve">تصليح تارتان الدرج </t>
  </si>
  <si>
    <t>صيانة كرسي</t>
  </si>
  <si>
    <t>السياج الخارجي</t>
  </si>
  <si>
    <t>صيانة الفطور في السياج الخارجي</t>
  </si>
  <si>
    <t xml:space="preserve">قرب المدرسة الاولى </t>
  </si>
  <si>
    <t xml:space="preserve">رفع المقرنص لغرض مد بوري لتسليك واير كهرباء </t>
  </si>
  <si>
    <t>معالجة الزوايا الحادة لمكان خرطوم الاطفاء</t>
  </si>
  <si>
    <t xml:space="preserve">الطابق الارضي, صف الفرح </t>
  </si>
  <si>
    <t>يدت شباك تبديل</t>
  </si>
  <si>
    <t xml:space="preserve">صيانة باب الساحة الوسطية </t>
  </si>
  <si>
    <t xml:space="preserve">صيانة القطع الخاص بالاستعلامات </t>
  </si>
  <si>
    <t xml:space="preserve">صيانة مفتاح باب الحمام </t>
  </si>
  <si>
    <t>صيانة ميز طعام</t>
  </si>
  <si>
    <t xml:space="preserve">احتياج تعليق بردة واحتياج لاصق </t>
  </si>
  <si>
    <t xml:space="preserve">صيانة يدة باب المنيوم </t>
  </si>
  <si>
    <t xml:space="preserve">تبديل يدة شباك </t>
  </si>
  <si>
    <t xml:space="preserve">تبديل كيلون باب </t>
  </si>
  <si>
    <t xml:space="preserve">صيانة ميز طعام </t>
  </si>
  <si>
    <t xml:space="preserve">قرب الاستعلامات </t>
  </si>
  <si>
    <t xml:space="preserve">عمل ترتيب اللافتة </t>
  </si>
  <si>
    <t xml:space="preserve">مقابيل المركز الثقافي </t>
  </si>
  <si>
    <t xml:space="preserve">مكان المولدات </t>
  </si>
  <si>
    <t xml:space="preserve">تعديل تارتان </t>
  </si>
  <si>
    <t xml:space="preserve">الطابق الارضي, استفسر من الاستعلامات </t>
  </si>
  <si>
    <t xml:space="preserve">صيانة  ميز اطفال </t>
  </si>
  <si>
    <t xml:space="preserve">الباب الخلفية </t>
  </si>
  <si>
    <t xml:space="preserve">صيانة  باب الساحة الوسطية </t>
  </si>
  <si>
    <t>الطابق الارضي, صف السادس أ</t>
  </si>
  <si>
    <t xml:space="preserve">الطابق الارضي, غرفة المعاونات </t>
  </si>
  <si>
    <t xml:space="preserve">صيانة سيدار بردة </t>
  </si>
  <si>
    <t>صيانة باب</t>
  </si>
  <si>
    <t>تثبيت بردة</t>
  </si>
  <si>
    <t xml:space="preserve">صيانة استول في المختبر </t>
  </si>
  <si>
    <t xml:space="preserve">جناح الساحة ZONE B, والمصلى </t>
  </si>
  <si>
    <t xml:space="preserve">تثبيت بردات </t>
  </si>
  <si>
    <t xml:space="preserve">ميز الاستعلامات بحاجة الى سيلكون </t>
  </si>
  <si>
    <t>الرصيف</t>
  </si>
  <si>
    <t xml:space="preserve">اعمال صبغ الرصيف بمادة البرايمر </t>
  </si>
  <si>
    <t>صبغ الرصيف بالون الابيض والاصفر</t>
  </si>
  <si>
    <t>صبغ الرصيف بمادة البرايمر</t>
  </si>
  <si>
    <t>بمالجة الرصيف بالمعجون</t>
  </si>
  <si>
    <t>جناح الادائرة ZONE A, جناح الساحة ZONE B, الساحة المستطيله</t>
  </si>
  <si>
    <t>رصيف مقابل الالعاب</t>
  </si>
  <si>
    <t>رصيف الالعاب</t>
  </si>
  <si>
    <t xml:space="preserve">الرصيف مقابل الالعاب </t>
  </si>
  <si>
    <t xml:space="preserve">رصيف الالعاب </t>
  </si>
  <si>
    <t>تصليح الرصيف بمادة المعجون</t>
  </si>
  <si>
    <t>صف النجوم</t>
  </si>
  <si>
    <t xml:space="preserve">صيانة يدة شباك </t>
  </si>
  <si>
    <t xml:space="preserve">انسداد في المجاري </t>
  </si>
  <si>
    <t>إضافة غطاء كاك زاوية عدد 20</t>
  </si>
  <si>
    <t>غسل خزان الماء RO وغرفة المحطة</t>
  </si>
  <si>
    <t xml:space="preserve">إضافة غطاء كاك زاوية </t>
  </si>
  <si>
    <t>الطابق الثالث, جناح الساحة ZONE B</t>
  </si>
  <si>
    <t xml:space="preserve">تبديل قاعدة صابون </t>
  </si>
  <si>
    <t xml:space="preserve">تبديل صوندة شطاف </t>
  </si>
  <si>
    <t>تبديل كاك زاوية عدد 2</t>
  </si>
  <si>
    <t xml:space="preserve">فحص فإن كويل </t>
  </si>
  <si>
    <t>فتح انسداد</t>
  </si>
  <si>
    <t xml:space="preserve">تشغيل محطة الماء RO </t>
  </si>
  <si>
    <t>تبديل فلاتر عامودي</t>
  </si>
  <si>
    <t>تشغل محطة الماء RO</t>
  </si>
  <si>
    <t>تبديل check valve مضخة إطفاء الديزل</t>
  </si>
  <si>
    <t>غسل وتنظيف المضخات الثانوية</t>
  </si>
  <si>
    <t xml:space="preserve">يوجد تسريب ماء في السقف الثانوي في صحيات الادارة </t>
  </si>
  <si>
    <t xml:space="preserve">صيانة مجاري في الساحة الدائرية يوجد انسداد </t>
  </si>
  <si>
    <t xml:space="preserve">صيانة سيفونة في الصحيات </t>
  </si>
  <si>
    <t xml:space="preserve">صيانة شفاط الصحيات </t>
  </si>
  <si>
    <t xml:space="preserve">صيانة خلاط مغسلة في صحيات الزوم الداخلي </t>
  </si>
  <si>
    <t xml:space="preserve">الطابق الاول, الزوم الخارجي </t>
  </si>
  <si>
    <t>صيانة غربي</t>
  </si>
  <si>
    <t xml:space="preserve">الطابق الرابع, وحدة الكامرات </t>
  </si>
  <si>
    <t xml:space="preserve">مغسلة تبديلها الى سنك في المطبخ </t>
  </si>
  <si>
    <t xml:space="preserve">صيانة كاك يسرب ماء </t>
  </si>
  <si>
    <t xml:space="preserve">لا يوجد ماء في المنظومة </t>
  </si>
  <si>
    <t xml:space="preserve">انسداد مجاري في الصحيات </t>
  </si>
  <si>
    <t xml:space="preserve">الطابق الارضي, استفسر  المكان من قبل الاستعلامات </t>
  </si>
  <si>
    <t xml:space="preserve">صيانة حنفيات  </t>
  </si>
  <si>
    <t xml:space="preserve">صيانة حنفية الحمام </t>
  </si>
  <si>
    <t xml:space="preserve">احتياج صوندة براد </t>
  </si>
  <si>
    <t xml:space="preserve">الطابق الارضي, استفسر من الاستعلامات عن المكان بالضبط </t>
  </si>
  <si>
    <t xml:space="preserve">صيانة براد </t>
  </si>
  <si>
    <t xml:space="preserve">صيانة حمام شطاف </t>
  </si>
  <si>
    <t xml:space="preserve">صيانة شفاط </t>
  </si>
  <si>
    <t>تصليح مجرى السنك</t>
  </si>
  <si>
    <t>صف الياقوت</t>
  </si>
  <si>
    <t xml:space="preserve">صيانة حنفية حمام </t>
  </si>
  <si>
    <t>C- ثانوية العميد بناية الاعدادية  (الاولى), D- ثانوية العميد بناية المتوسطة  (الثانية), E- ابتدائية العميد للبنات (الثالثة), F-  ابتدائية جود العميد للبنات (الرابعة)</t>
  </si>
  <si>
    <t>B- روضة القمر, G- روضة الجود, H- ابتدائية القمر للبنات (الخامسة), I- ابتدائية الساقي للبنين (السادسة), J- ابتدائية الساقي للبنين الجانب الثاني (السابعة), J- جامعة العميد (السابعة)</t>
  </si>
  <si>
    <t>صيانة التسريب في الخزان واستبدال الطوافة التالفه</t>
  </si>
  <si>
    <t xml:space="preserve">اضافة وتأسيس شبكة مياه خاصة بغسل الألواح الشمسية في سطح القاعات الرياضية </t>
  </si>
  <si>
    <t xml:space="preserve">إفراغ شبكة اطفاء الحريق واستبدال الماء المضغوط لغرض حماية انابيب الشبكة من التأكسد </t>
  </si>
  <si>
    <t>إفراغ شبكة اطفاء الحريق واستبدال الماء المضغوط لغرض حماية انابيب الشبكة من التأكسد</t>
  </si>
  <si>
    <t xml:space="preserve">صيانة سبالت </t>
  </si>
  <si>
    <t>ادامة تبريد</t>
  </si>
  <si>
    <t xml:space="preserve">صيانة تبريد </t>
  </si>
  <si>
    <t>الطابق الاول, غرفة الارشيف</t>
  </si>
  <si>
    <t xml:space="preserve">نضوح ماء </t>
  </si>
  <si>
    <t xml:space="preserve">الطابق الارضي,  الحانوت </t>
  </si>
  <si>
    <t>تحويل السبلت الى تبريد</t>
  </si>
  <si>
    <t xml:space="preserve">الطابق الثالث, غرفة د. خلود </t>
  </si>
  <si>
    <t xml:space="preserve">ادامة وتنظيف القطع الخارجية لمنظومات التبريد في البناية </t>
  </si>
  <si>
    <t>الطابق الارضي, الطابق الاول, جناح الادائرة ZONE A</t>
  </si>
  <si>
    <t>ادامة وتنظيف فلاتر التبريد لمنظومة vrf الخاصة بالبناية</t>
  </si>
  <si>
    <t xml:space="preserve">الاستعلامات الرئيسية, المالية, المختبرات, النافورة </t>
  </si>
  <si>
    <t xml:space="preserve">ادامة وتنظيف منظومة ال DX في البناية </t>
  </si>
  <si>
    <t xml:space="preserve">ادامة وتنظيف منظومة الجلر  في البناية </t>
  </si>
  <si>
    <t>صيانة مضخة الدرين الخاصة باللاين الثامن لمنظومة ال vrf في الطابق</t>
  </si>
  <si>
    <t xml:space="preserve">صيانة السبلت الكنتوري الخاص بغرفة محركات المصاعد </t>
  </si>
  <si>
    <t>الطابق الثالث, السطح</t>
  </si>
  <si>
    <t xml:space="preserve">صيانة كارت النويز فلتر في اللاين السابع الخاص بمنظومة ال vrf </t>
  </si>
  <si>
    <t xml:space="preserve">القاعة الرياضية مقابل الاولى </t>
  </si>
  <si>
    <t xml:space="preserve">ادامة وتظيف جهاز التبريد البكج الخاص بالقاعة </t>
  </si>
  <si>
    <t>السطح, القاعة الرياضية مقابل الالعاب</t>
  </si>
  <si>
    <t>ادامة وتنظيف جهاز التبريد البكج الخاص بالقاعة</t>
  </si>
  <si>
    <t xml:space="preserve">السطح, القاعة الرياضية مقابل الرابعة </t>
  </si>
  <si>
    <t xml:space="preserve">السطح, القاعة الرياضية مقابل الخامسة </t>
  </si>
  <si>
    <t xml:space="preserve">الطابق الارضي, قاعة المؤتمرات </t>
  </si>
  <si>
    <t xml:space="preserve">الطابق الاول, قاعة المؤتمرات </t>
  </si>
  <si>
    <t xml:space="preserve">الطابق الارضي, الطابق الاول, قاعة سراج العميد </t>
  </si>
  <si>
    <t xml:space="preserve">تنظيف الدفيوزرات الخاصة بمنظومة السبلت بكج في قاعة المؤتمرات وقاعة سراج العميد </t>
  </si>
  <si>
    <t>صيانة جهاز الثرمستات التبريد</t>
  </si>
  <si>
    <t>تحويل سبالت من حار الى بارد</t>
  </si>
  <si>
    <t xml:space="preserve">القاعات الرياضية </t>
  </si>
  <si>
    <t xml:space="preserve">القاعات كلها </t>
  </si>
  <si>
    <t xml:space="preserve">تحول من تدفئة الى تبريد </t>
  </si>
  <si>
    <t xml:space="preserve">تحويل التدفئة الى تبريد </t>
  </si>
  <si>
    <t xml:space="preserve">سبولات لايت  </t>
  </si>
  <si>
    <t xml:space="preserve">الطابق الاول, ممر الطابق الاول </t>
  </si>
  <si>
    <t xml:space="preserve">صيانة مصباح </t>
  </si>
  <si>
    <t xml:space="preserve">صيانة كهرباء في القطاع الدائري </t>
  </si>
  <si>
    <t>مصباح لايعمل</t>
  </si>
  <si>
    <t>الطابق الارضي, جناح الساحة ZONE B, الصحيات</t>
  </si>
  <si>
    <t>استبدال سبوت لايت بآخر جديد</t>
  </si>
  <si>
    <t>تم استبدال محولة منشورية 50W تالفة</t>
  </si>
  <si>
    <t>اعادة تثبيت سبوت لايت ظاهري 24w</t>
  </si>
  <si>
    <t>تبديل بلك سويج 13A مع إعادة تشغيل تغذية اربعة مآخذ قدرة</t>
  </si>
  <si>
    <t>تم استبدال منشورية 50W</t>
  </si>
  <si>
    <t xml:space="preserve">فحص  UPS المدرسة السابعة بعد إطفاء الكهرباء عنهُ.
📌 حيث كانت نسبة الشحن بعد قطع الكهرباء لمدة 21 دقيقة 15٪
</t>
  </si>
  <si>
    <t>برج الاتصالات</t>
  </si>
  <si>
    <t>تنصيب كاميرا غرفة مزامنة مولدات GH وتمت اضافتها في NVR1  وحدة الكهرباء</t>
  </si>
  <si>
    <t>نقل موضع تشغيل وأطفاء أنارة سطح المدرسة الى سطحها مع وضع ميزة الأطفاء الأوتوماتيكي في حال نسيانه.</t>
  </si>
  <si>
    <t>تنظيف الراكات من الاتربة لجميع الطوابق</t>
  </si>
  <si>
    <t>شبكات</t>
  </si>
  <si>
    <t>نقل تغذية انارة سطح المدرسة السادسة المغذاة من بورد التوزيع الزون B الى الزون A الطابق الثاني بأستخدام فلكس (2x1.5 ملم) بطول 50 متر تقريباً لتعمل جميعها معاً من نفس التغذية وبنفس البوش الذي تم تنصيبه مؤخراً.</t>
  </si>
  <si>
    <t>تم تسليك واير فلكس       150m..m 2×1 تقريباً من المدرسة الثالثة إلى المدرسة الرابعة</t>
  </si>
  <si>
    <t>فحص  UPS المدرسة السادسة بعد إطفاء الكهرباء عنهُ.
📌 حيث كانت نسبة الشحن 68 ٪ وبعد قطع الكهرباء لمدة 30  دقيقة  وصلت 5٪</t>
  </si>
  <si>
    <t>وحدة المراقبة المركزيه</t>
  </si>
  <si>
    <t>صيانة كهرباء</t>
  </si>
  <si>
    <t xml:space="preserve">الغاء  انارة بالقرب من مكتب الكادر النسوي </t>
  </si>
  <si>
    <t xml:space="preserve">المصلى </t>
  </si>
  <si>
    <t xml:space="preserve">صيانة كهربائيات </t>
  </si>
  <si>
    <t xml:space="preserve">غرفة المراقبة المركزية </t>
  </si>
  <si>
    <t xml:space="preserve">احتياج كهربائي </t>
  </si>
  <si>
    <t xml:space="preserve">يوجد رائحة حرق </t>
  </si>
  <si>
    <t xml:space="preserve">يوجد ماء داخل غرفة الكهرباء </t>
  </si>
  <si>
    <t>تبديل عدد 3 محولات سبوت لايت 24w</t>
  </si>
  <si>
    <t>فحص  UPS (أثناء تشغيل الشاشات) بعد إطفاء الكهرباء عنهُ.
📌 حيث كانت نسبة الشحن بعد قطع الكهرباء لمدة 40 دقيقة  11٪</t>
  </si>
  <si>
    <t>لصق لوحات بلاستك شفافة جديدة لحفظ ورقة قراءات الــUPS وكذلك سهولة استبدالها دون تغير الحافظة.</t>
  </si>
  <si>
    <t xml:space="preserve">J- جامعة العميد (السابعة), </t>
  </si>
  <si>
    <t>تم جرد البناية وتم العثور على منشوريات عاطله العدد 2 وتم إصلاحها</t>
  </si>
  <si>
    <t>إعادة ربط الانارة المنشورية (60*60)  عدد (2)   بعد صيانتها في الشفت الليلي بسبب قطع في الاسلاك</t>
  </si>
  <si>
    <t>تفعيل LINE 2 الاتصال الخارجي لجميع هواتف الشعبة</t>
  </si>
  <si>
    <t>برنامج الاسناد الهندسي</t>
  </si>
  <si>
    <t>اضافة مجلدات في نافذة وحدة الكهرباء فيها المعلومات والقراءات من سنة 2024 و مخطط الطاقة الشمسية</t>
  </si>
  <si>
    <t>تم إجراء الفحص الدوري لكهربائيات المدرسة  تم العثور على  3 منشوريات وتم لحام الأسلاك المقطوعة واستبدال محولة سبوت لايت بقدرة 24W عدد 2 وإعادة تثبيت مأخذ قدرة عدد1</t>
  </si>
  <si>
    <t>غرفة مسؤول الشعبة</t>
  </si>
  <si>
    <t xml:space="preserve">تم استبدال سبورلايتات بمنشوريات  العدد 2 </t>
  </si>
  <si>
    <t>من data center الى AG-electric</t>
  </si>
  <si>
    <t>اعادة عمل طرف مدبب للهيم الخاص بوحدة الكهرباء للمساعدة في فتح أغطية المنهولات الثقيلة الخاصة بقابلوات التغذية الرئيسية.</t>
  </si>
  <si>
    <t>استبدال حساس الحركة الخاص بالصحيات حيث لوحظ ان انارتها لا تتوقف ابدا نتيجة تلف الحساس الخاص بها</t>
  </si>
  <si>
    <t>data center &amp; AG-electric</t>
  </si>
  <si>
    <t>اكمال تسليك الفلكس (2x1 ملم) في الداتاسنتر وتمريره من خلال الأرضية الكاذبة وتغذيته من بورد الUPS الخاص بها من خلال جوزة C16 وكذلك ربطه من جهة غرفة الكهرباء لبورد لسيطرة بورد الخدمات وبورد التحويل الثانوي.</t>
  </si>
  <si>
    <t>تنظيف الراكات من الاتربة لجميع الطوابق + فلاتر UPS</t>
  </si>
  <si>
    <t>غرفة  الكهرباء</t>
  </si>
  <si>
    <t>تنظيف الراك +UPS  المغذي لحاسبات الشعبة</t>
  </si>
  <si>
    <t>قاعة المؤتمرات</t>
  </si>
  <si>
    <t xml:space="preserve">تم إعادة تثبيت شرائط إضاءة مخفية (LED) </t>
  </si>
  <si>
    <t>فحص  UPS (أثناء تشغيل الشاشات) بعد إطفاء الكهرباء عنهُ.
📌 حيث كانت نسبة الشحن بعد قطع الكهرباء لمدة 31 دقيقة  4٪</t>
  </si>
  <si>
    <t>فحص  UPS المدرسة الثالثة (أثناء تشغيل الشاشات) بعد إطفاء الكهرباء عنهُ.
📌 حيث كانت نسبة الشحن بعد قطع الكهرباء لمدة 24 دقيقة  40٪</t>
  </si>
  <si>
    <t xml:space="preserve">الطابق الارضي, الادارة </t>
  </si>
  <si>
    <t>سويج السخان لاينطفئ</t>
  </si>
  <si>
    <t>المولدات</t>
  </si>
  <si>
    <t>تم تغذية مضخات الديزل الخاصة بالمولدات</t>
  </si>
  <si>
    <t>فحص  UPS10KV  بعد إطفاء الكهرباء عنهُ.
📌 حيث كانت نسبة الشحن بعد قطع الكهرباء لمدة 21 دقيقة  35٪</t>
  </si>
  <si>
    <t>إعادة توجيه + تثبيت عمود الكاميرات .</t>
  </si>
  <si>
    <t>بيت الاعلام</t>
  </si>
  <si>
    <t>وحدة الشبكات</t>
  </si>
  <si>
    <t>استبدال نقطة كهرباء احادية بنقطة ثنائية.</t>
  </si>
  <si>
    <t>فحص عملية تحويل ATS الموجود في البورد الجديد بسبب حدوث توقف مفاجأ و انطفاء UPS.</t>
  </si>
  <si>
    <t>A- المركز الثقافي, B- روضة القمر</t>
  </si>
  <si>
    <t>تم تغذية مضخات الديزل عدد 2 الخاصة بالمولدات بربط مباشر بعد الغاء السلك القديم  ليصل إلى مأخذ القدرة في غرفة التزامن</t>
  </si>
  <si>
    <t>G- روضة الجود, H- ابتدائية القمر للبنات (الخامسة)</t>
  </si>
  <si>
    <t>المدرسة الاولى_الحر</t>
  </si>
  <si>
    <t>الطابق الاول, غرفة كهرباء_شعبة الصيانة</t>
  </si>
  <si>
    <t>المدرسة الاولى+المدرسة الرابعة_الحر</t>
  </si>
  <si>
    <t>تم إجراء الفحص الدوري لكهربائيات كافة الطوابق لضمان كفاءة الاداء ومن خلال الفحص تم العثور على محولات سبوت لايت بقدرة24 تالفة عدد 7 تم استبدال المحولات والتأكد من عملها بصورة صحيحة</t>
  </si>
  <si>
    <t>نصب قاطع رباعي حجم 100 امبير في بورد خدمات المدرسة مع تغذيته مباشرة من بازبارات البورد بأستخدام اسلاك مفردة حجم 50 ملم</t>
  </si>
  <si>
    <t>تم اكمال تسليك كيبل 2*1.5ملم من المنهولة الخارجية الى داخل غرفة الكهرباء ووضع سليف بطول 3متر</t>
  </si>
  <si>
    <t>كرفان الامنية</t>
  </si>
  <si>
    <t>تنظيف الراكات من الاتربة لجميع الطوابق + غرفة DATA CENTER</t>
  </si>
  <si>
    <t xml:space="preserve">من خلال المتابعة اليومية تم ملاحظة عدم توازن الفيزات الثلاث في شاشة قراءات المدرسة الثانية حيث كانت القيم متفاوتة بشكل واضح انخفاض في فيز وارتفاع في آخر بعد الفحص لوحظ خلل في توصيل سلك البارد وتم تعديل الربط </t>
  </si>
  <si>
    <t xml:space="preserve">صيانة انارة قرب الحانوت في غرفة الزينبيات </t>
  </si>
  <si>
    <t xml:space="preserve">صحيات </t>
  </si>
  <si>
    <t xml:space="preserve">صيانة مفرغة </t>
  </si>
  <si>
    <t>صيانة نقطة كهرباء في الصف الثالث أ</t>
  </si>
  <si>
    <t xml:space="preserve">استبدال عدد من السبورت لايت في الصحيات </t>
  </si>
  <si>
    <t>الغاء نقطة كهرباء في الصف الثاني ب</t>
  </si>
  <si>
    <t xml:space="preserve">مصعد لايعمل </t>
  </si>
  <si>
    <t>إعادة القاطع الرئيسي المغذي الى العمل بعد خروجه عن الخدمة "TRIP" .</t>
  </si>
  <si>
    <t>إعادة قاطعي المدرستين الى العمل بعد توقف مفاجأ</t>
  </si>
  <si>
    <t>المطبخ الخارجي</t>
  </si>
  <si>
    <t>عمل صيانة في المطبخ الخارجي على الغاء بلك سويچ واستحداث آخر في الحانوت التابع للموقع اعلاه لغرض تشغيل عارضة تبريد</t>
  </si>
  <si>
    <t>اكمال ربط دائرة ال power للمنظومة الجديدة (ربط المدراس الأربعة مع مولدة محطة الرفع)  حيث تم ربط كيبل الخروج 50*4 ملم من جهة بورد الخدمات بالقاطع المضاف مع بازبار ATS الثانوي</t>
  </si>
  <si>
    <t>المنظومة الجديدة</t>
  </si>
  <si>
    <t>اعادة احد المصاعد الى العمل بسبب وجود بعض الاتربة في سكة باب الكابينة مما تسبب بخلل في اغلاق الباب</t>
  </si>
  <si>
    <t>مساعدة وحده المدني الحفر  سجة التصريف مياه المطار</t>
  </si>
  <si>
    <t>استبدال كيبل LAN UTP تالف واعادة ترتيب الأسلاك.</t>
  </si>
  <si>
    <t>استبدال كيبل DISPLAY PORT تالف واعادة ترتيب الأسلاك.</t>
  </si>
  <si>
    <t xml:space="preserve">تم متابعة غرف الكهرباء في كل البنايات وتم العثور على  مياه امطار  في احد الغرف </t>
  </si>
  <si>
    <t>تفعيل الجدولة لإيقاف تشغيل VRV DAIKIN تلقائيا بعد انتهاء الدوام 02:30 PM</t>
  </si>
  <si>
    <t>تم إعادة ربط سويچ 45A خاص بسخان ماء وتم التأكد من تشغيله بصورة صحيحة لضمان كفاءة الأداء</t>
  </si>
  <si>
    <t>استبدال شاحن بطاريات مولدة المركز (400KVA) بواحد جديد نتيجة لتلف القديم أضافة الى شحن بطاريتها بأستخدام بورد الفحص الخاص بوحدة الكهرباء واعادة المولدة للخدمة</t>
  </si>
  <si>
    <t>فحص مشكلة عدم تشغيل المولدة (1MVA) في موقع GH حيث لوحظ وجود خلل في تشغيل صمام خنق الگاز فيها وتمت معالجته واعادة المولدة للخدمة</t>
  </si>
  <si>
    <t>البيوت الخارجية المطبخ</t>
  </si>
  <si>
    <t>* تحويل تغذية نقاط عدد 3 الى الطاقة الشمسية .
* النقاط تغذي ثلاجات.</t>
  </si>
  <si>
    <t xml:space="preserve">استبدال منچر الطاقة الشمسية المغذي للبيوت الخارجية من C32 الى C25 اضافة الى ظرورة اعادة توزيع الأحمال على الفيزات </t>
  </si>
  <si>
    <t>تم توزيع الأحمال بالتساوي على جميع الخطوط لتجنب زيادة الأحمال ولضمان كفاءة الأداء</t>
  </si>
  <si>
    <t xml:space="preserve">إصلاح القطع في LAN الانترنت والتلفون الأرضي </t>
  </si>
  <si>
    <t>إضافة قاطع 100A وتثبيته في بورد الخدمات وتغذيته من القاطع  الرئيسي القادم من محطة الرفع  وإدخال كيبل 50*4 ملم داخل البورد لغرض ربطه لاحقا.</t>
  </si>
  <si>
    <t>تم اضافة بلك سويج  جديد</t>
  </si>
  <si>
    <t>الحانوت</t>
  </si>
  <si>
    <t xml:space="preserve">اضافة بلك سويج عدد 2 </t>
  </si>
  <si>
    <t>تم  ربط كيبل 50×4  بورد التوزيع الى البورد الرئيسي</t>
  </si>
  <si>
    <t>تسجيل قراءات كهرباء الوطني E Del لمعرفة فاتورة الكهرباء  واستهلاك المجمع من الكهرباء الوطني .</t>
  </si>
  <si>
    <t xml:space="preserve">صيانة شباك صف اول أ </t>
  </si>
  <si>
    <t xml:space="preserve">صيانة المجرى في الساحة الخلفية </t>
  </si>
  <si>
    <t xml:space="preserve">صيانة باب خشبية في الساحة الخلفية </t>
  </si>
  <si>
    <t xml:space="preserve">الطابق الارضي, مختبر العلوم </t>
  </si>
  <si>
    <t xml:space="preserve">صيانة ستولات </t>
  </si>
  <si>
    <t>تزييت باب حديد عدد ٤</t>
  </si>
  <si>
    <t xml:space="preserve">رصيف البناية الاولى والثانية </t>
  </si>
  <si>
    <t>رصيف</t>
  </si>
  <si>
    <t>تصليح الرصيف بالمعجون</t>
  </si>
  <si>
    <t xml:space="preserve">صبغ حائط قرب باب المصعد و صبغ ساريا العلم </t>
  </si>
  <si>
    <t>صيانة مفتاح باب الحمام الاول القطاع الدائري</t>
  </si>
  <si>
    <t xml:space="preserve">ارجاع سقوف ثانوية </t>
  </si>
  <si>
    <t>صيانة باب خشب صف ثاني ج</t>
  </si>
  <si>
    <t>صيانة باب خشب صف اول ح</t>
  </si>
  <si>
    <t xml:space="preserve">صيانة باب خشب صحيات المصلى </t>
  </si>
  <si>
    <t>صيانة باب صحيات الرئسي</t>
  </si>
  <si>
    <t>صف الخامس  د</t>
  </si>
  <si>
    <t xml:space="preserve">صبغ الحائط </t>
  </si>
  <si>
    <t>صيانة باب الخلفي قفل باب</t>
  </si>
  <si>
    <t xml:space="preserve">كرفان الامنية </t>
  </si>
  <si>
    <t xml:space="preserve">صبغ الكرفان </t>
  </si>
  <si>
    <t xml:space="preserve">الطابق الثالث, وحدة المراقبة المركزية </t>
  </si>
  <si>
    <t xml:space="preserve">ضب براغي كراسي مكتبية </t>
  </si>
  <si>
    <t xml:space="preserve">صيانة برادات </t>
  </si>
  <si>
    <t xml:space="preserve">استفسر عن الطابق في الاستعلامات </t>
  </si>
  <si>
    <t xml:space="preserve">سقوف ثانوية </t>
  </si>
  <si>
    <t>صف الفواكه</t>
  </si>
  <si>
    <t>صيانة شباك صف الاول أ</t>
  </si>
  <si>
    <t xml:space="preserve">الطابق الارضي, باب الاستعلامات النسوية </t>
  </si>
  <si>
    <t xml:space="preserve">استعلامات </t>
  </si>
  <si>
    <t xml:space="preserve">يرجى ترميم حائط </t>
  </si>
  <si>
    <t xml:space="preserve">شد ستائر </t>
  </si>
  <si>
    <t>تزيت لباب الرئيسية</t>
  </si>
  <si>
    <t>غرفة معاونات</t>
  </si>
  <si>
    <t xml:space="preserve">باب استعلامات </t>
  </si>
  <si>
    <t>الاعمدة</t>
  </si>
  <si>
    <t>صبغ الأعمدة الخارجية</t>
  </si>
  <si>
    <t xml:space="preserve">الأعمدة </t>
  </si>
  <si>
    <t xml:space="preserve">صبغ الأعمدة الخارجية </t>
  </si>
  <si>
    <t xml:space="preserve">صبغ الرصيف بمادة البرايمر </t>
  </si>
  <si>
    <t xml:space="preserve">الرصيف </t>
  </si>
  <si>
    <t xml:space="preserve">تصليح الرصيف بمادة المعجون </t>
  </si>
  <si>
    <t xml:space="preserve">صيانة كرسي ضب براغي </t>
  </si>
  <si>
    <t xml:space="preserve">خارج البناية عند باب الدخول </t>
  </si>
  <si>
    <t xml:space="preserve">شد شعار العتبة </t>
  </si>
  <si>
    <t>صف الرابع ج</t>
  </si>
  <si>
    <t xml:space="preserve">صيانة بردة وسقف ثانوي </t>
  </si>
  <si>
    <t xml:space="preserve">صيانة باب الحمام </t>
  </si>
  <si>
    <t xml:space="preserve">صف الخامس د </t>
  </si>
  <si>
    <t>صبغ حائط</t>
  </si>
  <si>
    <t>الصحيات مقابل الالعاب</t>
  </si>
  <si>
    <t>غلق فتحات سقف ثانوي</t>
  </si>
  <si>
    <t>صيانة باب صحيات المنيوم</t>
  </si>
  <si>
    <t>إضافة سكة بردة</t>
  </si>
  <si>
    <t>استبدال سقوف ثانوية عدد 100</t>
  </si>
  <si>
    <t xml:space="preserve">حفر لمد سواقي مياه الأمطار عدد 2 </t>
  </si>
  <si>
    <t>سد فتحة باب بالتور</t>
  </si>
  <si>
    <t>صيانة هزارة</t>
  </si>
  <si>
    <t xml:space="preserve">صيانة يدات باب الالمنيوم </t>
  </si>
  <si>
    <t xml:space="preserve">صيانة باب في الحمامات الخارجية </t>
  </si>
  <si>
    <t>E- ابتدائية العميد للبنات (الثالثة), H- ابتدائية القمر للبنات (الخامسة)</t>
  </si>
  <si>
    <t xml:space="preserve">عمل رفووف </t>
  </si>
  <si>
    <t>العاب داخلية</t>
  </si>
  <si>
    <t xml:space="preserve">صيانة رحلات </t>
  </si>
  <si>
    <t>صيانة السقف الثانوي</t>
  </si>
  <si>
    <t>صف اللؤلؤ</t>
  </si>
  <si>
    <t xml:space="preserve">صيانة كرسي </t>
  </si>
  <si>
    <t>صيانة سبورة</t>
  </si>
  <si>
    <t xml:space="preserve">صيانة سقف ثانوي </t>
  </si>
  <si>
    <t>صيانة مرمر سواقي عدد 4</t>
  </si>
  <si>
    <t>تثبيت قواعد سواقي عدد 4</t>
  </si>
  <si>
    <t>رفع إنقاذ في الساحة الدائرية</t>
  </si>
  <si>
    <t xml:space="preserve">غسل سطح وإزالة جوين </t>
  </si>
  <si>
    <t xml:space="preserve">عمل جوين مادة ماستك السطح الاسفل طابق ثاني </t>
  </si>
  <si>
    <t>فتح سيفونات عدد 3</t>
  </si>
  <si>
    <t>فتح سيفونات عدد 2</t>
  </si>
  <si>
    <t>الطابق الارضي, الساحة الوسطية</t>
  </si>
  <si>
    <t xml:space="preserve">صيانة مجرى </t>
  </si>
  <si>
    <t>تبديل صوندة ماء RO</t>
  </si>
  <si>
    <t>صيانة براد</t>
  </si>
  <si>
    <t xml:space="preserve">صيانة مغسلة </t>
  </si>
  <si>
    <t xml:space="preserve">صيانة سيفونة حمام </t>
  </si>
  <si>
    <t>صيانة براد تسريب ماء</t>
  </si>
  <si>
    <t xml:space="preserve">لايوجد ماء في الصحيات </t>
  </si>
  <si>
    <t xml:space="preserve">صيانة سيفونة
</t>
  </si>
  <si>
    <t>صيانة برادات الماء الخاص بالتلاميذ</t>
  </si>
  <si>
    <t xml:space="preserve">صيانة تصريف الغسالة </t>
  </si>
  <si>
    <t xml:space="preserve">صيانة براد تسريب ماء من تحت البراد </t>
  </si>
  <si>
    <t xml:space="preserve">تبديل غطاء  منهولة </t>
  </si>
  <si>
    <t>نضوح ماء في المنور</t>
  </si>
  <si>
    <t xml:space="preserve">صيانة غربي </t>
  </si>
  <si>
    <t xml:space="preserve">طفح مجاري </t>
  </si>
  <si>
    <t xml:space="preserve">صيانة مطفأة </t>
  </si>
  <si>
    <t>صيانة غطاء غربي</t>
  </si>
  <si>
    <t>تبديل ماسك شطاف</t>
  </si>
  <si>
    <t>نصب سواقي لتصريف مياه الأمطار عدد 4</t>
  </si>
  <si>
    <t xml:space="preserve">الصحيات مقابل المدرسة الرابعة </t>
  </si>
  <si>
    <t>استبدال ماسك شطاف</t>
  </si>
  <si>
    <t>انسداد في صوندة المغسلة</t>
  </si>
  <si>
    <t xml:space="preserve">صيانة المجاري </t>
  </si>
  <si>
    <t>صيانة البراد غرفة المرشدات</t>
  </si>
  <si>
    <t xml:space="preserve">صيانة صوندة براد </t>
  </si>
  <si>
    <t xml:space="preserve">صيانة براد ماء كلور </t>
  </si>
  <si>
    <t xml:space="preserve">صيانة حنفيات </t>
  </si>
  <si>
    <t xml:space="preserve">الطابق الارضي, الصحيات </t>
  </si>
  <si>
    <t xml:space="preserve">كاك يسرب ماء اسفل السخان </t>
  </si>
  <si>
    <t>عبد الله جابر</t>
  </si>
  <si>
    <t>القاعة الرياضية رقم 4 -3</t>
  </si>
  <si>
    <t>تشغيل التبريد والانارة</t>
  </si>
  <si>
    <t>القاعات الرياضية رقم 3-4</t>
  </si>
  <si>
    <t>تشغيل الانارة والتبريد</t>
  </si>
  <si>
    <t>القاعة الرياضية 3-4</t>
  </si>
  <si>
    <t>اطفاء التبريد</t>
  </si>
  <si>
    <t>صيانة قطع سبالت داخلية عدد ٢ لغرف الكهرباء</t>
  </si>
  <si>
    <t>ZONE A - الطابق الارضي, القاعات الرياضية 3-4</t>
  </si>
  <si>
    <t>تشغيل تبريد ومفرغات</t>
  </si>
  <si>
    <t xml:space="preserve">لحام بكج </t>
  </si>
  <si>
    <t>البناية كاملة</t>
  </si>
  <si>
    <t>تحول التبريد الى تدفئة - وتشغيل سخانات الماء</t>
  </si>
  <si>
    <t>غرفة الاعلاميات</t>
  </si>
  <si>
    <t>صيانة سبلت يعمل على التدفئة فقط</t>
  </si>
  <si>
    <t>ZONE A - الطابق الارضي, تشريفات رئاسة</t>
  </si>
  <si>
    <t>غسل وتنظيف سبلت كنتوري</t>
  </si>
  <si>
    <t>ZONE A - الطابق الارضي, غرفة المعاونة التعليمية</t>
  </si>
  <si>
    <t xml:space="preserve">أضافة منافذ قدرة (13 أمبير) عدد (4) في غرفة المعاونة التعليمية </t>
  </si>
  <si>
    <t xml:space="preserve">الطابق الأرضي رئاسة القسم </t>
  </si>
  <si>
    <t>صيانة انارة منشورية عدد 1</t>
  </si>
  <si>
    <t>المصعد</t>
  </si>
  <si>
    <t xml:space="preserve">المصعد لا يعمل </t>
  </si>
  <si>
    <t>ZONE A - الطابق الاول, القاطع الدائري مجاور صف الثالث ب</t>
  </si>
  <si>
    <t>صيانة نقطة كهرباء</t>
  </si>
  <si>
    <t>رفضوا الدخول وطلبوا اتمامه بعد الدوام</t>
  </si>
  <si>
    <t>مختبر الحاسوب</t>
  </si>
  <si>
    <t>بيوت خارجية</t>
  </si>
  <si>
    <t>محدد</t>
  </si>
  <si>
    <t>فتح بلك سويج عدد 6</t>
  </si>
  <si>
    <t>نقل كيبل 4×16الخاص بمظخة اطفاء الحريق للمركز الثقافي من بورد الخدمات الى البورد الرئيسي مع إضافة قطعة كيبل من نفس القياس بطول 4متر من خلال جوين ثنابل</t>
  </si>
  <si>
    <t>السطح, المصعد</t>
  </si>
  <si>
    <t xml:space="preserve">صيانة مصعد المدرسة الرابعة </t>
  </si>
  <si>
    <t>اربية</t>
  </si>
  <si>
    <t>الصحيات zone b</t>
  </si>
  <si>
    <t>صيانة انارة سبوت لايت</t>
  </si>
  <si>
    <t xml:space="preserve">تفريغ قاطع من قواطع بورد كهرباء محطة الرفع الرئيسي وربطه بكيبل خدمات المركز الثقافي السابق مع تغذية هذا القاطع من خروج (ATS) الأول الذي يعطي كهرباء وطنية ومولدة فقط
</t>
  </si>
  <si>
    <t>تقليل حرارة السخان</t>
  </si>
  <si>
    <t>غرفه الكامرات</t>
  </si>
  <si>
    <t xml:space="preserve">إضافة نقطة كهرباء </t>
  </si>
  <si>
    <t>إضافة لاحقا عند إكمال الترتيب</t>
  </si>
  <si>
    <t xml:space="preserve">وحدة الكهرباء </t>
  </si>
  <si>
    <t xml:space="preserve">الطابق الرابع </t>
  </si>
  <si>
    <t>خطين انارة مفصولات بسبب حدوث تماس ب6 مصابيح سبوت لايت</t>
  </si>
  <si>
    <t>تم انجاز 5</t>
  </si>
  <si>
    <t>صيانة نقطة كهرباء غرفة المعاونات</t>
  </si>
  <si>
    <t>كهربائيات الارشاد</t>
  </si>
  <si>
    <t>D- ثانوية العميد بناية المتوسطة  (الثانية), مجاور صف الثالث د</t>
  </si>
  <si>
    <t>الطابق الثالث غرفة الكهرباء</t>
  </si>
  <si>
    <t>وجود صوت عالي داخل الغرفة</t>
  </si>
  <si>
    <t>غرفة المدرسات</t>
  </si>
  <si>
    <t xml:space="preserve">استبدال محولة سبوت لايت 38W  وصيانة سبوت لايت اخر </t>
  </si>
  <si>
    <t>نمت الصيانة الأربعاء</t>
  </si>
  <si>
    <t>ZONE B - الطابق الارضي, الصحيات</t>
  </si>
  <si>
    <t>استبدال محولة سبوت لايت</t>
  </si>
  <si>
    <t xml:space="preserve">H- ابتدائية القمر للبنات (الخامسة)
</t>
  </si>
  <si>
    <t>موزعة في جميع الطوابق</t>
  </si>
  <si>
    <t xml:space="preserve">صيانة انارة منشورية 60*60 عدد 7  عن طريق لحام الأجزاء الداخلية </t>
  </si>
  <si>
    <t>م. علي يسري</t>
  </si>
  <si>
    <t>غسل الألواح الشمسية</t>
  </si>
  <si>
    <t xml:space="preserve">فتح منشورات عدد ٥ </t>
  </si>
  <si>
    <t>الساقي</t>
  </si>
  <si>
    <t xml:space="preserve">صيانه كهرباء </t>
  </si>
  <si>
    <t xml:space="preserve">جميع البنايات عدا 6 و 7 </t>
  </si>
  <si>
    <t xml:space="preserve">الغرف التي تحوي UPS </t>
  </si>
  <si>
    <t>تنظيف فلاتر الUPS</t>
  </si>
  <si>
    <t xml:space="preserve">منجز </t>
  </si>
  <si>
    <t xml:space="preserve">صيانه  جهاز البصمه </t>
  </si>
  <si>
    <t xml:space="preserve">صيانه بلك مكنسه + سويج براد الماء في غرفه المعلمات </t>
  </si>
  <si>
    <t xml:space="preserve">J- ابتدائية الساقي للبنين الجانب الثاني (السابعة), </t>
  </si>
  <si>
    <t>متفرقة</t>
  </si>
  <si>
    <t>فتح منشوريات عدد 5</t>
  </si>
  <si>
    <t>صيانة المنشوريات المفتوحة عن طريق لحام الاجزاء الداخلية واعادة ربطها</t>
  </si>
  <si>
    <t xml:space="preserve">توصيل مصدر 3phase كيبل 4*4 من مصدر الشاشات القديم الخاصة بكاميرات المراقبلة الى المكان الجديد الذي هو بنفس الطابق </t>
  </si>
  <si>
    <t>موقع النافورة</t>
  </si>
  <si>
    <t>تنظيف 20 مصباح انارة النافورة</t>
  </si>
  <si>
    <t>الصحيات الخاريجة</t>
  </si>
  <si>
    <t>محولة سبوت لايت لا تعمل</t>
  </si>
  <si>
    <t>اضافة تايمر ساعة الى دافعات منظومة AUH البالغ عددها 5 مع تعديل دائرة السيطرة  لتوقيت عمل الدافعات عدا الجمعة والسبت من الساعة السابعة الى الثانية ضهرا</t>
  </si>
  <si>
    <t xml:space="preserve">الرابع غرفة الكاميرات </t>
  </si>
  <si>
    <t xml:space="preserve">اضافة بلك سويج عدد 2 نوع 13A </t>
  </si>
  <si>
    <t xml:space="preserve">الاستعلامات الرئيسية, </t>
  </si>
  <si>
    <t>الباب الرئيسي</t>
  </si>
  <si>
    <t>استبدال بوش جرص باب الاستعلامات الرئيسية</t>
  </si>
  <si>
    <t>السطح, غرفة المصعد</t>
  </si>
  <si>
    <t>تنظيف لوحة السيطرة + الغرفة</t>
  </si>
  <si>
    <t>تنظيف 35 مصباح انارة النافورة</t>
  </si>
  <si>
    <t>الشركة الامنية</t>
  </si>
  <si>
    <t>صيانة كرفان الامنية</t>
  </si>
  <si>
    <t>استبدال محولة سبوت لايت عدد 1</t>
  </si>
  <si>
    <t>الساحة</t>
  </si>
  <si>
    <t>اعادة تسليك واسترجاع الكيبل الى السقف الثانوي الخاص بشاشة العرض في الساحة</t>
  </si>
  <si>
    <t>فصل خطوط الانارة نتيجة حدوث تماس وتم استبدال 5 محولات منشورية</t>
  </si>
  <si>
    <t>الارضي جهة رئاسة القسم</t>
  </si>
  <si>
    <t>استبدال محولة منشورية</t>
  </si>
  <si>
    <t>صحيات الطابق الارضي جهة رئاسة القسم</t>
  </si>
  <si>
    <t>استبدال مصباح سبوت لايت 20 واط</t>
  </si>
  <si>
    <t>D- ثانوية العميد بناية المتوسطة  (الثانية), E- ابتدائية العميد للبنات (الثالثة)</t>
  </si>
  <si>
    <t xml:space="preserve">السطح, غرفة المصعد </t>
  </si>
  <si>
    <t xml:space="preserve">تنظيف الغرف مع بورد السيطرة </t>
  </si>
  <si>
    <t>تغذية 12 نقطة كهرباء الى الشاشات و الحاسبات</t>
  </si>
  <si>
    <t>ZONE A - الطابق الارضي, قاعة سراج العميد</t>
  </si>
  <si>
    <t xml:space="preserve">صيانة الانارة </t>
  </si>
  <si>
    <t xml:space="preserve">صيانة مصعد الخاص بالمكتب النسوي
</t>
  </si>
  <si>
    <t>اضافة نقطة كهرباء الى التلفون الارضي في الحانوت</t>
  </si>
  <si>
    <t xml:space="preserve">صيانة مصعد
</t>
  </si>
  <si>
    <t>تشغيل مفرغات الحمام</t>
  </si>
  <si>
    <t>صيانة الانارة ترمش</t>
  </si>
  <si>
    <t>تشغيل الكهرباء القاطع المستطيل</t>
  </si>
  <si>
    <t>صيانة انارة الحمامات رئاسة القسم</t>
  </si>
  <si>
    <t>المجاميع الصحية مقابل رئاسة القسم</t>
  </si>
  <si>
    <t>صيانة نقطة الكهرباء + صيانة الانارة بالكامل</t>
  </si>
  <si>
    <t>تنصيب حساس الانارة</t>
  </si>
  <si>
    <t>على الشركة</t>
  </si>
  <si>
    <t xml:space="preserve">صيانه نقطه كهرباء </t>
  </si>
  <si>
    <t xml:space="preserve">الصحيات مقابل الالعاب </t>
  </si>
  <si>
    <t>صيانة مفرغة لا تعمل + صيانة يدات باب عدد 3</t>
  </si>
  <si>
    <t xml:space="preserve">اضافة مفرغة الى الحمام </t>
  </si>
  <si>
    <t>ZONE A - الطابق الارضي, المكتب النسوي</t>
  </si>
  <si>
    <t>1- يوجد ترميش في انارة الغرفة 
2-صيانة نقطة كهرباء
3- فصل انارة المطبخ + اضافة انارة لجهة المطبخ
4- فصل الانارة القريبة من الشاشات
5- فصل الانارة القريبة من النوافذ
6- اضافة انارة شمسية 
7- اضافة نقطة كهرباء + نقطة اخرى للحاسبة</t>
  </si>
  <si>
    <t>غرفة المعلمات</t>
  </si>
  <si>
    <t>تغذية سبلت الاستعلامات الرئسية</t>
  </si>
  <si>
    <t xml:space="preserve">فحص صيانة سماور </t>
  </si>
  <si>
    <t>اضافة نقطة كهرباء</t>
  </si>
  <si>
    <t>ZONE A - الطابق الاول, ZONE A - الطابق الثاني</t>
  </si>
  <si>
    <t>استبدال ١٠ محولات تالفة</t>
  </si>
  <si>
    <t>استبدال ٣ محولات سبورت لايت</t>
  </si>
  <si>
    <t xml:space="preserve">م. علي يسري </t>
  </si>
  <si>
    <t>تسليك كيبل إلى غرفة الاستنساخ</t>
  </si>
  <si>
    <t>صيانة انارة الحانوت</t>
  </si>
  <si>
    <t>صيانة نقطة كهرباء في الخامس ب</t>
  </si>
  <si>
    <t>لطابق الثالث غرفة د. خلود</t>
  </si>
  <si>
    <t>تركيب عجلات لكرسي عدد 2 علماً ان العجلات موجودة وتحتاج فقط الى تركيب</t>
  </si>
  <si>
    <t>بيت الحضانة</t>
  </si>
  <si>
    <t xml:space="preserve">صيانة باب + فلتر الماء يحتاج الى استبدال </t>
  </si>
  <si>
    <t>خلف المركز الثقافي</t>
  </si>
  <si>
    <t xml:space="preserve">اصلاح وترميم الممر </t>
  </si>
  <si>
    <t>في مطبخ الطابق الثاني جهة المكتب النسوي</t>
  </si>
  <si>
    <t>صيانة باب كاونتر + صيانة مجر</t>
  </si>
  <si>
    <t>ZONE A - الطابق الارضي, الاستعلامات</t>
  </si>
  <si>
    <t>شد الستائر الخاصة في الاستعلامات</t>
  </si>
  <si>
    <t>صيانة باب المنيوم</t>
  </si>
  <si>
    <t xml:space="preserve">تصليح اقفال ويدات  لوكلرات  خشب عدد 14  .   ولوكرات حديد عدد 12 تحتاج قفل فقط </t>
  </si>
  <si>
    <t xml:space="preserve">صيانه قفل باب حمام الادارة </t>
  </si>
  <si>
    <t xml:space="preserve">صيانه الالعاب </t>
  </si>
  <si>
    <t xml:space="preserve">صيانه باب صف الرابع و حنفيه استبدال </t>
  </si>
  <si>
    <t>المكتبة</t>
  </si>
  <si>
    <t xml:space="preserve">تعليق رف </t>
  </si>
  <si>
    <t>صيانة رجل ميز عدد ٤</t>
  </si>
  <si>
    <t xml:space="preserve">صيانه مقبض باب صحيات </t>
  </si>
  <si>
    <t xml:space="preserve">صيانه مقبض شباك صف الثاني أ + صف الثالث </t>
  </si>
  <si>
    <t>الثاني د +الرابع ج+ صف قرب مختبر الحاسوب + السادس أ +ب</t>
  </si>
  <si>
    <t xml:space="preserve">الهزاز الخشبي مقبض الباب </t>
  </si>
  <si>
    <t>الممر الخلفي المحيط في البناية</t>
  </si>
  <si>
    <t>تصليح الممر</t>
  </si>
  <si>
    <t>صيانة ميز حاسبة</t>
  </si>
  <si>
    <t>صيانة لبة  باب صحيات</t>
  </si>
  <si>
    <t>صيانة. تور شباك عدد ٢</t>
  </si>
  <si>
    <t>صيانة بردات عدد ٣</t>
  </si>
  <si>
    <t>صيانة أبواب خشبية عدد ٧</t>
  </si>
  <si>
    <t>نافورة</t>
  </si>
  <si>
    <t>داخل النافورة</t>
  </si>
  <si>
    <t xml:space="preserve">اعمال صيانة داخل النافورة </t>
  </si>
  <si>
    <t>صيانة باب الساحة الدائرية</t>
  </si>
  <si>
    <t>ZONE A - الطابق الثاني, المطبخ</t>
  </si>
  <si>
    <t>صيانة باب الكاونتر</t>
  </si>
  <si>
    <t>صيانة عربة النقل</t>
  </si>
  <si>
    <t xml:space="preserve">ستائر غرف المعاونات </t>
  </si>
  <si>
    <t>ZONE A - الطابق الارضي, غرفة المعاونات</t>
  </si>
  <si>
    <t>صيانة ستائر غرفة المعاونات</t>
  </si>
  <si>
    <t xml:space="preserve">ZONE A - الطابق الاول, </t>
  </si>
  <si>
    <t>شد بردة في المكتب النسوي</t>
  </si>
  <si>
    <t>شد لوحة + صبورة</t>
  </si>
  <si>
    <t xml:space="preserve">تفصيل وتركيب قاطع </t>
  </si>
  <si>
    <t>شد سرقي عدد 2 خاص بالوكر</t>
  </si>
  <si>
    <t>صيانة مكتب عدد3 غرفة المعلمات + صيانة رجل قنفة  + صيانة كرسي معلم عدد 2</t>
  </si>
  <si>
    <t>صيانة تعلاكة عدد 2 في الصحيات الخارجية</t>
  </si>
  <si>
    <t xml:space="preserve">ZONE A - الطابق الارضي, شباك صف الاول ج </t>
  </si>
  <si>
    <t>صيانة مفتاح لوكر</t>
  </si>
  <si>
    <t>صيانة بردات</t>
  </si>
  <si>
    <t>صيانة اقفال الابواب</t>
  </si>
  <si>
    <t>صيانة ستائر في صفوف زون بي</t>
  </si>
  <si>
    <t>صيانة الشبكة الخاصة بالالعاب</t>
  </si>
  <si>
    <t>تركيب لوحات اعلانية للصفوف</t>
  </si>
  <si>
    <t>غلق السقوف الثانوية</t>
  </si>
  <si>
    <t>صيانة باب صحيات</t>
  </si>
  <si>
    <t xml:space="preserve">إزالة بوسترات </t>
  </si>
  <si>
    <t>إعادة سقوف ثانوية</t>
  </si>
  <si>
    <t xml:space="preserve">صيانة اقفال الابواب + استبدال قبق منهولة </t>
  </si>
  <si>
    <t>صيانة باب صحيات القاطع المستطيل</t>
  </si>
  <si>
    <t>المجاميع الصحية مقابل الشعبة المالية</t>
  </si>
  <si>
    <t>صيانة يدت باب الغربي + صيانة السقف الثانوي</t>
  </si>
  <si>
    <t>الصحيات مقابل رئاسة القسم</t>
  </si>
  <si>
    <t>صيانة يدة باب مكسورة + فتح الماء للصحيات</t>
  </si>
  <si>
    <t>تعليق سبورة كبيرة</t>
  </si>
  <si>
    <t>صيانة يدة شباك ( جهة اليسار )</t>
  </si>
  <si>
    <t>ZONE A - الطابق الارضي, ZONE A - الطابق الاول</t>
  </si>
  <si>
    <t>صيانة الباب الرئيسية للحمام الخارجي الطابق الاول 
صيانة سقف الحمامات الخارجية الطابق الارضي 
صيانة برادات الماء</t>
  </si>
  <si>
    <t>صيانة بدأت باب عدد ٣</t>
  </si>
  <si>
    <t>صيانة باب حمام الطابق الاول الخارجي</t>
  </si>
  <si>
    <t>صيانة شرقي لوكر</t>
  </si>
  <si>
    <t>صف البنفسج</t>
  </si>
  <si>
    <t>صيانة بردة + نقطة كهربائية</t>
  </si>
  <si>
    <t>صيانة شباك صف السادس</t>
  </si>
  <si>
    <t>صيانة الباب صف + شد بردة</t>
  </si>
  <si>
    <t>A- المركز الثقافي, رئاسة القسم</t>
  </si>
  <si>
    <t>صبغ المطبخ</t>
  </si>
  <si>
    <t>اكساء الساحة الدائرية الخاصة بالالعاب  بالاسفنج لحماية الاطفال</t>
  </si>
  <si>
    <t>م. كريم</t>
  </si>
  <si>
    <t>معالجة شتايكر في السطح</t>
  </si>
  <si>
    <t>تعليق لوحات عدد ٢</t>
  </si>
  <si>
    <t>الصحيات الخارجية مقابل المدرسة الخامسة</t>
  </si>
  <si>
    <t>A- المركز الثقافي, المكتب النسوي غرفة الكاميرات</t>
  </si>
  <si>
    <t>تعليق رفوف</t>
  </si>
  <si>
    <t>اصلاح مرمر متضرر في الممر الخارجي جهة المالية</t>
  </si>
  <si>
    <t>الصحيات مقابل المالية</t>
  </si>
  <si>
    <t>صيانة المرمر بركن باب الصحيات الرئيسي</t>
  </si>
  <si>
    <t>عليق بردة في غرفة المعلمات</t>
  </si>
  <si>
    <t>صيانة مجرى مغسلة الحمام</t>
  </si>
  <si>
    <t>مكيانيك</t>
  </si>
  <si>
    <t>موقع المولدات بين روضة الجود و ابتدائية القمر</t>
  </si>
  <si>
    <t>المرر</t>
  </si>
  <si>
    <t>صيانة نضوح حنفية ماء</t>
  </si>
  <si>
    <t xml:space="preserve">شد بردة </t>
  </si>
  <si>
    <t>الصحيات</t>
  </si>
  <si>
    <t>لا يوجد ماء في صحيات البناية</t>
  </si>
  <si>
    <t>صيانة حنفيات البراد</t>
  </si>
  <si>
    <t>موقع المولدات بين روضة الجود والبناية الخامسة</t>
  </si>
  <si>
    <t>صيانة بوري ماء مع وجود نضوح</t>
  </si>
  <si>
    <t>بجانب البناية</t>
  </si>
  <si>
    <t>كاك سقي</t>
  </si>
  <si>
    <t xml:space="preserve">صيانه برادات </t>
  </si>
  <si>
    <t>الارضي</t>
  </si>
  <si>
    <t xml:space="preserve">تم ثقب براغي أنبوب النافورة 
</t>
  </si>
  <si>
    <t>المجاميع الصحية داخل البناية</t>
  </si>
  <si>
    <t>ضعف في الماء</t>
  </si>
  <si>
    <t>منظومة ماء الشرب</t>
  </si>
  <si>
    <t>لا يوجد ماء في المنظومة</t>
  </si>
  <si>
    <t xml:space="preserve">البنايه  كامله </t>
  </si>
  <si>
    <t xml:space="preserve">لايوجد ماء اساله </t>
  </si>
  <si>
    <t>مقابل الشاشة</t>
  </si>
  <si>
    <t>غسل فلاتر النافورة</t>
  </si>
  <si>
    <t xml:space="preserve">صيانه الغربي وصيانه  زنجيل صحيات الادارة </t>
  </si>
  <si>
    <t xml:space="preserve">صحيات الغربي مكسور </t>
  </si>
  <si>
    <t xml:space="preserve">السقف الثانوي يسرب ماء </t>
  </si>
  <si>
    <t xml:space="preserve">قاعدة الصابون +شفاط +الغربي </t>
  </si>
  <si>
    <t xml:space="preserve">الغربي مكسور + زنجيل </t>
  </si>
  <si>
    <t>صيانة مغسلة وانسداد داخل حمامات الطالبات</t>
  </si>
  <si>
    <t>مقابل الاستعلامات الرئسية</t>
  </si>
  <si>
    <t>حديقة</t>
  </si>
  <si>
    <t xml:space="preserve">تبديل كاك </t>
  </si>
  <si>
    <t xml:space="preserve">غسل وإعادة صبغ الأجزاء المتاكسدة </t>
  </si>
  <si>
    <t>C- ثانوية العميد بناية الاعدادية  (الاولى), D- ثانوية العميد بناية المتوسطة  (الثانية), E- ابتدائية العميد للبنات (الثالثة)</t>
  </si>
  <si>
    <t>تشغيل منظومات التحلية للبنايات</t>
  </si>
  <si>
    <t>F-  ابتدائية جود العميد للبنات (الرابعة), H- ابتدائية القمر للبنات (الخامسة), I- ابتدائية الساقي للبنين (السادسة)</t>
  </si>
  <si>
    <t>صيانة حمامات الساحة وحمامات القاطع الدائري</t>
  </si>
  <si>
    <t>ZONE A - الطابق الارضي, ZONE A - الطابق الثاني</t>
  </si>
  <si>
    <t>لا يوجد ماء اسالة في صحيات البناية</t>
  </si>
  <si>
    <t>صيانة برادات الماء بسبب وجود تنقيط</t>
  </si>
  <si>
    <t>تعلاكة صودة في حمامات المعلمات + صيانة حمام غربي مكسور</t>
  </si>
  <si>
    <t>صيانة مغاسل عدد2  + انسداد في الصحيات الخارجيات</t>
  </si>
  <si>
    <t>م. مرتضى عباس</t>
  </si>
  <si>
    <t>تبديل ماسكات عدد٢</t>
  </si>
  <si>
    <t>صيانة و ادامة منظومة إطفاء الحرائق الخاصة بالمدرسة</t>
  </si>
  <si>
    <t xml:space="preserve">صيانة و إدامة منظومة إطفاء الحرائق في البناية </t>
  </si>
  <si>
    <t>صيانة مغسلة انسداد في مجرى التصريف و الخرطوم تالف + صيانة حمام غربي المقعد يحتاج الى تثبيت</t>
  </si>
  <si>
    <t>ZONE A - الطابق الارضي, الصحيات قرب البصمة</t>
  </si>
  <si>
    <t>صيانة الخيط الخاص بحوض الفلاش</t>
  </si>
  <si>
    <t xml:space="preserve">صيانه في الحمام  </t>
  </si>
  <si>
    <t>غرفة المظخات</t>
  </si>
  <si>
    <t>صيانة الكابلنك الخاص بمضخة الجوكي</t>
  </si>
  <si>
    <t>المجاميع الصحية</t>
  </si>
  <si>
    <t>لا يوجد ماء في الصحيات</t>
  </si>
  <si>
    <t>A- المركز الثقافي, الممر المحاذي لمدخل باب رئاسة القسم</t>
  </si>
  <si>
    <t xml:space="preserve">استبدال قبق منهولة </t>
  </si>
  <si>
    <t>صيانة براد الماء  
صيانة حمام الطابق الارضي الخارجي
صيانة باب الحمام الطابق الاول الخارجي 
صيانة بردات الاول ز 
صيانة بردات الاول ط + سلة رحلات 
صيانة اطارات بردات الاول ك + سلة رحلات 
صيانة سقف الاول ب + سلة رحلة
اول د+ اول و صيانة رحلات 
ثالث ج+ ثالث هـ صيانة رحلات
صيانة بردات ثالث د
ثالث هـ صيانة كرسي المعلمة</t>
  </si>
  <si>
    <t>صيانة براد ماء</t>
  </si>
  <si>
    <t>اضافة مقعد شرقي الى الحمام</t>
  </si>
  <si>
    <t xml:space="preserve">انقطاع الماء الارو
</t>
  </si>
  <si>
    <t>صيانة او استبدال الدوش</t>
  </si>
  <si>
    <t>لا يوجد ماء في الحمامات</t>
  </si>
  <si>
    <t>لا يوجد ماء ارو</t>
  </si>
  <si>
    <t>النافورة الرئيسية</t>
  </si>
  <si>
    <t>صيانة بوري ماء متحرك داخل النافورة</t>
  </si>
  <si>
    <t>لا يوجد ماء</t>
  </si>
  <si>
    <t>لا يوجد ماء في منظومة الشرب</t>
  </si>
  <si>
    <t>لا يوجد ماء اسالة</t>
  </si>
  <si>
    <t xml:space="preserve">صيانة جهاز كبس حراري </t>
  </si>
  <si>
    <t>تابع الى ىشعبة صيانة التربية</t>
  </si>
  <si>
    <t xml:space="preserve">المصعد لايعمل </t>
  </si>
  <si>
    <t xml:space="preserve">المصعد يصدر صوت عالي ومزعج يرجى التحري عن الموضوع وإجراء اللازم مع وافر الشكر والتقدير </t>
  </si>
  <si>
    <t>تبليغ الاستاذ علي فالح</t>
  </si>
  <si>
    <t>2025/11/08 - 10:17 ص</t>
  </si>
  <si>
    <t>يحتاج إلى استبدال قطعة ميكانيكة متضررة تم التواصل مع شعبة المصاعد</t>
  </si>
  <si>
    <t xml:space="preserve">عيسى صالح الكلابي </t>
  </si>
  <si>
    <t xml:space="preserve">B- الابتدائية (البناية 2), صحيات القاعة الرياضية المطلى على البناية الاولى </t>
  </si>
  <si>
    <t xml:space="preserve">الطابق الارضي </t>
  </si>
  <si>
    <t>صيانة سبور لايت</t>
  </si>
  <si>
    <t>2025/11/09 - 08:41 م</t>
  </si>
  <si>
    <t xml:space="preserve">علي الرضا </t>
  </si>
  <si>
    <t xml:space="preserve">استبدال هيتر تالف في إحدى السخانات </t>
  </si>
  <si>
    <t>تم الانجاز في تاريخ 15/11/2505</t>
  </si>
  <si>
    <t>موقع المولدات</t>
  </si>
  <si>
    <t xml:space="preserve">تنظيف بوردات السيطرة في غرفة التزامن ( السنكرو) </t>
  </si>
  <si>
    <t xml:space="preserve">علي الرضا رشاد </t>
  </si>
  <si>
    <t xml:space="preserve">تنظيف سكك المصاعد الكهربائية </t>
  </si>
  <si>
    <t>مدير المدرسة</t>
  </si>
  <si>
    <t xml:space="preserve">مراوح صف الأول د لاتعمل </t>
  </si>
  <si>
    <t xml:space="preserve">تم استخدام ريمونت ولم تعمل أيضا </t>
  </si>
  <si>
    <t xml:space="preserve">مثنى هلال </t>
  </si>
  <si>
    <t xml:space="preserve">انارة السقف الثانويه في الاستعلامات معطله (ترمش) </t>
  </si>
  <si>
    <t>في واجهة الاستعلامات فوق اللوحة التعريفية</t>
  </si>
  <si>
    <t xml:space="preserve">رضا حمودي محمد حسين </t>
  </si>
  <si>
    <t xml:space="preserve">استبدال هيتر و اوتوماتيك تالف </t>
  </si>
  <si>
    <t xml:space="preserve">تبديل تغذية البصمة من الكهرباء العادية إلى طاقة شمسية </t>
  </si>
  <si>
    <t>تثبيت وصيانة شمعة</t>
  </si>
  <si>
    <t xml:space="preserve">تبديل Solenoid valve  تالف لإحدى الخزانات </t>
  </si>
  <si>
    <t>م. الشعبة</t>
  </si>
  <si>
    <t>B- الابتدائية (البناية 2), القاعة الرياضية</t>
  </si>
  <si>
    <t xml:space="preserve">تشغيل الطاقة الكهربائة لغرض فحص الصوتيات والمرئيات </t>
  </si>
  <si>
    <t xml:space="preserve">ممكن على جناح السرعة لطفا الفريق بالانتظار </t>
  </si>
  <si>
    <t>ياس مطلك</t>
  </si>
  <si>
    <t>انغلاق باب المصعد غلى كادر التربية</t>
  </si>
  <si>
    <t>تضرر الباب الداخلي للمصعد الكهربائي بسبب إدخال معدات كبيرة غير مخصصة للنقل داخل المصعد</t>
  </si>
  <si>
    <t xml:space="preserve">م. رضا حمودي </t>
  </si>
  <si>
    <t xml:space="preserve">تغذية مأخذ قدرة بالطاقة الشمسية </t>
  </si>
  <si>
    <t>بسبب عدم حاجة المرقاب الالي اليها</t>
  </si>
  <si>
    <t xml:space="preserve">تغذية عدد 2 مأخذ قدرة بالطاقة الشمسية </t>
  </si>
  <si>
    <t xml:space="preserve">شفت صباحي </t>
  </si>
  <si>
    <t xml:space="preserve">ممر المولدات بين البناية الثانية والثالثة </t>
  </si>
  <si>
    <t>الصحيات الخارجية على جهة القاعة الرياضية المتوسطة</t>
  </si>
  <si>
    <t xml:space="preserve">استبدال سبوتلايت فى احدى المجاميع الصحية </t>
  </si>
  <si>
    <t xml:space="preserve">محمود حيدر </t>
  </si>
  <si>
    <t xml:space="preserve">السادس (و) اسلاك كهرباء مكشفة وخارجة من التري كيبل نرجو اجراء اللازم على نحو عاجل ... مع التقدير والامتنان 
</t>
  </si>
  <si>
    <t>تم ارسال فديو توضيحي في المجموعة</t>
  </si>
  <si>
    <t xml:space="preserve">القاعة الرياضية </t>
  </si>
  <si>
    <t>بين الثالثة والثانية</t>
  </si>
  <si>
    <t>ربط قطعة عزاء داخل القاعة</t>
  </si>
  <si>
    <t>2025/11/03 - 12:17 م</t>
  </si>
  <si>
    <t xml:space="preserve">مثنى هلال جودة </t>
  </si>
  <si>
    <t xml:space="preserve">قطعه معدنيه مكسوره فوق شاشة صبورة الثالث  واو </t>
  </si>
  <si>
    <t>تم ارسال الصوره في كروب المشترك</t>
  </si>
  <si>
    <t>2025/11/05 - 08:59 ص</t>
  </si>
  <si>
    <t>الى الشفت المسائي بسبب الامتحانات</t>
  </si>
  <si>
    <t>استاذ صالح مدرسة المتوسطة</t>
  </si>
  <si>
    <t xml:space="preserve">تصليح يدة شباك </t>
  </si>
  <si>
    <t xml:space="preserve">تم ارسال صورة توضيحيه </t>
  </si>
  <si>
    <t>2025/11/05 - 10:32 ص</t>
  </si>
  <si>
    <t>صيانة يدة شباك عدد ٢</t>
  </si>
  <si>
    <t xml:space="preserve">مدير مدرسة الابتدائية /سيد كرار </t>
  </si>
  <si>
    <t xml:space="preserve">ZONE A - الطابق الارضي, ZONE A - الطابق الاول, ZONE A - الطابق الثاني, ZONE B - الطابق الارضي, ZONE B - الطابق الاول, ZONE B - الطابق الثاني, </t>
  </si>
  <si>
    <t>تضليل جام الصفوف للبناية كاملة</t>
  </si>
  <si>
    <t>معرفة التفاصيل الدقيقة من مديرالمدرسة</t>
  </si>
  <si>
    <t>2025/11/11 - 07:06 ص</t>
  </si>
  <si>
    <t xml:space="preserve">ياس مطلك </t>
  </si>
  <si>
    <t>ساحة الكراج</t>
  </si>
  <si>
    <t>صيانة منهوله في ساحة الكراج</t>
  </si>
  <si>
    <t>2025/11/05 - 11:47 ص</t>
  </si>
  <si>
    <t>عمل مشترك مع وحدة الميكانيك تم الانجاز في تاريخ 3/11/2025</t>
  </si>
  <si>
    <t>وضع مصدات في الصفوف</t>
  </si>
  <si>
    <t>2025/11/05 - 11:52 ص</t>
  </si>
  <si>
    <t>تم الانجاز في تاريخ 4/11/2025</t>
  </si>
  <si>
    <t>ادامة جدار الصحيات قرب غرفة السيطرة</t>
  </si>
  <si>
    <t>2025/11/05 - 11:57 ص</t>
  </si>
  <si>
    <t xml:space="preserve">عيسى صالح حسن الكلابي </t>
  </si>
  <si>
    <t xml:space="preserve">في واجهة البناية قرب الباب الرئيسية </t>
  </si>
  <si>
    <t xml:space="preserve">صيانة قطع مرمر عدد ثنين </t>
  </si>
  <si>
    <t>2025/11/05 - 12:26 م</t>
  </si>
  <si>
    <t>تم الانجاز في تاريخ 1/11/2025</t>
  </si>
  <si>
    <t>اعمال تقشير الجمسمبورد ومعالجته في ماده الستن في البنايه الثالثه الطابق الثاني الزون A (المطبخ)</t>
  </si>
  <si>
    <t>2025/11/09 - 12:23 م</t>
  </si>
  <si>
    <t>تم الانجاز في تاريخ 2/11/2025</t>
  </si>
  <si>
    <t xml:space="preserve">بهاء الدين حسين </t>
  </si>
  <si>
    <t>ارجاع سقف ثانوي عدد 2 الصف الرابع الابتدائي هاء</t>
  </si>
  <si>
    <t>2025/11/05 - 01:12 م</t>
  </si>
  <si>
    <t xml:space="preserve">صيانة تور شباك عدد واحد </t>
  </si>
  <si>
    <t xml:space="preserve">لبخ الجدار الحمام الخارجي </t>
  </si>
  <si>
    <t>تم الانجاز في تاريخ 3/11/2025</t>
  </si>
  <si>
    <t xml:space="preserve">تركيب مصد باب خشب العدد 10 صف في الارضي والاول </t>
  </si>
  <si>
    <t xml:space="preserve">السياج الخارجي قرب الباب </t>
  </si>
  <si>
    <t xml:space="preserve">صيانة قطع مرمر </t>
  </si>
  <si>
    <t>تبديل يدة شباك عدد 2</t>
  </si>
  <si>
    <t xml:space="preserve">تبديل يدة باب الامنيوم يدة ولبة </t>
  </si>
  <si>
    <t xml:space="preserve">تبديل لبة باب خشب </t>
  </si>
  <si>
    <t xml:space="preserve">استاذ احمد مدرس رياضه </t>
  </si>
  <si>
    <t xml:space="preserve">ZONE B - الطابق الارضي, باب الساحه المطله على الممر الجانبي </t>
  </si>
  <si>
    <t xml:space="preserve">باب الساحة المطل على الممرات  يحتاج تبديل لبة القفل فقط وليس اليده كامله فقط البة علما ان الباب مفتوح غير مقفل </t>
  </si>
  <si>
    <t xml:space="preserve">تزويدنا بنسخه من المفتاح الجديد... مع التقدير </t>
  </si>
  <si>
    <t>2025/11/06 - 10:19 ص</t>
  </si>
  <si>
    <t>تم الانجاز في تاريخ 6/11/2025</t>
  </si>
  <si>
    <t xml:space="preserve">صيانة مرد ماء في الصحيات </t>
  </si>
  <si>
    <t xml:space="preserve">تم تبليغ حسين العيبي </t>
  </si>
  <si>
    <t>2025/11/08 - 11:28 ص</t>
  </si>
  <si>
    <t>استاذ صالح المعاون</t>
  </si>
  <si>
    <t xml:space="preserve">فتح واستبدال إقفال مجموعة لوكرات في غرفة المعاون الإداري ومواقع أخرى </t>
  </si>
  <si>
    <t>يرجى التواصل مع استاذ صالح لغرض تحديد اللوكرات</t>
  </si>
  <si>
    <t>2025/11/08 - 09:14 ص</t>
  </si>
  <si>
    <t>استاذ رامي</t>
  </si>
  <si>
    <t xml:space="preserve">تركيب بوستر يحتاج إلى جهاز ال دريل وباقي التفاصيل عند الأستاذ رامي </t>
  </si>
  <si>
    <t>التواصل مع موظف الاستعلامات لتسهيل الامر</t>
  </si>
  <si>
    <t>2025/11/09 - 10:38 ص</t>
  </si>
  <si>
    <t xml:space="preserve">الصحيات يوجد كسر في أجزاء صغيره </t>
  </si>
  <si>
    <t>تم إرسال صورة في المجموعة المشتركة</t>
  </si>
  <si>
    <t>2025/11/10 - 10:00 ص</t>
  </si>
  <si>
    <t>مشترك مع الميكانيك (حامل شطاف)  المدني (كيلون باب)</t>
  </si>
  <si>
    <t xml:space="preserve">استاذ منتظر استعلامات </t>
  </si>
  <si>
    <t>سيراميك الهزاره ساقط في الغرفة المقابل الادراة</t>
  </si>
  <si>
    <t>استعلام عن الموقع من خلال موظف الاستعلامات.... مع التقدير</t>
  </si>
  <si>
    <t>2025/11/10 - 10:23 ص</t>
  </si>
  <si>
    <t xml:space="preserve">السقف الثانويه في الصحيات قرب المصعد يوجد فيه طيور وفضلاتها يرجى غلق فتحة قرب الدكت التبريد </t>
  </si>
  <si>
    <t xml:space="preserve">استعلام عن الموقع من خلال المنتسب محمد محسن في نفس الطابق </t>
  </si>
  <si>
    <t>شد الرحلات التي تحتاج إلى تركيب بعض البراغي في نهاية بالدوام (الشفت المسائي) علما ان المنتسب سوف يخرجون الرحلات التي تحتاج صيانة في الممرات ليسهل امر التركيب ومعرفة الرحلات المعطلة</t>
  </si>
  <si>
    <t xml:space="preserve">نرجو اكمالها في نفس اليوم لارجاعها غدا صباحا  إلى نفس الموقع قبل دخول الطلبة.. مع التقدير </t>
  </si>
  <si>
    <t>الساحه الخلفية</t>
  </si>
  <si>
    <t xml:space="preserve">السطح, الكراج, الهيكل بين الساحات الرياضيه الخارجية.. في الكراج </t>
  </si>
  <si>
    <t>تثبيت ثيل اصطناعي فوق الهيكل باستخدام جهاز المسدس الطلقة علما ان الثيل موجود في الموقع</t>
  </si>
  <si>
    <t>التواصل مع مسؤول الشعبة في حال وجود استفسارات</t>
  </si>
  <si>
    <t xml:space="preserve">استبدال قلب او لبة باب المنيوم قرب الضيافة مع تسليمها المفتاح لغرفة الإدارة مع التقدير </t>
  </si>
  <si>
    <t xml:space="preserve">إضافة رف الي غرفة المخزن </t>
  </si>
  <si>
    <t xml:space="preserve">لحين توفر سلفة مالية </t>
  </si>
  <si>
    <t>بهاء الدين</t>
  </si>
  <si>
    <t>فتح باب مقفل في الصحيات</t>
  </si>
  <si>
    <t>تبديل يدة باب حديد</t>
  </si>
  <si>
    <t xml:space="preserve">تبديل يدة باب القاعة الرياضية /يرجى إضافة حقل في موقع الصيانة يتضمن  القاعة الرياضيه </t>
  </si>
  <si>
    <t xml:space="preserve">علي حسين </t>
  </si>
  <si>
    <t xml:space="preserve">ازالة بوستر العزاء وارجاع اهداف كرة السلة </t>
  </si>
  <si>
    <t>علي حسين عليوي</t>
  </si>
  <si>
    <t xml:space="preserve">فتح السلة فقط الخاصة بالقاعة </t>
  </si>
  <si>
    <t>تفضلكم ب انجاز العمل بسرعة الممكنه</t>
  </si>
  <si>
    <t>باب الصف الرابع أ عند الفتح يحتك بالارضية</t>
  </si>
  <si>
    <t>تبديل قفل اللوكر لغرفة الضيافة</t>
  </si>
  <si>
    <t xml:space="preserve">يرجى تفضلكم بتركيب البوردات الخاصة بكرة السلة </t>
  </si>
  <si>
    <t xml:space="preserve">طه سكرتير الدكتور </t>
  </si>
  <si>
    <t xml:space="preserve">تركيب سبورة عدد ١ في غرفة سكرتير الدكتور قرب غرفة الدكتور عند الأستاذ طه </t>
  </si>
  <si>
    <t>السبورة موجوده في الموقع  في الانتظار</t>
  </si>
  <si>
    <t>ابو كميل</t>
  </si>
  <si>
    <t xml:space="preserve">غرفة المصلى قرب الضيافه تبديل لبة باب المصلى </t>
  </si>
  <si>
    <t>الاستعلام من منتسب طه تحسين ضيافه</t>
  </si>
  <si>
    <t xml:space="preserve">الهزارة الخشبية بحاجة الى تثبيت </t>
  </si>
  <si>
    <t>الصف الرابع (ج)</t>
  </si>
  <si>
    <t xml:space="preserve">استاذ صالح المعاون </t>
  </si>
  <si>
    <t xml:space="preserve">غرفة الإدارة تعطل هيدروليك الكراسي المكتبيه الكبيره عدد ٢ </t>
  </si>
  <si>
    <t xml:space="preserve">التواصل مع استاذ صالح </t>
  </si>
  <si>
    <t>تفضلكم بتبديل قلب الكيلون الخاص بباب المصلى المجاور غرفة الضيافة في الطابق الأرضي الزون A</t>
  </si>
  <si>
    <t>استاذ صالح</t>
  </si>
  <si>
    <t xml:space="preserve">سلايت الشاشه يحتاج إلى صيانة وبردات الزيبرا في شعبة الأول أ في طابق الأول... وشعبة الأول ز في طابق الثاني </t>
  </si>
  <si>
    <t xml:space="preserve">علما تم ارسال الصيانة في طلب واحد بسبب نفس العطل وبطابقين مختلفين </t>
  </si>
  <si>
    <t>شفت صباحي</t>
  </si>
  <si>
    <t xml:space="preserve">يدة باب وقاعدت صونده في الصحيات الطلبه تحتاج إلى صيانه </t>
  </si>
  <si>
    <t xml:space="preserve">شفت مسائي </t>
  </si>
  <si>
    <t xml:space="preserve">الرابع ابتدائي (أ) الباب الخاصة بالصف تحتاج إلى صيانة </t>
  </si>
  <si>
    <t xml:space="preserve">تم تركيب استان شاشه عدد (٢) غرفه المرقاب الالي </t>
  </si>
  <si>
    <t xml:space="preserve">انجز العمل من قبل المنتسبين بهاء الدين امير احمد محمد عباس </t>
  </si>
  <si>
    <t xml:space="preserve">الباب الرئيسي الخارجي </t>
  </si>
  <si>
    <t>سيراميك منفصل عن الجدار في الباحه الخارجيه بين الباب الرئيسي والاستعلامات</t>
  </si>
  <si>
    <t>التواصل مع موظف الاستعلامات لتسهيل معرفة الموقع</t>
  </si>
  <si>
    <t xml:space="preserve">الشركة الأمنية </t>
  </si>
  <si>
    <t xml:space="preserve">الباب الكبيرة الرئيسة </t>
  </si>
  <si>
    <t xml:space="preserve">صيانة كيلون باب </t>
  </si>
  <si>
    <t>تثبيت لوحة المفاتيح في غرفة ادارة المجمع</t>
  </si>
  <si>
    <t>ياسين ضيافة</t>
  </si>
  <si>
    <t xml:space="preserve">ZONE A - الطابق الارضي, الضيافة </t>
  </si>
  <si>
    <t xml:space="preserve">تبديل لبة باب الامنيوم للضيافة البناية الرابعة </t>
  </si>
  <si>
    <t>مقبض نافذة الحانوت مكسورة تحتاج الى استبدال</t>
  </si>
  <si>
    <t xml:space="preserve">الحانوت المدرسي </t>
  </si>
  <si>
    <t xml:space="preserve">حسين فارس </t>
  </si>
  <si>
    <t xml:space="preserve">السركي مال باب الاستعلامات قافل السركي لتثبيت الباب من الأسفل </t>
  </si>
  <si>
    <t>عدم توفر سلفه مالية</t>
  </si>
  <si>
    <t>الغرف الخارجيه</t>
  </si>
  <si>
    <t>تركيب مفرغة مفصوله بالحمام الخارجي</t>
  </si>
  <si>
    <t xml:space="preserve">التواصل مع موظف الاستعلامات </t>
  </si>
  <si>
    <t>معجون النافذة مشلوع صف الاول و</t>
  </si>
  <si>
    <t xml:space="preserve">صحيات الطلبة احد الابواب الداخلية مقفول </t>
  </si>
  <si>
    <t xml:space="preserve">ربط الاهداف الخاصه بكرة السلة </t>
  </si>
  <si>
    <t xml:space="preserve">تبديل الكيلون الخاص بالقاعة الرياضية </t>
  </si>
  <si>
    <t xml:space="preserve">لايوجد ماء في برادات ماء البطل </t>
  </si>
  <si>
    <t>إجراء اللازم بشكل عاجل</t>
  </si>
  <si>
    <t>2025/11/05 - 11:44 ص</t>
  </si>
  <si>
    <t>سلام عليكم اخوان 
بنايه ثالثه زون A  صحيات بصف المصعد</t>
  </si>
  <si>
    <t>2025/11/02 - 01:21 م</t>
  </si>
  <si>
    <t xml:space="preserve">قفل براد الساحه مكسور </t>
  </si>
  <si>
    <t>2025/11/04 - 09:35 ص</t>
  </si>
  <si>
    <t>م. حسين راضي</t>
  </si>
  <si>
    <t>نضوح ماء الـ (R.O)</t>
  </si>
  <si>
    <t>2025/11/09 - 10:18 ص</t>
  </si>
  <si>
    <t>تم الانجاز (استبدال صمام صجمة بعد الممبرين) بواسطة م. علي عقيل</t>
  </si>
  <si>
    <t xml:space="preserve">م.حسين راضي </t>
  </si>
  <si>
    <t>اضافة حافظة اقداح ماء للبراد</t>
  </si>
  <si>
    <t>2025/11/05 - 12:02 م</t>
  </si>
  <si>
    <t xml:space="preserve">صيانه انسداد في المجاميع الصحيه </t>
  </si>
  <si>
    <t>2025/11/05 - 12:21 م</t>
  </si>
  <si>
    <t>صيانه براد ماء</t>
  </si>
  <si>
    <t xml:space="preserve">صيانه المجاميع الصحيه </t>
  </si>
  <si>
    <t>تثبيت حامله اقداح ماء براد +تثبيت حامله شطاف</t>
  </si>
  <si>
    <t>م.حسين راضي</t>
  </si>
  <si>
    <t xml:space="preserve">صيانه قفل براد +ربط براد ماء جديدعدد٢+صيانه كاك براد+ربط برادات مع مجرى تصريف المياه </t>
  </si>
  <si>
    <t xml:space="preserve">ربط براد ماء جديد +ربط فضله البراد مع مجرى تصريف المياه </t>
  </si>
  <si>
    <t>صيانه المجاميع الصحيه للبنايه بالكامل</t>
  </si>
  <si>
    <t>صيانه منظومة التهوية ال Dx</t>
  </si>
  <si>
    <t>2025/11/05 - 12:20 م</t>
  </si>
  <si>
    <t>مشترك مع وحدة الكهرباء والاتصالات</t>
  </si>
  <si>
    <t>صيانه منظومة التهوية الDx</t>
  </si>
  <si>
    <t xml:space="preserve">براد فائض يحتاج معالجه سريعة </t>
  </si>
  <si>
    <t>المبلغ استاذ علي فالح استعلامات المدرسة</t>
  </si>
  <si>
    <t>2025/11/06 - 08:36 ص</t>
  </si>
  <si>
    <t>معالجة مجرى تصريف في القاعه الرياضية المحزن</t>
  </si>
  <si>
    <t>مقابل البنايه الاولى</t>
  </si>
  <si>
    <t>2025/11/06 - 11:31 ص</t>
  </si>
  <si>
    <t xml:space="preserve">م.علي عقيل </t>
  </si>
  <si>
    <t>انسداد في الصحيات</t>
  </si>
  <si>
    <t>م.علي عقيل</t>
  </si>
  <si>
    <t>قرب الخزان الرئيسي</t>
  </si>
  <si>
    <t xml:space="preserve">رفع خرطوم ماء الطوارئ </t>
  </si>
  <si>
    <t>تغيير هيتر سخان واتماتيك</t>
  </si>
  <si>
    <t>تغيير صوندات شطاف</t>
  </si>
  <si>
    <t>تغيير solenoid valve لخزان ماء RO</t>
  </si>
  <si>
    <t>تم الانجاز في تاريخ 17/11/2025</t>
  </si>
  <si>
    <t>تم تغيير صمام صجمة حجم 2,5” لخزان ماء ثانوي بسبب خلل وحدوث وتسريب بالماء</t>
  </si>
  <si>
    <t>تغيير solenoid valve لخزان الماء الثانوي في سطح البنايه الرابعه بسبب تلفة وعدم استقبال اشاره لفتح بوابة الصمام وملئ الخزان/حجم 2”</t>
  </si>
  <si>
    <t xml:space="preserve">قرب الخزان الرئيسي </t>
  </si>
  <si>
    <t>ربط خط ماء الطوارئ بسبب انقطاع الماء …وتفريغ سيارة حجم 20,000 L في الشفت الصباحي والمسائي</t>
  </si>
  <si>
    <t xml:space="preserve">علي فالح موظف الاستعلامات </t>
  </si>
  <si>
    <t>ZONE A - الطابق الارضي, ZONE B - الطابق الاول</t>
  </si>
  <si>
    <t xml:space="preserve">الطابق الأرضي براد ماء مكسور /الطابق الأول مقبض باب مكسور صحيات الطلبة </t>
  </si>
  <si>
    <t>تم ارسال صور بالمحادثه المشتركه</t>
  </si>
  <si>
    <t xml:space="preserve">ابو. كميل </t>
  </si>
  <si>
    <t xml:space="preserve">قرب الغرفه الخارجيه </t>
  </si>
  <si>
    <t>ماطور ماء يسرب ماء قرب الغرفه الخارجيه للبنايه المتوسطه من قرب باب الدخول الخارجيه</t>
  </si>
  <si>
    <t>حنفية ماء في الساحه الداخليه زون a</t>
  </si>
  <si>
    <t>مكسوره</t>
  </si>
  <si>
    <t xml:space="preserve">الصحيات بحاجة الى صيانة يوجد انسداد في الصحيات الاولى و الثانية </t>
  </si>
  <si>
    <t xml:space="preserve">تفضلكم باجراء اللازم لطفا </t>
  </si>
  <si>
    <t xml:space="preserve">سيد كرار حانوت </t>
  </si>
  <si>
    <t xml:space="preserve">ZONE A - الطابق الثاني, المطعم </t>
  </si>
  <si>
    <t>عطل صوندة السنك تحتاج إلى تبديل بشكل عاجل بسبب توقف عمل الأخوة في التغذيه.. مع التقدير</t>
  </si>
  <si>
    <t>غيث احمد</t>
  </si>
  <si>
    <t>صحيات ربط شطاف مخلوع في الصحيات الغربي قرب ادارة المجمع</t>
  </si>
  <si>
    <t>محمد عباس حانوت</t>
  </si>
  <si>
    <t xml:space="preserve">ZONE A - الطابق الارضي, الغرف الملحق في الباب الرئيسية </t>
  </si>
  <si>
    <t xml:space="preserve">لايوجد ماء في غرفة السواق و الحنفية الخارجيه قرب الباب الرئيسي الخارجي </t>
  </si>
  <si>
    <t>محمد محسن</t>
  </si>
  <si>
    <t xml:space="preserve">صوندات الصحيات قرب المصعد تحتاج إلى تركيب </t>
  </si>
  <si>
    <t>شفت مسائي</t>
  </si>
  <si>
    <t xml:space="preserve">كابينه في صحيات الطلبه تحتاج إلى تسليك بسبب انغلاقها </t>
  </si>
  <si>
    <t xml:space="preserve">لايوجد ماء في برادات البناية الرابعة </t>
  </si>
  <si>
    <t>الماء مقطوع داخل الصحيات</t>
  </si>
  <si>
    <t>صيانة عنق الخلاط الخاص بالمطعم</t>
  </si>
  <si>
    <t>صيانة حاملة الشطاف</t>
  </si>
  <si>
    <t>2025/12/02 - 12:00 AM</t>
  </si>
  <si>
    <t>عبد جابر</t>
  </si>
  <si>
    <t>روضة القمر -B</t>
  </si>
  <si>
    <t>تطويل كيبل الثجة واستبدال الماشة</t>
  </si>
  <si>
    <t>الكهرباء</t>
  </si>
  <si>
    <t>2025/12/03 - 09:04 AM</t>
  </si>
  <si>
    <t>انجز امس في الشفت المسائي</t>
  </si>
  <si>
    <t>2025/12/01 - 11:25 AM</t>
  </si>
  <si>
    <t>المركز الثقافي -A</t>
  </si>
  <si>
    <t>غرفة وحدة المراقبة المركزية الطابق الرابع</t>
  </si>
  <si>
    <t>فصل انارة في قاعة المراقبة الصف 123 اضافة 4 نقاط كهرباء</t>
  </si>
  <si>
    <t>2025/12/02 - 06:48 AM</t>
  </si>
  <si>
    <t>2025/12/02 - 10:09 AM</t>
  </si>
  <si>
    <t>الطابق ارضي - ZONE A</t>
  </si>
  <si>
    <t>اضافة نقطة حرارية + صيانة اوتي</t>
  </si>
  <si>
    <t>2025/12/03 - 08:47 AM</t>
  </si>
  <si>
    <t>انجز امس في الشفت المسائي + اوتي ليس ضمن الصيانة نه تابع الى شعبة صيانة التربية</t>
  </si>
  <si>
    <t>2025/12/03 - 12:12 PM</t>
  </si>
  <si>
    <t>استعمات الرئيسية</t>
  </si>
  <si>
    <t>مد وترتيب واير الكرفان</t>
  </si>
  <si>
    <t>2025/12/03 - 02:03 PM</t>
  </si>
  <si>
    <t>2025/12/04 - 07:12 AM</t>
  </si>
  <si>
    <t>روضة -G ,روضة القمر -B الجود</t>
  </si>
  <si>
    <t>data center غرف</t>
  </si>
  <si>
    <t>تنظيف الراكات</t>
  </si>
  <si>
    <t>2025/12/04 - 07:16 AM</t>
  </si>
  <si>
    <t>2025/12/04 - 07:13 AM</t>
  </si>
  <si>
    <t>ثانوية -C ,المركز الثقافي -A (اولى)العميد بناية اعدادية</t>
  </si>
  <si>
    <t>data center جميع غرف</t>
  </si>
  <si>
    <t>2025/12/04 - 07:14 AM</t>
  </si>
  <si>
    <t>2025/12/04 - 07:15 AM</t>
  </si>
  <si>
    <t>2025/12/04 - 07:19 AM</t>
  </si>
  <si>
    <t>ابتدائية القمر للبنات -H (الخامسة)</t>
  </si>
  <si>
    <t>,الطابق ارضي - ZONE A ,الطابق اول - ZONE A الحانوت + الدوار الداخلي</t>
  </si>
  <si>
    <t>استبدال محولة انارة منشورية عدد 3</t>
  </si>
  <si>
    <t>2025/12/04 - 07:23 AM</t>
  </si>
  <si>
    <t>2025/12/04 - 07:20 AM</t>
  </si>
  <si>
    <t>,الطابق اول - ZONE A الخامس ب</t>
  </si>
  <si>
    <t>استبدال بلك سويج 13A</t>
  </si>
  <si>
    <t>2025/12/04 - 07:34 AM</t>
  </si>
  <si>
    <t>2025/12/04 - 07:22 AM</t>
  </si>
  <si>
    <t>ابتدائية الساقي للبنين -I (السادسة)</t>
  </si>
  <si>
    <t>,الطابق ارضي - ZONE A مختبر الحاسوب</t>
  </si>
  <si>
    <t>2025/12/04 - 07:24 AM</t>
  </si>
  <si>
    <t>مطبخ رئيس القسم طابق اول</t>
  </si>
  <si>
    <t>فت 4 نقاط كهرباء بعد إزالة الكاونتر و كذلك إزالة التري الصق</t>
  </si>
  <si>
    <t>2025/12/04 - 07:25 AM</t>
  </si>
  <si>
    <t>,المركز الثقافي -A</t>
  </si>
  <si>
    <t>مطبخ رئاسة القسم الطابق اول</t>
  </si>
  <si>
    <t>أضافة نقطة كهرباء جديدة في مطبخ رئيس قسم التربية لغرض تشغيل الثجة الصغيرة</t>
  </si>
  <si>
    <t>2025/12/04 - 07:27 AM</t>
  </si>
  <si>
    <t>غرفة المراقبة + المركز الثقافي</t>
  </si>
  <si>
    <t>تبديل 9 محوت سبوت يت تالفة 2 في غرفة المراقبة و 7 عند مدخل المركز</t>
  </si>
  <si>
    <t>2025/12/04 - 07:30 AM</t>
  </si>
  <si>
    <t>شوارع المجمع</t>
  </si>
  <si>
    <t>تم انزال 24 بجكتور عاطل من اعمدة لغرض الصيانة</t>
  </si>
  <si>
    <t>تم صيانة 21 بروجكتر 35 قطعة لد 50W</t>
  </si>
  <si>
    <t>2025/12/04 - 07:31 AM</t>
  </si>
  <si>
    <t>شارغ</t>
  </si>
  <si>
    <t>تم صيانة اربع فوانيس وفت (10) عاطت</t>
  </si>
  <si>
    <t>2025/12/04 - 07:32 AM</t>
  </si>
  <si>
    <t>تم جرد اناره المركز الثقافي بلكامل وتم العثور على اسبور يتات عاطله العدد 16وتم استبدال محوتها المواد المستخدمه محوله العدد 16 +كنكترات</t>
  </si>
  <si>
    <t>2025/12/04 - 07:36 AM</t>
  </si>
  <si>
    <t>تغذيه سويج بلك الخاص في الحساس التتبع</t>
  </si>
  <si>
    <t>2025/12/04 - 07:46 AM</t>
  </si>
  <si>
    <t>2025/12/04 - 07:37 AM</t>
  </si>
  <si>
    <t>تم سحب المياه من منهولة اتصات</t>
  </si>
  <si>
    <t>2025/12/04 - 07:38 AM</t>
  </si>
  <si>
    <t>الطابق الثاني - ZONE A</t>
  </si>
  <si>
    <t>تم إضافة بلك سويچ عدد2 في المدرسة الثانية والثالثة لتغذية شاشات العرض مع إضافة تري صق خفاء اسك الشاشات عدد 6</t>
  </si>
  <si>
    <t>2025/12/04 - 07:39 AM</t>
  </si>
  <si>
    <t>الطابق اول غرفة الكهرباء</t>
  </si>
  <si>
    <t>2025/12/04 - 07:40 AM</t>
  </si>
  <si>
    <t>الطابق ارضي - ZONE B</t>
  </si>
  <si>
    <t>استبدال NVR كاميرات المدرسة الخامسة القمر ابتدائية</t>
  </si>
  <si>
    <t>2025/12/04 - 07:41 AM</t>
  </si>
  <si>
    <t>2025/12/04 - 07:42 AM</t>
  </si>
  <si>
    <t>إعادة تشغيل منظومة اتصات في المركز الثقافي و المدرسة السادسة والسابعة نتيجة عطل مفاجأ</t>
  </si>
  <si>
    <t>السط</t>
  </si>
  <si>
    <t>إعادة تشغيل منظومة الطاقة الشمسية في الروضة B و متابعة الشحن. نتيجة عطل مفاجأ و حدوث TRIP في القاطع المغذي لها</t>
  </si>
  <si>
    <t>2025/12/04 - 07:47 AM</t>
  </si>
  <si>
    <t>2025/12/04 - 07:44 AM</t>
  </si>
  <si>
    <t>تم جردانارة الصحيات الخارجية وتم تبديل 3 محوت سبوت يت تالفة</t>
  </si>
  <si>
    <t>2025/12/04 - 01:38 PM</t>
  </si>
  <si>
    <t>رئاسة القسم</t>
  </si>
  <si>
    <t>غرفة المعاون اداري</t>
  </si>
  <si>
    <t>إضافة انارة منشورية جديدة عدد 2</t>
  </si>
  <si>
    <t>2025/12/07 - 07:29 AM</t>
  </si>
  <si>
    <t>استحداث سيار ذو ثث بلك سويچ 13 A في غرفة استاذ يوسف -المركز الثقافي مع ترتيب باقي اسك للشاشة بأستخدام تري محدب جداري</t>
  </si>
  <si>
    <t>2025/12/07 - 07:31 AM</t>
  </si>
  <si>
    <t>2025/12/07 - 07:30 AM</t>
  </si>
  <si>
    <t>اضافة 11مصباح إلى فوانيس اعمده مع تسليك خط جديد حد الفوانيس بعد وجود قطع في السلك المغذي له</t>
  </si>
  <si>
    <t>2025/12/09 - 09:46 AM</t>
  </si>
  <si>
    <t>صيانه سيار كهربائي وتم اضافه ماشه (15) امبير</t>
  </si>
  <si>
    <t>2025/12/09 - 09:50 AM</t>
  </si>
  <si>
    <t>2025/12/09 - 09:47 AM</t>
  </si>
  <si>
    <t>الطابق اول</t>
  </si>
  <si>
    <t>2025/12/09 - 09:48 AM</t>
  </si>
  <si>
    <t>الطابق الرابع غرفة المراقبة</t>
  </si>
  <si>
    <t>أضافة منافذ قدرة (13 امبير) عدد (16) لشاشات غرفة المراقبة في المركز الثقافي مع تسليك فلكس (2x‏2.5 ملم) اسود بطول (30 متر تقريبًا) من الراك لتغذية المنافذ بكهرباء (UPS).</t>
  </si>
  <si>
    <t>2025/12/09 - 09:49 AM</t>
  </si>
  <si>
    <t>2025/12/09 - 09:51 AM</t>
  </si>
  <si>
    <t>2025/12/09 - 11:41 AM</t>
  </si>
  <si>
    <t>المحيط الخارجي</t>
  </si>
  <si>
    <t>تثبيت سبوت يت واقع</t>
  </si>
  <si>
    <t>2025/12/09 - 11:43 AM</t>
  </si>
  <si>
    <t>2025/12/09 - 11:42 AM</t>
  </si>
  <si>
    <t>روضة الجود -G</t>
  </si>
  <si>
    <t>الصيحات جهة المالية</t>
  </si>
  <si>
    <t>فت حساس الحركة لغرض الصيانة و ربطها مباشر مع السويج</t>
  </si>
  <si>
    <t>الطابق الثاني, جناح ادائرة ZONE A, استراحة الدرج</t>
  </si>
  <si>
    <t>إضافة سبوت يت 40W</t>
  </si>
  <si>
    <t>2025/12/10 - 08:04 AM</t>
  </si>
  <si>
    <t>ابتدائية جود العميد للبنات -F (الرابعة)</t>
  </si>
  <si>
    <t>2025/12/10 - 08:08 AM</t>
  </si>
  <si>
    <t>2025/12/10 - 10:19 AM</t>
  </si>
  <si>
    <t>سجاد</t>
  </si>
  <si>
    <t>الطابق ارضي</t>
  </si>
  <si>
    <t>صيانة نقطتين كهرباء</t>
  </si>
  <si>
    <t>2025/12/10 - 11:33 AM</t>
  </si>
  <si>
    <t>2025/12/10 - 12:39 PM</t>
  </si>
  <si>
    <t>قرب اولى + قرب الخامسة</t>
  </si>
  <si>
    <t>إيصال تغذية كهرباء الى الصحيات المتنقلة</t>
  </si>
  <si>
    <t>2025/12/10 - 12:42 PM</t>
  </si>
  <si>
    <t>2025/12/10 - 12:41 PM</t>
  </si>
  <si>
    <t>قرب المدرسة اولى</t>
  </si>
  <si>
    <t>إيصال تغذية كهرباء الى سيار فني السباكة قرب الصحيات المتنقلة</t>
  </si>
  <si>
    <t>2025/12/13 - 10:18 AM</t>
  </si>
  <si>
    <t>صيانه نقطه كهرباء</t>
  </si>
  <si>
    <t>2025/12/13 - 11:42 AM</t>
  </si>
  <si>
    <t>صيانه المصعد</t>
  </si>
  <si>
    <t>2025/12/14 - 07:59 AM</t>
  </si>
  <si>
    <t>صيانة على الشركة المنفذة نه داخل الضمان</t>
  </si>
  <si>
    <t>2025/12/14 - 08:43 AM</t>
  </si>
  <si>
    <t>,روضة الجود -G</t>
  </si>
  <si>
    <t>إعادة ربط حساس الحركة في الصحيات</t>
  </si>
  <si>
    <t>2025/12/14 - 09:33 AM</t>
  </si>
  <si>
    <t>2025/12/14 - 08:44 AM</t>
  </si>
  <si>
    <t>المحولة الخارجية</t>
  </si>
  <si>
    <t>توقف محولة الروضة (G) عن العمل نتيجة تلف احد فيوزات الضغط المتوسط (11KV) وقد تم استبداله واعادة المحولة للخدمة مرة أخرى</t>
  </si>
  <si>
    <t>2025/12/14 - 09:34 AM</t>
  </si>
  <si>
    <t>2025/12/14 - 08:45 AM</t>
  </si>
  <si>
    <t>قرب المدرسة الرابعة + * قرب * المدرسة الخامسة</t>
  </si>
  <si>
    <t>2025/12/14 - 08:47 AM</t>
  </si>
  <si>
    <t>الغرف الخارجية</t>
  </si>
  <si>
    <t>2025/12/14 - 09:23 AM</t>
  </si>
  <si>
    <t>الطابق ارضي, استعمات</t>
  </si>
  <si>
    <t>استبدال ماشة 13A لبراد ماء</t>
  </si>
  <si>
    <t>2025/12/14 - 09:24 AM</t>
  </si>
  <si>
    <t>ابتدائية الساقي للبنين الجانب -J (السابعة)الثاني</t>
  </si>
  <si>
    <t>الطابق ارضي, جناح الساحة ZONE B, احد الصفوف</t>
  </si>
  <si>
    <t>استبدال نقطة كهرباء تالفة 13A</t>
  </si>
  <si>
    <t>2025/12/14 - 09:25 AM</t>
  </si>
  <si>
    <t>عمل سيار بثث مآخذ مزدوجة (2*3) في استعمات بطول 5 متر</t>
  </si>
  <si>
    <t>2025/12/14 - 09:27 AM</t>
  </si>
  <si>
    <t>2025/12/14 - 09:28 AM</t>
  </si>
  <si>
    <t>2025/12/14 - 09:29 AM</t>
  </si>
  <si>
    <t>تسليك كيبل 35×‏4 من غرفة تزامن بناية المختبرات إلى غرفة كهرباء محطة الرفع</t>
  </si>
  <si>
    <t>2025/12/14 - 09:30 AM</t>
  </si>
  <si>
    <t>استبدال قاطع احادي C‏20 بآخر C‏25 بسبب الفصل المتكرر، واعادة UPS شعبة الكاميرات الى العمل</t>
  </si>
  <si>
    <t>2025/12/14 - 09:31 AM</t>
  </si>
  <si>
    <t>اضافة ماشه 15A مع واير 2×‏2.5 طول 3 متر</t>
  </si>
  <si>
    <t>2025/12/14 - 10:32 AM</t>
  </si>
  <si>
    <t>تشغيل المصعد</t>
  </si>
  <si>
    <t>2025/12/15 - 07:42 AM</t>
  </si>
  <si>
    <t>2025/12/14 - 10:33 AM</t>
  </si>
  <si>
    <t>صيانه نقاط الكهرباء</t>
  </si>
  <si>
    <t>2025/12/14 - 11:41 AM</t>
  </si>
  <si>
    <t>2025/12/14 - 01:16 PM</t>
  </si>
  <si>
    <t>بناية المختبرات</t>
  </si>
  <si>
    <t>كابية انارة محطة الرفع</t>
  </si>
  <si>
    <t>2025/12/15 - 11:30 AM</t>
  </si>
  <si>
    <t>صيانه انارة</t>
  </si>
  <si>
    <t>2025/12/15 - 12:04 PM</t>
  </si>
  <si>
    <t>2025/12/15 - 02:06 PM</t>
  </si>
  <si>
    <t>صيانة نقاط كهرباء في المخزن ارضي</t>
  </si>
  <si>
    <t>2025/12/15 - 03:14 PM</t>
  </si>
  <si>
    <t>2025/12/16 - 12:44 PM</t>
  </si>
  <si>
    <t>احتياج انارة في غرفة فريق المركز الثقافي</t>
  </si>
  <si>
    <t>2025/12/16 - 12:45 PM</t>
  </si>
  <si>
    <t>2025/12/16 - 12:53 PM</t>
  </si>
  <si>
    <t>صيانة مفرغه كونها تصدر صوت عالي</t>
  </si>
  <si>
    <t>2025/12/16 - 02:24 PM</t>
  </si>
  <si>
    <t>2025/12/17 - 11:18 AM</t>
  </si>
  <si>
    <t>2025/12/17 - 08:00 AM</t>
  </si>
  <si>
    <t>توجد كهرباء</t>
  </si>
  <si>
    <t>2025/12/17 - 11:39 AM</t>
  </si>
  <si>
    <t>خطا في التبليغ</t>
  </si>
  <si>
    <t>2025/12/17 - 11:10 AM</t>
  </si>
  <si>
    <t>المسرح</t>
  </si>
  <si>
    <t>تثبيت النايلون المتطاير من على المسرح</t>
  </si>
  <si>
    <t>2025/12/17 - 11:19 AM</t>
  </si>
  <si>
    <t>2025/12/17 - 11:13 AM</t>
  </si>
  <si>
    <t>المختبرات, + محظة الرفع</t>
  </si>
  <si>
    <t>2025/12/17 - 11:48 AM</t>
  </si>
  <si>
    <t>2025/12/17 - 11:14 AM</t>
  </si>
  <si>
    <t>المختبرات, +محطة الرفع</t>
  </si>
  <si>
    <t>تم تغذية كيبل 16×‏4 الخاص بالمختبرات بمصدر طاقة شمسية مؤقًتا في غرفة كهرباء محطة الرفع</t>
  </si>
  <si>
    <t>الكشك</t>
  </si>
  <si>
    <t>تنظيف vfd الخاص بالنافورة</t>
  </si>
  <si>
    <t>2025/12/17 - 11:22 AM</t>
  </si>
  <si>
    <t>2025/12/17 - 11:23 AM</t>
  </si>
  <si>
    <t>قرب محطة الرفع</t>
  </si>
  <si>
    <t>معالجة التواء في الكيبل الممتد من غرفة كهرباء محطة الرفع الى غرفة مزامنة بناية المختبرات</t>
  </si>
  <si>
    <t>تبديل محولة سبوت يت عدد 2 في المالية</t>
  </si>
  <si>
    <t>2025/12/17 - 11:35 AM</t>
  </si>
  <si>
    <t>نقل تغذية خط انارة مختبر الحاسوب الى فيز اخر قادم من UPS بعد توقف الفيز الموصول به سابقا (الفيز القديم + الجديد UPS)</t>
  </si>
  <si>
    <t>2025/12/17 - 11:38 AM</t>
  </si>
  <si>
    <t>تم فحص سخانات صحيات المدرسة السادسة بالكامل مع تشغيلها مع تشخيص أحد السخانات عطل في الهيتر الطابق ارضي الزون الجهة اليمنى وتم تبليغ وحدة الميكانيك بذلك</t>
  </si>
  <si>
    <t>2025/12/17 - 11:41 AM</t>
  </si>
  <si>
    <t>الطابق اول, مطبخ رئاسة القسم</t>
  </si>
  <si>
    <t>تم استبدال محولة منشورية بقدرة 50W</t>
  </si>
  <si>
    <t>2025/12/17 - 11:42 AM</t>
  </si>
  <si>
    <t>توصيل تغذية شاشة تحكم VRV من بورد UPS المركزي .</t>
  </si>
  <si>
    <t>2025/12/17 - 11:43 AM</t>
  </si>
  <si>
    <t>مد سليف بقطر 4 انج بين غرفة السنكرو الجديدة وتوصيله الى المنهولة القريبة من غرفة كهرباء محطة الرفع مع حفر المنطقة القريبة من المنهولة اضافة الى زيادة عمق الحفرة على طول المسار</t>
  </si>
  <si>
    <t>2025/12/17 - 11:46 AM</t>
  </si>
  <si>
    <t>وحدى الكهرباء</t>
  </si>
  <si>
    <t>ثانوية العميد بناية اعدادية -C (اولى)</t>
  </si>
  <si>
    <t>تم جرد اناره البنايه C بلكامل وتم العثور على 3 اسبوريت و2 منشوريات وتم إصحها</t>
  </si>
  <si>
    <t>2025/12/17 - 11:47 AM</t>
  </si>
  <si>
    <t>2025/12/17 - 11:54 AM</t>
  </si>
  <si>
    <t>حفر مسار بطول 30 متر لمد السليف الذي ينقل اسك الكهربائية</t>
  </si>
  <si>
    <t>2025/12/18 - 08:08 AM</t>
  </si>
  <si>
    <t>الكهرباء تعمل</t>
  </si>
  <si>
    <t>2025/12/18 - 12:52 PM</t>
  </si>
  <si>
    <t>2025/12/18 - 10:17 AM</t>
  </si>
  <si>
    <t>اطفاء السخان</t>
  </si>
  <si>
    <t>2025/12/18 - 12:53 PM</t>
  </si>
  <si>
    <t>2025/12/21 - 12:14 PM</t>
  </si>
  <si>
    <t>صيانه انارة بالممر</t>
  </si>
  <si>
    <t>2025/12/22 - 07:32 AM</t>
  </si>
  <si>
    <t>2025/12/22 - 09:40 AM</t>
  </si>
  <si>
    <t>2025/12/22 - 11:23 AM</t>
  </si>
  <si>
    <t>2025/12/22 - 11:47 AM</t>
  </si>
  <si>
    <t>استبدال ماشة 13A لثجة</t>
  </si>
  <si>
    <t>2025/12/22 - 12:08 PM</t>
  </si>
  <si>
    <t>2025/12/22 - 11:50 AM</t>
  </si>
  <si>
    <t>المختبرات, + محطة الرفع</t>
  </si>
  <si>
    <t>2025/12/22 - 11:51 AM</t>
  </si>
  <si>
    <t>بسبب ضعف بارد المنظومة الشمسية الذي سبب انقب الطرف البارد الى حار في بعض احمال تم تأريضه مؤقتًا لحين حل مشكلته بشكل نهائي</t>
  </si>
  <si>
    <t>2025/12/22 - 11:53 AM</t>
  </si>
  <si>
    <t>تنظيف الراكات في جميع طوابق المركز الثقافي + غرفة Data Center</t>
  </si>
  <si>
    <t>2025/12/22 - 11:54 AM</t>
  </si>
  <si>
    <t>2025/12/22 - 11:55 AM</t>
  </si>
  <si>
    <t>2025/12/22 - 11:57 AM</t>
  </si>
  <si>
    <t>استبدال منشورية واحدة 80W</t>
  </si>
  <si>
    <t>ثانوية العميد بناية المتوسطة -D (الثانية)</t>
  </si>
  <si>
    <t>تم جرد انارة المدرسة الثانية بالكامل وتم صيانة منشورية عدد2 وتبديل 3محوت سبوت يت</t>
  </si>
  <si>
    <t>2025/12/22 - 11:58 AM</t>
  </si>
  <si>
    <t>استبدال Buzzers جهاز الميلتميتر الخاص بوحدة الميكانيك</t>
  </si>
  <si>
    <t>2025/12/22 - 11:59 AM</t>
  </si>
  <si>
    <t>استبدال محولة سبوت يت 38W تالفة في باب المدرسة الثانية</t>
  </si>
  <si>
    <t>2025/12/22 - 12:00 PM</t>
  </si>
  <si>
    <t>(الثالثة)ابتدائية العميد للبنات -E</t>
  </si>
  <si>
    <t>تم جرد المدرسة الثالثة بالكامل تم صيانة انارة منشورية عدد11 وصيانة سويچ ثثي أثر رخاوة في أحد خطوط انارة</t>
  </si>
  <si>
    <t>2025/12/22 - 12:01 PM</t>
  </si>
  <si>
    <t>تم تغير فيز انارة غرفة الحاسوب المدرسه الثالثة</t>
  </si>
  <si>
    <t>2025/12/22 - 12:02 PM</t>
  </si>
  <si>
    <t>استحداث ثثة بلك سويچات لغرفة كهرباء للمدرسة السادسة مع استبدال ثثة اثر سوء استخدام مما ادى للتلف</t>
  </si>
  <si>
    <t>نقل كيبل شحن السيارة إلى بورد إنارة اعمدة</t>
  </si>
  <si>
    <t>2025/12/22 - 12:03 PM</t>
  </si>
  <si>
    <t>العاب</t>
  </si>
  <si>
    <t>مساعدة وحدة المدني في تثبيت بعض العاب</t>
  </si>
  <si>
    <t>2025/12/22 - 12:05 PM</t>
  </si>
  <si>
    <t>الطابق اول, صف الشمس</t>
  </si>
  <si>
    <t>ضبط درجة حرارة السخان</t>
  </si>
  <si>
    <t>2025/12/22 - 12:06 PM</t>
  </si>
  <si>
    <t>إضافة نقطتين كهرباء 13A لتشغيل الطابعة وجهاز اخر في غرفة المعاونات</t>
  </si>
  <si>
    <t>2025/12/23 - 10:28 AM</t>
  </si>
  <si>
    <t>تبديل نقطة كهرباء</t>
  </si>
  <si>
    <t>2025/12/23 - 11:13 AM</t>
  </si>
  <si>
    <t>2025/12/24 - 07:57 AM</t>
  </si>
  <si>
    <t>صيانة المصعد</t>
  </si>
  <si>
    <t>2025/12/24 - 08:17 AM</t>
  </si>
  <si>
    <t>2025/12/24 - 08:01 AM</t>
  </si>
  <si>
    <t>الطابق ارضي, كل البناية</t>
  </si>
  <si>
    <t>2025/12/24 - 10:26 AM</t>
  </si>
  <si>
    <t>2025/12/24 - 11:43 AM</t>
  </si>
  <si>
    <t>2025/12/24 - 10:28 AM</t>
  </si>
  <si>
    <t>الطابق ارضي,</t>
  </si>
  <si>
    <t>اطفاء مفرغات</t>
  </si>
  <si>
    <t>2025/12/24 - 11:09 AM</t>
  </si>
  <si>
    <t>اطفاء المفرغات</t>
  </si>
  <si>
    <t>2025/12/24 - 02:49 PM</t>
  </si>
  <si>
    <t>2025/12/25 - 08:40 AM</t>
  </si>
  <si>
    <t>بدل نقطة كهرباء</t>
  </si>
  <si>
    <t>2025/12/25 - 09:46 AM</t>
  </si>
  <si>
    <t>2025/12/27 - 07:54 AM</t>
  </si>
  <si>
    <t>كل المدرسة</t>
  </si>
  <si>
    <t>2025/12/27 - 09:48 AM</t>
  </si>
  <si>
    <t>2025/12/29 - 07:51 AM</t>
  </si>
  <si>
    <t>ابتدائية -H ,روضة القمر -B (الخامسة)القمر للبنات</t>
  </si>
  <si>
    <t>يوجد كهرباء</t>
  </si>
  <si>
    <t>2025/12/29 - 08:03 AM</t>
  </si>
  <si>
    <t>2025/12/29 - 08:04 AM</t>
  </si>
  <si>
    <t>2025/12/29 - 09:36 AM</t>
  </si>
  <si>
    <t>روضة -B ,المركز الثقافي -A القمر</t>
  </si>
  <si>
    <t>يرجى اطفاء المفرغات مستعجل</t>
  </si>
  <si>
    <t>2025/12/29 - 11:18 AM</t>
  </si>
  <si>
    <t>2025/12/30 - 07:53 AM</t>
  </si>
  <si>
    <t>تبديل نقطة كهرباء في غرفة المعلمات</t>
  </si>
  <si>
    <t>2025/12/30 - 02:15 PM</t>
  </si>
  <si>
    <t>2025/12/30 - 08:16 AM</t>
  </si>
  <si>
    <t>2025/12/30 - 10:50 AM</t>
  </si>
  <si>
    <t>2025/12/30 - 08:17 AM</t>
  </si>
  <si>
    <t>2025/12/31 - 01:09 PM</t>
  </si>
  <si>
    <t>2025/12/31 - 04:32 PM</t>
  </si>
  <si>
    <t>2025/12/31 - 04:37 PM</t>
  </si>
  <si>
    <t>جرد البنايه الرابعه F وتم العثور على 5 منشوريات تم إصحها</t>
  </si>
  <si>
    <t>2025/12/31 - 05:10 PM</t>
  </si>
  <si>
    <t>2025/12/31 - 04:38 PM</t>
  </si>
  <si>
    <t>تطويل سلك الطوافه لتانكي ماء ارو</t>
  </si>
  <si>
    <t>2025/12/31 - 05:11 PM</t>
  </si>
  <si>
    <t>2025/12/31 - 04:42 PM</t>
  </si>
  <si>
    <t>صيانة البراد في المطبخ الخارجي وإعادة تشغيله</t>
  </si>
  <si>
    <t>2025/12/31 - 04:43 PM</t>
  </si>
  <si>
    <t>تم فحص منظومة انذار في جميع المجمع</t>
  </si>
  <si>
    <t>تم جرد المدرسة الرابعه وصيانة اناره</t>
  </si>
  <si>
    <t>2025/12/31 - 04:44 PM</t>
  </si>
  <si>
    <t>زيادة طول سلك الطوافه لتانكي الماء ارو</t>
  </si>
  <si>
    <t>2025/12/31 - 04:45 PM</t>
  </si>
  <si>
    <t>2025/12/31 - 04:47 PM</t>
  </si>
  <si>
    <t>احتفالية</t>
  </si>
  <si>
    <t>موقع احتفالية</t>
  </si>
  <si>
    <t>ربط سيار من بورد المسرح</t>
  </si>
  <si>
    <t>ربط سيار من غرفت كهرباء الروضه B الى الصوتيات</t>
  </si>
  <si>
    <t>ربط سيار من بورد المسرح الى الصوتيات</t>
  </si>
  <si>
    <t>2025/12/31 - 04:48 PM</t>
  </si>
  <si>
    <t>شارع المجمع</t>
  </si>
  <si>
    <t>تم فت ونقل بجكتورات من أمام المركز الى مقابيل المدرسه الرابعه العدد 8</t>
  </si>
  <si>
    <t>بط الشاشه مباشر من غرفت الكهرباء قرب الروضه G</t>
  </si>
  <si>
    <t>2025/12/31 - 04:49 PM</t>
  </si>
  <si>
    <t>تغذية سيار الخاص بكاميرا البث المباشر</t>
  </si>
  <si>
    <t>2025/12/31 - 04:50 PM</t>
  </si>
  <si>
    <t>فصل جميع السيارات الكهربائية المغذية للحفل</t>
  </si>
  <si>
    <t>الطابق ارضي, غرفة الكهرباء</t>
  </si>
  <si>
    <t>. جديدة عدد 2 NVR تمهيدًا ضافة Uبآخر 9 Uاستبدال الراك 6 * .inch إضافة شاشة قياس 55 *</t>
  </si>
  <si>
    <t>2025/12/31 - 04:51 PM</t>
  </si>
  <si>
    <t>استبدال حساس فوتوسيل لبراكيتات الزون B</t>
  </si>
  <si>
    <t>2025/12/31 - 04:52 PM</t>
  </si>
  <si>
    <t>اضافة كيبل طوافة منظومة الماء ال(RO) بطول 2م</t>
  </si>
  <si>
    <t>2025/12/31 - 04:53 PM</t>
  </si>
  <si>
    <t>القاعة الرياضية مقابل الخامسة</t>
  </si>
  <si>
    <t>تبديل محوله منشوريه في غرفه القاعه الرياضيه مقابيل المدرسه الخامسه وتم العثور عله عطل كهرباء وتم اصحها</t>
  </si>
  <si>
    <t>2025/12/31 - 04:54 PM</t>
  </si>
  <si>
    <t>2025/12/31 - 04:55 PM</t>
  </si>
  <si>
    <t>2025/12/31 - 04:56 PM</t>
  </si>
  <si>
    <t>فحص منظومات (AHU) تم اخراج 3 قطع منها عن الخدمة نتيجة وجود خلل في عملها ليتم صيانتها فيما بعد.</t>
  </si>
  <si>
    <t>غرفة مزامنة مولدات محطة الرفع</t>
  </si>
  <si>
    <t>2025/12/31 - 04:57 PM</t>
  </si>
  <si>
    <t>تم استبدال جوزه (25) امبير استعمات الرئيسيه (امنيه)</t>
  </si>
  <si>
    <t>2025/12/31 - 04:58 PM</t>
  </si>
  <si>
    <t>تم صيانه منشوريات عاطله في رئاسة القسم الطابق اول العدد 2 وتم تبديل محوله سبوت يت عاطلة في الصحيات الطابق ارضي</t>
  </si>
  <si>
    <t>استبدال بلك سويج بسويچ 45A لسخان</t>
  </si>
  <si>
    <t>2025/12/31 - 04:59 PM</t>
  </si>
  <si>
    <t>غرفة وحدة الميكانيك</t>
  </si>
  <si>
    <t>2025/12/31 - 05:04 PM</t>
  </si>
  <si>
    <t>الطابق ارضي, غرفة الكهرباء الخارجية</t>
  </si>
  <si>
    <t>.وربطُه الى شاشتين مع تقسيم العرض 16 كاميرا لكل شاشة NVR 32CH إضافة * .إضافة وترتيب كاميرات المراقبة الخاصة بوحدة التبريد لكل البنايات بالتسلسل *</t>
  </si>
  <si>
    <t>2025/12/31 - 05:08 PM</t>
  </si>
  <si>
    <t>الطابق ارضي, غرفة الكهرباء الخاريجة</t>
  </si>
  <si>
    <t>2025/12/02 - 07:20 AM</t>
  </si>
  <si>
    <t>تحويل السبالت من التبريد الى تدفئة في كل البناية</t>
  </si>
  <si>
    <t>2025/12/02 - 08:10 AM</t>
  </si>
  <si>
    <t>2025/12/06 - 10:58 AM</t>
  </si>
  <si>
    <t>تفكيك بكج القاعه الرياضية مقابل الخامسه والتحضير للحام</t>
  </si>
  <si>
    <t>2025/12/06 - 11:27 AM</t>
  </si>
  <si>
    <t>2025/12/06 - 11:01 AM</t>
  </si>
  <si>
    <t>سنفرة ولحام الليكات والكراكات في الستيج الرئيسي لبكج القاعه مقابل المدرسة الخامسة</t>
  </si>
  <si>
    <t>2025/12/06 - 11:02 AM</t>
  </si>
  <si>
    <t>تبديل الولفات وعدسة الزيت للستيج الرئيسي في بكج القاعة مقابل المدرسة الخامسة</t>
  </si>
  <si>
    <t>2025/12/06 - 11:04 AM</t>
  </si>
  <si>
    <t>2025/12/06 - 11:06 AM</t>
  </si>
  <si>
    <t>2025/12/06 - 11:08 AM</t>
  </si>
  <si>
    <t>عمل فاكيوم وشحن غاز التبريد لبكج القاعه مقابل الخامسة</t>
  </si>
  <si>
    <t>2025/12/08 - 02:01 PM</t>
  </si>
  <si>
    <t>صيانة سبلت في غرفة الراكات</t>
  </si>
  <si>
    <t>اطفاء مفرغات الصفوف</t>
  </si>
  <si>
    <t>2025/12/14 - 11:26 AM</t>
  </si>
  <si>
    <t>2025/12/14 - 12:59 PM</t>
  </si>
  <si>
    <t>صيانه سبلت يتساقط ماء</t>
  </si>
  <si>
    <t>2025/12/15 - 11:14 AM</t>
  </si>
  <si>
    <t>2025/12/15 - 08:21 AM</t>
  </si>
  <si>
    <t>تشغيل تدفئه</t>
  </si>
  <si>
    <t>2025/12/15 - 11:46 AM</t>
  </si>
  <si>
    <t>على الشركة المنفذة</t>
  </si>
  <si>
    <t>2025/12/15 - 11:31 AM</t>
  </si>
  <si>
    <t>صيانه السبات</t>
  </si>
  <si>
    <t>2025/12/15 - 12:54 PM</t>
  </si>
  <si>
    <t>2025/12/15 - 12:27 PM</t>
  </si>
  <si>
    <t>شغيل التدفئة</t>
  </si>
  <si>
    <t>2025/12/16 - 09:13 AM</t>
  </si>
  <si>
    <t>2025/12/16 - 12:57 PM</t>
  </si>
  <si>
    <t>صيانه التبريد يعمل</t>
  </si>
  <si>
    <t>2025/12/17 - 07:14 AM</t>
  </si>
  <si>
    <t>2025/12/20 - 08:44 AM</t>
  </si>
  <si>
    <t>تحويل السبات الى التدفئة</t>
  </si>
  <si>
    <t>2025/12/20 - 12:15 PM</t>
  </si>
  <si>
    <t>2025/12/20 - 08:47 AM</t>
  </si>
  <si>
    <t>الطابق ارضي, الطابق اول, الطابق الثاني, الطابق الثالث</t>
  </si>
  <si>
    <t>سبالت تصدر اصوات</t>
  </si>
  <si>
    <t>2025/12/20 - 08:48 AM</t>
  </si>
  <si>
    <t>2025/12/20 - 08:50 AM</t>
  </si>
  <si>
    <t>صيانة السبلت في الصف الثالث</t>
  </si>
  <si>
    <t>2025/12/20 - 10:01 AM</t>
  </si>
  <si>
    <t>2025/12/22 - 09:58 AM</t>
  </si>
  <si>
    <t>صيانة سبات</t>
  </si>
  <si>
    <t>2025/12/22 - 11:22 AM</t>
  </si>
  <si>
    <t>2025/12/23 - 11:21 AM</t>
  </si>
  <si>
    <t>صيانة سبلت غرفة ست سارة</t>
  </si>
  <si>
    <t>2025/12/23 - 12:24 PM</t>
  </si>
  <si>
    <t>2025/12/27 - 10:10 AM</t>
  </si>
  <si>
    <t>بعض الطوابق</t>
  </si>
  <si>
    <t>تدفئة تعمل</t>
  </si>
  <si>
    <t>2025/12/27 - 11:47 AM</t>
  </si>
  <si>
    <t>2025/12/29 - 11:31 AM</t>
  </si>
  <si>
    <t>تدفئة تعمل في ادارة</t>
  </si>
  <si>
    <t>2025/12/29 - 02:11 PM</t>
  </si>
  <si>
    <t>2025/12/11 - 08:07 AM</t>
  </si>
  <si>
    <t>صيانه سماعات</t>
  </si>
  <si>
    <t>2025/12/14 - 08:38 AM</t>
  </si>
  <si>
    <t>2025/12/01 - 07:10 AM</t>
  </si>
  <si>
    <t>,الطابق ارضي - ZONE A الطابق اول - ZONE A</t>
  </si>
  <si>
    <t>استبدال سقوف ثانوية</t>
  </si>
  <si>
    <t>2025/12/01 - 07:15 AM</t>
  </si>
  <si>
    <t>,الطابق ارضي - ZONE B ,الطابق اول - ZONE B الطابق الثاني - ZONE B</t>
  </si>
  <si>
    <t>2025/12/01 - 07:16 AM</t>
  </si>
  <si>
    <t>2025/12/02 - 11:01 AM</t>
  </si>
  <si>
    <t>صيانة باب صف اول ز</t>
  </si>
  <si>
    <t>2025/12/02 - 01:33 PM</t>
  </si>
  <si>
    <t>2025/12/02 - 12:20 PM</t>
  </si>
  <si>
    <t>تغليف اعمدة العاب باسفنج للحماية</t>
  </si>
  <si>
    <t>2025/12/03 - 08:21 AM</t>
  </si>
  <si>
    <t>2025/12/03 - 10:21 AM</t>
  </si>
  <si>
    <t>2025/12/03 - 10:45 AM</t>
  </si>
  <si>
    <t>المركز الثقافي, المكتب -A النسوي</t>
  </si>
  <si>
    <t>فت وسحب البردات</t>
  </si>
  <si>
    <t>2025/12/03 - 01:02 PM</t>
  </si>
  <si>
    <t>2025/12/03 - 11:17 AM</t>
  </si>
  <si>
    <t>الطابق اول, غرفة - ZONE A المعلمات</t>
  </si>
  <si>
    <t>تعليق بردة</t>
  </si>
  <si>
    <t>2025/12/04 - 10:20 AM</t>
  </si>
  <si>
    <t>2025/12/03 - 01:08 PM</t>
  </si>
  <si>
    <t>الخارج</t>
  </si>
  <si>
    <t>صيانة وصبغ رصيف الخارجي</t>
  </si>
  <si>
    <t>2025/12/06 - 10:03 AM</t>
  </si>
  <si>
    <t>صيانة أرضية النافورة</t>
  </si>
  <si>
    <t>2025/12/06 - 10:30 AM</t>
  </si>
  <si>
    <t>2025/12/06 - 10:04 AM</t>
  </si>
  <si>
    <t>2025/12/06 - 10:05 AM</t>
  </si>
  <si>
    <t>شد بردة</t>
  </si>
  <si>
    <t>2025/12/06 - 10:06 AM</t>
  </si>
  <si>
    <t>الطابق اول - ZONE A</t>
  </si>
  <si>
    <t>صيانة شباك</t>
  </si>
  <si>
    <t>2025/12/06 - 10:07 AM</t>
  </si>
  <si>
    <t>صيانة باب حمام</t>
  </si>
  <si>
    <t>2025/12/06 - 10:31 AM</t>
  </si>
  <si>
    <t>2025/12/06 - 10:08 AM</t>
  </si>
  <si>
    <t>2025/12/06 - 10:09 AM</t>
  </si>
  <si>
    <t>الصحيات الخارجي مقابل الرابعة</t>
  </si>
  <si>
    <t>2025/12/06 - 10:10 AM</t>
  </si>
  <si>
    <t>تنزيل بردة</t>
  </si>
  <si>
    <t>2025/12/06 - 10:11 AM</t>
  </si>
  <si>
    <t>2025/12/06 - 10:14 AM</t>
  </si>
  <si>
    <t>صبغ غرفة معاون رئيس قسم التربية</t>
  </si>
  <si>
    <t>2025/12/06 - 10:17 AM</t>
  </si>
  <si>
    <t>خارج البناية اولئ</t>
  </si>
  <si>
    <t>خارج</t>
  </si>
  <si>
    <t>فت المقرنص لصيانة تسريب ماء سقي</t>
  </si>
  <si>
    <t>2025/12/06 - 10:21 AM</t>
  </si>
  <si>
    <t>دفن مكان تسريب بعد الصيانة وتطبيك المقرنص</t>
  </si>
  <si>
    <t>2025/12/06 - 10:23 AM</t>
  </si>
  <si>
    <t>2025/12/06 - 10:24 AM</t>
  </si>
  <si>
    <t>تنعيم وتنظيف الرصيف</t>
  </si>
  <si>
    <t>2025/12/06 - 10:25 AM</t>
  </si>
  <si>
    <t>2025/12/06 - 10:26 AM</t>
  </si>
  <si>
    <t>2025/12/06 - 10:27 AM</t>
  </si>
  <si>
    <t>2025/12/06 - 11:40 AM</t>
  </si>
  <si>
    <t>شد رفوف</t>
  </si>
  <si>
    <t>2025/12/16 - 07:33 AM</t>
  </si>
  <si>
    <t>2025/12/06 - 11:44 AM</t>
  </si>
  <si>
    <t>تحتاج مناطق داخل النافورة الى التشربت مرة اخرى</t>
  </si>
  <si>
    <t>2025/12/06 - 01:38 PM</t>
  </si>
  <si>
    <t>2025/12/06 - 11:50 AM</t>
  </si>
  <si>
    <t>الممر المحيط</t>
  </si>
  <si>
    <t>تصلي المرمر في ركن البناية جهة المولدات</t>
  </si>
  <si>
    <t>2025/12/08 - 11:11 AM</t>
  </si>
  <si>
    <t>2025/12/07 - 04:15 PM</t>
  </si>
  <si>
    <t>2025/12/07 - 04:18 PM</t>
  </si>
  <si>
    <t>2025/12/07 - 04:17 PM</t>
  </si>
  <si>
    <t>الطابق الثاني - ZONE B</t>
  </si>
  <si>
    <t>تبديل يدة باب</t>
  </si>
  <si>
    <t>صبغ جدار الصيف بمادة التكس</t>
  </si>
  <si>
    <t>2025/12/08 - 11:15 AM</t>
  </si>
  <si>
    <t>صيانة يدة باب حمام</t>
  </si>
  <si>
    <t>2025/12/08 - 11:26 AM</t>
  </si>
  <si>
    <t>2025/12/08 - 11:22 AM</t>
  </si>
  <si>
    <t>صيانة باب صف الشمس</t>
  </si>
  <si>
    <t>2025/12/08 - 01:59 PM</t>
  </si>
  <si>
    <t>عمل ماستك</t>
  </si>
  <si>
    <t>2025/12/09 - 09:03 AM</t>
  </si>
  <si>
    <t>الطابق اول - ZONE B</t>
  </si>
  <si>
    <t>2025/12/09 - 11:21 AM</t>
  </si>
  <si>
    <t>2025/12/10 - 09:12 AM</t>
  </si>
  <si>
    <t>صيانة اشتايكر السط بمادة الماستك</t>
  </si>
  <si>
    <t>2025/12/10 - 11:25 AM</t>
  </si>
  <si>
    <t>2025/12/10 - 09:57 AM</t>
  </si>
  <si>
    <t>صيانة باب المخزن</t>
  </si>
  <si>
    <t>2025/12/10 - 01:00 PM</t>
  </si>
  <si>
    <t>تغير لوحه اعنات</t>
  </si>
  <si>
    <t>2025/12/11 - 10:43 AM</t>
  </si>
  <si>
    <t>صحيات مقابيل المولدات</t>
  </si>
  <si>
    <t>قرب رئاسة القسم</t>
  </si>
  <si>
    <t>صيانه باب</t>
  </si>
  <si>
    <t>2025/12/11 - 05:45 PM</t>
  </si>
  <si>
    <t>2025/12/11 - 11:45 AM</t>
  </si>
  <si>
    <t>صيانه يدات الشباك صف الثالث أ</t>
  </si>
  <si>
    <t>2025/12/11 - 05:46 PM</t>
  </si>
  <si>
    <t>2025/12/11 - 01:52 PM</t>
  </si>
  <si>
    <t>فت العاب قرب المركز الثقافي</t>
  </si>
  <si>
    <t>2025/12/11 - 01:54 PM</t>
  </si>
  <si>
    <t>2025/12/11 - 06:23 PM</t>
  </si>
  <si>
    <t>تبديل كيلون باب</t>
  </si>
  <si>
    <t>2025/12/13 - 07:40 AM</t>
  </si>
  <si>
    <t>2025/12/11 - 06:25 PM</t>
  </si>
  <si>
    <t>2025/12/11 - 06:27 PM</t>
  </si>
  <si>
    <t>صيانة سط روضة الجود والقمر</t>
  </si>
  <si>
    <t>2025/12/11 - 06:28 PM</t>
  </si>
  <si>
    <t>صيانة صبغ جدار استيج</t>
  </si>
  <si>
    <t>2025/12/11 - 06:32 PM</t>
  </si>
  <si>
    <t>صيانة. شباك في الصحيات</t>
  </si>
  <si>
    <t>2025/12/13 - 01:55 PM</t>
  </si>
  <si>
    <t>صيانه باب المنظومه</t>
  </si>
  <si>
    <t>2025/12/13 - 05:39 PM</t>
  </si>
  <si>
    <t>2025/12/14 - 11:24 AM</t>
  </si>
  <si>
    <t>لصق كاربت</t>
  </si>
  <si>
    <t>2025/12/14 - 03:28 PM</t>
  </si>
  <si>
    <t>2025/12/14 - 12:58 PM</t>
  </si>
  <si>
    <t>باب الحمام</t>
  </si>
  <si>
    <t>2025/12/14 - 05:35 PM</t>
  </si>
  <si>
    <t>2025/12/15 - 07:36 AM</t>
  </si>
  <si>
    <t>ماء يتساقط من السقف في المصلى</t>
  </si>
  <si>
    <t>2025/12/20 - 08:45 PM</t>
  </si>
  <si>
    <t>2025/12/15 - 12:05 PM</t>
  </si>
  <si>
    <t>شد كراسي</t>
  </si>
  <si>
    <t>2025/12/15 - 12:06 PM</t>
  </si>
  <si>
    <t>2025/12/15 - 12:08 PM</t>
  </si>
  <si>
    <t>العاب الخارجية</t>
  </si>
  <si>
    <t>الطابق ارضي, مقابل المركز الثقافي</t>
  </si>
  <si>
    <t>فت العاب</t>
  </si>
  <si>
    <t>2025/12/15 - 12:12 PM</t>
  </si>
  <si>
    <t>2025/12/15 - 12:10 PM</t>
  </si>
  <si>
    <t>صيانة السط بمادة الماستك</t>
  </si>
  <si>
    <t>2025/12/15 - 12:11 PM</t>
  </si>
  <si>
    <t>صيانة باب حديد</t>
  </si>
  <si>
    <t>2025/12/15 - 12:15 PM</t>
  </si>
  <si>
    <t>رصيف الصيانة خلف المولدات</t>
  </si>
  <si>
    <t>ارضي</t>
  </si>
  <si>
    <t>حفر الرصيف لمد كيبل كهرباء الى غرفه الكهرباء الجديدة</t>
  </si>
  <si>
    <t>2025/12/15 - 12:52 PM</t>
  </si>
  <si>
    <t>2025/12/15 - 12:17 PM</t>
  </si>
  <si>
    <t>صبغ ومعالجه اطار الشاشه</t>
  </si>
  <si>
    <t>2025/12/15 - 12:19 PM</t>
  </si>
  <si>
    <t>ساحه العاب مقابل المركز الثقافي</t>
  </si>
  <si>
    <t>تركيب العاب</t>
  </si>
  <si>
    <t>2025/12/16 - 12:42 PM</t>
  </si>
  <si>
    <t>تسريب الماء من السقف</t>
  </si>
  <si>
    <t>2025/12/16 - 12:48 PM</t>
  </si>
  <si>
    <t>الطابق ارضي, الطابق اول</t>
  </si>
  <si>
    <t>صيانة الباب الخلفية</t>
  </si>
  <si>
    <t>2025/12/16 - 12:49 PM</t>
  </si>
  <si>
    <t>تركيب سقف ثانوي</t>
  </si>
  <si>
    <t>2025/12/17 - 11:17 AM</t>
  </si>
  <si>
    <t>2025/12/16 - 12:52 PM</t>
  </si>
  <si>
    <t>جام الشباك يتطلب معجون</t>
  </si>
  <si>
    <t>2025/12/16 - 12:54 PM</t>
  </si>
  <si>
    <t>صيانه يدة شباك في غرفة المعلمات</t>
  </si>
  <si>
    <t>2025/12/16 - 12:55 PM</t>
  </si>
  <si>
    <t>2025/12/16 - 12:56 PM</t>
  </si>
  <si>
    <t>تثبيت التارتان</t>
  </si>
  <si>
    <t>2025/12/20 - 06:43 PM</t>
  </si>
  <si>
    <t>2025/12/16 - 12:59 PM</t>
  </si>
  <si>
    <t>صيانه ميز عدد 4</t>
  </si>
  <si>
    <t>2025/12/16 - 02:23 PM</t>
  </si>
  <si>
    <t>صيانه الباب الخلفيه</t>
  </si>
  <si>
    <t>2025/12/17 - 09:50 AM</t>
  </si>
  <si>
    <t>2025/12/17 - 05:26 PM</t>
  </si>
  <si>
    <t>2025/12/17 - 01:53 PM</t>
  </si>
  <si>
    <t>صيانة يدة باب الصحيات</t>
  </si>
  <si>
    <t>2025/12/17 - 05:25 PM</t>
  </si>
  <si>
    <t>2025/12/18 - 01:43 PM</t>
  </si>
  <si>
    <t>2025/12/18 - 02:43 PM</t>
  </si>
  <si>
    <t>2025/12/20 - 08:05 AM</t>
  </si>
  <si>
    <t>تغير مفتاح</t>
  </si>
  <si>
    <t>2025/12/20 - 12:35 PM</t>
  </si>
  <si>
    <t>2025/12/20 - 08:43 AM</t>
  </si>
  <si>
    <t>صف الثالث د صيانه باب</t>
  </si>
  <si>
    <t>2025/12/20 - 04:11 PM</t>
  </si>
  <si>
    <t>2025/12/20 - 08:45 AM</t>
  </si>
  <si>
    <t>تعويض السقف الثانوي في المصلى</t>
  </si>
  <si>
    <t>2025/12/20 - 08:46 AM</t>
  </si>
  <si>
    <t>صيانة الباب الخارجي يدة</t>
  </si>
  <si>
    <t>2025/12/20 - 12:36 PM</t>
  </si>
  <si>
    <t>تصلي المجرات</t>
  </si>
  <si>
    <t>2025/12/20 - 08:49 AM</t>
  </si>
  <si>
    <t>صيانة باب الحمام</t>
  </si>
  <si>
    <t>2025/12/20 - 04:35 PM</t>
  </si>
  <si>
    <t>2025/12/20 - 01:02 PM</t>
  </si>
  <si>
    <t>صيانة يدة الشباك</t>
  </si>
  <si>
    <t>2025/12/20 - 04:27 PM</t>
  </si>
  <si>
    <t>2025/12/21 - 07:53 AM</t>
  </si>
  <si>
    <t>صيانة لوكر في صف الرابع ب</t>
  </si>
  <si>
    <t>2025/12/22 - 07:21 AM</t>
  </si>
  <si>
    <t>2025/12/21 - 12:43 PM</t>
  </si>
  <si>
    <t>الطابق اول, غرفة ست هاجر</t>
  </si>
  <si>
    <t>تعليك لوحة</t>
  </si>
  <si>
    <t>2025/12/21 - 12:52 PM</t>
  </si>
  <si>
    <t>فت مجرى في مختبر احياء</t>
  </si>
  <si>
    <t>2025/12/23 - 07:13 AM</t>
  </si>
  <si>
    <t>2025/12/21 - 12:53 PM</t>
  </si>
  <si>
    <t>اصح يد شباك الحانوت</t>
  </si>
  <si>
    <t>2025/12/22 - 07:26 AM</t>
  </si>
  <si>
    <t>2025/12/21 - 12:55 PM</t>
  </si>
  <si>
    <t>اصح اقفال الحمامات</t>
  </si>
  <si>
    <t>2025/12/22 - 07:29 AM</t>
  </si>
  <si>
    <t>2025/12/21 - 12:57 PM</t>
  </si>
  <si>
    <t>اصح قفل الباب المنيوم</t>
  </si>
  <si>
    <t>اصح قفل باب المصلى</t>
  </si>
  <si>
    <t>2026/01/01 - 07:14 AM</t>
  </si>
  <si>
    <t>2025/12/21 - 12:58 PM</t>
  </si>
  <si>
    <t>صيانه جام باب الحمام المنيوم</t>
  </si>
  <si>
    <t>2025/12/23 - 07:11 AM</t>
  </si>
  <si>
    <t>2025/12/22 - 09:42 AM</t>
  </si>
  <si>
    <t>صيانة ميز في صف الزمرد</t>
  </si>
  <si>
    <t>2025/12/22 - 09:52 AM</t>
  </si>
  <si>
    <t>2025/12/22 - 09:43 AM</t>
  </si>
  <si>
    <t>صيانة بردة في صف الثاني هـ</t>
  </si>
  <si>
    <t>2025/12/23 - 03:13 PM</t>
  </si>
  <si>
    <t>2025/12/22 - 10:11 AM</t>
  </si>
  <si>
    <t>قفل الباب الرئيسي تبديل</t>
  </si>
  <si>
    <t>2025/12/23 - 10:40 AM</t>
  </si>
  <si>
    <t>2025/12/23 - 09:15 AM</t>
  </si>
  <si>
    <t>2025/12/23 - 01:39 PM</t>
  </si>
  <si>
    <t>2025/12/23 - 09:16 AM</t>
  </si>
  <si>
    <t>صيانة يدة الحمام صف البنفسج</t>
  </si>
  <si>
    <t>2025/12/23 - 10:23 AM</t>
  </si>
  <si>
    <t>صيانة يدة شباك الصف الثالث أ</t>
  </si>
  <si>
    <t>2025/12/24 - 07:47 AM</t>
  </si>
  <si>
    <t>2025/12/24 - 07:58 AM</t>
  </si>
  <si>
    <t>2025/12/24 - 07:48 AM</t>
  </si>
  <si>
    <t>صف الثالث د</t>
  </si>
  <si>
    <t>صيانة باب صف الثالث د</t>
  </si>
  <si>
    <t>2025/12/24 - 05:42 PM</t>
  </si>
  <si>
    <t>صيانة نافورة</t>
  </si>
  <si>
    <t>2025/12/24 - 05:43 PM</t>
  </si>
  <si>
    <t>2025/12/24 - 07:49 AM</t>
  </si>
  <si>
    <t>صيانة باب غرفة ارشاد</t>
  </si>
  <si>
    <t>2025/12/24 - 10:18 AM</t>
  </si>
  <si>
    <t>2025/12/24 - 07:50 AM</t>
  </si>
  <si>
    <t>صيانة باب الحانوت</t>
  </si>
  <si>
    <t>2025/12/24 - 07:55 AM</t>
  </si>
  <si>
    <t>( صف اول د) و(صف اول هـ) (صف اول ك)و</t>
  </si>
  <si>
    <t>2025/12/24 - 10:20 AM</t>
  </si>
  <si>
    <t>2025/12/28 - 10:06 AM</t>
  </si>
  <si>
    <t>تصلي سيراميك قرب درج ادارة</t>
  </si>
  <si>
    <t>2025/12/29 - 06:50 PM</t>
  </si>
  <si>
    <t>2025/12/28 - 06:14 PM</t>
  </si>
  <si>
    <t>2025/12/29 - 09:34 AM</t>
  </si>
  <si>
    <t>صيانة يدة باب الحمامات الخارجيات</t>
  </si>
  <si>
    <t>2025/12/29 - 02:15 PM</t>
  </si>
  <si>
    <t>2025/12/29 - 09:37 AM</t>
  </si>
  <si>
    <t>2025/12/29 - 02:49 PM</t>
  </si>
  <si>
    <t>صيانة يدة باب</t>
  </si>
  <si>
    <t>2025/12/29 - 02:50 PM</t>
  </si>
  <si>
    <t>تبديل يدة باب حمام</t>
  </si>
  <si>
    <t>2025/12/30 - 08:14 AM</t>
  </si>
  <si>
    <t>2025/12/30 - 07:02 PM</t>
  </si>
  <si>
    <t>2025/12/01 - 07:13 AM</t>
  </si>
  <si>
    <t>مجاور البناية اولى</t>
  </si>
  <si>
    <t>اصح ليك مياه سقي</t>
  </si>
  <si>
    <t>2025/12/01 - 10:05 AM</t>
  </si>
  <si>
    <t>يوجد ماء ارو في المنظومة</t>
  </si>
  <si>
    <t>2025/12/01 - 11:40 AM</t>
  </si>
  <si>
    <t>2025/12/02 - 11:42 AM</t>
  </si>
  <si>
    <t>,الطابق ارضي - ZONE A الطابق الثاني - ZONE A</t>
  </si>
  <si>
    <t>سيفونة عدد3 + حنفيات مغسلة + حنفية غربي + تبديل خرطوم مغسلة</t>
  </si>
  <si>
    <t>2025/12/03 - 09:02 AM</t>
  </si>
  <si>
    <t>2025/12/02 - 12:18 PM</t>
  </si>
  <si>
    <t>2025/12/03 - 09:03 AM</t>
  </si>
  <si>
    <t>2025/12/03 - 08:13 AM</t>
  </si>
  <si>
    <t>صيانة البرادات بسبب وجود رواسب داخل حوض البراد</t>
  </si>
  <si>
    <t>2025/12/06 - 09:23 AM</t>
  </si>
  <si>
    <t>2025/12/03 - 01:33 PM</t>
  </si>
  <si>
    <t>صيانة و إدامة منظومة إطفاء الحرائق في البناية</t>
  </si>
  <si>
    <t>2025/12/03 - 01:44 PM</t>
  </si>
  <si>
    <t>2025/12/03 - 01:34 PM</t>
  </si>
  <si>
    <t>2025/12/03 - 01:36 PM</t>
  </si>
  <si>
    <t>تبديل فتر و إدامة منظومة تصفية المياه في البناية</t>
  </si>
  <si>
    <t>تبديل طوافة مقعد غربي وتثبيت ماسكة</t>
  </si>
  <si>
    <t>2025/12/06 - 10:19 AM</t>
  </si>
  <si>
    <t>صيانة ليك أنبوب ماء سقي</t>
  </si>
  <si>
    <t>2025/12/06 - 11:11 AM</t>
  </si>
  <si>
    <t>تبديل فتر منظومة تصفية المياه في البناية</t>
  </si>
  <si>
    <t>2025/12/06 - 11:12 AM</t>
  </si>
  <si>
    <t>2025/12/06 - 11:13 AM</t>
  </si>
  <si>
    <t>2025/12/06 - 11:14 AM</t>
  </si>
  <si>
    <t>(السابعة)جامعة العميد -J</t>
  </si>
  <si>
    <t>2025/12/06 - 11:15 AM</t>
  </si>
  <si>
    <t>إدامة وتبديل فتر منظومة تصفية المياه في البناية</t>
  </si>
  <si>
    <t>2025/12/06 - 11:17 AM</t>
  </si>
  <si>
    <t>تبديل طوافة مقعد غربي في صف العسل</t>
  </si>
  <si>
    <t>2025/12/06 - 11:18 AM</t>
  </si>
  <si>
    <t>2025/12/06 - 11:20 AM</t>
  </si>
  <si>
    <t>تبديل ماسكة شطاف في صف العسل</t>
  </si>
  <si>
    <t>2025/12/06 - 11:21 AM</t>
  </si>
  <si>
    <t>تنظيف فتر الخطات لمغاسل الصحيات في طابق لتقوية المياه</t>
  </si>
  <si>
    <t>2025/12/06 - 11:22 AM</t>
  </si>
  <si>
    <t>صحيات الخارجية</t>
  </si>
  <si>
    <t>مقابل الرابعه</t>
  </si>
  <si>
    <t>صيانة كاك زاويه حد الصحيات</t>
  </si>
  <si>
    <t>2025/12/06 - 12:34 PM</t>
  </si>
  <si>
    <t>صيانة براد مغلق تتوفر فيه خدمة الماء</t>
  </si>
  <si>
    <t>2025/12/07 - 08:48 AM</t>
  </si>
  <si>
    <t>2025/12/07 - 11:03 AM</t>
  </si>
  <si>
    <t>صيانة حنفيه و تبديل شطاف في صف الشمس</t>
  </si>
  <si>
    <t>2025/12/07 - 11:04 AM</t>
  </si>
  <si>
    <t>2025/12/07 - 04:09 PM</t>
  </si>
  <si>
    <t>تبديل خرطوم مغسلة</t>
  </si>
  <si>
    <t>2025/12/07 - 04:11 PM</t>
  </si>
  <si>
    <t>2025/12/07 - 04:10 PM</t>
  </si>
  <si>
    <t>إضافة غطاء سيفونة</t>
  </si>
  <si>
    <t>2025/12/08 - 11:50 AM</t>
  </si>
  <si>
    <t>تبديل غطاء مجاري في المصلى</t>
  </si>
  <si>
    <t>2025/12/08 - 12:10 PM</t>
  </si>
  <si>
    <t>2025/12/08 - 11:51 AM</t>
  </si>
  <si>
    <t>صيانة تصريف مغسله</t>
  </si>
  <si>
    <t>فت انسداد مغسله</t>
  </si>
  <si>
    <t>2025/12/08 - 12:57 PM</t>
  </si>
  <si>
    <t>2025/12/08 - 11:52 AM</t>
  </si>
  <si>
    <t>تبديل ماسكة شطاف</t>
  </si>
  <si>
    <t>2025/12/09 - 08:59 AM</t>
  </si>
  <si>
    <t>2025/12/08 - 11:53 AM</t>
  </si>
  <si>
    <t>تبديل قاعدة صابون</t>
  </si>
  <si>
    <t>2025/12/09 - 12:45 PM</t>
  </si>
  <si>
    <t>2025/12/09 - 10:49 AM</t>
  </si>
  <si>
    <t>يوجد ماء ارو</t>
  </si>
  <si>
    <t>2025/12/09 - 12:52 PM</t>
  </si>
  <si>
    <t>2025/12/09 - 10:50 AM</t>
  </si>
  <si>
    <t>كسر في بوري امطار</t>
  </si>
  <si>
    <t>2025/12/10 - 11:38 AM</t>
  </si>
  <si>
    <t>صيانه صوندة في الساحه المستطيله يدة باب الحمام صيانه الباب الرئيسيه</t>
  </si>
  <si>
    <t>2025/12/10 - 06:52 PM</t>
  </si>
  <si>
    <t>تبديل صندوق فش</t>
  </si>
  <si>
    <t>2025/12/10 - 06:55 PM</t>
  </si>
  <si>
    <t>2025/12/10 - 06:53 PM</t>
  </si>
  <si>
    <t>صيانة بوري فش</t>
  </si>
  <si>
    <t>الصحيات الخارجية مقابل الخامسة</t>
  </si>
  <si>
    <t>تبديل قاعدة صوندة</t>
  </si>
  <si>
    <t>2025/12/11 - 10:52 AM</t>
  </si>
  <si>
    <t>صيانة منهولة في الساحه</t>
  </si>
  <si>
    <t>2025/12/11 - 01:57 PM</t>
  </si>
  <si>
    <t>2025/12/11 - 02:00 PM</t>
  </si>
  <si>
    <t>2025/12/11 - 01:58 PM</t>
  </si>
  <si>
    <t>2025/12/11 - 01:59 PM</t>
  </si>
  <si>
    <t>صيانة تسريب من خزان المياه</t>
  </si>
  <si>
    <t>2025/12/13 - 09:21 AM</t>
  </si>
  <si>
    <t>يوجد ماء في الحمامات</t>
  </si>
  <si>
    <t>2025/12/13 - 10:24 AM</t>
  </si>
  <si>
    <t>2025/12/13 - 01:54 PM</t>
  </si>
  <si>
    <t>حمام يسرب ماء من الغربي</t>
  </si>
  <si>
    <t>2025/12/13 - 05:35 PM</t>
  </si>
  <si>
    <t>2025/12/14 - 12:57 PM</t>
  </si>
  <si>
    <t>صيانه بردات</t>
  </si>
  <si>
    <t>2025/12/14 - 05:28 PM</t>
  </si>
  <si>
    <t>2025/12/15 - 11:32 AM</t>
  </si>
  <si>
    <t>صيانه صحيات</t>
  </si>
  <si>
    <t>2025/12/16 - 12:46 PM</t>
  </si>
  <si>
    <t>يتساقط ماء من منظومه الحريق</t>
  </si>
  <si>
    <t>2025/12/16 - 12:47 PM</t>
  </si>
  <si>
    <t>تحويل الماء البارد الى فاتر</t>
  </si>
  <si>
    <t>2025/12/17 - 07:13 AM</t>
  </si>
  <si>
    <t>صيانه حنفيه المغسلة</t>
  </si>
  <si>
    <t>2025/12/17 - 09:29 AM</t>
  </si>
  <si>
    <t>2025/12/17 - 08:20 AM</t>
  </si>
  <si>
    <t>تحويل الماء من بارد الى حار في الصحيات</t>
  </si>
  <si>
    <t>2025/12/17 - 10:30 AM</t>
  </si>
  <si>
    <t>يوجد ماء في منظومة الشرب</t>
  </si>
  <si>
    <t>2025/12/17 - 11:51 AM</t>
  </si>
  <si>
    <t>2025/12/17 - 01:52 PM</t>
  </si>
  <si>
    <t>صيانة البراد</t>
  </si>
  <si>
    <t>2025/12/17 - 01:54 PM</t>
  </si>
  <si>
    <t>الطابق اول, صحيات المصلى</t>
  </si>
  <si>
    <t>صيانة خط حمام المصلى</t>
  </si>
  <si>
    <t>2025/12/18 - 12:57 PM</t>
  </si>
  <si>
    <t>تسييت درجة حرارة الكيزر</t>
  </si>
  <si>
    <t>2025/12/18 - 02:42 PM</t>
  </si>
  <si>
    <t>2025/12/18 - 12:58 PM</t>
  </si>
  <si>
    <t>صيانة فش غربي</t>
  </si>
  <si>
    <t>2025/12/18 - 12:59 PM</t>
  </si>
  <si>
    <t>تبديل صوندة غربي</t>
  </si>
  <si>
    <t>2025/12/18 - 01:00 PM</t>
  </si>
  <si>
    <t>صيانة تسريب ماء في الصحيات</t>
  </si>
  <si>
    <t>2025/12/20 - 08:42 AM</t>
  </si>
  <si>
    <t>صيانة الحمامات الداخلية</t>
  </si>
  <si>
    <t>2025/12/20 - 09:59 AM</t>
  </si>
  <si>
    <t>صيانة النافورة في استعمات</t>
  </si>
  <si>
    <t>2025/12/20 - 11:59 AM</t>
  </si>
  <si>
    <t>صيانة صوندة السخان</t>
  </si>
  <si>
    <t>2025/12/20 - 12:33 PM</t>
  </si>
  <si>
    <t>2025/12/21 - 09:16 AM</t>
  </si>
  <si>
    <t>يوجد ماء للشرب وللغسل</t>
  </si>
  <si>
    <t>2025/12/21 - 05:55 PM</t>
  </si>
  <si>
    <t>2025/12/21 - 12:50 PM</t>
  </si>
  <si>
    <t>اصح سخان</t>
  </si>
  <si>
    <t>2025/12/21 - 12:54 PM</t>
  </si>
  <si>
    <t>فت مجرى الماء</t>
  </si>
  <si>
    <t>2025/12/22 - 06:08 PM</t>
  </si>
  <si>
    <t>2025/12/21 - 12:56 PM</t>
  </si>
  <si>
    <t>جناح الساحة ZONE B,</t>
  </si>
  <si>
    <t>اصح براد الماء الحنفيات</t>
  </si>
  <si>
    <t>2025/12/21 - 01:00 PM</t>
  </si>
  <si>
    <t>خلل في براد المام</t>
  </si>
  <si>
    <t>مغسلة الحمام في الصحيات الداخلية</t>
  </si>
  <si>
    <t>2025/12/23 - 08:40 AM</t>
  </si>
  <si>
    <t>تحويل الماء ا من بارد الى حار</t>
  </si>
  <si>
    <t>2025/12/23 - 12:05 PM</t>
  </si>
  <si>
    <t>يوجد ماء في المنظومة</t>
  </si>
  <si>
    <t>2025/12/24 - 08:19 AM</t>
  </si>
  <si>
    <t>يوجد ماء في البراد</t>
  </si>
  <si>
    <t>2025/12/24 - 09:33 AM</t>
  </si>
  <si>
    <t>2025/12/25 - 12:42 PM</t>
  </si>
  <si>
    <t>2025/12/27 - 07:37 AM</t>
  </si>
  <si>
    <t>2025/12/25 - 12:43 PM</t>
  </si>
  <si>
    <t>جناح الساحة ZONE B, _ حمامات الساحة</t>
  </si>
  <si>
    <t>سيفونة حمام</t>
  </si>
  <si>
    <t>2025/12/27 - 08:50 AM</t>
  </si>
  <si>
    <t>يوجد ماء</t>
  </si>
  <si>
    <t>2025/12/27 - 09:50 AM</t>
  </si>
  <si>
    <t>2025/12/28 - 09:03 AM</t>
  </si>
  <si>
    <t>صيانة في الحمامات يوجد تسريب بالسقف الثانوي</t>
  </si>
  <si>
    <t>2025/12/31 - 11:46 AM</t>
  </si>
  <si>
    <t>2025/12/28 - 09:04 AM</t>
  </si>
  <si>
    <t>2025/12/28 - 09:41 AM</t>
  </si>
  <si>
    <t>2025/12/29 - 08:14 AM</t>
  </si>
  <si>
    <t>يوجد ماء في البرادات</t>
  </si>
  <si>
    <t>2025/12/29 - 09:33 AM</t>
  </si>
  <si>
    <t>صيانة سيفونة</t>
  </si>
  <si>
    <t>2025/12/29 - 11:19 AM</t>
  </si>
  <si>
    <t>2025/12/29 - 11:28 AM</t>
  </si>
  <si>
    <t>نسداد في المغاسل وتبديل حنفية</t>
  </si>
  <si>
    <t>2025/12/29 - 11:29 AM</t>
  </si>
  <si>
    <t>2025/12/16 - 12:51 PM</t>
  </si>
  <si>
    <t>صيانة خرطوم مكنسة كهربائية</t>
  </si>
  <si>
    <t>2025/12/22 - 10:13 AM</t>
  </si>
  <si>
    <t>صيانة باب الصحيات</t>
  </si>
  <si>
    <t>2025/12/22 - 11:42 AM</t>
  </si>
  <si>
    <t>ثانوية العميد بناية المتوسطة -D ابتدائية العميد -E ,(الثانية)
ابتدائية جود -F ,(الثالثة)للبنات (الرابعة)العميد للبنات</t>
  </si>
  <si>
    <t>ابتدائية القمر للبنات -H ابتدائية الساقي -I ,(الخامسة) ابتدائية -J ,(السادسة)للبنين
الساقي للبنين الجانب الثاني (السابعة)</t>
  </si>
  <si>
    <t>. فصل احد الخطوط بسبب حدوث تماس غير معروف واعادة النقطة الى العمل -(1
. صيانة نقطة كهرباء ثانية في مختبر للحاسوب -(2</t>
  </si>
  <si>
    <t>ثانوية العميد بناية المتوسطة -D ابتدائية العميد -E ,(الثانية)
(الثالثة)للبنات</t>
  </si>
  <si>
    <t>تم بعون انتهاء من أعادة تصميم وتنفيذ بورد خدمات المركز الثقافي الى بورد رئيسي لتوزيع الطاقة الشمسية لبنية (المركز الثقافي والمدارس السادسة والسابعة)
حيث يحتوي البورد على جهاز تحويل (ATS) يقوم بالتبديل بين مصدرين (الطاقة الشمسية القادمة من الروضة B ومولدة محطة الرفع) وذلك لتخفيف الضغط على المنظومة الشمسية عند تشغيل مولدات محطة الرفع مع اعادة ترتيب قابلوات وقواطع التوزيع في البورد وأضافة جوزات ومنچرات فرعية للتوزيع عن أضافة احمال خفيفة أخرى مع كافة الملحقات من دائرة سيطرة للتحكم بأولوية التحويل
ومصابي اشارة والتريات المشطبة خفاء القابلوات وبازبار بارد</t>
  </si>
  <si>
    <t>تم تسليك كيبل ١*٢ ملم من المركز الثقافي إلى الروضه القمر بطول ١٣٠ متر</t>
  </si>
  <si>
    <t>ابتدائية العميد للبنات -E ابتدائية جود العميد -F ,(الثالثة)
(الرابعة)للبنات</t>
  </si>
  <si>
    <t>أضافة وربط تايمر ساعة الى دافعات منظومة (AHU) البالغ عددها (9) مع تعديل دائرة السيطرة لتتناسب مع عمل التايمر لتوقيت عمل هذه الدافعات يوميًا عدا الجمعة والسبت من الساعة السابعة صباحًا الى الثانية عشر ظهرًا في المدرسة الثالثة والرابعة وكذلك أضافة سلكتر للتبديل بين وضع
التوقيت والوضع العادي.</t>
  </si>
  <si>
    <t>أضافة وربط تايمر ساعة الى دافعات منظومة (AHU) البالغ عددها (5) مع تعديل دائرة السيطرة لتتناسب مع عمل التايمر لتوقيت عمل هذه الدافعات يوميًا عدا الجمعة والسبت من الساعة السابعة
صباحًا الى الثانية عشر ظهرًا وكذلك أضافة سلكتر للتبديل بين وضع التوقيت والوضع العادي.</t>
  </si>
  <si>
    <t>-: ربط تغذية الى الصحيات المتنقلة ✅
-: إضافة سيارة الى ماطور ماء الصحيات المتنقلة في ✅</t>
  </si>
  <si>
    <t>توصيل كل السيارات الخاصة بالشاشات والبالغ عددها ثث شاشات. حيث تم تغذية شاشتين من الروضة G
و شاشة واحد من الروضة B</t>
  </si>
  <si>
    <t>أضافة وربط تايمر ساعة الى دافعات منظومة (AHU) البالغ عددها (9) مع تعديل دائرة السيطرة لتتناسب مع عمل التايمر لتوقيت عمل هذه الدافعات يوميًا عدا الجمعة والسبت من الساعة السابعة
صباحًا الى الثانية عشر ظهرًا وكذلك أضافة سلكتر للتبديل بين وضع التوقيت والوضع العادي.</t>
  </si>
  <si>
    <t>توصيل فليكس مؤقت 4*4mm من غرفة Hub في بناية المختبرات🏢 الى كابية انارة المجاورة لمحطة الرفع ، لغرض فحص وتشغيل الـــUPS موقتًا.
حيث تم استخدام ثث قواطع 32A خاصة بانارة وفصل انارة لحين إكمال العمل (لمدة يومين)</t>
  </si>
  <si>
    <t>وصيل فليكس مؤقت 4*4mm من غرفة Hub في بناية المختبرات🏢 الى كابية انارة المجاورة لمحطة الرفع ، لغرض فحص وتشغيل الـــUPS موقتًا.</t>
  </si>
  <si>
    <t>تشغيل سخانات ماء المدرسة السادسة الساقي + تنظيم درجة حرارة السخان في الطابق ارضي الى
C‏°50</t>
  </si>
  <si>
    <t>الطابق الثاني, جناح الساحة
ZONE B</t>
  </si>
  <si>
    <t>الطابق ارضي, جناح الساحة
ZONE B</t>
  </si>
  <si>
    <t>استبدال قواطع الحماية السابقة بمنچر ثنائي 32A عدد 3. وذلك بسبب انفصال المتكرر في قواطع الحماية القديمة.
بورد تغذية UPS شعبة الكاميرات الموجود في السقف الثانوي بالطابق نفسه</t>
  </si>
  <si>
    <t>تم القيام باعمال المدنيه من قبل وحده الكهرباء حيث تم حفر من غرفه المزامنه الخاصه بالمختبرات إلى غرفه الكهرباء محطه الرفع لمد سليف بحجم ٤ انج بطول ٤٠ متر
وتم القيام باعمال الميكانيك من خل حفر وتثبيت منهوله ٤٠*٤٠ من قبل وحده الكهرباء وتوصيل السليف بها خلف غرفه كهرباء محطه الرفع</t>
  </si>
  <si>
    <t>تتبع فليكس 4*4mm قادم من الطابق ارضي الى الطابق الثاني ZONE-B حيث لوحظ انه ُيغذى من الـUPS المركزي في الطابق ارضي وبه ثث قواطع اثنين منها فارغة والثالث مستغل لنقاط وانارة مختبر الحاسوب في الطابق نفسه، تم إعادة تشغيل الفيز الفاصل و تشخيص القواطع بالكتابة
عليها.
(تم تسليك هذا الفليكس سابقا منذ انشاء)</t>
  </si>
  <si>
    <t>.Aبآخر 32 Aتم استبدال قاطع احادي ✅‏16"
.شعبة الكاميرات UPS الخاص ببورد mmالقاطع يغذي فليكس 4*4
و الفيز الثالث متروك يغذى من Aحيث تم وضع احمال على الفيزات التي تتغذى من قواطع 32 A. ✅قاطع 25
ومن "&amp;"ثم يستقر الى الحمل UPS تم استبدال ن القاطع ما زال يفصل عند بداية تشغيل ✅ (".تقريبا حسب ما مبين في الصورة أعه 16A</t>
  </si>
  <si>
    <t>إطفاء ال RMU الخاص بخط الكهرباء متوسطه الجهد ١١ KVA المغذي للمجمع في ساعه ٢ ظهرا لوجود بث مباشر
وتم إعادته تشغيله في ساعه ٥ انتهاء الحفل</t>
  </si>
  <si>
    <t>استخراج قابلو اعمدة الخارجية المحيطة بالمدرسة السادسة وعمل ترامل له بحجم (35 ملم) وربطه حد قواطع بورد التوزيع الرئيسي للمدرسة وبحجم (63 امبير ثثي) مع فحصه والتأكد من عمل
اعمدة بشكل صحي</t>
  </si>
  <si>
    <t>توقف ATS الروضة G وبعد الفحص لوحظ وجود خلل في الUPS الموجود في غرفة الراكات والذي يغذي دائرة سيطرة الATS حيث تم فحصه وتصفيره من انذارات المتراكمة وأعادة تشغيله
واعادته للخدمة.</t>
  </si>
  <si>
    <t>ثانوية -C ,روضة الجود -G ,(اولى)العميد بناية اعدادية ثانوية العميد بناية المتوسطة -D
(الثانية)</t>
  </si>
  <si>
    <t>عادة كاميرا غرفة مزامنة محطة الرفع الى الخدمة، حيث كانت مفصولة (منذ البداية ) عن الشبكة الخاصة وذلك بسبب ربطها على network خارج نطاق الكاميرات، تم تغير IP الخاص بها
واستغناء عن الLink القديم و استعانة من link الكاميرا المجاورة لها واعادتها الى العمل واضافتها الى 1 NVR غرفة الكهرباء</t>
  </si>
  <si>
    <t>أثناء الكشف الموقعي عن الكاميرات تبين كاميرا غرفة كهرباء الطابق اولى في الروضة اولى غير * ،مضافة و متوقفة عن العمل وبعد الفحص تبين الخلل في الكيبل المغذي لها
وحدة الكهرباء NVR تم إعادة تسليك الكيبل واعادتها الى الخدمة واضافتها في *</t>
  </si>
  <si>
    <t>كمال إضافة وترتيب كاميرات المراقبة الخاصة بوحدة الميكانيك.
حيث تم اضافة جميع كاميرات مضخات الحريق و منظومة OR وبعض اخرى التي تخصهم .</t>
  </si>
  <si>
    <t>.جديد في غرفة كهرباء المدرسة اولى NVR 32CH إضافة *
إضافة كاميرات غرفة الكهرباء واتصات وغرف المصاعد و المولدات لجميع البنايات ما عدا * .السادسة والسابعة بسبب امتء الجهاز وتضاف حقا عند شراء جهاز جديد</t>
  </si>
  <si>
    <t>سنفرة ولحام ٥٤ ليك في الستيج الثانوي في بكج القاعة مقابل المدرسة الخامسة</t>
  </si>
  <si>
    <t>ضغط منظومة البكج باستخدام النيتروجين لمدة ٣ ايام لغرض الفحص والتأكد من اللحام في القاعه مقابل الخامسة</t>
  </si>
  <si>
    <t>الطابق ارضي, الطابق اول, الطابق الثاني, الطابق الثالث,
الطابق الرابع</t>
  </si>
  <si>
    <t>ثانوية العميد بناية اعدادية -C ثانوية العميد بناية -D ,(اولى) ابتدائية -E ,(الثانية)المتوسطة
(الثالثة)العميد للبنات</t>
  </si>
  <si>
    <t>ابتدائية جود العميد للبنات -F ابتدائية القمر -H ,(الرابعة)
(الخامسة)للبنات</t>
  </si>
  <si>
    <t>ثانوية العميد بناية اعدادية -C ثانوية العميد بناية -D ,(اولى)
(الثانية)المتوسطة</t>
  </si>
  <si>
    <t>صيانة ميز عدد ٤</t>
  </si>
  <si>
    <t>صيانة يدة باب عدد ٢</t>
  </si>
  <si>
    <t>ارجاع سقوف ثانوية عدد ١٠</t>
  </si>
  <si>
    <t>تطبيق هزارة عدد ١٠</t>
  </si>
  <si>
    <t>الطابق اول, جناح الساحة
ZONE B</t>
  </si>
  <si>
    <t>الطابق اول, جناح ادائرة
ZONE A</t>
  </si>
  <si>
    <t>الطابق الثاني, جناح ادائرة
ZONE A</t>
  </si>
  <si>
    <t>صيانة بردة عدد ٢</t>
  </si>
  <si>
    <t>حمام صف السكر يحتاج صيانة 1. الطابق ارضي
• تبديل خرطوم مغسلة الماء.
• استبدال حنفية المغسلة المكسورة. 2. الطابق الثاني:
• إصح السيفونة الحمام الغربي
• صيانة/تبديل صوندة الماء. 3. صف السكر
• صيانة باب الحّمام
• تبديل خرطوم المكناسة الكهربائية</t>
  </si>
  <si>
    <t>ثانوية العميد بناية المتوسطة -D ابتدائية القمر للبنات -H ,(الثانية)
(الخامسة)</t>
  </si>
  <si>
    <t>2025/12/01 - 10:27 AM</t>
  </si>
  <si>
    <t>علي فال</t>
  </si>
  <si>
    <t>(البناية 3)المتوسطة -C</t>
  </si>
  <si>
    <t>مصباح في صحيات الطلبة عاطل</t>
  </si>
  <si>
    <t>2025/12/01 - 12:02 PM</t>
  </si>
  <si>
    <t>2025/12/01 - 12:30 PM</t>
  </si>
  <si>
    <t>محمد عباس</t>
  </si>
  <si>
    <t>مصباح عاطل في الصحيات</t>
  </si>
  <si>
    <t>2025/12/01 - 07:45 PM</t>
  </si>
  <si>
    <t>شفت المسائي</t>
  </si>
  <si>
    <t>2025/12/03 - 11:35 AM</t>
  </si>
  <si>
    <t>(البناية 4)اعدادية -D</t>
  </si>
  <si>
    <t>اضافة نقاط كهرباء في غرفة سكرتارية مكتب مدير مجموعة البنين</t>
  </si>
  <si>
    <t>2025/12/03 - 11:03 PM</t>
  </si>
  <si>
    <t>شفت المسائي (بخصوص ربط على
 ups)</t>
  </si>
  <si>
    <t>2025/12/03 - 03:15 PM</t>
  </si>
  <si>
    <t>(البناية 1)ابتدائية -A</t>
  </si>
  <si>
    <t>تسليك كيبل HD لغرفة المنسق اعمي</t>
  </si>
  <si>
    <t>2025/12/04 - 12:18 PM</t>
  </si>
  <si>
    <t>2025/12/07 - 12:42 PM</t>
  </si>
  <si>
    <t>استاذ صال</t>
  </si>
  <si>
    <t>,الطابق الثاني - ZONE A المصلى</t>
  </si>
  <si>
    <t>توصيل كهرباء الى الشاشة في المصلى التي تم نقلها قبل اسبوع تقريبا</t>
  </si>
  <si>
    <t>2025/12/07 - 11:11 PM</t>
  </si>
  <si>
    <t>2025/12/15 - 08:42 AM</t>
  </si>
  <si>
    <t>المصعد يحتاج الى صيانة عاجلة بسبب بدء الدوام</t>
  </si>
  <si>
    <t>2025/12/15 - 11:41 AM</t>
  </si>
  <si>
    <t>2025/12/15 - 10:40 AM</t>
  </si>
  <si>
    <t>عيسى صال حسن</t>
  </si>
  <si>
    <t>(البناية 2)ابتدائية -B</t>
  </si>
  <si>
    <t>القاعة الرياضية جهة ابتدائية</t>
  </si>
  <si>
    <t>تم صيانة إنارة 60*60 عدد 1
 وتم تبديل محولة نارة 60*60 عدد 1 القاعه الرياضية ( مقابل البناية اولى) الغرفة الخاصة بكادر التربية الرياضية
 الشفت المسائي رضا فاضل
 حيدر خالد</t>
  </si>
  <si>
    <t>تم انجاز بتاريخ
 12/14/2025</t>
  </si>
  <si>
    <t>تم انجاز في تاريغ 14/12 في الشقت
 المسائي</t>
  </si>
  <si>
    <t>2025/12/15 - 02:19 PM</t>
  </si>
  <si>
    <t>تبديل محولة 54w لشمعة منشورية في المدرسة الرابعة</t>
  </si>
  <si>
    <t>في الشفت المسائي</t>
  </si>
  <si>
    <t>2025/12/15 - 02:29 PM</t>
  </si>
  <si>
    <t>2025/12/16 - 08:05 AM</t>
  </si>
  <si>
    <t>علي الرضا رشاد</t>
  </si>
  <si>
    <t>صيانة حساس الباب الداخلي للمصعد الكهربائي</t>
  </si>
  <si>
    <t>2025/12/16 - 08:06 AM</t>
  </si>
  <si>
    <t>تم انجاز في تاريخ 12/15 الشفت الصباحي</t>
  </si>
  <si>
    <t>2025/12/16 - 08:08 AM</t>
  </si>
  <si>
    <t>اضافه سيار كهربائي بطول 3 متر في غرفة المرقاب الي</t>
  </si>
  <si>
    <t>2025/12/16 - 08:11 AM</t>
  </si>
  <si>
    <t>تم انجاز في تاريخ 12/15 الشفت المسائي</t>
  </si>
  <si>
    <t>2025/12/16 - 01:49 PM</t>
  </si>
  <si>
    <t>ايمن سم</t>
  </si>
  <si>
    <t>تبديل نقطة كهربائي من الدائرة الي العدل الخاصه بالسماور</t>
  </si>
  <si>
    <t>2025/12/16 - 04:46 PM</t>
  </si>
  <si>
    <t>توقف المصعد</t>
  </si>
  <si>
    <t>2025/12/16 - 01:50 PM</t>
  </si>
  <si>
    <t>2025/12/16 - 01:52 PM</t>
  </si>
  <si>
    <t>م. رضا حمودي</t>
  </si>
  <si>
    <t>إضافة سيار متكون من بلك سويج مزدوج</t>
  </si>
  <si>
    <t>2025/12/16 - 01:54 PM</t>
  </si>
  <si>
    <t>2025/12/17 - 10:21 AM</t>
  </si>
  <si>
    <t>المعب الرياضية الخارجية</t>
  </si>
  <si>
    <t>تثبيت بوري كهرباء حجم 25 المغذي إلى البجكتور في أعلى الملعب</t>
  </si>
  <si>
    <t>2025/12/17 - 10:31 AM</t>
  </si>
  <si>
    <t>تم انجاز في تاريخ 12/16 في الشفت
 المسائي</t>
  </si>
  <si>
    <t>2025/12/17 - 10:35 AM</t>
  </si>
  <si>
    <t>ابتدائية (البناية 2), كرفان -B الشركة امنية</t>
  </si>
  <si>
    <t>صيانة مدفأة كهربائية</t>
  </si>
  <si>
    <t>2025/12/17 - 10:33 AM</t>
  </si>
  <si>
    <t>تم انجاز في تاريخ
 12/16 حيث تم صيانة الصوبة الكهربائية
 الخاصة بكرفان امنية بعد محظة حدوث تماس
 كهربائي عند لمسها،</t>
  </si>
  <si>
    <t>2025/12/17 - 12:26 PM</t>
  </si>
  <si>
    <t>2025/12/17 - 12:27 PM</t>
  </si>
  <si>
    <t>2025/12/17 - 01:43 PM</t>
  </si>
  <si>
    <t>إضافة سيار متكون من بلك سويج مزدوج بطول 2 متر</t>
  </si>
  <si>
    <t>2025/12/17 - 01:44 PM</t>
  </si>
  <si>
    <t>تبديل بلك سويج تالف</t>
  </si>
  <si>
    <t>2025/12/17 - 01:46 PM</t>
  </si>
  <si>
    <t>في الكراج</t>
  </si>
  <si>
    <t>في الملعب الخارجي</t>
  </si>
  <si>
    <t>تثبيت بوري كهرباء حجم 25 ملم على طول الملعب</t>
  </si>
  <si>
    <t>2025/12/17 - 02:16 PM</t>
  </si>
  <si>
    <t>عيسى صال</t>
  </si>
  <si>
    <t>إطفاء صفارة انذار</t>
  </si>
  <si>
    <t>2025/12/18 - 02:14 PM</t>
  </si>
  <si>
    <t>نقطة كهرباء قرب غرفة ادارة المجمع (ابو كميل) يوجد فيها تسريب كهربائي (تنتل) /تم ارسال فديو توضيحي</t>
  </si>
  <si>
    <t>2025/12/18 - 02:33 PM</t>
  </si>
  <si>
    <t>2025/12/19 - 08:27 PM</t>
  </si>
  <si>
    <t>غرفة امنية</t>
  </si>
  <si>
    <t>الكراج,</t>
  </si>
  <si>
    <t>صوبة كهربائية تسرب كهرباء</t>
  </si>
  <si>
    <t>2025/12/19 - 08:35 PM</t>
  </si>
  <si>
    <t>2025/12/19 - 08:29 PM</t>
  </si>
  <si>
    <t>ربط تايمر الكتروني لبوردات AHU عدد 5</t>
  </si>
  <si>
    <t>2025/12/19 - 08:36 PM</t>
  </si>
  <si>
    <t>2025/12/19 - 08:31 PM</t>
  </si>
  <si>
    <t>مساعدة وحدة المدني في تثبيت سقيفة مضخة اطفاء</t>
  </si>
  <si>
    <t>2025/12/19 - 08:32 PM</t>
  </si>
  <si>
    <t>المعلب</t>
  </si>
  <si>
    <t>صيانة بورد الملعب جهة المدرسة الرابعة</t>
  </si>
  <si>
    <t>2025/12/19 - 08:33 PM</t>
  </si>
  <si>
    <t>-B ,(البناية 1)ابتدائية -Aة-C ,(البناية 2)ابتدائية-D ,(البناية 3)المتوسط
 (البناية 4)اعدادية</t>
  </si>
  <si>
    <t>تنظيف ألواح الطاقة الشمسية للبجكتورات</t>
  </si>
  <si>
    <t>2025/12/19 - 08:34 PM</t>
  </si>
  <si>
    <t>تبديل إنارة منشورية 60*60</t>
  </si>
  <si>
    <t>2025/12/20 - 01:57 PM</t>
  </si>
  <si>
    <t>ربط تايمر إلكتروني يعمل على أيام اسبوع ل (2)من البوردات ال( AHU) في سط البناية الثالثة حيث تم التعديل على سيطرة البورد ليعمل من الساعة 6 صباحًا إلى الساعة 1 مساءًا من يوم احد
 إلى يوم الخميس فقط.. وتم إكمال المدرسه بالكامل وتم إضافة سلكتر للتحويل بين التشغيل اليدوي و التلقائي</t>
  </si>
  <si>
    <t>2025/12/20 - 02:00 PM</t>
  </si>
  <si>
    <t>2025/12/21 - 12:34 PM</t>
  </si>
  <si>
    <t>ربط تايمر إلكتروني يعمل على أيام اسبوع ل (5)من البوردات ال( AHU) في سط البناية اولى حيث تم التعديل على سيطرة البورد ليعمل من الساعة 6 صباحًا إلى الساعة 1 مساءًا من يوم احد
 إلى يوم الخميس فقط.. وتم إكمال المدرسه بالكامل وتم إضافة سلكتر للتحويل بين التشغيل اليدوي و التلقائي</t>
  </si>
  <si>
    <t>2025/12/21 - 12:38 PM</t>
  </si>
  <si>
    <t>,الطابق اول - ZONE A الطابق اول - ZONE B</t>
  </si>
  <si>
    <t>تم متابعة (AHU) الخاصه بالمجمع والتاكد ان جميع (AHU) تعمل بنظام اوتو تم تسجيل قراءات ال UPS لكافه المجمع</t>
  </si>
  <si>
    <t>2025/12/21 - 04:56 PM</t>
  </si>
  <si>
    <t>ربط تايمر إلكتروني عدد(2) يعمل على أيام اسبوع لبورد AHU في سط البناية الثانية حيث تم التعديل على سيطرة البورد ليعمل من الساعة 6 صباحًا إلى الساعة 1 مساءًا من يوم احد 
 إلى يوم الخميس فقط..
 وتم إضافة سلكتر 0,1,2 للتحويل بين التشغيل اليدوي و التلقائي</t>
  </si>
  <si>
    <t>2025/12/21 - 04:58 PM</t>
  </si>
  <si>
    <t>2025/12/21 - 04:57 PM</t>
  </si>
  <si>
    <t>تم تنظيف الواح الشمسية</t>
  </si>
  <si>
    <t>صيانة شمعة في اسقف الثانويه قرب الدرج</t>
  </si>
  <si>
    <t>2025/12/25 - 11:01 AM</t>
  </si>
  <si>
    <t>2025/12/24 - 01:25 PM</t>
  </si>
  <si>
    <t>تم صيانة مضخة اطفاء الكهربائية في البناية اولى حيث تبيت تلف التامير المسؤول عن التشغيل بين كوندكتر الستار والدلتا.</t>
  </si>
  <si>
    <t>2025/12/24 - 01:45 PM</t>
  </si>
  <si>
    <t>2025/12/24 - 01:27 PM</t>
  </si>
  <si>
    <t>تم تسليك واير فلكس 1.5 *2 لغرض تشغيل اللوگو الخاص بألبناية الرابعة والبناية الثالثة وتم تغذيته من غرفة السيطرة الطابق ارضي زون A</t>
  </si>
  <si>
    <t>2025/12/25 - 08:24 AM</t>
  </si>
  <si>
    <t>شد شاشه بالكهرباء الزون الداخلي</t>
  </si>
  <si>
    <t>2025/12/25 - 09:18 AM</t>
  </si>
  <si>
    <t>2025/12/25 - 10:53 AM</t>
  </si>
  <si>
    <t>ربط ماشه 13A لشاشه المحفل القرآني تابعه الى التربيه في المدرسه الرابعه طابق ارضي</t>
  </si>
  <si>
    <t>2025/12/25 - 10:55 AM</t>
  </si>
  <si>
    <t>-D ,(البناية 3)المتوسطة -Cة(البناية 4)اعدادي</t>
  </si>
  <si>
    <t>تم إضافة بوكس استراحه مطري
 عدد 2 وبربيش مسل بطول 4 متر تقريبا للوحات التعريفية الخاصه بالمدرسه الثالثه والمدرسة الرابعة</t>
  </si>
  <si>
    <t>2025/12/25 - 10:56 AM</t>
  </si>
  <si>
    <t>تم أستبدال محولة 50W لمنشورية 60*60 البناية اولى الطابق اول زون A</t>
  </si>
  <si>
    <t>2025/12/25 - 10:57 AM</t>
  </si>
  <si>
    <t>تم إرجاع الباب الداخلي بعد خلعها مصعد البنايه اولى</t>
  </si>
  <si>
    <t>2025/12/25 - 10:59 AM</t>
  </si>
  <si>
    <t>تم تغذية لوحة تعريفية عدد 2 خاصة بالمدارس ابتدائية تم تغذيتها مع الفوتوسيل لكي تعمل أثناء الليل فقط...</t>
  </si>
  <si>
    <t>2025/12/27 - 08:35 AM</t>
  </si>
  <si>
    <t>تم فحص البنايه الرابعه بالكامل ومن خل المتابعه والفحص تبين وجود
 رخاوة في بعض بلكات سويج وتمت صيانتها وأيضا تثبيت سبوت يت صحيات عدد 2</t>
  </si>
  <si>
    <t>2025/12/27 - 08:37 AM</t>
  </si>
  <si>
    <t>بعد المتابعة تم محظة عطل في اوتوماتيك السلف المضخة اطفاء في سط البناية اولى حيث تم فصله لحين صيانته.</t>
  </si>
  <si>
    <t>2025/12/27 - 08:42 AM</t>
  </si>
  <si>
    <t>بعد التواصل مع وحدة اتصات تم العثور على قطع في الكيبل الضوئي المسؤول عن تغذية انترنت والكاميرات و تم تبديل الكيبل وارجاع انترنت والكاميرات إلى العمل.</t>
  </si>
  <si>
    <t>2025/12/27 - 08:45 AM</t>
  </si>
  <si>
    <t>تم استبدال و تفييش كيبل 6 Cate مسافة 2 متر تقريبًا في البناية الثالثة وضع (تري) في استعمات و غرفة المرقاب الي في البناية الثالثة .</t>
  </si>
  <si>
    <t>2025/12/27 - 08:47 AM</t>
  </si>
  <si>
    <t>في جميع الطوابق</t>
  </si>
  <si>
    <t>تم فحص جميع الهواتف ارضية و الصوتيات في جميع البنايات تم تبديل و تفييش RJ‏45 عدد 2 في البناية الرابعة</t>
  </si>
  <si>
    <t>2025/12/27 - 08:48 AM</t>
  </si>
  <si>
    <t>-B ,(البناية 1)ابتدائية -Aة(البناية 2)ابتدائي</t>
  </si>
  <si>
    <t>تم تبديل بجكتور عدد 2في سط البناية اولى وسط
 البناية الثانيه ومن خل الصيانه للبجكتور تبين وجود تلف في leb وليس في المحولة .</t>
  </si>
  <si>
    <t>2025/12/28 - 10:16 AM</t>
  </si>
  <si>
    <t>تم تغذيه بلك سويج 13 A بالطاقة الشمسية في غرفه الميكانيك.</t>
  </si>
  <si>
    <t>2025/12/28 - 12:07 PM</t>
  </si>
  <si>
    <t>2025/12/28 - 10:18 AM</t>
  </si>
  <si>
    <t>تم فحص البناية الثالثة بالكامل.</t>
  </si>
  <si>
    <t>تم فحص البناية الثالثة بالكامل تضمن الفحص :-
 *جميع مآخذ القدرة حيث تم صيانة وتثبيت عدد 5 *تبديل سوبت يت 18w في إحدى الصحيات *تبديل محولة سبوت يت 18w في المصلى *تثبيت بوكس سخان الماء في إحدى الصحيات
 *فحص انارة وال Fan في البناية.</t>
  </si>
  <si>
    <t>2025/12/28 - 12:08 PM</t>
  </si>
  <si>
    <t>2025/12/29 - 10:16 AM</t>
  </si>
  <si>
    <t>تم فحص جميع بلوجكتورات المجمع حيث تم فصل عدد 2 بسبب عطل في المحولة
 وتم فحص بجكتورات الطاقة الشمسية في البناية اولى حيث تم فصل بجكتور طاقة شمسية واحد بسبب حدوث عطل في دائرة التحكم بسبب عدم استشعارها لتغذية 220VAC لكي تفصل انارة ال
 LED.</t>
  </si>
  <si>
    <t>2025/12/29 - 11:39 AM</t>
  </si>
  <si>
    <t>2025/12/29 - 11:53 AM</t>
  </si>
  <si>
    <t>تم صيانه البجكتورات 150w عدد 2 حيث تم تبديل محولة 50w وتم إعادة ربط السلك الواصل إلى led .</t>
  </si>
  <si>
    <t>2025/12/30 - 08:49 AM</t>
  </si>
  <si>
    <t>تم معالجة جوين في واير فلكس2×‏1 المسؤول على تغذيه إشارة من الروضه
 الى غرفة السنكرو(المولدات ) وتبين ان قطع الواير بسبب القوارض</t>
  </si>
  <si>
    <t>2025/12/30 - 08:51 AM</t>
  </si>
  <si>
    <t>تم تسليك وربط بلك سويج 13A عدد 2 لغرض تشغيل شاشات بزما لعرض الكاميرات
 في المدرسه الرابعه الطابق اول زون A غرفة وحدة الكهرباء.</t>
  </si>
  <si>
    <t>2025/12/30 - 08:52 AM</t>
  </si>
  <si>
    <t>تم تغذية شاشة بزما
 البناية الرابعة الطابق ارضي زون A</t>
  </si>
  <si>
    <t>2025/12/30 - 11:25 AM</t>
  </si>
  <si>
    <t>الممر الفاصل بين البناية الثانية والبناية الثالثة</t>
  </si>
  <si>
    <t>) المغذية للبناية الثانية ATS من خل المتابعة لوحظ وجود قطع في اسك اشارة في منظومة_ ابتدائية) في المنهولة الخارجية بسبب القوارض تم عمل جوين وتم وضع بربيش مسل لحماية الواير
 ...من التضرر مرة اخرى</t>
  </si>
  <si>
    <t>2025/12/30 - 01:55 PM</t>
  </si>
  <si>
    <t>إعادة ربط وتشغيل عدد 2 سماعة في البناية الثانية. الشفت الصباحي.</t>
  </si>
  <si>
    <t>2025/12/01 - 09:43 AM</t>
  </si>
  <si>
    <t>يرجى تبديل لبة ابواب السط لجميع البنايات واعطائنا نسخة منه ويبقى مغلق اثناء فترة الدوام</t>
  </si>
  <si>
    <t>2025/12/01 - 10:52 AM</t>
  </si>
  <si>
    <t>تم تسليم المفاتي الى احمد ابو كميل</t>
  </si>
  <si>
    <t>2025/12/01 - 10:03 AM</t>
  </si>
  <si>
    <t>استاذ صال معاون المدرسة</t>
  </si>
  <si>
    <t>تثبيت سبورة بالحائط عدد 2 ، معرفة الموقع من استاذ صال المعاون</t>
  </si>
  <si>
    <t>2025/12/01 - 01:39 PM</t>
  </si>
  <si>
    <t>تثبيت صبورة عدد 1
 ولوحة اعن عدد 1</t>
  </si>
  <si>
    <t>2025/12/01 - 10:32 AM</t>
  </si>
  <si>
    <t>مصطفى مشكور</t>
  </si>
  <si>
    <t>سقف ثانوي يحتاج الى تركيب معرفة الموقع الدقيق من منتسب الطابق مصطفى مشكور</t>
  </si>
  <si>
    <t>2025/12/01 - 01:40 PM</t>
  </si>
  <si>
    <t>2025/12/01 - 11:33 AM</t>
  </si>
  <si>
    <t>مضلة مضخة اطفاء الحريق بحاجة الى تثبيت</t>
  </si>
  <si>
    <t>2025/12/01 - 04:47 PM</t>
  </si>
  <si>
    <t>2025/12/01 - 01:03 PM</t>
  </si>
  <si>
    <t>موظف استعمات منتظر مهدي</t>
  </si>
  <si>
    <t>خشبة في الصف مخلوعة الرابع ج</t>
  </si>
  <si>
    <t>2025/12/03 - 11:38 AM</t>
  </si>
  <si>
    <t>الثالث و تثبيت الهزارة الخشبية</t>
  </si>
  <si>
    <t>2025/12/03 - 01:43 PM</t>
  </si>
  <si>
    <t>2025/12/04 - 08:25 AM</t>
  </si>
  <si>
    <t>الممر بين البناية اولى والثانية</t>
  </si>
  <si>
    <t>كسر قطعة مرمر في جهة البناية اولى مقابل الباب الرئيسية</t>
  </si>
  <si>
    <t>2025/12/04 - 10:09 AM</t>
  </si>
  <si>
    <t>2025/12/04 - 10:13 AM</t>
  </si>
  <si>
    <t>استاذ صال المعاون</t>
  </si>
  <si>
    <t>نقل شاشه سامسونك داخل المصلى تم ارسال الموقع بالمجموعة المشتركه... مع التقدير</t>
  </si>
  <si>
    <t>2025/12/04 - 12:42 PM</t>
  </si>
  <si>
    <t>2025/12/04 - 11:31 AM</t>
  </si>
  <si>
    <t>كل البناية الرابعة</t>
  </si>
  <si>
    <t>التأكد من المصدات الموجودة خلف ابواب اغلب المصدات مخلوعة</t>
  </si>
  <si>
    <t>2025/12/08 - 09:37 AM</t>
  </si>
  <si>
    <t>2025/12/06 - 10:32 AM</t>
  </si>
  <si>
    <t>طه تحسين</t>
  </si>
  <si>
    <t>خشبة في الصف الرابع أأأأ مفصولة عن الجدار</t>
  </si>
  <si>
    <t>2025/12/14 - 10:00 AM</t>
  </si>
  <si>
    <t>2025/12/07 - 07:50 AM</t>
  </si>
  <si>
    <t>سيد كرار</t>
  </si>
  <si>
    <t>مقبض نافذة في المصلى يحتاج الى صيانة عاجلة بسبب وجود اجتماع في نفس الطابق الساعة 9 صباحا ....مع التقدير</t>
  </si>
  <si>
    <t>2025/12/07 - 09:09 AM</t>
  </si>
  <si>
    <t>2025/12/08 - 09:12 AM</t>
  </si>
  <si>
    <t>مثنى هل</t>
  </si>
  <si>
    <t>,الطابق اول - ZONE B صحيات</t>
  </si>
  <si>
    <t>فت الباب الصحيات الرئيسي بأسرع وقت لبة باب .. مع التقدير</t>
  </si>
  <si>
    <t>2025/12/08 - 09:58 AM</t>
  </si>
  <si>
    <t>2025/12/08 - 09:14 AM</t>
  </si>
  <si>
    <t>الممر الجانب الحائط</t>
  </si>
  <si>
    <t>باب حديد الخلفي يحتاج إلى لحيم بشكل عاجل</t>
  </si>
  <si>
    <t>2025/12/09 - 10:53 AM</t>
  </si>
  <si>
    <t>2025/12/08 - 09:26 AM</t>
  </si>
  <si>
    <t>مضلة مضخة اطفاء حريق بحاجة الى صيانه</t>
  </si>
  <si>
    <t>2025/12/18 - 01:59 PM</t>
  </si>
  <si>
    <t>2025/12/09 - 10:07 AM</t>
  </si>
  <si>
    <t>محمود حيدر</t>
  </si>
  <si>
    <t>الصحيات // تحتاج الى صمغ وتثبيت الهزارة ارضية</t>
  </si>
  <si>
    <t>2025/12/09 - 12:22 PM</t>
  </si>
  <si>
    <t>2025/12/09 - 10:08 AM</t>
  </si>
  <si>
    <t>استاذ ليث</t>
  </si>
  <si>
    <t>تثبيت لوحة تعريفية للصف الثالث و /// الوحة موجودة في غرفة ادارة المجمع</t>
  </si>
  <si>
    <t>2025/12/09 - 12:17 PM</t>
  </si>
  <si>
    <t>تركيب سقف ثانوي ومعرفة موقعة الدقيق من موظف استعمات او موظف الطابق</t>
  </si>
  <si>
    <t>2025/12/09 - 01:13 PM</t>
  </si>
  <si>
    <t>2025/12/09 - 12:32 PM</t>
  </si>
  <si>
    <t>,الطابق ارضي - ZONE A ,الطابق اول - ZONE A ,الطابق الثاني - ZONE A
 ,الطابق ارضي - ZONE B ,الطابق اول - ZONE B
 الطابق الثاني - ZONE B</t>
  </si>
  <si>
    <t>معالجة فتحة دخول الكيبت بين المنور والغرفة داخل غرف السيطرة بسبب دخول الطيور داخل الغرفة</t>
  </si>
  <si>
    <t>2025/12/24 - 11:27 AM</t>
  </si>
  <si>
    <t>2025/12/09 - 05:10 PM</t>
  </si>
  <si>
    <t>السادس ب// رحلة تحتاج تركيب السله الخاصه بها</t>
  </si>
  <si>
    <t>2025/12/10 - 12:40 PM</t>
  </si>
  <si>
    <t>2025/12/15 - 09:49 AM</t>
  </si>
  <si>
    <t>منتظر مهدي</t>
  </si>
  <si>
    <t>غرفة المرقاب / لوكر يحتاج تبديل قفل</t>
  </si>
  <si>
    <t>2025/12/15 - 10:05 AM</t>
  </si>
  <si>
    <t>2025/12/15 - 10:00 AM</t>
  </si>
  <si>
    <t>ثالث و تثبيت استاند صبورة ذكية</t>
  </si>
  <si>
    <t>2025/12/15 - 10:19 AM</t>
  </si>
  <si>
    <t>لوحط كسر ربطة سيت داخية</t>
  </si>
  <si>
    <t>2025/12/15 - 10:27 AM</t>
  </si>
  <si>
    <t>الرابع و /// باب الصف يغلق /// تم ارسال فديو توضيحي للحاله على الواتساب</t>
  </si>
  <si>
    <t>2025/12/15 - 12:14 PM</t>
  </si>
  <si>
    <t>2025/12/15 - 10:32 AM</t>
  </si>
  <si>
    <t>قسم المشاريع الهندسية,</t>
  </si>
  <si>
    <t>تم شد ماسحات عدد 2</t>
  </si>
  <si>
    <t>حسين لعيبي و محمد عباس ومحمد لفتة</t>
  </si>
  <si>
    <t>تم انجاز في الشفت الصباحي</t>
  </si>
  <si>
    <t>2025/12/15 - 11:44 AM</t>
  </si>
  <si>
    <t>الرابع هــ /// تركيب بردة</t>
  </si>
  <si>
    <t>تم انجاز وجدت في الطابق الثاني ZONE B</t>
  </si>
  <si>
    <t>2025/12/15 - 12:44 PM</t>
  </si>
  <si>
    <t>تم نقل شخاط حديد من البنايه اولى الى البنايه الثالثه مخزن المدني</t>
  </si>
  <si>
    <t>2025/12/15 - 02:15 PM</t>
  </si>
  <si>
    <t>غلق سقف ثانوي قرب اول ي.. بسبب تجمع الطيور فيه</t>
  </si>
  <si>
    <t>2025/12/17 - 02:03 PM</t>
  </si>
  <si>
    <t>2025/12/16 - 10:30 AM</t>
  </si>
  <si>
    <t>محمود حيدر مهدي</t>
  </si>
  <si>
    <t>الساحة امامية خارج استعمات</t>
  </si>
  <si>
    <t>سيراميك يحتاج تركيب الذي يحيط بالبوري ااطفاء</t>
  </si>
  <si>
    <t>2025/12/16 - 12:07 PM</t>
  </si>
  <si>
    <t>2025/12/16 - 11:05 AM</t>
  </si>
  <si>
    <t>منتظر استعمات</t>
  </si>
  <si>
    <t>نقل لوحة الى الطابق اول</t>
  </si>
  <si>
    <t>2025/12/16 - 01:41 PM</t>
  </si>
  <si>
    <t>2025/12/16 - 12:01 PM</t>
  </si>
  <si>
    <t>ياسين كاظم</t>
  </si>
  <si>
    <t>ضيافة الدكتور</t>
  </si>
  <si>
    <t>تركيب باب كاونتر مخلوع</t>
  </si>
  <si>
    <t>2025/12/16 - 12:35 PM</t>
  </si>
  <si>
    <t>2025/12/16 - 02:02 PM</t>
  </si>
  <si>
    <t>تعليق ساعه في المدرسة الرابعة زون a ط ارضي غرفة السكرتارية</t>
  </si>
  <si>
    <t>سين لعيبي و محمد عباس</t>
  </si>
  <si>
    <t>2025/12/16 - 04:48 PM</t>
  </si>
  <si>
    <t>تم حفر مكانات الدنك مال قمريه في الكراج بتاريخ 14 /12</t>
  </si>
  <si>
    <t>2025/12/16 - 04:49 PM</t>
  </si>
  <si>
    <t>2025/12/17 - 10:39 AM</t>
  </si>
  <si>
    <t>تركيب مرمر في الممر</t>
  </si>
  <si>
    <t>2025/12/17 - 01:01 PM</t>
  </si>
  <si>
    <t>2025/12/17 - 11:20 AM</t>
  </si>
  <si>
    <t>تصحي فتحة الشباك الخاص بالحانوت</t>
  </si>
  <si>
    <t>2025/12/17 - 12:22 PM</t>
  </si>
  <si>
    <t>2025/12/17 - 12:31 PM</t>
  </si>
  <si>
    <t>اضافة زنجيل او سبرنك الى شباك الحانوت</t>
  </si>
  <si>
    <t>2025/12/17 - 01:23 PM</t>
  </si>
  <si>
    <t>2025/12/17 - 02:27 PM</t>
  </si>
  <si>
    <t>,الطابق اول - ZONE B الطابق الثاني - ZONE B</t>
  </si>
  <si>
    <t>يدة بابا الصحيات مكسورة تحتاج تركيب اليدات المخلوعة عند استاذ صال يرجى التواصل معه</t>
  </si>
  <si>
    <t>2025/12/18 - 09:44 AM</t>
  </si>
  <si>
    <t>عدم توفر شفت مسائي في تاريخ 12/17 تم
 انجاز في تاريخ 12/18</t>
  </si>
  <si>
    <t>2025/12/18 - 10:18 AM</t>
  </si>
  <si>
    <t>صال</t>
  </si>
  <si>
    <t>تحويل سبورة من غرفة المعلمين الى المصلى</t>
  </si>
  <si>
    <t>2025/12/18 - 11:59 AM</t>
  </si>
  <si>
    <t>2025/12/18 - 11:47 AM</t>
  </si>
  <si>
    <t>منتظر مهدي اسنعمات</t>
  </si>
  <si>
    <t>تبديل او صيانة مفتاح جرارة خشب</t>
  </si>
  <si>
    <t>2025/12/18 - 12:35 PM</t>
  </si>
  <si>
    <t>2025/12/18 - 02:12 PM</t>
  </si>
  <si>
    <t>تثبيت قطعة (جينكو) حديد مضلة المضخة في سط البناية اولى</t>
  </si>
  <si>
    <t>تثبيت قطعة مرمر في الممر قرب الصحيات البناية اولى البناية الرابعة الزون B الطابق اول</t>
  </si>
  <si>
    <t>2025/12/18 - 02:15 PM</t>
  </si>
  <si>
    <t>تبديل يدة باب حديد القاعة الرياضية جهة المولدات مقابل البناية الثالثة</t>
  </si>
  <si>
    <t>2025/12/18 - 02:18 PM</t>
  </si>
  <si>
    <t>2025/12/18 - 02:22 PM</t>
  </si>
  <si>
    <t>تبديل يدة باب المنيوم مكسورة عدد(1) في الصحيات الطابق الثاني الزون B البناية الثالثة</t>
  </si>
  <si>
    <t>2025/12/20 - 12:01 PM</t>
  </si>
  <si>
    <t>ابوكميل</t>
  </si>
  <si>
    <t>تبديل تاير حاوية كبير عدد 2</t>
  </si>
  <si>
    <t>2025/12/23 - 01:34 PM</t>
  </si>
  <si>
    <t>عدم توفر السلفة المالية</t>
  </si>
  <si>
    <t>2025/12/20 - 12:12 PM</t>
  </si>
  <si>
    <t>سارية علم يوجد فيها برغي لتثبيت العلم انكسر .</t>
  </si>
  <si>
    <t>2025/12/21 - 08:05 AM</t>
  </si>
  <si>
    <t>2025/12/20 - 02:58 PM</t>
  </si>
  <si>
    <t>عمال سد فتحات في غرف الكهرباء عدد 5 غرف في المدرسة الرابعة زون B و زون a</t>
  </si>
  <si>
    <t>2025/12/20 - 03:00 PM</t>
  </si>
  <si>
    <t>2025/12/20 - 02:59 PM</t>
  </si>
  <si>
    <t>شد مفرغه في المدرسة الرابعة زون a ط ارضي غرفة المحوت</t>
  </si>
  <si>
    <t>2025/12/21 - 01:47 PM</t>
  </si>
  <si>
    <t>إعادة قطع سحبه في المدرسة الثالثه المصلى</t>
  </si>
  <si>
    <t>2025/12/21 - 01:49 PM</t>
  </si>
  <si>
    <t>,الطابق ارضي - ZONE A ,الطابق اول - ZONE A ,الطابق الثاني - ZONE A
 ,الطابق ارضي - ZONE B
 ,الطابق اول - ZONE B الطابق الثاني - ZONE B</t>
  </si>
  <si>
    <t>أعمال سد فتحات في غرف الكهرباء عدد 9 في المدرسة الثالثه زون B و زون a</t>
  </si>
  <si>
    <t>2025/12/21 - 01:50 PM</t>
  </si>
  <si>
    <t>2025/12/21 - 02:12 PM</t>
  </si>
  <si>
    <t>خشبة تحتاج إلى تركيب في صف ال 3 و</t>
  </si>
  <si>
    <t>2025/12/21 - 04:38 PM</t>
  </si>
  <si>
    <t>2025/12/22 - 08:11 AM</t>
  </si>
  <si>
    <t>تبديل بردة زيبرا في الصف الثالث هـــ علما ان البردة الجديدة في غرفة ادارة المجمع</t>
  </si>
  <si>
    <t>2025/12/22 - 12:14 PM</t>
  </si>
  <si>
    <t>2025/12/22 - 08:36 AM</t>
  </si>
  <si>
    <t>مقبض الدرج يتحرك يحتاج الى تركيب</t>
  </si>
  <si>
    <t>2025/12/22 - 09:44 AM</t>
  </si>
  <si>
    <t>2025/12/23 - 07:47 AM</t>
  </si>
  <si>
    <t>الباب المطل على زون ب // الهايدروليك مكسور والكيلون عاطل</t>
  </si>
  <si>
    <t>2025/12/23 - 10:22 AM</t>
  </si>
  <si>
    <t>2025/12/23 - 11:58 AM</t>
  </si>
  <si>
    <t>ستاذ صال</t>
  </si>
  <si>
    <t>تثبيت سبورة عدد 2 في الممر جنب حمامات الطلبة التفاصيل من المعاون استاذ صال</t>
  </si>
  <si>
    <t>2025/12/23 - 01:31 PM</t>
  </si>
  <si>
    <t>2025/12/23 - 01:36 PM</t>
  </si>
  <si>
    <t>تم ارجاع قطعة مرمر قرب البنايه الثانيه جهة المدرسه اولى</t>
  </si>
  <si>
    <t>2025/12/23 - 01:47 PM</t>
  </si>
  <si>
    <t>تم ارجاع قطعه مرمر قرب الباب الرئيسية المدرسة الثالثة</t>
  </si>
  <si>
    <t>2025/12/23 - 01:49 PM</t>
  </si>
  <si>
    <t>تم تغير مكان الشاشات في غرفة الميكانيك ط أول زون A المدرسة اولى</t>
  </si>
  <si>
    <t>2025/12/23 - 01:50 PM</t>
  </si>
  <si>
    <t>يده صحيات مكسوره</t>
  </si>
  <si>
    <t>2025/12/24 - 11:33 AM</t>
  </si>
  <si>
    <t>2025/12/24 - 08:18 AM</t>
  </si>
  <si>
    <t>يده صحيات مكسوره في صحيات القاعه الرياضيه</t>
  </si>
  <si>
    <t>2025/12/24 - 09:47 AM</t>
  </si>
  <si>
    <t>فت شاشه من ستاند يرجى إجراء الزم بالسرعه الممكنه بسبب تواجد المنتسبين حاليا قرب الشاشه وفي انتضار الفت</t>
  </si>
  <si>
    <t>2025/12/24 - 12:09 PM</t>
  </si>
  <si>
    <t>تركيب مردة باب صحيات المعملين</t>
  </si>
  <si>
    <t>2025/12/27 - 08:28 AM</t>
  </si>
  <si>
    <t>2025/12/25 - 08:10 AM</t>
  </si>
  <si>
    <t>صحيات تحتاج تركيب سقف ثانوي</t>
  </si>
  <si>
    <t>2025/12/25 - 10:47 AM</t>
  </si>
  <si>
    <t>2025/12/25 - 09:06 AM</t>
  </si>
  <si>
    <t>تضليل نافذة صف الثالث ز</t>
  </si>
  <si>
    <t>2025/12/25 - 03:51 PM</t>
  </si>
  <si>
    <t>2025/12/25 - 12:10 PM</t>
  </si>
  <si>
    <t>,الطابق اول - ZONE A ,الطابق الثاني - ZONE A ,الطابق اول - ZONE B الطابق الثاني - ZONE B</t>
  </si>
  <si>
    <t>صيانة التور الخاص الشبابيك للبنايتين الثانيه والثالثه</t>
  </si>
  <si>
    <t>2025/12/27 - 08:54 AM</t>
  </si>
  <si>
    <t>,الطابق ارضي - ZONE A ,الطابق ارضي - ZONE B
 الطابق الثاني - ZONE B</t>
  </si>
  <si>
    <t>صيانه تور البنايه الثالثه .الطابق ارضي صيانه تور عدد 4 .الطابق الثاني صيانه 2 تور + تبديل 2 تور</t>
  </si>
  <si>
    <t>2025/12/27 - 08:55 AM</t>
  </si>
  <si>
    <t>2025/12/27 - 08:56 AM</t>
  </si>
  <si>
    <t>تم تبديل ضفدع شباك قب في البنايه الرابعه الطابق اول الزون B الخامس أ</t>
  </si>
  <si>
    <t>2025/12/27 - 08:57 AM</t>
  </si>
  <si>
    <t>تم تضليل شباك في البنايه الرابعه الطابق اول الزون B الثالث ز</t>
  </si>
  <si>
    <t>2025/12/27 - 10:09 AM</t>
  </si>
  <si>
    <t>تبديل يده شباك في المدرسة الثالثه</t>
  </si>
  <si>
    <t>2025/12/27 - 10:45 AM</t>
  </si>
  <si>
    <t>2025/12/27 - 10:11 AM</t>
  </si>
  <si>
    <t>,الطابق اول - ZONE A ,الطابق اول - ZONE B الطابق الثاني - ZONE B</t>
  </si>
  <si>
    <t>ارجاع قطع السقف في المدرسة الرابعة زون B ط اول والثاني وزون a ط اول</t>
  </si>
  <si>
    <t>2025/12/28 - 09:24 AM</t>
  </si>
  <si>
    <t>شد شاشه فوق الستاند الحديد براغي فقط بالسرعه الممكنه كون المنتسبين في انتظار</t>
  </si>
  <si>
    <t>2025/12/28 - 12:35 PM</t>
  </si>
  <si>
    <t>2025/12/28 - 12:53 PM</t>
  </si>
  <si>
    <t>تم لبخ الحائط في البنايه الرابعه الطابق اول الزون A (غرفه استراحه المنتسبين)</t>
  </si>
  <si>
    <t>2025/12/28 - 02:08 PM</t>
  </si>
  <si>
    <t>2025/12/29 - 09:59 AM</t>
  </si>
  <si>
    <t>الصحيات فائضة والمغاسل</t>
  </si>
  <si>
    <t>2025/12/29 - 10:15 AM</t>
  </si>
  <si>
    <t>سقف ثانوي في الصحيات يحتاج تركيب</t>
  </si>
  <si>
    <t>2025/12/29 - 02:05 PM</t>
  </si>
  <si>
    <t>2025/12/30 - 08:56 AM</t>
  </si>
  <si>
    <t>كرسي دوار يحتاج إلى تثبيت اليده ببرغي النكي</t>
  </si>
  <si>
    <t>2025/12/30 - 10:11 AM</t>
  </si>
  <si>
    <t>2025/12/30 - 11:39 AM</t>
  </si>
  <si>
    <t>حديد الشباك في الداير ارضي يحتاج الى اعادة طء</t>
  </si>
  <si>
    <t>2025/12/30 - 12:41 PM</t>
  </si>
  <si>
    <t>2025/12/30 - 01:57 PM</t>
  </si>
  <si>
    <t>تم تركيب استان جهاز DVR غرفة الكهرباء ط أول زون A المدرسة الرابعة</t>
  </si>
  <si>
    <t>2025/12/30 - 02:00 PM</t>
  </si>
  <si>
    <t>2025/12/30 - 01:59 PM</t>
  </si>
  <si>
    <t>غرفة الشركة امنية غرفة الكامرات</t>
  </si>
  <si>
    <t>تم تبديل يده باب حديد غرفة امنيه قرب المدرسة الثالثة</t>
  </si>
  <si>
    <t>2025/12/30 - 02:02 PM</t>
  </si>
  <si>
    <t>-D ,(البناية 1)ابتدائية -Aة(البناية 4)اعدادي</t>
  </si>
  <si>
    <t>تم سد فتحه بماده الفوم في غرفه الكهرباء ط أول زون A المدرسة الرابعة والمدرسة اولى</t>
  </si>
  <si>
    <t>2025/12/31 - 12:41 PM</t>
  </si>
  <si>
    <t>إعادة تركيب السقوف الثانوية</t>
  </si>
  <si>
    <t>2025/12/17 - 09:45 AM</t>
  </si>
  <si>
    <t>الممر ببن البناية الثالثة والرابعة</t>
  </si>
  <si>
    <t>تسليم الزيت المستخدم الى قسم التربية والتعليم</t>
  </si>
  <si>
    <t>تم تسليم 350 لتر من مادة الزيت المستخدم الى
 القسم التربية والتعليم</t>
  </si>
  <si>
    <t>2025/12/01 - 09:23 AM</t>
  </si>
  <si>
    <t>,الطابق ارضي - ZONE A ,الطابق اول - ZONE A الطابق الثاني - ZONE A</t>
  </si>
  <si>
    <t>تحويل اجهزة التبريد الى تدفئة</t>
  </si>
  <si>
    <t>2025/12/01 - 11:27 AM</t>
  </si>
  <si>
    <t>2025/12/01 - 12:32 PM</t>
  </si>
  <si>
    <t>تشكيل الصوندة</t>
  </si>
  <si>
    <t>2025/12/01 - 04:52 PM</t>
  </si>
  <si>
    <t>2025/12/01 - 12:34 PM</t>
  </si>
  <si>
    <t>تسرب ماء من السقف الثانوي في الصحيات</t>
  </si>
  <si>
    <t>2025/12/01 - 12:39 PM</t>
  </si>
  <si>
    <t>2025/12/01 - 12:53 PM</t>
  </si>
  <si>
    <t>هادي علي</t>
  </si>
  <si>
    <t>رقبة حنفية السنك او الخط الخاصة بالمطعم مكسورة</t>
  </si>
  <si>
    <t>صيانة انبوب الخاص ببراد الماء يوجد تسريب ماء</t>
  </si>
  <si>
    <t>2025/12/03 - 04:27 PM</t>
  </si>
  <si>
    <t>2025/12/04 - 12:11 PM</t>
  </si>
  <si>
    <t>براد فائض</t>
  </si>
  <si>
    <t>2025/12/04 - 12:47 PM</t>
  </si>
  <si>
    <t>2025/12/06 - 07:59 AM</t>
  </si>
  <si>
    <t>,الطابق الثاني - ZONE A المطبخ</t>
  </si>
  <si>
    <t>تجهيز او صيانة خرطوم السنك</t>
  </si>
  <si>
    <t>2025/12/06 - 09:04 AM</t>
  </si>
  <si>
    <t>2025/12/06 - 12:56 PM</t>
  </si>
  <si>
    <t>صحيات طلبة بحاجة الى تثبين صوندة شطاف في الجدار</t>
  </si>
  <si>
    <t>2025/12/07 - 09:16 AM</t>
  </si>
  <si>
    <t>2025/12/07 - 08:35 AM</t>
  </si>
  <si>
    <t>صحيات ادارة يوجد شطاف مفصول عن الصوندة</t>
  </si>
  <si>
    <t>2025/12/07 - 11:09 AM</t>
  </si>
  <si>
    <t>تبديل الخرطوم الخاص بسنك داخل غرفة الضيافة</t>
  </si>
  <si>
    <t>2025/12/07 - 11:43 AM</t>
  </si>
  <si>
    <t>2025/12/09 - 10:06 AM</t>
  </si>
  <si>
    <t>الصحيات تحتاج الى 1/تثبيت الصوندة 2/تركيب مقبض حنفية</t>
  </si>
  <si>
    <t>2025/12/09 - 10:42 AM</t>
  </si>
  <si>
    <t>2025/12/09 - 12:34 PM</t>
  </si>
  <si>
    <t>انسداد احدى مغاسل الصحيات بالقرب من غرفة السيطرة</t>
  </si>
  <si>
    <t>2025/12/10 - 07:44 AM</t>
  </si>
  <si>
    <t>2025/12/15 - 12:45 PM</t>
  </si>
  <si>
    <t>التاكد من مستوى الماء في الخزانات الRo</t>
  </si>
  <si>
    <t>2025/12/15 - 12:47 PM</t>
  </si>
  <si>
    <t>2025/12/15 - 12:48 PM</t>
  </si>
  <si>
    <t>تحويل منظومة الVRF إلى التدفئة</t>
  </si>
  <si>
    <t>2025/12/15 - 12:50 PM</t>
  </si>
  <si>
    <t>تحويل منظومة الVRF الى التدفئة</t>
  </si>
  <si>
    <t>2025/12/15 - 12:51 PM</t>
  </si>
  <si>
    <t>2025/12/15 - 12:53 PM</t>
  </si>
  <si>
    <t>جولة على كافة المجاميع الصحية في البناية بالكامل</t>
  </si>
  <si>
    <t>2025/12/15 - 12:58 PM</t>
  </si>
  <si>
    <t>2025/12/15 - 12:57 PM</t>
  </si>
  <si>
    <t>غرفة المضخات</t>
  </si>
  <si>
    <t>القاعة الرياضية جهة ابتدائية,</t>
  </si>
  <si>
    <t>فحص منظومة اطفاء الرئيسية (الديزل-الجوكي-الكهربائي)</t>
  </si>
  <si>
    <t>2025/12/16 - 10:28 AM</t>
  </si>
  <si>
    <t>حنفية حمامات مكسورة والماء يفيض منها في الصحيات يرجى اجراء الزم بالسرعة الممكنة</t>
  </si>
  <si>
    <t>2025/12/16 - 01:37 PM</t>
  </si>
  <si>
    <t>2025/12/16 - 11:08 AM</t>
  </si>
  <si>
    <t>براد ماء بطل يوجد ماء فيه</t>
  </si>
  <si>
    <t>2025/12/16 - 12:14 PM</t>
  </si>
  <si>
    <t>استبدال مضخة تصريف مياه لقطعه كاسيت VRF</t>
  </si>
  <si>
    <t>2025/12/16 - 01:55 PM</t>
  </si>
  <si>
    <t>2025/12/16 - 01:56 PM</t>
  </si>
  <si>
    <t>متابعة المجاميع الصحية للبنايه بالكامل</t>
  </si>
  <si>
    <t>2025/12/16 - 01:58 PM</t>
  </si>
  <si>
    <t>2025/12/16 - 01:57 PM</t>
  </si>
  <si>
    <t>استبدال كاك زاوية</t>
  </si>
  <si>
    <t>تشغيل مضخة الRo دفع للبنايات</t>
  </si>
  <si>
    <t>2025/12/16 - 01:59 PM</t>
  </si>
  <si>
    <t>مجاور غرفه الشركه امنية</t>
  </si>
  <si>
    <t>متابعة سخان الماء</t>
  </si>
  <si>
    <t>2025/12/16 - 02:00 PM</t>
  </si>
  <si>
    <t>2025/12/17 - 10:36 AM</t>
  </si>
  <si>
    <t>تم تحويل درجة الحرارة السبالت في غرف الكهرباء الى 23</t>
  </si>
  <si>
    <t>2025/12/17 - 10:37 AM</t>
  </si>
  <si>
    <t>2025/12/17 - 10:41 AM</t>
  </si>
  <si>
    <t>جميع الغرف</t>
  </si>
  <si>
    <t>تم غسل جميع فتر السبالت اعتيادية في غرف المصاعد</t>
  </si>
  <si>
    <t>2025/12/17 - 10:44 AM</t>
  </si>
  <si>
    <t>2025/12/17 - 10:46 AM</t>
  </si>
  <si>
    <t>تم تثبيت قاعدة كصات ماء في البناية الثالثة</t>
  </si>
  <si>
    <t>2025/12/17 - 10:48 AM</t>
  </si>
  <si>
    <t>تم انجاز في تاريخ 12/16 في الشفت الليلي</t>
  </si>
  <si>
    <t>-C ,(البناية 2)ابتدائية -Bة(البناية 3)المتوسط</t>
  </si>
  <si>
    <t>تم غسل فتر السبالت اعتيادية في غرفة الطاقة الشمسية</t>
  </si>
  <si>
    <t>2025/12/17 - 01:35 PM</t>
  </si>
  <si>
    <t>واحد من خزانات الطرد الخاصة ب صحيات التميذ تعمل</t>
  </si>
  <si>
    <t>2025/12/17 - 04:03 PM</t>
  </si>
  <si>
    <t>2025/12/17 - 03:12 PM</t>
  </si>
  <si>
    <t>تم تغيير خزان ماء براد RO في غرفة المدرسين داخل القاعة الرياضية</t>
  </si>
  <si>
    <t>2025/12/17 - 03:20 PM</t>
  </si>
  <si>
    <t>2025/12/17 - 03:14 PM</t>
  </si>
  <si>
    <t>تم صيانة براد في البناية الثالثة الطابق ارضي زون A</t>
  </si>
  <si>
    <t>2025/12/17 - 03:15 PM</t>
  </si>
  <si>
    <t>تم صيانة براد غرفة الكهرباء في البنايه الرابعة.</t>
  </si>
  <si>
    <t>2025/12/17 - 03:17 PM</t>
  </si>
  <si>
    <t>تم متابعة فشات صحيات البناية الرابعه الطابق ارضي زون B</t>
  </si>
  <si>
    <t>2025/12/17 - 03:25 PM</t>
  </si>
  <si>
    <t>تم متابعه مضخات المياه الرئيسيه وضغط الخزان .</t>
  </si>
  <si>
    <t>2025/12/17 - 03:27 PM</t>
  </si>
  <si>
    <t>تم فحص ومتابعة مضخه اطفاء الرئيسيه..</t>
  </si>
  <si>
    <t>2025/12/17 - 03:28 PM</t>
  </si>
  <si>
    <t>2025/12/18 - 10:02 AM</t>
  </si>
  <si>
    <t>,الطابق ارضي - ZONE A الطابق ارضي - ZONE B</t>
  </si>
  <si>
    <t>تم غسل وتنظيف فتر ال vrf في البنايه الثالثه الطابق ارضي زون A+B</t>
  </si>
  <si>
    <t>2025/12/18 - 02:08 PM</t>
  </si>
  <si>
    <t>تم صيانة براد ماء في البناية الثانيه القاعة الرياضية غرفة المدرسين</t>
  </si>
  <si>
    <t>2025/12/18 - 02:10 PM</t>
  </si>
  <si>
    <t>تم صيانة براد ماء في البناية الثالثة الطابق اول زون A</t>
  </si>
  <si>
    <t>2025/12/20 - 10:56 AM</t>
  </si>
  <si>
    <t>الساحة الخلفية</t>
  </si>
  <si>
    <t>كرفان الحراس امنين // يوجد خط سنك يحتاج الى صيانة</t>
  </si>
  <si>
    <t>2025/12/20 - 01:34 PM</t>
  </si>
  <si>
    <t>2025/12/20 - 11:23 AM</t>
  </si>
  <si>
    <t>الشفت المسائي م.حسين راضي
 كرار علي امير حسين حيدر أحمد
 تم محظة مضخة الماء قرب البنايه الثالثة تسرب ماء تم اجراء الزم بهذا الخصوص</t>
  </si>
  <si>
    <t>2025/12/20 - 11:24 AM</t>
  </si>
  <si>
    <t>2025/12/20 - 11:33 AM</t>
  </si>
  <si>
    <t>الشفت ليلي علي شاكر حاتم مالك
 تم غسل وتنظيف فتر ال vrf في البنايه الثالثه الطابق اول زون A+B بالكامل</t>
  </si>
  <si>
    <t>2025/12/20 - 11:34 AM</t>
  </si>
  <si>
    <t>2025/12/20 - 11:35 AM</t>
  </si>
  <si>
    <t>تم فحص ومتابعة مضخه اطفاء الثانويه في البناية الثانيه</t>
  </si>
  <si>
    <t>الشفت ليلي علي شاكر حاتم مالك
 19/12/2025</t>
  </si>
  <si>
    <t>2025/12/20 - 11:38 AM</t>
  </si>
  <si>
    <t>,الطابق الثاني - ZONE A الطابق الثاني - ZONE B</t>
  </si>
  <si>
    <t>تم غسل فتر منظومة تبريد VRF في البنايه الثالثة طابق الثاني زون B ،A تم متابعة صحيات البناية الثالثة طابق الثاني وتم حل بعض المشاكل</t>
  </si>
  <si>
    <t>2025/12/20 - 11:39 AM</t>
  </si>
  <si>
    <t>الشفت المسائي امير حسين كرار علي
 20/12/2025</t>
  </si>
  <si>
    <t>2025/12/20 - 11:43 AM</t>
  </si>
  <si>
    <t>تم معالجة تسريب في كاك الخزان الماء آرو
 تم متابعة حنفية برادات الماء في البناية اولى زون B</t>
  </si>
  <si>
    <t>2025/12/20 - 11:44 AM</t>
  </si>
  <si>
    <t>تم تفريغ دهن مضخة اطفاء الثانوية في البناية اولى</t>
  </si>
  <si>
    <t>2025/12/20 - 02:03 PM</t>
  </si>
  <si>
    <t>تم اضافة قفل براد ماء في البناية الثالثة الطابق اول والثاني زون B</t>
  </si>
  <si>
    <t>2025/12/20 - 02:04 PM</t>
  </si>
  <si>
    <t>تم تشغيل مضخة ال RO</t>
  </si>
  <si>
    <t>2025/12/20 - 02:05 PM</t>
  </si>
  <si>
    <t>2025/12/20 - 03:25 PM</t>
  </si>
  <si>
    <t>الشفت اليلي.. تاريخ 19/12/2025
 تم غسل او تنظيف القطع الداخليه منظومة VRF. في البنايه الرابعه. الطابق ارضي. زون (A) و. زون ( B)</t>
  </si>
  <si>
    <t>2025/12/20 - 03:27 PM</t>
  </si>
  <si>
    <t>2025/12/21 - 09:11 AM</t>
  </si>
  <si>
    <t>منتظر</t>
  </si>
  <si>
    <t>الممر الخلفي للبنايه يوجد فيه بوري ماء طفايه يسرب ماء</t>
  </si>
  <si>
    <t>2025/12/21 - 12:17 PM</t>
  </si>
  <si>
    <t>2025/12/21 - 09:12 AM</t>
  </si>
  <si>
    <t>سبلت غرفة ارشاد يعمل فيه التدفئة</t>
  </si>
  <si>
    <t>2025/12/21 - 12:23 PM</t>
  </si>
  <si>
    <t>صحيات الطابق ارضي فائضه - التواصل مع سيد محمود</t>
  </si>
  <si>
    <t>2025/12/22 - 11:31 AM</t>
  </si>
  <si>
    <t>2025/12/21 - 12:27 PM</t>
  </si>
  <si>
    <t>تم متابعة صحيات البناية الرابعة طابق اول زون A,B تم تبديل كاك زاوية عدد 2 في البناية الرابعة</t>
  </si>
  <si>
    <t>2025/12/21 - 12:29 PM</t>
  </si>
  <si>
    <t>تم غسل القطع الداخلية لمنظومة تبريد VRF في البنايه الرابعة طابق اول زون A, B</t>
  </si>
  <si>
    <t>2025/12/21 - 12:32 PM</t>
  </si>
  <si>
    <t>تم متابعه الخزان الرئيسي.
 تم اضافت شبكه منظومة DX لمنع اوساخ. في البنايه الثالثه والرابعه..</t>
  </si>
  <si>
    <t>2025/12/21 - 02:10 PM</t>
  </si>
  <si>
    <t>تم صيانة hydrant قرب كراج البناية اولى</t>
  </si>
  <si>
    <t>2025/12/21 - 02:11 PM</t>
  </si>
  <si>
    <t>تم تشغيل منظومة ماء RO
 تم متابعة VRF البناية الثالثة الطابق اول زون A</t>
  </si>
  <si>
    <t>2025/12/22 - 10:01 AM</t>
  </si>
  <si>
    <t>برادات الماء في الطابق اول يوجد ماء شررررب ..مع التقدير</t>
  </si>
  <si>
    <t>2025/12/22 - 11:48 AM</t>
  </si>
  <si>
    <t>قرب الكراج خلف البناية اولى</t>
  </si>
  <si>
    <t>تم صيانه hydrantلمضخة اطفاء الرئيسية</t>
  </si>
  <si>
    <t>انجز في تاريخ 12/21</t>
  </si>
  <si>
    <t>تشغيل مضخة مياه الRo</t>
  </si>
  <si>
    <t>متابعة الVRF (تحويل النظام الى تدفئة)</t>
  </si>
  <si>
    <t>اضافة تور حديد لمنظومة الDX</t>
  </si>
  <si>
    <t>تّم تعبئة خزان بمادة (الكاز)لمضخة اطفاء الثانوية الديزل</t>
  </si>
  <si>
    <t>2025/12/23 - 01:03 PM</t>
  </si>
  <si>
    <t>مع إضافة قنينه إطفاء باودر في المدرسه الثالثه CO‏2 تم استبدال قنينه اطفاء*</t>
  </si>
  <si>
    <t>2025/12/23 - 01:30 PM</t>
  </si>
  <si>
    <t>2025/12/23 - 01:05 PM</t>
  </si>
  <si>
    <t>تم تنظيف انابيب مضخه اطفاء الرئيسيه من التأكسد وتم طئهن*</t>
  </si>
  <si>
    <t>2025/12/23 - 01:08 PM</t>
  </si>
  <si>
    <t>تم فت انسداد في صحيات البنايه الثانيه في الطابق ارضي وتم تثبيت السيفونات ببراغي*</t>
  </si>
  <si>
    <t>2025/12/23 - 01:12 PM</t>
  </si>
  <si>
    <t>تم تعبئة مادة الكاز المضخة الديزل في البنايه الثانيه</t>
  </si>
  <si>
    <t>2025/12/24 - 11:36 AM</t>
  </si>
  <si>
    <t>خلف البناية اولى</t>
  </si>
  <si>
    <t>تم صيانه خط في مطبخ الشركه امنيه..</t>
  </si>
  <si>
    <t>2025/12/24 - 01:43 PM</t>
  </si>
  <si>
    <t>2025/12/24 - 11:39 AM</t>
  </si>
  <si>
    <t>تم تبديل زيت منظومة مضخة اطفاء الثانوية. في البنايه الثانيه (الروضه).</t>
  </si>
  <si>
    <t>2025/12/24 - 01:44 PM</t>
  </si>
  <si>
    <t>2025/12/24 - 03:57 PM</t>
  </si>
  <si>
    <t>تم تفريغ خزان ماء RO</t>
  </si>
  <si>
    <t>2025/12/24 - 03:58 PM</t>
  </si>
  <si>
    <t>2025/12/24 - 03:59 PM</t>
  </si>
  <si>
    <t>تم صيانه شطاف في صحيات البنايه الثانية</t>
  </si>
  <si>
    <t>2025/12/24 - 04:03 PM</t>
  </si>
  <si>
    <t>تم تغيير زيت مضخة اطفاء الديزل</t>
  </si>
  <si>
    <t>2025/12/24 - 04:04 PM</t>
  </si>
  <si>
    <t>2025/12/25 - 08:09 AM</t>
  </si>
  <si>
    <t>صحيات الساحة والصحيات الدخلية يوجد فيها سيفون السحب يسرب ماء عند المليء</t>
  </si>
  <si>
    <t>2025/12/25 - 04:29 PM</t>
  </si>
  <si>
    <t>2025/12/25 - 09:21 AM</t>
  </si>
  <si>
    <t>يوجد ماء في براد ماء</t>
  </si>
  <si>
    <t>2025/12/25 - 02:06 PM</t>
  </si>
  <si>
    <t>2025/12/25 - 10:50 AM</t>
  </si>
  <si>
    <t>تم وجود تسريب في هايدرن مضخة اطفاء الرئيسية في ساحة بناية الثالثة</t>
  </si>
  <si>
    <t>2025/12/25 - 11:02 AM</t>
  </si>
  <si>
    <t>تم فت انسداد في صحيات البناية الرابعه الطابق اول زون A</t>
  </si>
  <si>
    <t>2025/12/25 - 11:05 AM</t>
  </si>
  <si>
    <t>تم صيانه شطاف في صحيات البنايه الثانيه</t>
  </si>
  <si>
    <t>2025/12/25 - 11:06 AM</t>
  </si>
  <si>
    <t>2025/12/25 - 11:33 AM</t>
  </si>
  <si>
    <t>يوجد ماء في براد الطلبه في الساحه إجراء الزم بسرعه مع التقدير</t>
  </si>
  <si>
    <t>2025/12/25 - 02:17 PM</t>
  </si>
  <si>
    <t>2025/12/25 - 03:15 PM</t>
  </si>
  <si>
    <t>تم صيانة صحيات في المدرسة الرابعه الطابق ارضي زون B</t>
  </si>
  <si>
    <t>2025/12/25 - 03:16 PM</t>
  </si>
  <si>
    <t>2025/12/27 - 09:02 AM</t>
  </si>
  <si>
    <t>تم فت انسداد في احد صحيات الصفوف في الروضه</t>
  </si>
  <si>
    <t>2025/12/27 - 01:28 PM</t>
  </si>
  <si>
    <t>بين البناية اولى والثانية</t>
  </si>
  <si>
    <t>قرب المولدة</t>
  </si>
  <si>
    <t>تم صيانه Hydrant قرب البناية الثالثة.</t>
  </si>
  <si>
    <t>2025/12/27 - 01:45 PM</t>
  </si>
  <si>
    <t>2025/12/27 - 01:32 PM</t>
  </si>
  <si>
    <t>تم فت انسداد صحيات في البنايه الثانية الطابق الثاني في صف السادس ح.</t>
  </si>
  <si>
    <t>2025/12/28 - 10:51 AM</t>
  </si>
  <si>
    <t>تم غسل جميع الفتر السبات اعتيادية في البناية اولى</t>
  </si>
  <si>
    <t>تم غسل القطع الداخلية لمنظومة تبريد VRF في البنايه اولى زون B تم غسل فتر سبت اعتيادي في البنايه اولى</t>
  </si>
  <si>
    <t>2025/12/28 - 12:37 PM</t>
  </si>
  <si>
    <t>براد ماء مكسور الحوض</t>
  </si>
  <si>
    <t>2025/12/29 - 10:01 AM</t>
  </si>
  <si>
    <t>2025/12/28 - 02:20 PM</t>
  </si>
  <si>
    <t>بين البناية الثالثة والرابعة</t>
  </si>
  <si>
    <t>الممر الفاصل بين البناية الثالثة والرابعة</t>
  </si>
  <si>
    <t>تم صيانة hydrant في البنايه الثالثة</t>
  </si>
  <si>
    <t>2025/12/28 - 02:36 PM</t>
  </si>
  <si>
    <t>تم صيانة مضخة اطفاء الحريق في المدرسة اولى واعادتها الى الخدمة.</t>
  </si>
  <si>
    <t>2025/12/28 - 02:37 PM</t>
  </si>
  <si>
    <t>2025/12/29 - 07:47 AM</t>
  </si>
  <si>
    <t>مغسلة في صحيات الطلبة تحتاج تركيب</t>
  </si>
  <si>
    <t>2025/12/29 - 11:38 AM</t>
  </si>
  <si>
    <t>تم صيانه فش في البنايه اولى. الطابق الثاني زون (B)</t>
  </si>
  <si>
    <t>2025/12/29 - 11:41 AM</t>
  </si>
  <si>
    <t>تم غسل و تنظيف فتر VRF في البنايه اولى. الطابق اول والثاني زون (B)
 تم غسل و تنظيف فتر السبالت اعتياديه في البنايه اولى الطابق اول والثاني زون (B)...</t>
  </si>
  <si>
    <t>2025/12/29 - 11:43 AM</t>
  </si>
  <si>
    <t>تم تبديل قاعدة ماء البراد في البناية الثالثة طابق ارضي زون A</t>
  </si>
  <si>
    <t>2025/12/29 - 11:45 AM</t>
  </si>
  <si>
    <t>تم وضع مادة السليكون في صحيات البناية الثانية لمنع تسريب المياه في الطابق الثاني صف ح.</t>
  </si>
  <si>
    <t>2025/12/29 - 01:44 PM</t>
  </si>
  <si>
    <t>مجتبى</t>
  </si>
  <si>
    <t>مغسله تحتاج تركيب</t>
  </si>
  <si>
    <t>2025/12/29 - 01:53 PM</t>
  </si>
  <si>
    <t>2025/12/30 - 08:55 AM</t>
  </si>
  <si>
    <t>تم فت انسداد في صحيات البناية الثالثة الطابق ارضي زون A.</t>
  </si>
  <si>
    <t>2025/12/30 - 10:05 AM</t>
  </si>
  <si>
    <t>يوجد ماء في االبرادات</t>
  </si>
  <si>
    <t>2025/12/30 - 11:38 AM</t>
  </si>
  <si>
    <t>تم انتاج</t>
  </si>
  <si>
    <t>2025/12/30 - 11:17 AM</t>
  </si>
  <si>
    <t>الساحة الخارجية مياه تصريف امطار فائضه</t>
  </si>
  <si>
    <t>2025/12/31 - 06:56 PM</t>
  </si>
  <si>
    <t>تم انجاز في الشفت المسائي</t>
  </si>
  <si>
    <t>2025/12/30 - 12:01 PM</t>
  </si>
  <si>
    <t>تدفئه الغرفة ادارية تعمل معرفة الموقع من استعمات</t>
  </si>
  <si>
    <t>2025/12/31 - 12:39 PM</t>
  </si>
  <si>
    <t>تحويل التبريد الى تدفئة</t>
  </si>
  <si>
    <t>2025/12/28 - 10:00 AM</t>
  </si>
  <si>
    <t>تم صيانه تور شباك قب عدد (11) ط اول زون B المدرسة الثالثة</t>
  </si>
  <si>
    <t>2025/12/28 - 12:15 PM</t>
  </si>
  <si>
    <t>2025/12/28 - 10:02 AM</t>
  </si>
  <si>
    <t>تم صيانة خزان الطراد الماء (الفش) في البناية الثانية.</t>
  </si>
  <si>
    <t xml:space="preserve">لا توجد كهرباء </t>
  </si>
  <si>
    <t>صبغ إطار شاشة المسرح</t>
  </si>
  <si>
    <t>حفر وتثبيت منهولة</t>
  </si>
  <si>
    <t xml:space="preserve">تنظيف فلاتر vrf في البناية </t>
  </si>
  <si>
    <t>لا توجد كهرباء</t>
  </si>
  <si>
    <t>لا يوجد ماء في المنظومة ماء RO</t>
  </si>
  <si>
    <t>تبديل 10 محولات سبوت لايت تالفة في المركز الثقافي</t>
  </si>
  <si>
    <t>تبديل محولة سبوت لايت 50 واط عدد 2 في القاعة المجاوره للمصاعد للمركز الثقافي</t>
  </si>
  <si>
    <t>اكمال عمل منهولة الكهرباء والتعديل على مكانه واعادة تثبيتها ومد السليف من المنهولة إلى غرفة محطة الرفع</t>
  </si>
  <si>
    <t>استبدال ATS المدرسة الخامسة مع ATS المدرسة الاولى</t>
  </si>
  <si>
    <t xml:space="preserve">تم إعادة تغذية الكرفان الخاص بوحدة (المدني والمولدات) </t>
  </si>
  <si>
    <t>تم صيانة انارة سبورت لايت عدد (8)</t>
  </si>
  <si>
    <t>تم ربط 2 سيارات من غرفة كهرباء الروضة B</t>
  </si>
  <si>
    <t>تم ربط سيار من غرفة كهرباء الروضة G العدد 3</t>
  </si>
  <si>
    <t>تم اطفاء خط الـ11 الساعه 11 صباحاً عن المجمع  لغرض تشغيل المولدات</t>
  </si>
  <si>
    <t>تم ربط سيار مع ماشة 13 امبير الى مسخنة الطعام في المركز الثقافي</t>
  </si>
  <si>
    <t>تم إعادة تشغيل خط 11KVA الساعة السابعة مساءً</t>
  </si>
  <si>
    <t xml:space="preserve">تم استبدال محولة سبور لايت </t>
  </si>
  <si>
    <t>اعادة ربط أسلاك الإتصالات المقطوعة عن گرفان وحدة المدني</t>
  </si>
  <si>
    <t xml:space="preserve">سحب القابلو 4*16 بعد ان كان خارج السليف </t>
  </si>
  <si>
    <t xml:space="preserve">لا يوجد ماء في البراد </t>
  </si>
  <si>
    <t xml:space="preserve">لا توجد تدفئة </t>
  </si>
  <si>
    <t xml:space="preserve">ستبدال احد قواطع VRF في المركز الثقافي بسبب الفصل المتكرر   </t>
  </si>
  <si>
    <t xml:space="preserve">الغاء منچر رباعي (زائد عن الحاجة) في بورد المصعد وتغذية المصعد مباشرة من القاطع الرئيسي </t>
  </si>
  <si>
    <t xml:space="preserve">مساعدة وحدة التبريد لحل مشكلة خطأ في تبريد المدرسة الثالثة </t>
  </si>
  <si>
    <t>حل مشكلة فصل جوزة الأيرثلكج الخاصة بسخان الصحيات في الجهة اليسرى من المدرسة السادسة .</t>
  </si>
  <si>
    <t xml:space="preserve"> استبدال محولة سبوت لايت صحيات رئاسة القسم
 استبدال محولة انارة منشورية في رئاسة القسم</t>
  </si>
  <si>
    <t xml:space="preserve">حل مشكلة فصل جوزة الأيرثلكج الخاصة بسخان الصحيات في الجهة اليمنى من المدرسة السادسة </t>
  </si>
  <si>
    <t xml:space="preserve">يدة باب مكسورة </t>
  </si>
  <si>
    <t xml:space="preserve">لا يوجد ماء في برادات البناية </t>
  </si>
  <si>
    <t xml:space="preserve">صيانة سبالت / غرفة الارشاد وغرفة المرقاب و صف الثاني ب و الرابع أ - ب والسادس و </t>
  </si>
  <si>
    <t xml:space="preserve">لا يوجد ماء للشرب </t>
  </si>
  <si>
    <t xml:space="preserve">لا توجد كهرباء
</t>
  </si>
  <si>
    <t>لا يوجد كهرباء</t>
  </si>
  <si>
    <t xml:space="preserve">لا يوجد ماء شرب </t>
  </si>
  <si>
    <t xml:space="preserve">لا يوجد ماء اسالة </t>
  </si>
  <si>
    <t>صيانة باب صف أول أ</t>
  </si>
  <si>
    <t xml:space="preserve">صيانة حمامات  </t>
  </si>
  <si>
    <t xml:space="preserve">لا يوجد ماء </t>
  </si>
  <si>
    <t>لا يوجد ماء شرب</t>
  </si>
  <si>
    <t xml:space="preserve">لا يوجد ماء شرب في المنظومة علمان ان الماء به رائحة كلور </t>
  </si>
  <si>
    <t xml:space="preserve">لا يوجد ماء في منظومة الشرب </t>
  </si>
  <si>
    <t>صيانة يدة باب السلايت</t>
  </si>
  <si>
    <t xml:space="preserve">احتياج صيانة مدني </t>
  </si>
  <si>
    <t xml:space="preserve">شد سبوت لايت </t>
  </si>
  <si>
    <t>تبديل يدأت شباك عدد ٥</t>
  </si>
  <si>
    <t>تبديل قبق سيفون حمام</t>
  </si>
  <si>
    <t xml:space="preserve">مساعدة شعبة الإتصالات في تتبع مسار انابيب الإتصالات </t>
  </si>
  <si>
    <t>تم نقل بلك اسويج Ups  في المدرسة الثانية D من الطابق الاول مابين باب الزون A ولزون B الى السطح</t>
  </si>
  <si>
    <t>تم صيانة تيرمل بلوك لجهاز VRF احد قطع التبريد التابع للمدرسة الثالثة</t>
  </si>
  <si>
    <t xml:space="preserve">تسليك كيبل كاميرا غرفة مزامنة مولدات GH.
</t>
  </si>
  <si>
    <t xml:space="preserve">فحص منظومات (AHU)  وتم اخراج ثلاث قطع منها عن الخدمة </t>
  </si>
  <si>
    <t xml:space="preserve"> عمل تأريض الى الترنك الحديد في غرفة الكهرباء
</t>
  </si>
  <si>
    <t xml:space="preserve">تم إلغاء عمل ترموستات كافة أجهزة الDX للمدرستين الثالثة والرابعة </t>
  </si>
  <si>
    <t>تم جرد انارة المركز الثقافي  وتم العثور على 22 سبور لايت وتم تبديل 20 محولة  وتم استبدال سبور لايت بالكامل العدد 2</t>
  </si>
  <si>
    <t>اعادة تنظيم درجة حرارة السخان في القاعة الرياضية مقابل الأولى</t>
  </si>
  <si>
    <t xml:space="preserve">ربط كيبل Fiber طول 10 متر لغرض توصيل الكيبل الضوئي الخاص بالمختبرات مع بقية المجمع. 
</t>
  </si>
  <si>
    <t xml:space="preserve">استبدال بلك سويج حراري بعادي 13A </t>
  </si>
  <si>
    <t xml:space="preserve"> 
 إضافة نقطتين لكل من حاسبة وحدة المدني و المولدات لتشغيل الحاسبتين من UPS واحد</t>
  </si>
  <si>
    <t xml:space="preserve">فحص منظومة UPS المركز الثقافي 
</t>
  </si>
  <si>
    <t xml:space="preserve">تم أضافه بلك اسويج 13A العدد 2 في غرفة المالية </t>
  </si>
  <si>
    <t xml:space="preserve">بعض الاماكن بالقرب من المصلى لا توجد سقوف ثانوية يرجى صيانتها مستعجل </t>
  </si>
  <si>
    <t xml:space="preserve">لا يوجد كهرباء في المطبخ </t>
  </si>
  <si>
    <t xml:space="preserve">صيانة رحلات  </t>
  </si>
  <si>
    <t xml:space="preserve">لا يوجد ماء في المدرسة </t>
  </si>
  <si>
    <t>صحيات االادارة لا يوجد فيها ماء</t>
  </si>
  <si>
    <t>إدامة وتنظيف منظومة البكج الخاص بالقاعة</t>
  </si>
  <si>
    <t xml:space="preserve">تبديل قفل (سرقي ) </t>
  </si>
  <si>
    <t>إدامة وتنظيف سبالت غرف الكهرباء والسيطرة والراكات في البناية</t>
  </si>
  <si>
    <t>صيانة محرك عاكس الدورة vrf</t>
  </si>
  <si>
    <t xml:space="preserve">صيانة سبلت كنتوري الخاص بالستعلامات </t>
  </si>
  <si>
    <t>صيانة سبلت الخاص بغرفة الداتا سنتر ومعالجة الليك</t>
  </si>
  <si>
    <t xml:space="preserve">تم استبدال بروجكتر عدد 3 </t>
  </si>
  <si>
    <t>ربط انترنيت مجمع المعملجي مع مجمع الحر</t>
  </si>
  <si>
    <t xml:space="preserve">تم صيانة كارت باب الأستعلامات الرئيسية </t>
  </si>
  <si>
    <t xml:space="preserve"> استبدال بروجكتر  سقفي عدد 2</t>
  </si>
  <si>
    <t>عزل كرفان الأمنية من جهة الكراج بخط طاقة شمسية معزول عن المركز الثقافي تماماً حار وبارد</t>
  </si>
  <si>
    <t>فحص منظومة UPS المدرسة الأولى (الإعدادية)</t>
  </si>
  <si>
    <t>تم صيانة واستبدال بلك سويج عدد (6)</t>
  </si>
  <si>
    <t xml:space="preserve"> فصل احد خطوط data في غرفة الإرشاد المدرسة الأولى الطابق الأرضي     </t>
  </si>
  <si>
    <t xml:space="preserve">إضافة تري مشطب أعلى الشاشات لأخفاء الأسلاك </t>
  </si>
  <si>
    <t xml:space="preserve">تحويل تغذية Rack اجهزة amplifier (الصوتيات)  من UPS 6KVA الى PDU الخاص بالكاميرات </t>
  </si>
  <si>
    <t xml:space="preserve">فحص عطل  UPS 6KVA  في المركز الثقافي الطابق الرابعة غرفة المراقبة </t>
  </si>
  <si>
    <t xml:space="preserve">لا يوجد ماء شرب في المنظومة </t>
  </si>
  <si>
    <t xml:space="preserve">صيانة سخان </t>
  </si>
  <si>
    <t xml:space="preserve">فتح انسداد في صحيات </t>
  </si>
  <si>
    <t xml:space="preserve">صيانة البرادات  </t>
  </si>
  <si>
    <t>احتياج مفتاح  باب مخزن</t>
  </si>
  <si>
    <t xml:space="preserve">ادخال السليفات في الانانبيب الموجودة في  غرفة المزامنة </t>
  </si>
  <si>
    <t xml:space="preserve">استبدال قاطع 6A بآخر 10A في بورد UPS بناية المختبرات .
</t>
  </si>
  <si>
    <t>تم استبدال محولة</t>
  </si>
  <si>
    <t xml:space="preserve"> ازالة الأسلاك القديمة التالفة والخارجة عن الخدمة. </t>
  </si>
  <si>
    <t>تم جرد المدرسة من انارة وبلكات سويج ووجده عطل في المنشوريات عدد (4) وتم صيانتها وصيانة البلك سويج عدد (2)</t>
  </si>
  <si>
    <t>3 صيانة منشوريات</t>
  </si>
  <si>
    <t>تم جرد الروضة  واستبدال خمس محولات</t>
  </si>
  <si>
    <t xml:space="preserve">تعليق صوبة في الحانوت </t>
  </si>
  <si>
    <t xml:space="preserve">لا يوجد ماء في منظومة الشرب 
</t>
  </si>
  <si>
    <t>تم إعادة ربط انارة منشورية عدد 9</t>
  </si>
  <si>
    <t>الدخول إلى UPS  عن طريق التطبيق وإيقاف Alarm  وارجاع الـUPS الى وضعه الطبيعي</t>
  </si>
  <si>
    <t xml:space="preserve">فحص منظومة UPS الروضة الأولى B بعد قطع الكهرباء عنهُ
</t>
  </si>
  <si>
    <t xml:space="preserve">تم تصميم جدول ولصقه قرب كل UPS حيث يتم تسجيل القراءات به مع بعض التفاصيل.
</t>
  </si>
  <si>
    <t>تم التوصل إلى الشبكة 10.15.16.1 و ربط شاشتي VRF بها  واعادة تعيين الشاشة الرئيسية AE-200 و الفرعية AE-50 دون مشاكل</t>
  </si>
  <si>
    <t>تم تبديل  جوزه 10A في جوزه 1A  في غرفة الكهرباء الخارجية</t>
  </si>
  <si>
    <t>تم عزل مروحة عن انارة واستخدام فلكس (4 متر) وكونكتر (2)</t>
  </si>
  <si>
    <t xml:space="preserve">تم اضافه ثنين ماشة الئ براد </t>
  </si>
  <si>
    <t xml:space="preserve">سحب كيبل data من غرفة المرقاب المجاورة لغرفة الكهرباء و إعادة تسليكهُ الى غرفة الكهرباء وتثبيته في Keystone.
</t>
  </si>
  <si>
    <t xml:space="preserve">  تم ايجاد قابلوا (4x16) ممتد من الزون B الى الزون A في المدرسة السادسة وتم استغلاله لأرجاع التغذية الى الزون A </t>
  </si>
  <si>
    <t>اكمال ربط وتجهيز المدرسة الخامسة من الطاقة الشمسية (S2) المضافة حديثا.</t>
  </si>
  <si>
    <t>إدامة وتنظيف القطع الداخلية الخاصة بالبناية</t>
  </si>
  <si>
    <t>لا يوجد ماء شراب</t>
  </si>
  <si>
    <t>تبديل ضوء صيانة انارة</t>
  </si>
  <si>
    <t xml:space="preserve">صيانة يدة باب الاستفسار عند الاستعلامات عن المكان بالضبط </t>
  </si>
  <si>
    <t xml:space="preserve">تعليق بردة </t>
  </si>
  <si>
    <t xml:space="preserve">صيانة باب الاستعلامات  </t>
  </si>
  <si>
    <t>صيانة تبريد</t>
  </si>
  <si>
    <t>معالجة الرصيف بمادة المعجون</t>
  </si>
  <si>
    <t>ادامة وغسل القطع الخارجية لمنظومات التبريد في  البناية</t>
  </si>
  <si>
    <t xml:space="preserve">ادامة وتنظيف اجهزة التبريد  بغرف الكهرباء والاتصالات </t>
  </si>
  <si>
    <t xml:space="preserve">ادامة وتنظيف اجهزة التبريد الخاصة بغرف الكهرباء والاتصالات </t>
  </si>
  <si>
    <t xml:space="preserve">ادامة وتنظيف منظومة البكج الخاصة بالقاعة </t>
  </si>
  <si>
    <t>صيانة باب في للصحيات</t>
  </si>
  <si>
    <t xml:space="preserve">اعادة منظومة تحسين معامل القدرة لمحولة المركز الثقافي بعدما كانت متوقفة نتيجة لربط سيطرة خاطئ
</t>
  </si>
  <si>
    <t xml:space="preserve">إعادة تثبيت وتوجية بلاجكتور 200w في احد الاعمدة </t>
  </si>
  <si>
    <t xml:space="preserve">ضافة بلك سويج مطري 13A  مع تسليك سنكل 1.5 ملم </t>
  </si>
  <si>
    <t>تم صيانة المصعد بحيث كانه لايعمل بحالة Almanawal فوق مقصورة المصعد واعادته الى العمل بشكل جيد</t>
  </si>
  <si>
    <t xml:space="preserve">تم اصلاح قاطع رباعي لوجود رخاوه  </t>
  </si>
  <si>
    <t xml:space="preserve">فحص  UPS المدرسة بعد إطفاء الكهرباء عنهُ.
</t>
  </si>
  <si>
    <t>فحص  UPS المدرسة بعد إطفاء الكهرباء عنهُ.
📌 حيث كانت نسبة الشحن بعد قطع الكهرباء لمدة 27 دقيقة 91٪</t>
  </si>
  <si>
    <t xml:space="preserve">تفعيل بوش (Emegency Diesel Run) لمضخة المدرسة </t>
  </si>
  <si>
    <t xml:space="preserve">اضافة مأخذ ماء اضافي لتسهيل عملية التشغيل والادامة </t>
  </si>
  <si>
    <t>اضافة مأخذ ماء اضافي لتسهيل عملية التشغيل والادامة</t>
  </si>
  <si>
    <t xml:space="preserve">صيانة التسريب في الخزان واستبدال الطوافة  </t>
  </si>
  <si>
    <t xml:space="preserve">عمل بورد (ATS) ثانوي ثلاثي الطور بحجم (250A) مع كافة الملحقات </t>
  </si>
  <si>
    <t xml:space="preserve">صيانة صوندة اول تواليت </t>
  </si>
  <si>
    <t>صيانة صحيات مستعجل</t>
  </si>
  <si>
    <t xml:space="preserve">صيانة شاحن بطاريات المولدة (400KVA) </t>
  </si>
  <si>
    <t>تفعيل سلكتر التحكم (في سنكرو المركز)</t>
  </si>
  <si>
    <t xml:space="preserve">تسليك القابلوات المغذية الرئيسية لبورد الATS الثانوي الجديد. </t>
  </si>
  <si>
    <t>تسليك كيبل (4x50 ملم٢) بطول 7 متر  من بورد الATS الثانوي الجديد الى قواطع الطوابق الأرضي والأول</t>
  </si>
  <si>
    <t>تم تفعيل الوضع الأوتوماتيكي لبورد التحويل الثانوي</t>
  </si>
  <si>
    <t>تم ربط مكينة لحام 3 فيز في محطة الرفع الى الشركة التي تعمل بلحام الانابيب</t>
  </si>
  <si>
    <t xml:space="preserve">تفعيل ميزة تشغيل التبريد المركزي VRF MITSUBISHI الموجود في البنايات 8 القديمة عن طريق الهاتف </t>
  </si>
  <si>
    <t>اضافة سيطرة للتحكم في تشغيل وإطفاء إنارة سطح البناية السابعة من خلال:
⚪ إضافة Push Button ON / OFF
في سطح البناية السابعة.
⚪ حيث عند تشغيل الإنارة ونسيان إطفائها سوف تُطفأ تلقائيًا عند انطفاء الكهرباء وعودتها (وطني &amp; مولدة).</t>
  </si>
  <si>
    <t xml:space="preserve">لا يوجد ماء في الصحيات </t>
  </si>
  <si>
    <t xml:space="preserve"> تنظيف الراك و ترتيب الأسلاك الداخلة  </t>
  </si>
  <si>
    <t>اضافة نقطة Ethernet جديدة موصولة الى RACK  الموجود في الغرفة يمكن تغير مصدرها بين VLAN الكاميرات و انترنت مباشر وغيرها.</t>
  </si>
  <si>
    <t xml:space="preserve">ربط تغذية انارة سطح المغذاة من بورد التوزيع الزون B الى الزون A الطابق الثاني </t>
  </si>
  <si>
    <t>تم تسليك واير  2 × 1.5  في الطابق من غرفة الكهرباء الزون A الى غرفة الكهرباء الزون B بطول الواير  50 متر تقريباً</t>
  </si>
  <si>
    <t>فحص UPS وصيانتة بعدما كان متوقف لسبب ما حيث لوحظ انه يعمل على وضع Bypass فقط وليس Online مما سبب توقف جميع بوردات ATS المركز عند التحويل بين المصادر</t>
  </si>
  <si>
    <t>تم جرد البناية وتم العثور على منشوريات عاطلة العدد 2 وتم إصلاحها</t>
  </si>
  <si>
    <t xml:space="preserve"> صيانة مقبض باب المغاسل الزون الخارجي </t>
  </si>
  <si>
    <t xml:space="preserve">قفل غرفة باب المعلمات </t>
  </si>
  <si>
    <t xml:space="preserve">الأنتهاء من عمل كت متحكم ببورد النافورة </t>
  </si>
  <si>
    <t>تم جرد البناية وتم العثور على منشوريات عاطله العدد 4 وسبور لايت العدد 1 تم اصحلاحهن جميعاً</t>
  </si>
  <si>
    <t xml:space="preserve">الأنتهاء من عمل النسخة الأولى من تطبيق (واجهة) التحكم بالـKit المعمول مسبقاً </t>
  </si>
  <si>
    <t>تم صيانتة منشوريات عدد (6)</t>
  </si>
  <si>
    <t>تم انزال مروحة سقفية لغرض التنضيف  في كرفان المدني</t>
  </si>
  <si>
    <t xml:space="preserve">تم استبدال بلك اسويج 13A ببلك سويج 32A </t>
  </si>
  <si>
    <t>تسليك فلكس 2x1 ملم بطول 50 متر</t>
  </si>
  <si>
    <t>* إكمال تنصيب برنامج AUTOCAD 2026 برنامج IVMSV4200  و ربط الحاسبة بالشبكة المحلية.
* استبدال كيبل HDMI متر الموجود  بآخر  10 متر</t>
  </si>
  <si>
    <t>تم جرد روضة العميد وروضة القمر ووجد عطل في المنشوريات  عدد (5) واعادة تثبيت (2) بلك سويج واستبدال (3) محولات</t>
  </si>
  <si>
    <t xml:space="preserve">تم بحمد الله تنصيب جهاز (Fountain Relay Controller) مع البرنامج الخاص به في حاسبة النافورة وتسليك مايلزم الى بورد التحكم في المضخات </t>
  </si>
  <si>
    <t xml:space="preserve">تصحيح خطأ في ربط مصباح الأشارة الموجود فوق سلكتر التحكم بمصابيح النافورة </t>
  </si>
  <si>
    <t>تم جرد البناية وتم العثور على منشوريات عاطلة العدد 6 تم اصلاحهن وتم العثور على سبورلايتات عاطلة العدد 3 تم استبدال سبولايات 2 ومحولة اسبورلايت</t>
  </si>
  <si>
    <t>صيانة باب استعلامات</t>
  </si>
  <si>
    <t xml:space="preserve">لا يوجد ماء في البرادات </t>
  </si>
  <si>
    <t>تسليك كيبل (4x50) بطول 20 متر</t>
  </si>
  <si>
    <t xml:space="preserve">تسليك كيبل (4x50) بطول 20 متر </t>
  </si>
  <si>
    <t xml:space="preserve">* إضافة حاسبة في وحدة الميكانيك . 
* إدخالها ضمن شبكة حاسبات شعبة الصيانة لمشاركة الملفات دون الحاجة للإنترنت وتشغيل النافورة والتبريد  . 
</t>
  </si>
  <si>
    <t>تنظيف واعادة توجية كاميرات غرف شعبة الصيانة</t>
  </si>
  <si>
    <t xml:space="preserve"> إزالة الماشة التي كانت تغذي النقاط بالأعلى وربطها مباشر.
 إعادة ترتيب الأسلاك من جديد بعد إضافة الشاشة الثانية الى الحاسبة.
</t>
  </si>
  <si>
    <t>تم صيانة واستبدال بلك سويج</t>
  </si>
  <si>
    <t xml:space="preserve">تجهيز كيبل (4x50 ملم) الواصل من بورد الخدمات الى بورد MDB المدرسة من ترامل وتثبيت بالگلاندات.
</t>
  </si>
  <si>
    <t xml:space="preserve">لا يوجد ماء في الامنظومة </t>
  </si>
  <si>
    <t>صيانة يدة المنيوم</t>
  </si>
  <si>
    <t>ادامة وتنظيف فلاتر السبالت الاعتيادية والكنتوري الخاصة بغرف الكهرباء والاتصالات في البناية</t>
  </si>
  <si>
    <t>ادامة وتنظيف فلاتر السبالت الاعتيادية والكنتوري الخاصة بغرف الكهرباء والاتصالات والمصعد في البناية</t>
  </si>
  <si>
    <t>ادامة وتنظيف فلاتر السبالت الاعتيادية والكنتوري الخاصة بغرف الكهرباء والاتصالات  في البناية</t>
  </si>
  <si>
    <t xml:space="preserve">حمامات لا يوجد ماء فيها </t>
  </si>
  <si>
    <t xml:space="preserve">إضافة متحسس الامبيرية </t>
  </si>
  <si>
    <t xml:space="preserve">اكمال ربط دائرة ال power للمنظومة الجديدة (ربط المدراس الأربعة مع مولدة محطة الرفع) </t>
  </si>
  <si>
    <t xml:space="preserve">تم ستليك 1.5×4  من بورد الخدمات الى ATS  بطول 20 متر في البناية الثالثة  وتم تسليك 1.5×2 من بورد الخدمات الى ATS بطول 20 متر </t>
  </si>
  <si>
    <t>تم تثبيت قاطع في المدرسة الرابعه وتسليك واير فلكس في المدسه الثالثة والرابعه  4×0.75 بطول (40 متر)</t>
  </si>
  <si>
    <t>تم استبدال محولة اسبور لايت عاطلة في الاستعلامات</t>
  </si>
  <si>
    <t xml:space="preserve">تم ربط القاطع الرباعي Mccb الجديد مع الكيبل الرئيسي لبورد الخدمات عن طريق سنكل 50 ملم وإضافة ترمنل وتجهيز الكيبل الجديد 50*4 ملم </t>
  </si>
  <si>
    <t>تم اكمال العمل على تنفيذ خط محطة الرفع الأحتياطي للمدرسة الأولى بقدرة 100A</t>
  </si>
  <si>
    <t>تهيئة بورد الخدمات لمنظومة السيطرة الجديدة</t>
  </si>
  <si>
    <t>صيانة الاللعاب الداخلية</t>
  </si>
  <si>
    <t>الطابق الأول</t>
  </si>
  <si>
    <t>صيانة حمامات المعلمات</t>
  </si>
  <si>
    <t xml:space="preserve">اضافة كونتكتر ثلاثي حجم 40A في بورد خدمات المدرسة الثالثة </t>
  </si>
  <si>
    <t>تم استبدال حنفية برادات الماء في البناية الثالثة زون B</t>
  </si>
  <si>
    <t xml:space="preserve">
تم فتح واستبدال Water pump  لقطعة كاسيت لمنظومة التبريد VRF في البناية الرابعة الطابق الارضي الزون B</t>
  </si>
  <si>
    <t>تم متابعة تسريب ماء من قطعة VRF في البناية الرابعة الطابق الرضي زون B صف ثالث -أ-</t>
  </si>
  <si>
    <t xml:space="preserve">
تم ترسيت نظام VRF في المدرسة الرابعة الطابق الارضي زون B</t>
  </si>
  <si>
    <t xml:space="preserve">
تم تغيير زيت مضخة اطفاء الحريق في المدرسة الثانوية في البناية الرابعة مع فلتر الزيت</t>
  </si>
  <si>
    <t>تم تصليح حائط في مادة الستن البناية الرابعة الطابق الاول الزون  A (غرفة الكهرباء)</t>
  </si>
  <si>
    <t>لاصق تضليل في البناية الثالثة الطابق الثاني الزون B عدد 10</t>
  </si>
  <si>
    <t>تم ارجاع قطعة مرمر باب غرفة الامنية قرب المدرسة الأولى</t>
  </si>
  <si>
    <t>تم تسليك وربط بلك سويج 13A لتغذية حاسبة وحدة الادارية في المدرسة الأولى الطابق الاول زون A</t>
  </si>
  <si>
    <t>وجود خلل في جهاز فوتوسيل تم الاستبدال، وأيضا تم استخدام بوكس بلاستك مطري للحماية من العوامل الخارجية</t>
  </si>
  <si>
    <t>تم أعادة ربط بلاجكتور البناية الأولى والبناية الثانية 
و تثبيت سبورلايت صحيات البناية الأولى الطابق الثاني زون B</t>
  </si>
  <si>
    <t>تم إعادة ترتيب تري كيبل و الغاء بلك سويج 13A في المدرسة الرابعة الطابق الاول زون A في غرفة وحدة الكهرباء</t>
  </si>
  <si>
    <t>صيانة عطل في الانارة (المنشورية 60*60) تبين وجود قطع في السلاك الداخلية للناره وتم صيانتها.</t>
  </si>
  <si>
    <t>تم أستبدال مجموعة من بوكسات الاستراحة التالفة</t>
  </si>
  <si>
    <t xml:space="preserve">
تم تنظيف وغسل فلاتر السبالت الاعتيادية في البناية الأولى</t>
  </si>
  <si>
    <t xml:space="preserve">
تم شد Water pump  لقطعة كاسيت لمنظومة التبريد  VRF في البناية الاولى الطابق الاول الزون A</t>
  </si>
  <si>
    <t>تم صبغ وسنفرة جدار البناية الرابعة الطابق الاول الزون  A (غرفة الكهرباء)</t>
  </si>
  <si>
    <t>تم تبديل يدة شباك في المدرسة الأولى زون B ط الأول</t>
  </si>
  <si>
    <t>تم تبديل تور شباك عدد 3 وتم صيانة تور شباك عدد 6 في المدرسة الأولى زون B ط الأرضي و الأول والثاني</t>
  </si>
  <si>
    <t xml:space="preserve"> ماء لا يوجد ماء في البراد</t>
  </si>
  <si>
    <t xml:space="preserve">تم تثبيت حمالة صابون في البناية الأولى الطابق الاول زون A </t>
  </si>
  <si>
    <t>تغذية الالواح الشمسية الخاص بحاسبة المرقاب الألي في البناية الثالثة الطابق الارضي زون A</t>
  </si>
  <si>
    <t>تم تثبيت مرد ماء عدد ٢ في البناية الثالثة الطابق الاول الزون A  الصحيات</t>
  </si>
  <si>
    <t>قطع في سلك البارد الممتد من غرفة الراك في البناية الثانية إلى غرفة التزامن</t>
  </si>
  <si>
    <t>صحيات الطلبة فيها ماسكة صوندة ونرد باب مكسور</t>
  </si>
  <si>
    <t>لايوجد ماء في صحيات الطلبة</t>
  </si>
  <si>
    <t>حاملة الاكواب  تحتاج الى تثبيت. واحدة من مغاسل الصحيات تحتاج الى تثبيت ضروري تحسباً لوقوع حادث</t>
  </si>
  <si>
    <t>تم تنظيف منظومة الراكات + UBS إعادة تشغيل واحده من شاشات الكاميرات بعد ضبط الاعدادات (غرفة الأمنية)</t>
  </si>
  <si>
    <t>تبديل لبة باب عدد 3 في القاعة الرياضية الأولى</t>
  </si>
  <si>
    <t>الصفوف الرابع   و/د/أ   الاخشاب الجدارية خالعة تحتاج الى تركيب</t>
  </si>
  <si>
    <t xml:space="preserve">القاعة الاولى //  صيانة السبلت </t>
  </si>
  <si>
    <t>ساقية الساحة لتصريف المياه لا يوجد فيها غطاء</t>
  </si>
  <si>
    <t xml:space="preserve">كرار مدير المدرسة </t>
  </si>
  <si>
    <t>عمل حفر ارضية الصحيات ط الثاني قرب غرفة السيطرة البناية الثانية</t>
  </si>
  <si>
    <t>تم تبديل يدة شباك غرفة معاون شؤون الطلاب ط ارضي زون A المدرسة الأولى</t>
  </si>
  <si>
    <t>تم تبديل يدة شباك صف الخامس (د) ط الثاني زون B المدرسة الأولى</t>
  </si>
  <si>
    <t>تم تنزيل الانقاض من ط الثاني إلى الخارج صحيات المدرسة الثانية</t>
  </si>
  <si>
    <t xml:space="preserve">السادس ح التدفئة لا تعمل والتبريد يعمل والصف بارد جدا يرجى إجراء اللازم بالسرعه الممكنه مع التقدير </t>
  </si>
  <si>
    <t>تم إعادة تثبيت بلاجكتور الواح شمسية على سطح البناية الأولى وتم تغذية من مصدر الكهرباء القريب منه.</t>
  </si>
  <si>
    <t>تم تبديل قاطع أيرثلكج رباعي 40A في بورد التابع ل DX عدد 1</t>
  </si>
  <si>
    <t>تم إضافة سيار 4 متر تقريباً في غرفة المرقاب الألي</t>
  </si>
  <si>
    <t xml:space="preserve">
تم استبدال حنفية برادات الماء في البناية الثالثة والبناية الرابعة بالكامل</t>
  </si>
  <si>
    <t xml:space="preserve">سخان الادارة لا يعمل </t>
  </si>
  <si>
    <t>صيانة قفل باب الرئيسية في المدرسة الأولى</t>
  </si>
  <si>
    <t>تم تبديل تور شباك قلاب في البناية الثالثة الطابق الاول الزون B صف الاول ب</t>
  </si>
  <si>
    <t>تم تثبيت خشبة جدر في البناية الثالثة الطابق الاول الزون B</t>
  </si>
  <si>
    <t xml:space="preserve">تبديل يدة شباك في البناية الثالثة الطابق الاول الزون B </t>
  </si>
  <si>
    <t xml:space="preserve">تم تثبيت شباك قلاب عدد ١٥ في البناية الثالثة الطابق الاول الزون B </t>
  </si>
  <si>
    <t xml:space="preserve">تم تثبيت و أضافة تريات في المدارس لتغطية كيبل الكهرباء </t>
  </si>
  <si>
    <t xml:space="preserve">تم ارجاع مضخة الاطفاء الكهربائية في سطح البناية الثانية للعمل </t>
  </si>
  <si>
    <t>تبديل هيتر سخان البناية الثالثة 
وصيانة هيتر سخان البناية الثانية</t>
  </si>
  <si>
    <t xml:space="preserve">استبدال الجوزة الخاصة بإشارة الوطني </t>
  </si>
  <si>
    <t xml:space="preserve">    تم صيانة يدة وكيلون باب استعلامات في المدرسة الأولى</t>
  </si>
  <si>
    <t>تم صيانة قطع كابون باب الرئيسي للمدرسة الأولى</t>
  </si>
  <si>
    <t>تم تبديل قايش DX في البناية الأولى والثانية</t>
  </si>
  <si>
    <t>تم استبدال هيتر سخان الزون B</t>
  </si>
  <si>
    <t xml:space="preserve">إضافة نرمادة باب حديد التابع لغرفة المولدات(السنكرو) لغرض التقوية </t>
  </si>
  <si>
    <t>صيانة سخان المطعم في البناية الأولى زون A طابق ثاني.</t>
  </si>
  <si>
    <t>أعمال تصليح الشباك الدوار في المدرسة الثالثة زون a ط الأرضي</t>
  </si>
  <si>
    <t>صيانة سخان المطعم في البناية الثالثة  زون A طابق ثاني.</t>
  </si>
  <si>
    <t>أضافة جوزه أيرث لكج 32A عدد1 و تسليك وربط أيرث للسخان لضمان عمل الجوزة الإيرث لكج في البناية الرابعة زون A طابق ثاني (المطعم) .</t>
  </si>
  <si>
    <t>تم تركيب قطع مرد ماء في طابق الارضي و طابق الاول والطابق الثاني زون A و زون B في ثلاث مدارس الأولى والثانية والثالثة.</t>
  </si>
  <si>
    <t>تم ارجاع قطعة مرمر قرب باب الساحة الابتدائية طابق الارضي زون A المدرسة الأولى</t>
  </si>
  <si>
    <t xml:space="preserve">تم صيانة براد ماء في البناية الرابعة </t>
  </si>
  <si>
    <t>تم  تنصيب قطعة داخلية في الغرافة الراكات.</t>
  </si>
  <si>
    <t>صحيات الطلبة فايضة وتحتاج الى تسليك ضروري</t>
  </si>
  <si>
    <t xml:space="preserve">لا يوجد ماء في البرادات الادارية والطلبة </t>
  </si>
  <si>
    <t>تم صيانة كيلون باب صحيات وتبديل لبة في المدرسة الثالثة زون B ط الأرضي</t>
  </si>
  <si>
    <t>تم سنفرة مكانات تصليح الشباك الدوار وتم صبغه في المدرسة الثالثة زون a ط الأرضي</t>
  </si>
  <si>
    <t>تم تبديل كيلون مع لبة باب الألمنيوم صحيات ط ارضي زون B المدرسة الرابعة</t>
  </si>
  <si>
    <t>تم تركيب قطع مرد ماء في صحيات القاعة الرياضية وجميع صحيات المدرسة الرابعة ط ارضي و ط اول و ط الثاني زون A-B</t>
  </si>
  <si>
    <t xml:space="preserve">
تم صيانة مقياس مستوى الماء في مضخة الماء RO البناية الثالثة</t>
  </si>
  <si>
    <t xml:space="preserve">تبديل محولة 24W لأسبوت لايت وإعادة تثبيت سبوت لايت 
صحيات البناية الثالثة الطابق الأرضي زون B </t>
  </si>
  <si>
    <t>تم صيانة برادات ماء Ro في البناية الثالثة الطابق الارضي ZB</t>
  </si>
  <si>
    <t>تم استبدال فلاتر منظومة ماء RO كذلك اضافة مواد (كلور -انتي كلور -انتي سكيل.</t>
  </si>
  <si>
    <t>تم فتح انسداد في البناية الأولى طابق الثاني زون B</t>
  </si>
  <si>
    <t xml:space="preserve"> ترتيب كيبلات الحاسبه الخاصة بغرفة معاون شؤون الطلبة وإضافة (تري أرضي) لكيبل الطابعة البناية الرابعة الطابق الأرضي زون A.</t>
  </si>
  <si>
    <t xml:space="preserve">تم تبديل ديك شباك قلاب في البناية الاولى الطابق الاول الزون A </t>
  </si>
  <si>
    <t xml:space="preserve">تم تبديل يدة شباك في البناية الاولى الطابق الاول الزون A </t>
  </si>
  <si>
    <t>تم صيانة تور في البناية الاولى الطابق الثاني الزون B مختلف الصفوف</t>
  </si>
  <si>
    <t xml:space="preserve">اعمال سد فتحات جوينات المرمر في مادة التصليح </t>
  </si>
  <si>
    <t>تم تبديل يدة شباك مع صيانة رحله عدد (٢) صف الثالث (ج) ط ارضي زون B المدرسة الرابعة</t>
  </si>
  <si>
    <t>تم تبديل يدة شباك صف الثالث (د) ط ارضي زون B المدرسة الرابعة</t>
  </si>
  <si>
    <t>تم تزيت باب الستعلامات الرئيسية البناية الرابعة</t>
  </si>
  <si>
    <t>تم صيانة تور في البناية الرابعة الطابق الارضي الزون B 
الثالث ج</t>
  </si>
  <si>
    <t>تمً صيانة كرسي في البناية الرابعة الطابق الاول الزون A صف السادس ب</t>
  </si>
  <si>
    <t>تم صيانة تور البناية الرابعة الطابق الثاني الزون B الخامس د 
الخامس ج</t>
  </si>
  <si>
    <t>تم صيانة تور في البناية الرابعة الطابق الاول الزون B الاول  أ</t>
  </si>
  <si>
    <t>تزيت باب خشب واعادة بيم الباب في المدرسة الأولى زون B ط الثاني</t>
  </si>
  <si>
    <t>صيانة تور شباك في المدرسة الأولى زون B ط الأول</t>
  </si>
  <si>
    <t>صيانة بردة في المدرسة الأولى زون B ط الأول</t>
  </si>
  <si>
    <t>تم تبديل يدة شباك صف الأول (هـ) ط ارضي زون B المدرسة الثالثة</t>
  </si>
  <si>
    <t>تم تبديل يدة شباك صف الأول (د) ط ارضي زون B المدرسة الثالثة</t>
  </si>
  <si>
    <t>تم تبديل يدة شباك قلاب صف الأول (أ) ط ارضي زون B المدرسة الثالثة</t>
  </si>
  <si>
    <t>تم صيانة تور شباك ط ارضي زون B المدرسة الثالثة</t>
  </si>
  <si>
    <t>اعمال تبديل تور وصيانة تور في البناية الثالثة الطابق الاول والطابق الثاني الزون B مختلف الصفوف</t>
  </si>
  <si>
    <t>اعمال تفليش الصحيات في البناية الثانية الطابق الثاني</t>
  </si>
  <si>
    <t>تم تبديل لبة باب خشب في البناية الثالثة الارضي الزون B غرفة الصوتيات</t>
  </si>
  <si>
    <t>تم  ربط انابيب سبلت غرفة الراك في البناية الثانية.</t>
  </si>
  <si>
    <t xml:space="preserve">تركيب سدادات إلى شباك الغرفة </t>
  </si>
  <si>
    <t>تم فتح مغاسل صحيات البناية الثانية الطابق الثاني</t>
  </si>
  <si>
    <t xml:space="preserve">تم تسليك كيبل فلكس من غرفة الكهرباء إلى الصحيات وتم تبديل بلك سويج 13A </t>
  </si>
  <si>
    <t>تم حفر جدار الصحيات المجموعة الأولى و المجموعة الثانية عدد (٢) ط ارضي المدرسة الثانية</t>
  </si>
  <si>
    <t>تم تبديل كيلون + لبة باب المنيوم في ممر الطابق الاول البناية الثانية</t>
  </si>
  <si>
    <t>تم تبديل لبة باب خشب عدد ١ في البناية الثانية الطابق الاول السادس ج</t>
  </si>
  <si>
    <t>تم صيانة كابون الباب الفاصل بين البناية الاولى و الثانية عدد ٣</t>
  </si>
  <si>
    <t>تم فتح انسداد في صحيات البناية الأولى طابق الاول زون A</t>
  </si>
  <si>
    <t>سد فتحات المناور في المدرسة الثالثة عدد 3 في جكن واير</t>
  </si>
  <si>
    <t xml:space="preserve">بعد القطوعات الكثيرة للكيبلات بسبب القوارض تم غلق جميع مخارج ومداخل الكيبلات بناية من خلال  ملأ الأنابيب في داخل المنهولات الكهربائية بالفوم و إلاسفنج 
</t>
  </si>
  <si>
    <t xml:space="preserve">صيانة قطع في سلك البارد المغذي لانارة الصحيات الثانية في الطابق الأرضي </t>
  </si>
  <si>
    <t>تم تبديل يدة باب في غرفة الكامرات</t>
  </si>
  <si>
    <t>تم فتح جك باب الرئيسية في المدرسة الثانية</t>
  </si>
  <si>
    <t>تم فتح باية الباب قرب المدرسة الأولى جهة الكراج.</t>
  </si>
  <si>
    <t>تم صيانة صحيات الروضة الخارجية بين الثانية والثالثة وتم استبدال كاك سخان وكاك زاوية للصحيات وصوندات وماسكة</t>
  </si>
  <si>
    <t>تم إعادة ترتيب و تبديل البورد الخاص بتغذية كرڤانات الشركة الأمنية</t>
  </si>
  <si>
    <t>تم تركيب باية حديد البناية لاولى مقابيل كراج ساحة</t>
  </si>
  <si>
    <t>تم تبديل كيلون +  لبة باب صحيات طابق ثاني البناية ثانية زون A</t>
  </si>
  <si>
    <t xml:space="preserve">تم إعادة ترتيب و تبديل البورد الخاص بتغذية كرڤانات الشركة الأمنية </t>
  </si>
  <si>
    <t>تم ارجع سقف ثانوي متحرك في البناية الثانية في مختلف الطوابق</t>
  </si>
  <si>
    <t>تم ارجع سقف ثانوي متحرك في البناية الرابعة في مختلف الطوابق</t>
  </si>
  <si>
    <t>تم ارجع سقف ثانوي متحرك في البناية الثالثة في مختلف الطوابق</t>
  </si>
  <si>
    <t>اعمال رفع البحص من الصحيات البناية الثانية الطابق الثاني</t>
  </si>
  <si>
    <t xml:space="preserve">تفليش صب قاعدة  بواري مجمع الصحيات+تفليش مكان البواري لغرض رفعهن </t>
  </si>
  <si>
    <t>اعمال رفع البحص في صحيات البناية الثانية الطابق الثاني</t>
  </si>
  <si>
    <t>تم تبديل حنفية في كراج الأمنية.</t>
  </si>
  <si>
    <t>تم صيانة صحيات البناية الأولى بالكامل</t>
  </si>
  <si>
    <t xml:space="preserve">تم لحام وتثبيت الغطاء الخارجي لصالنصة المولدة (m)1
</t>
  </si>
  <si>
    <t>تغذيه سبلت في غرفة الاتصالات الموجود في البناية الثانية (الروضة) الطابق الارضي.</t>
  </si>
  <si>
    <t xml:space="preserve">تم صيانة طراد(الفلاش) ماء في البناية الأولى.
</t>
  </si>
  <si>
    <t>تم تثبيت كابون عدد ١ في البناية الرابعة الطابق الارضي الزون B</t>
  </si>
  <si>
    <t>تم رفع البحص من الصحيات وتنظيف مكان الصحيات</t>
  </si>
  <si>
    <t xml:space="preserve">ربط سخان في صحيات </t>
  </si>
  <si>
    <t>تم عمل فاكيوم للسبالت الاعتيادية واعادة تشغيل السبلت في البناية الثانية طابق الأرضي .</t>
  </si>
  <si>
    <t>تم اضافة مادة عازلة الى صحيات البناية الثانية الطابق الثاني عدد ٤ صحيات +مرر</t>
  </si>
  <si>
    <t>تم تثبيت بردة في البناية الاولى الطابق الاول الزون A</t>
  </si>
  <si>
    <t>تم صيانة بلاجكتور 150w عدد1حيث تم تبديل محولة 50w
وتم إعادة ربط السلك الواصل إلى led في  الروضة</t>
  </si>
  <si>
    <t xml:space="preserve"> إضافة سويچ أحادي لإنارة سطح البناية الثانية</t>
  </si>
  <si>
    <t xml:space="preserve">تم إعادة ربط البلاجيكتور في البناية الثانية وإرجاعه إلى الخدمة </t>
  </si>
  <si>
    <t>تم أكمل تنزيل النقاض من ط الثاني المدرسة الثانية</t>
  </si>
  <si>
    <t>عمل صيانة دورية للبناية الاولى ابتداءا من السطح والطوابق</t>
  </si>
  <si>
    <t>تم استبدال  صمام الخدمة في الVRF في البناية
الثالثة .</t>
  </si>
  <si>
    <t>تم تبديل يدات أبواب الألمنيوم عدد(٤) صحيات القاعة الرياضية قرب المولدات من جهة المدرسة الثالثة</t>
  </si>
  <si>
    <t>تم تبديل يدات أبواب الألمنيوم عدد (٥) في صحيات القاعة الرياضية قرب المدرسة الأولى</t>
  </si>
  <si>
    <t>تم رفع إنقاض الصحيات البناية الثانية</t>
  </si>
  <si>
    <t>إعادة تسليك واير فلكس لمجموعة من أجهزة تسخين الماء (سماور) و استخدام ماشة حجري(15A) في جميع البنايات</t>
  </si>
  <si>
    <t>تم تفريغ الأنقاض من السيارة</t>
  </si>
  <si>
    <t>تبديل بوكسات الإستراحة (الخاصة بتغذية الإبلاجكتورات)</t>
  </si>
  <si>
    <t xml:space="preserve">عمل صيانة دورية للبناية الثانية  بكافة الطوابق </t>
  </si>
  <si>
    <t>اعادة سقف ثانوي متحرك في البناية الثالثة الطابق الثاني الزون B</t>
  </si>
  <si>
    <t>تم تثبيت خشبة عدد ١ في البناية الثالثة الطابق الاول الزون B صف الاول أ</t>
  </si>
  <si>
    <t>تم تثبيت قطع مرمر عدد ٢ قرب باب الستعلامات البناية الثالثة</t>
  </si>
  <si>
    <t>تم متابعة وفحص مضخة الاطفاء الثانوية في البناية الاولى  وتم اعادة مضخة الإطفاء الديزل الى الخدمة بعد تبديل البطارية</t>
  </si>
  <si>
    <t>تم استبدال بلك سويج حراري 15A بدل سويچ عادي 13A في الطابق الثاني البناية الرابعة في المطعم</t>
  </si>
  <si>
    <t xml:space="preserve">
تم تأسيس وربط شبكة المجاميع الصحية في البناية الثانية 
</t>
  </si>
  <si>
    <t xml:space="preserve">تم فحص البناية الثالثة  تبديل إنارة ،إعادة تشغيل سخان في صحيات الطابق الثاني زون A، تبديل سبوت لايت في صحيات </t>
  </si>
  <si>
    <t>تم تبديل بوكسات الإستراحة الخاصة بتغذية (الساحبات) في جميع البنايات</t>
  </si>
  <si>
    <t>إعادة تثبيت و تغيير الربط لإنارة ( شمعة جدارية) 
سطح البناية الرابعة زون A</t>
  </si>
  <si>
    <t>اعادة سقف ثانوي متحرك عدد ١٤ في البناية الاولى الزون B مختلف الطوابق</t>
  </si>
  <si>
    <t>تم تثبيت سحبة عدد ١ في البناية الثالثة الطابق الثاني الزون A المصلى</t>
  </si>
  <si>
    <t>تم تثبيت خشبة عدد ١ في البناية الاولى الطابق الثاني الزون B صف الخامس أ</t>
  </si>
  <si>
    <t>تم صيانة تور شباك عدد ١ في البناية الاولى الطابق الارضي الزون B صف الرابع و</t>
  </si>
  <si>
    <t>تم تبديل ديك شباك قلاب في البناية الاولى الطابق الارضي الزون B صف الرابع هـ</t>
  </si>
  <si>
    <t>اعادة ربط مروحة سقفية بعد صيانتها في البناية الثالثة الطابق الأرضي</t>
  </si>
  <si>
    <t>اضافة مأخذ قدرة في غرفة الميكانيك البناية الاولى الطابق الأول</t>
  </si>
  <si>
    <t>تم صيانة يدة باب الحديد الساحة ط ارضي المدرسة الثانية</t>
  </si>
  <si>
    <t>تم صيانة رحلات عدد (١٠) ط الثاني المدرسة الثانية</t>
  </si>
  <si>
    <t>تم صيانة رحلات عدد (٩) ط أول المدرسة الثانية</t>
  </si>
  <si>
    <t>تم تبديل يدة باب المنيوم صحيات عدد(٥)ط ارضي المدرسة الثانية</t>
  </si>
  <si>
    <t>تم تعديل رزه باب المنيوم صحيات ط ارضي المدرسة الثانية</t>
  </si>
  <si>
    <t xml:space="preserve">تم ربط كارت سبلت انفيرتر في غرفة الألواح الشمسية </t>
  </si>
  <si>
    <t>صيانة تغذية الساحبات في البناية الثالثة واعادتها للعمل</t>
  </si>
  <si>
    <t>تم صب ٧ قواعد الى مجموعة بواري الصحيات البناية الثانية الطابق الثاني</t>
  </si>
  <si>
    <t>تم فحص جميع الساحبات في جميع البنايات</t>
  </si>
  <si>
    <t xml:space="preserve">لحام بريك الباب الحديدية
</t>
  </si>
  <si>
    <t>صيانة انارة منشورية 60 ×60 بأستبدال المحولة الخاصة بها في البناية الثالثة الطابق الارضي زون A</t>
  </si>
  <si>
    <t>تم اكمال عمل الصيانة لسبلت انفيرتر في غرفة الالواح الشمسية</t>
  </si>
  <si>
    <t xml:space="preserve"> صيانة وتبديل بورد  طوّافة  خزان الماء</t>
  </si>
  <si>
    <t xml:space="preserve">
تم صيانة كاك في البناية الثالثة 
</t>
  </si>
  <si>
    <t>تم إعادة ترتيب بوردات عدد 3 في سطح البناية الأولى .</t>
  </si>
  <si>
    <t xml:space="preserve">تم إكمال صب ارضية الصحيات البناية الثانية الطابق الثاني </t>
  </si>
  <si>
    <t xml:space="preserve">لوحات  تعريفية البناية الثانية والثالثة والأولى </t>
  </si>
  <si>
    <t xml:space="preserve">تبديل يدة باب الاستعلامات الطابق الارضي البناية الرابعة </t>
  </si>
  <si>
    <t xml:space="preserve">تم تبديل يدة باب خشب غرفة الميكانيك طابق الاول زون A مدرسة الأولى </t>
  </si>
  <si>
    <t>تم اضافة غاز الى vrf البناية الثالثة الطابق الارضي زون B لانهاء اعمال الصيانة.</t>
  </si>
  <si>
    <t xml:space="preserve">تم تبديل محولة سبوت لايت </t>
  </si>
  <si>
    <t xml:space="preserve">تم فحص البناية الأولى 
 تثبيت عدد من سويج الإنارة + بلك سويج </t>
  </si>
  <si>
    <t>اعمال تطبيك سراميك الصحيات في البناية الثانية الطابق الثاني</t>
  </si>
  <si>
    <t>صيانة بيم نرمادة باب خشب في الصحيات  الطابق الاول البناية الثالثة الزون(B)</t>
  </si>
  <si>
    <t>تثبيت مصدة باب خشب في الصحيات الطابق الاول البناية الرابعة الزون (B)</t>
  </si>
  <si>
    <t>صيانة باب خشب الصف الرابع الاعدادي(د) الطابق الأول الزون(B) الصف الرابع (و) الطابق الثاني الزون (B)
الصف الثالث متوسط(أ) الطابق الارضي الزون (B)البناية الرابعة</t>
  </si>
  <si>
    <t>ارجاع قطع سقف ثاني في مختلف طوابق البناية الثالثة الزون(B)</t>
  </si>
  <si>
    <t>إعادة تثبيت سبوت لايت في  الصحيات في الطابق الثاني 
وإعادة تثبيت سويج إنارة و بوكس أحادي في الطابق الأول 
وتبديل محولة لإنارة 60*60 عدد 1 في الطابق الأول.</t>
  </si>
  <si>
    <t>صيانة قطعة خشب(mdf) في جدار الصف الاول متوسط (ج) الطابق الاول البناية الثالثة الزونB</t>
  </si>
  <si>
    <t>تبديل ضفدع شباك قلاب عدد(3) في البناية الثالثة الطابق الثاني الزون B</t>
  </si>
  <si>
    <t xml:space="preserve">تغذية انارة غرف الكهرباء  الطابق الأرضي والطابق الأول زون B من الطاقة الشمسية </t>
  </si>
  <si>
    <t>تم تبديل لبة باب المنيوم في البناية الاولى الطابق الاول الزون A ( الصحيات)</t>
  </si>
  <si>
    <t>تم تبديل لبة باب المنيوم في البناية الثالثة الطابق الاول الزون A ( الصحيات)</t>
  </si>
  <si>
    <t>تم تثبيت بردة في البناية الاولى الطابق الثاني الزون A المصلى</t>
  </si>
  <si>
    <t>تم تثبيت قطعة هزارة في البناية الثالثة الطابق الارضي الزون A</t>
  </si>
  <si>
    <t>تم تثبيت قطعه هزارة في البناية الثالثة الطابق الارضي الزون A</t>
  </si>
  <si>
    <t xml:space="preserve">تغذية انارة غرف الكهرباء  الطابق الأرضي زون B والطابق الأول زون A من الطاقة الشمسية 
</t>
  </si>
  <si>
    <t>تم تنظيف فلتر الشوتة الخاص بمضخة الديزل الثانوية</t>
  </si>
  <si>
    <t>تم صيانة وتثبيت بردة في البناية الرابعة الطابق الاول الزون A غرفة الارشاد</t>
  </si>
  <si>
    <t>تم تبديل يدة باب المنيوم عدد ٢  في صحيات البناية الرابعة الطابق الارضي الزون B</t>
  </si>
  <si>
    <t>تم تبديل تاير حاوية عدد ٢</t>
  </si>
  <si>
    <t>تم صيانة جكن واير في سطوح البناية الثالثة و البناية رابعة</t>
  </si>
  <si>
    <t>تم تبديل سيت ولف في سخان الخارجي (الامنية)</t>
  </si>
  <si>
    <t>تم صيانة سبلت في غرفة الراكات في البناية الثانية طابق الأرضي</t>
  </si>
  <si>
    <t xml:space="preserve">
تم تنصيب مقعد غربي في البناية الثانية طابق الثاني
تم تنصيب خزان طراد الماء (الفلاش) في البناية الثالثة</t>
  </si>
  <si>
    <t>تم صيانة واضافة جكن واير الى مناور الاسطح في البناية الاولى والثانية</t>
  </si>
  <si>
    <t>تم فحص وصيانة البناية الثالثة والرابعة بالكامل</t>
  </si>
  <si>
    <t xml:space="preserve">وفق الصور المرسلة  يدة باب الحمامات  وسقوط بردة الزيبرا   وتطايرا الواح السقف الثانوي </t>
  </si>
  <si>
    <t xml:space="preserve">اصلاح اسلايت السبورة الذكية الثالث  </t>
  </si>
  <si>
    <t>تبديل قفل (ضفدع) شباك حديد</t>
  </si>
  <si>
    <t xml:space="preserve"> فصل تغذية ماطور الماء المتواجد بقرب غرفة الاستعلامات البناية الثانية</t>
  </si>
  <si>
    <t xml:space="preserve">ربط منظومة VRF في البناية الثالثة بالكهرباء بمساعدة وحدة الكهرباء </t>
  </si>
  <si>
    <t xml:space="preserve">أعادة ربط اسلاك التغذية الخاصة بأحدى قطع  vrf الخارجية في سطح البناية الثالثة بعد اكمال اعمال الصيانة لدى وحدة الميكانيك. 
</t>
  </si>
  <si>
    <t>عمل فاكيوم وشحن غاز لسبلت اعتيادي في البناية الرابعة الطابق الارضي</t>
  </si>
  <si>
    <t>تم اعادة سقف ثانوي متحرك في البناية الرابعة الطابق الثاني الزون B عدد 9</t>
  </si>
  <si>
    <t>تم اضافة مصد باب الى باب صحيات البناية الثالثة الطابق الاول الزون B</t>
  </si>
  <si>
    <t>تم اضافة مرد ماء  في صحيات البناية الثالثة الطابق الاول الزون A</t>
  </si>
  <si>
    <t>تبديل قفل (ضفدع) شباك حديد
​</t>
  </si>
  <si>
    <t>تغذية انارة غرفة الكهرباء  الطابق الأرضي زون B  من الطاقة الشمسية في البناية الأولى</t>
  </si>
  <si>
    <t>تم تثبيت مرد ماء عدد ٤ في صحيات البناية الثانية الطابق الثاني</t>
  </si>
  <si>
    <t>تم تبديل يدة شباك قلاب صف الثاني (ب) ط ارضي زون B المدرسة الثالثة</t>
  </si>
  <si>
    <t>تم تبديل يدة شباك صف الثاني(أ) ط ارضي زون B المدرسة الثالثة</t>
  </si>
  <si>
    <t>صيانة تور شباك صف الثاني (و) مع تركيب مصد الباب ط ارضي زون B المدرسة الثالثة</t>
  </si>
  <si>
    <t>تم تثبيت خشبة الجدار مع تركيب برغي كيلون باب الخشبية صف الثاني (ه‍) ط ارضي زون B المدرسة الثالثة</t>
  </si>
  <si>
    <t>تم تثبيت خشبة الجدار صف الثاني (د) ط ارضي زون B المدرسة الثالثة</t>
  </si>
  <si>
    <t>تم تبديل يدة شباك قلاب صف الثاني (د) ط ارضي زون B المدرسة الثالثة</t>
  </si>
  <si>
    <t>تركيب مردات ماء قطعة عدد (2)
الصحيات الطابق الاول البناية الثالثة الزونB .</t>
  </si>
  <si>
    <t>تبديل يدة شباك حديد  
الصف الاول متوسط (أ)
الطابق الاول الزونB البناية الثالثة</t>
  </si>
  <si>
    <t>اعمال تنزيل البحص من البناية الثانية الطابق الثاني الى الكراج</t>
  </si>
  <si>
    <t xml:space="preserve">
تم تبديل بوستر ماطور ماء واصلاحه  قرب غرف الامنية في البناية الثانية </t>
  </si>
  <si>
    <t>تم تركيب قطعة تعريفية في ثانوية سيد الماء طابق ارضي غرفة الاعلام التربوي المدرسة الثالثة زون A</t>
  </si>
  <si>
    <t>تم صيانة الأبواب خشب البناية الرابعة طابق اول وثاني وثالث زون B</t>
  </si>
  <si>
    <t>تم تنزيل البحص بعد اكمال  من البناية الثانية
الطابق الثاني الىً الكراج</t>
  </si>
  <si>
    <t>صيانة ابواب خشب مع تزيتها عدد ٦ في المدرسة الثالثة الزون B</t>
  </si>
  <si>
    <t>صيانة مصدات ابواب عدد ٥ في المدرسة الثالثة</t>
  </si>
  <si>
    <t>صيانة وتبديل يدات شباك عدد ٣ في المدرسة الثالثة</t>
  </si>
  <si>
    <t>تم صيانة وتبديل تايرات عربانة طعام في البناية الثالثة الطابق الاول الزون A</t>
  </si>
  <si>
    <t>تثبيت السبورة في صف الثالث و عاجلا لو سمحتم</t>
  </si>
  <si>
    <t>تم صيانة خمسة أبواب في جميع الطوابق زون B المدرسة الأولى</t>
  </si>
  <si>
    <t>تم صيانة يدات شباك قلاب عدد (٣) في جميع الطوابق زون B المدرسة الأولى</t>
  </si>
  <si>
    <t>تم تبديل لبة باب الفاصل بين الزونين الطابق الثاني البناية الرابعة</t>
  </si>
  <si>
    <t xml:space="preserve">تم تثبيت سبورة في البناية الثالثة الطابق الاول الزون A. </t>
  </si>
  <si>
    <t>تم تثبيت صندوق اسعافات اوليه 
في البناية الثالثة الطابق الاول الزون A 
                مختبر الاحياء</t>
  </si>
  <si>
    <t>تم تشخيص سبب انقطاع الإنترنت، حيث تبين وجود خلل في أحد جوزات الراك الخاص بالإنترنت والصوتيات.
.تمت معالجة الخلل وإعادة الخدمة إلى العمل بصورة طبيعية.</t>
  </si>
  <si>
    <t xml:space="preserve">
معالجة عطل UPS والشاشات الذكية والإنترنت
</t>
  </si>
  <si>
    <t>صيانة عطل في الفيوز الخاص بالقواطع ATS البناية الرابعة</t>
  </si>
  <si>
    <t>تم اعادة تركيب خشبة الجدار في صف الثاني (ب) و الثاني (و) ط ارضي زون B المدرسة الثالثة</t>
  </si>
  <si>
    <t xml:space="preserve">
اضافة بلك سويج 13A عدد 2 لتغذية (برادات الحانوت).</t>
  </si>
  <si>
    <t>تمّت صيانة الخط وإصلاح القطع، ثم أُعيد تشغيل الشاشة وعادت للعمل بشكل طبيعي</t>
  </si>
  <si>
    <t xml:space="preserve">تم تسيت تايمر الخاص بعمل المولدات يعمل مابين الساعه 7 صباحا الى 3 مساءً </t>
  </si>
  <si>
    <t>تم صيانة يدات ابواب المنيوم عدد (٢) صحيات ط ارضي و ط أول المدرسة الأولى</t>
  </si>
  <si>
    <t>تم صيانة تور شباك عدد (٧) في جميع الطوابق زون B المدرسة الأولى</t>
  </si>
  <si>
    <t>تم صيانة يدة باب المنيوم صحيات ط أول زون A المدرسة الرابعة</t>
  </si>
  <si>
    <t>تم صيانة خشبة الجدار صف الخامس (أ) ط الثاني زون B المدرسة الأولى</t>
  </si>
  <si>
    <t>تم صيانة سرقي باب الحديد المطلة على الحديقة</t>
  </si>
  <si>
    <t>تم صيانة بيم باب خشب في البناية الرابعة الطابق الاول الزون B الرابع د</t>
  </si>
  <si>
    <t>اعادة سقف ثانوي متحرك عدد ٦ البناية الرابعة الطابق الأول الزون B</t>
  </si>
  <si>
    <t>تبديل يدة شباك في البناية الرابعة الطابق الثاني الزون B الخامس أ</t>
  </si>
  <si>
    <t>تم تزيت باب الفاصل بين الزونين البناية الرابعة الطابق الارضي</t>
  </si>
  <si>
    <t>تم تبديل يدة شباك في البناية الرابعة الطابق الارضي الزون B الثالث ج</t>
  </si>
  <si>
    <t xml:space="preserve">صيانة جهاز الـ ATS الخاص بالبناية الرابعة بعد حدوث خلل فيه يمنعه من التحويل الالي الى احد الاوضاع </t>
  </si>
  <si>
    <t xml:space="preserve">صيانة رحلات في جميع الصف لطفا تجييك الرحلات  لكل البنيات ونستغل فرصة العطلة مع احترامي وتقديري للجميع
</t>
  </si>
  <si>
    <t>صحيات الطلاب نقص كاك قفل شطاف صحيات الادارية  عطل سبوت لايت للجهتين  مع احترامي وتقديري</t>
  </si>
  <si>
    <t>صيانة تور عدد(2)+ تبديل ضفدع شباك قلاب عدد(3) الصف الاول(و) ط ارضي زون B المدرسة الثالثة</t>
  </si>
  <si>
    <t>تم اعادة تركيب خشبة الجدار +تور شباك عدد(2)في صف الثاني (ج) ط ارضي زون B المدرسة الثالثة</t>
  </si>
  <si>
    <t>تم صيانة وتعديل كاربت في الكراج</t>
  </si>
  <si>
    <t>تم تضليل شبابيك عدد ٧ في البناية الاولى الطابق الاول الزون A غرفة مجاور المختبر</t>
  </si>
  <si>
    <t>تم تضليل شباك قلاب عدد ٢ في البناية الرابعة الطابق الثاني الزون B الخامس ج</t>
  </si>
  <si>
    <t xml:space="preserve">
تم تركيب ماسك شطاف في البناية الرابعة الطابق الثاني ZB        
     </t>
  </si>
  <si>
    <t xml:space="preserve">
تم استبدال كاك زاوية في صحيات البناية الاولى ZBالارضي
</t>
  </si>
  <si>
    <t>صيانة رحلات عدد(17) في جميع الصفوف مختلف طوابق البناية الثالثة الزونB</t>
  </si>
  <si>
    <t>تركيب لوحات تعريفية عدد(6) في البناية الاولى عدد(1) الزون A  الطابق الارضي البناية الثانية عدد(5) الطابق الارضي</t>
  </si>
  <si>
    <t>تركيب لوحات إرشادية عدد (3) مختبر الفيزياء+مختبر الاحياء الطابق الاول الزون A في البناية الثالثة عدد(2)+البناية الاولى عدد(1)</t>
  </si>
  <si>
    <t>صيانة قطع في إشارة المولدة واشارة الشاشة الرقمية في البناية الرابعة تم اعادتهم إلى العمل بصورة صحيحة</t>
  </si>
  <si>
    <t>صيانة جهاز الـ ATS الخاص بالبناية الرابعة بعد حدوث خلل فيه يمنعه من التحويل الالي الى احد الاوضاع وإعادة اللوحة للخدمة</t>
  </si>
  <si>
    <t>تم شد صندوق خشب في البناية الثالثة الطابق الارضي الزون B</t>
  </si>
  <si>
    <t>تم تبديل لبة باب حديد في البناية الرابعة الطابق الاول الزون A المختبر</t>
  </si>
  <si>
    <t>تبديل يدة شباك حديد عدد (1) الصف الثاني أ المدرسة الثانية</t>
  </si>
  <si>
    <t>صيانة باب الالمنيوم الطابق الارضي البناية الثانية الباب الخلفي قرب الصحيات</t>
  </si>
  <si>
    <t>تركيب لوحات إرشادية وعدد (3) مختبر الفيزياء+مختبر الاحياء الطابق الاول الزون A في البناية الرابعة عدد(3)</t>
  </si>
  <si>
    <t>فحص و صيانة مراوح بوردات غرف الكهرباء في البنايات الأربعة</t>
  </si>
  <si>
    <t>تم صيانة وتعديل حنفيات برادات ماء بناية الأولى</t>
  </si>
  <si>
    <t>تم استبدال كاك زاوية في صحيات البناية الرابعة الطابق الاول زون B</t>
  </si>
  <si>
    <t xml:space="preserve"> تغذية إنارة الملعب الثاني بالطاقة الشمسية
</t>
  </si>
  <si>
    <t>تسليك من بورد غرفة المضخات امتدادا ببوري بلاستيك الى الحفره البلاستك (المنهوله) و تسليك كيبل الى الحفره البلاستك أسفل بورد الملعب الاول.</t>
  </si>
  <si>
    <t xml:space="preserve"> تغذية إنارة الملعب بالطاقة  الشمسية.</t>
  </si>
  <si>
    <t>تمً صيانة كرسي في البناية الرابعة الطابق الاول الزون A</t>
  </si>
  <si>
    <t>تم صيانة رحلات عدد (٢٣) في جميع الطوابق زون B المدرسة الأولى</t>
  </si>
  <si>
    <t>تم صيانة بيم باب في البناية الرابعة الطابق الثاني الزون B الخامس أ</t>
  </si>
  <si>
    <t>تنصيب لوحة مع وسائل تعليمية واصلاح نرمادة باب للمكتبة  مع الاحترام والتقدير</t>
  </si>
  <si>
    <t>تم تبديل يدة باب الحديد الرئيسية ط ارضي زون A المدرسة الثالثة</t>
  </si>
  <si>
    <t>فصل تغذيه اناره الملعب الاول عن الطاقة الشمسية واعادة تغذية إلى الوطني</t>
  </si>
  <si>
    <t>تغير ربط إنارة الطاقة الشمسية في صحيات البناية الأولى زون A طابق الأول  ( مجاور غرفت الميكانيك)</t>
  </si>
  <si>
    <t>تم تضليل شبابيك في البناية الرابعة في الطابق الارضي طابق الاول الزون B</t>
  </si>
  <si>
    <t>تم تبديل لبة باب خشب صحيات ط أول زون A المدرسة الأولى</t>
  </si>
  <si>
    <t>تم تبديل يدة باب المنيوم صحيات القاعة الرياضية المطلة على المدرسة الأولى</t>
  </si>
  <si>
    <t>تم إطفاء الهيترات من البود الموجود على سطح البناية  ومن غرفة المحولات تجنب وصول الماء الساخن إلى مضخة الحريق</t>
  </si>
  <si>
    <t>تم صيانة المصعد الكهربائي الخاص في البناية الثالثة (المتوسطة) بالتعاون مع شعبة المصاعد...</t>
  </si>
  <si>
    <t>اعمال البناية الرابعة العمل تضليل شبابيك الطابق الثاني الزون B</t>
  </si>
  <si>
    <t>اعمال اعادة سقف ثانوي متحرك في البناية الرابعة الطابق الثاني الزون B عدد ٩</t>
  </si>
  <si>
    <t>تم اعادة سقف ثانوي متحرك في البناية الاولى في جميع الطوابق زون B عدد ٣٨</t>
  </si>
  <si>
    <t xml:space="preserve"> صيانة 30 قطعة سقف ثانوي في بناية ثالثة 
طابق اول وثاني</t>
  </si>
  <si>
    <t>تم تبديل يدة باب المنيوم في صحيات البناية الرابعة الطابق الاول الزون A</t>
  </si>
  <si>
    <t>تم وجود تسريب في صوندة البراد الماء أرو تم إصلاحها واعادته في البناية الثالثة طابق الأرضي زون B</t>
  </si>
  <si>
    <t>تغذية حاسبة وحدة الميكانيك عن طريق UBS</t>
  </si>
  <si>
    <t xml:space="preserve">تم تبديل جوزة سعة (10A) بجوزة جديدة سعة (16A)، وذلك بسبب وجود حمل زائد على الجوزة السابقة
</t>
  </si>
  <si>
    <t>تم تبديل قفل يدة شباك قلاب عدد (٤) ط الثاني زون A  المدرسة الأولى</t>
  </si>
  <si>
    <t>تم ارجاع بيم باب خشب صف المكتبه ط أول زون A المدرسة الثالثة</t>
  </si>
  <si>
    <t>تم ارجاع قطع سقف ثانوي عدد (٢) ط أول زون A مختبر الكيمياء و الفيزياء المدرسة الثالثة</t>
  </si>
  <si>
    <t>تم صيانة تور شباك عدد(٢)صف الأول (د) ط أول زون B المدرسة الثالثة</t>
  </si>
  <si>
    <t>تم صيانة تور شباك عدد (٧) في جميع الطوابق زون B المدرسة الثالثة</t>
  </si>
  <si>
    <t>تم تبديل يدة شباك صف الثاني (ه‍) ط أول زون B المدرسة الثالثة</t>
  </si>
  <si>
    <t>تم تبديل يدة شباك صف الثاني (د) ط أول زون B المدرسة الثالثة</t>
  </si>
  <si>
    <t>تم صيانة رحلات عدد (10) في جميع الطوابق زون B المدرسة الثالثة</t>
  </si>
  <si>
    <t>صيانة وتزييت جميع الأبواب للبنايه الاولى الطابق الأرضي والأول والثاني</t>
  </si>
  <si>
    <t>تم عمل تضليل شباك في البناية الثالثة الطابق الاول  الزون B الثاني ح</t>
  </si>
  <si>
    <t>صيانة وتزييت جميع الأبواب للبنايه الثانية الطابق الأرضي والأول والثاني</t>
  </si>
  <si>
    <t>تم صيانة تور عدد (3) في البناية الاولى الطابق الاول الزون B الخامس ط</t>
  </si>
  <si>
    <t>تم صيانة جرجوبة باب خشب في البناية الاولى الطابق الارضي الزون B الرابع ج</t>
  </si>
  <si>
    <t>تم صيانة تور عدد(2) في البناية الاولى الطابق الارضي الزون B الرابع و</t>
  </si>
  <si>
    <t xml:space="preserve">وجود رخاوه في سويج رباعي لانارة غرفة وحدة الميكانيك </t>
  </si>
  <si>
    <t>تم تزيت الباب الفاصل بين الزونين البناية الرابعة الطابق الاول</t>
  </si>
  <si>
    <t>تم صيانة تور عدد ٢ في البناية الرابعة الطابق الاول الزون B الرابع ب</t>
  </si>
  <si>
    <t>تم صيانة باب خشب في البناية الرابعة الطابق الاول الزون B الرابع أ</t>
  </si>
  <si>
    <t>تم اعادة سقف ثانوي متحرك عدد ٣ في البناية الثالثة الطابق الثاني الزون B</t>
  </si>
  <si>
    <t>تم غلق فتحة في الطابوك والفوم في الممر غرفة التابعه على المحولات الكهرباء البناية الثانية الطابق الارضي</t>
  </si>
  <si>
    <t xml:space="preserve">تم تثبيت خشبة جدار في البناية الثالثة الطابق الارضي الزون B الثاني </t>
  </si>
  <si>
    <t xml:space="preserve">تم تبديل ديكً شباك قلاب عدد ٢ وسركي شباك قلاب ١
البناية الثالثة الطابق الارضي الزون B الثاني </t>
  </si>
  <si>
    <t>تم تبديل يدة باب المنيوم في صحيات البناية الثانية الطابق الارضي</t>
  </si>
  <si>
    <t>تم اعادة سقف ثانوي متحرك عدد ٢ في البناية الرابعة الطابق الثاني الزون B</t>
  </si>
  <si>
    <t>صيانة رحلات عدد ٥ في المدرسة الثالثة</t>
  </si>
  <si>
    <t>تم تبديل يدة شباك صف الخامس (د) ط أول زون B المدرسة الأولى</t>
  </si>
  <si>
    <t>تم صيانة رحلات عدد (٢٤) في جميع الطوابق زون B المدرسة الأولى</t>
  </si>
  <si>
    <t>تم صيانة تور شباك عدد (٣) صف الرابعة (أ) ط ارضي زون B المدرسة الأولى</t>
  </si>
  <si>
    <t>عدم وجود كهرباء في إحدى الصحيات</t>
  </si>
  <si>
    <t xml:space="preserve">
 وجود رخاوة في التوصيلات داخل صحيات الطابق الأرضي – البناية الثانية</t>
  </si>
  <si>
    <t xml:space="preserve">
تم معالجة تسريب ماء براد في البناية الاولى الطابق الارضي za
</t>
  </si>
  <si>
    <t>تم وضع مادة سليكون الى باب ساحه الزون A الطابق الارضي البناية الاولى</t>
  </si>
  <si>
    <t>تم تثبيت قطعة هزارة في البناية الاولى الطابق الارضي الزون B الرابع و</t>
  </si>
  <si>
    <t>تم تبديل يدة شباك في البناية الاولى الطابق الارضي الزون B الرابع د</t>
  </si>
  <si>
    <t>تم ثييت لوحة تعريفية في البناية الاولى الطابق الارضي الزون B الرابع ب</t>
  </si>
  <si>
    <t>اعادة سقف ثانوي متحرك في البناية الرابعة الطابق الثاني الزون B عدد ٣</t>
  </si>
  <si>
    <t>تم صيانة سركي باب الحديد في الكراج</t>
  </si>
  <si>
    <t>تم صيانة باب المنيوم البناية الثانية من جهة المدرسة الأولى</t>
  </si>
  <si>
    <t>تم صيانة رحلات عدد (٢٨) في جميع الطوابق المدرسة الثانية</t>
  </si>
  <si>
    <t>تم تعديل رزة باب المنيوم صحيات مع نرمادة الباب ط الثاني المدرسة الثانية</t>
  </si>
  <si>
    <t>تم تبديل يدة شباك صف الثالث (د) ط الثاني زون B المدرسة الرابعة</t>
  </si>
  <si>
    <t xml:space="preserve">صيانة باب المصعد في المدرسة الأولى بعد توقفه عن العمل وارجاعه الى الخدمة
</t>
  </si>
  <si>
    <t>تم متابعه وصيانة  صحيات البناية الرابعة و البناية الثالثة.</t>
  </si>
  <si>
    <t>تم تثبيت قطعة كابون الى باب المولدات خلف البناية الثالثة</t>
  </si>
  <si>
    <t xml:space="preserve">RO استبدال تحويله كلور في مضخة ماء
</t>
  </si>
  <si>
    <t xml:space="preserve">
-تم اضافة باندج الى بايبات السبلت الاعتيادي لشركه الامنية مخرج الكراج
</t>
  </si>
  <si>
    <t>تم اعادة سقف ثانوي متحرك عدد ٢٨ في البناية الرابعة جميع الطوابق</t>
  </si>
  <si>
    <t>تم تبديل يدات ابواب الألمنيوم الصحيات عدد (٩) في جميع الطوابق زون A-B المدرسة الرابعة ملاحظه/ ما عدا صحيات الطابق الأرضي زون B مقفل</t>
  </si>
  <si>
    <t>تم تثبيت قطه هزارة في البناية الاولى الطابق الارضي الزون B الرابع و</t>
  </si>
  <si>
    <t xml:space="preserve">
تم تبديل حنفيات عدد (6) في البناية الاولى والثالثة والرابعة ZB</t>
  </si>
  <si>
    <t xml:space="preserve">
تم اصلاح دوش غرفة الامنية وتنصيبه وعودته الى العمل
</t>
  </si>
  <si>
    <t>تم اعادة سقف ثانوي متحرك عدد ٣٥ في البناية اولى جميع الطوابق</t>
  </si>
  <si>
    <t>تم صيانة رحلات عدد ٥ طابق الثاني الزون B البناية اولى</t>
  </si>
  <si>
    <t>تم صيانة مصد خشب الطابق الثاني الزون B البناية اولى</t>
  </si>
  <si>
    <t>تم تركيب مرد ماء عدد (٧) صحيات ط ارضي و ط أول زون B المدرسة الثالثة</t>
  </si>
  <si>
    <t>تم ارجاع قطع سقف ثانوي عدد (١٣) المدرسة الثالثة ط الثاني زون B المدرسة الثالثة</t>
  </si>
  <si>
    <t>تم تثبيت خشبة محجر الدرج في البناية الاولى الطابق الاول الزون A</t>
  </si>
  <si>
    <t>تم صيانة رحلات عدد ١١ في البناية الرابعة الطابق الارضي الزون B مختلف الصفوف</t>
  </si>
  <si>
    <t>تم تثبيت خشبة جدار في البناية الرابعة الطابق الارضي الزون B صف الثالث أ</t>
  </si>
  <si>
    <t>تم صيانة بيم باب خشب وتزيت كليون الباب في البناية الرابعة الطابق الارضي الزون B صف الثالث أ</t>
  </si>
  <si>
    <t>تبديل يدة باب صحيات البناية الأولى الطابق الأرضي زون B</t>
  </si>
  <si>
    <t>تبديل لبة قفل فتحة المنور صحيات البناية الاولى الطابق الاولى زون A</t>
  </si>
  <si>
    <t>أعمال وضع مادة SPR لغرض عمل مادة المعالجة لمنور غرفة السيطره (غرفة الساحبات) البناية الثالثة الطابق الأرضي ZB</t>
  </si>
  <si>
    <t>أعمال معالجة التشققات والتعشيه الحاصله في منور غرفة السيطره ( غرفة الساحبات) بمادة fosroc 
البناية الثالثة الطابق الأرضي zone b</t>
  </si>
  <si>
    <t>تم قفل شبابيك قلاب عدد ٢ في البناية الرابعة الطابق الارضي الزون A غرفة السكرتاريه</t>
  </si>
  <si>
    <t>تم صيانة رحلات عدد ٤ في البناية الرابعة الطابق الثاني الزون B الثالث أ</t>
  </si>
  <si>
    <t>تم صيانة تور عدد ٢ في البناية الرابعة الطابق الثاني الزون B الثالث ج</t>
  </si>
  <si>
    <t>استبدال إنارة نوع + براكيت درجن</t>
  </si>
  <si>
    <t>تم تسليك كيبل من غرفة الكهرباء  في البناية  إلى البورد الخاص بتغذية أعمدة الإنارة</t>
  </si>
  <si>
    <t xml:space="preserve">
تم تثبيت منهولات كهرباء  عدد 3</t>
  </si>
  <si>
    <t>بعد إكمال أعمال تثبيت منهولات الكهرباء من قبل الشفت السابق، تمت المباشرة من قبل شفتنا لاستكمال الأعمال المتبقية في الموقع.
تم بعد ذلك تسليك ما تبقى من الأسلاك الكهربائية المغذية إلى البورد الخارجي المغذي لإنارة الحدائق، مع تنظيمها وتثبيتها بشكل أصولي. ")</t>
  </si>
  <si>
    <t>باب السطح للقاعات الرياضية</t>
  </si>
  <si>
    <t xml:space="preserve">لوحظ انه تم التحويل الى تدفئه من قبل الاساتذة </t>
  </si>
  <si>
    <t>الكهرباء والاتصالات</t>
  </si>
  <si>
    <t>الى التربية</t>
  </si>
  <si>
    <t>لا يوجد شي</t>
  </si>
  <si>
    <t>مؤجل لحين جلب المقاعد الغربي من قبل قسم التربية</t>
  </si>
  <si>
    <t>قيد الانجاز</t>
  </si>
  <si>
    <t>مؤجل لحين جلب اللعبة من قبل قسم التربية</t>
  </si>
  <si>
    <t>تسلسل</t>
  </si>
  <si>
    <t>رقم الطلب</t>
  </si>
  <si>
    <t>الوحدة المكلفة</t>
  </si>
  <si>
    <t>تاريخ الإنجاز</t>
  </si>
  <si>
    <t>نوع العمل</t>
  </si>
  <si>
    <t>2026/07/01 - 12:30 م</t>
  </si>
  <si>
    <t>ادارية معملجي</t>
  </si>
  <si>
    <t>المشاريع الهندسية</t>
  </si>
  <si>
    <t>-</t>
  </si>
  <si>
    <t>2026/07/01 - 12:31 م</t>
  </si>
  <si>
    <t>(A- المركز الثقافي)</t>
  </si>
  <si>
    <t>(طابق ارضي)</t>
  </si>
  <si>
    <t>صيانة باب رئسيية</t>
  </si>
  <si>
    <t>(F_4  جود العميد)</t>
  </si>
  <si>
    <t>2026/07/04 - 09:02 ص</t>
  </si>
  <si>
    <t>مرتضى إتصالات</t>
  </si>
  <si>
    <t>كهرباء واتصالات</t>
  </si>
  <si>
    <t>2026/07/04 - 09:09 ص</t>
  </si>
  <si>
    <t>استبدال محولة سبوت لايت عدد 3</t>
  </si>
  <si>
    <t>2026/07/04 - 09:04 ص</t>
  </si>
  <si>
    <t>تجهيز سيار كهرباء بطول 11 متر عدد 2  الى الورش التدريبية</t>
  </si>
  <si>
    <t>(متنقل)</t>
  </si>
  <si>
    <t xml:space="preserve">عمل سيار كهرباء بطول 5 متر </t>
  </si>
  <si>
    <t>2026/07/04 - 09:11 ص</t>
  </si>
  <si>
    <t>2026/07/04 - 09:13 ص</t>
  </si>
  <si>
    <t>(E_3  ابتدائية العميد)</t>
  </si>
  <si>
    <t>فتح انارة منشورية عاطلة عدد 6 لغرض الصيانة</t>
  </si>
  <si>
    <t>2026/07/04 - 09:12 ص</t>
  </si>
  <si>
    <t>استبدال محولات سبوت لايت 24 واط عدد 3</t>
  </si>
  <si>
    <t>صيانة انارة منشورية عدد 6 واعادة تثبيتها</t>
  </si>
  <si>
    <t>2026/07/04 - 09:14 ص</t>
  </si>
  <si>
    <t>(C_1  الاعدادية)</t>
  </si>
  <si>
    <t>فحص مولدة المدرسة واصلاح الاعطال بها</t>
  </si>
  <si>
    <t>2026/07/04 - 09:15 ص</t>
  </si>
  <si>
    <t>(طابق 4) ، (الكاميرات)</t>
  </si>
  <si>
    <t xml:space="preserve">استبدال محولة سبوت لايت 24 واط </t>
  </si>
  <si>
    <t>2026/07/04 - 09:16 ص</t>
  </si>
  <si>
    <t>2026/07/04 - 09:17 ص</t>
  </si>
  <si>
    <t>(كل البنايات)</t>
  </si>
  <si>
    <t>تسجيل قراءات المحولات ضمن الخطة الشهرية لحساب  الاستهلاك من الكهرباء الوطني</t>
  </si>
  <si>
    <t>2026/07/04 - 09:18 ص</t>
  </si>
  <si>
    <t>تفعيل ميزة Auto Start لضمان عمل الاجهزة عند نفاذ الشحن وعودته للعمل</t>
  </si>
  <si>
    <t>2026/07/04 - 09:21 ص</t>
  </si>
  <si>
    <t>2026/07/04 - 09:22 ص</t>
  </si>
  <si>
    <t>(طابق ارضي) ، (غرفة الكهرباء)</t>
  </si>
  <si>
    <t>فتح UPS الصوتيات حجم 6KV (خارج عن الخدمة) لاسغلاله في مكان اخر</t>
  </si>
  <si>
    <t>2026/07/04 - 09:23 ص</t>
  </si>
  <si>
    <t>(طابق 1)</t>
  </si>
  <si>
    <t>استبدال UPS حجم 6KV  بسبب خلل فيه بـUPS اخر  6KV</t>
  </si>
  <si>
    <t>2026/07/04 - 12:54 م</t>
  </si>
  <si>
    <t>(G_روضة الجود)</t>
  </si>
  <si>
    <t>(الطاقة الشمسية )</t>
  </si>
  <si>
    <t xml:space="preserve"> إعادة كاميرا الغرفة الى العمل بعد توقف مفاجأ</t>
  </si>
  <si>
    <t>2026/07/04 - 12:55 م</t>
  </si>
  <si>
    <t>(طابق 4)</t>
  </si>
  <si>
    <t>عمل restart الى جهاز توجيه منظومة starlink واعادته الى الخدمة</t>
  </si>
  <si>
    <t>2026/07/05 - 01:19 م</t>
  </si>
  <si>
    <t>2026/07/05 - 03:25 م</t>
  </si>
  <si>
    <t>صيانة الباب الرئسي</t>
  </si>
  <si>
    <t>2026/07/05 - 01:22 م</t>
  </si>
  <si>
    <t>(B_روضة القمر)</t>
  </si>
  <si>
    <t>تصليح وسنفرة الطابق الارضي</t>
  </si>
  <si>
    <t>2026/07/05 - 01:24 م</t>
  </si>
  <si>
    <t>2026/07/05 - 03:24 م</t>
  </si>
  <si>
    <t>صبغ الطابق الارضي</t>
  </si>
  <si>
    <t>2026/07/05 - 01:27 م</t>
  </si>
  <si>
    <t>تصليح وسنفرة الطابق الاول</t>
  </si>
  <si>
    <t>2026/07/05 - 01:28 م</t>
  </si>
  <si>
    <t>صبغ الطابق الاول</t>
  </si>
  <si>
    <t>2026/07/05 - 01:29 م</t>
  </si>
  <si>
    <t>(طابق 2)</t>
  </si>
  <si>
    <t>تصليح وسنفرة الطابق الثاني</t>
  </si>
  <si>
    <t>صبغ الطابق الثاني</t>
  </si>
  <si>
    <t>2026/07/05 - 01:31 م</t>
  </si>
  <si>
    <t>2026/07/05 - 03:23 م</t>
  </si>
  <si>
    <t>(القاعة الرياضية مقابل الالعاب)</t>
  </si>
  <si>
    <t>صيانة شبكة العاب</t>
  </si>
  <si>
    <t>2026/07/06 - 11:45 ص</t>
  </si>
  <si>
    <t>احمد موسى</t>
  </si>
  <si>
    <t>التربية والتعليم</t>
  </si>
  <si>
    <t>الشاشات على شعبة المراقبة المدرسة</t>
  </si>
  <si>
    <t>2026/07/09 - 02:05 م</t>
  </si>
  <si>
    <t>احتياج تعليق شاشة  + احتياج تعليق بردات صفوف</t>
  </si>
  <si>
    <t>2026/07/06 - 11:46 ص</t>
  </si>
  <si>
    <t>2026/07/09 - 02:04 م</t>
  </si>
  <si>
    <t>احتياج تعليق سبورات صفوف</t>
  </si>
  <si>
    <t>2026/07/07 - 04:13 م</t>
  </si>
  <si>
    <t>2026/07/07 - 04:34 م</t>
  </si>
  <si>
    <t>(الاستعلامات الرئيسية)</t>
  </si>
  <si>
    <t>تحوير عمل سويتج انارة وايرلس RF 433MHZ ليعمل ك (Pulse switch) بدلاً من (Hold switch)</t>
  </si>
  <si>
    <t>2026/07/07 - 04:14 م</t>
  </si>
  <si>
    <t>استبدال محولات انارة منشورية 50 واط عدد 3</t>
  </si>
  <si>
    <t>2026/07/07 - 04:15 م</t>
  </si>
  <si>
    <t>اعادة تثبيت بلك سويج متحرك بسبب الاستخدام , عدد 2</t>
  </si>
  <si>
    <t>(D_2  المتوسطة)</t>
  </si>
  <si>
    <t>(طابق ارضي) ، (Zone B)</t>
  </si>
  <si>
    <t>معالجة خلل كهربائي في سلك التغذية الخاص بـ بورد الشاشات الذكية</t>
  </si>
  <si>
    <t>2026/07/07 - 04:16 م</t>
  </si>
  <si>
    <t>استبدال ماشة 15 امبير لسماور</t>
  </si>
  <si>
    <t>2026/07/07 - 04:17 م</t>
  </si>
  <si>
    <t>(الامنية)</t>
  </si>
  <si>
    <t>فحص المبردة بعد التبليغ عن وجود خلل</t>
  </si>
  <si>
    <t>2026/07/07 - 04:33 م</t>
  </si>
  <si>
    <t>اعادة  تشغيل منظومة انذار الحريق</t>
  </si>
  <si>
    <t>2026/07/07 - 04:18 م</t>
  </si>
  <si>
    <t>(الحانوت)</t>
  </si>
  <si>
    <t xml:space="preserve">استبدال بلك سويج 13 امبير </t>
  </si>
  <si>
    <t>2026/07/07 - 04:19 م</t>
  </si>
  <si>
    <t>(متفرقة)</t>
  </si>
  <si>
    <t xml:space="preserve">عمل سيار كهرباء 13 امبير طول 4 متر </t>
  </si>
  <si>
    <t>2026/07/07 - 04:20 م</t>
  </si>
  <si>
    <t xml:space="preserve">عمل سيار كهرباء 13 امبير يحوي منفذين طول 4 متر </t>
  </si>
  <si>
    <t>2026/07/07 - 04:21 م</t>
  </si>
  <si>
    <t>(الاستعلامات)</t>
  </si>
  <si>
    <t>اضافة تري كيبل لتغليف اسلاك المكتب</t>
  </si>
  <si>
    <t>2026/07/07 - 04:22 م</t>
  </si>
  <si>
    <t>(شعبة الصيانة)</t>
  </si>
  <si>
    <t>(محطة الرفع)</t>
  </si>
  <si>
    <t>صيانة جهاز التحويل ATS العاطل وفحصه وخزنه للاحتياط</t>
  </si>
  <si>
    <t>2026/07/07 - 04:23 م</t>
  </si>
  <si>
    <t>2026/07/07 - 04:32 م</t>
  </si>
  <si>
    <t xml:space="preserve">صيانة المولدة بقدرة  1MVA </t>
  </si>
  <si>
    <t>صيانة المولدة بقدرة 250KVA</t>
  </si>
  <si>
    <t>2026/07/07 - 04:24 م</t>
  </si>
  <si>
    <t>(5_H  ابتدائية القمر)</t>
  </si>
  <si>
    <t>استبدال محولات انارة منشورية عدد 4</t>
  </si>
  <si>
    <t>تسجيل قراءات مقايس الأحمال لبنايات المجمع في الساعة 08:30 AM</t>
  </si>
  <si>
    <t>2026/07/07 - 04:25 م</t>
  </si>
  <si>
    <t>اعادة تركيب ابواب بورد السيطرة الكبير</t>
  </si>
  <si>
    <t>2026/07/07 - 04:26 م</t>
  </si>
  <si>
    <t>(البيوت الخارجية)</t>
  </si>
  <si>
    <t>اعادة تشغيل القاطع  10 مرات نتيجة الفصل المتكرر بسبب الاحمال العالية</t>
  </si>
  <si>
    <t>2026/07/09 - 10:08 ص</t>
  </si>
  <si>
    <t>2026/07/11 - 11:25 ص</t>
  </si>
  <si>
    <t>صيانة ستولات مختبر الحاسوب والعلوم 0  نقص براغي</t>
  </si>
  <si>
    <t>2026/07/09 - 10:10 ص</t>
  </si>
  <si>
    <t>تثبيت ستائر مختبر العلوم والحاسوب</t>
  </si>
  <si>
    <t>2026/07/09 - 10:55 ص</t>
  </si>
  <si>
    <t>2026/07/09 - 01:40 م</t>
  </si>
  <si>
    <t>حمامات الطابق الارضي والساحة المستطيلة لايوجد فيها ماء</t>
  </si>
  <si>
    <t>2026/07/09 - 10:56 ص</t>
  </si>
  <si>
    <t>2026/07/09 - 01:41 م</t>
  </si>
  <si>
    <t>صيانة حنفيات الحمامات لوجود اعطال فيها</t>
  </si>
  <si>
    <t>2026/07/09 - 01:50 م</t>
  </si>
  <si>
    <t>2026/07/09 - 02:03 م</t>
  </si>
  <si>
    <t>تبديل زجاج لوكر غرفة الزينبيات</t>
  </si>
  <si>
    <t>2026/07/09 - 01:52 م</t>
  </si>
  <si>
    <t>(المالية 2)</t>
  </si>
  <si>
    <t>2026/07/09 - 01:54 م</t>
  </si>
  <si>
    <t>2026/07/09 - 02:02 م</t>
  </si>
  <si>
    <t>صبغ دنك الطابق</t>
  </si>
  <si>
    <t>2026/07/09 - 01:56 م</t>
  </si>
  <si>
    <t>صيانة باب الرئيسية</t>
  </si>
  <si>
    <t>2026/07/09 - 01:57 م</t>
  </si>
  <si>
    <t>2026/07/09 - 02:01 م</t>
  </si>
  <si>
    <t>صبغ الدنك</t>
  </si>
  <si>
    <t>2026/07/09 - 01:59 م</t>
  </si>
  <si>
    <t>شد جوي في القاعة الرضية</t>
  </si>
  <si>
    <t>2026/07/09 - 02:00 م</t>
  </si>
  <si>
    <t>شد شبكة العاب في القاعة</t>
  </si>
  <si>
    <t>2026/07/09 - 02:59 م</t>
  </si>
  <si>
    <t>2026/07/09 - 03:04 م</t>
  </si>
  <si>
    <t>صيانة سبلت</t>
  </si>
  <si>
    <t>2026/07/09 - 03:02 م</t>
  </si>
  <si>
    <t>2026/07/09 - 03:05 م</t>
  </si>
  <si>
    <t>2026/07/09 - 03:03 م</t>
  </si>
  <si>
    <t>(السطح)</t>
  </si>
  <si>
    <t>Ro لا يوجد ماء</t>
  </si>
  <si>
    <t>صيانة مظخة الاطفاء الرئسية</t>
  </si>
  <si>
    <t>2026/07/11 - 07:58 ص</t>
  </si>
  <si>
    <t>2026/07/11 - 11:37 ص</t>
  </si>
  <si>
    <t>(I_6  ابتدائية الساقي)</t>
  </si>
  <si>
    <t>صيانة ثلاجة</t>
  </si>
  <si>
    <t>2026/07/11 - 08:32 م</t>
  </si>
  <si>
    <t>2026/07/11 - 09:42 م</t>
  </si>
  <si>
    <t>فحص دوري على المولدة و تشغيلها بحمل 450KW</t>
  </si>
  <si>
    <t>2026/07/11 - 08:33 م</t>
  </si>
  <si>
    <t>فحص دوري على المولدة 1MW</t>
  </si>
  <si>
    <t>2026/07/11 - 08:34 م</t>
  </si>
  <si>
    <t>2026/07/11 - 09:41 م</t>
  </si>
  <si>
    <t>(Zone B)</t>
  </si>
  <si>
    <t>تنظيف قطع داخلية لتبريد مركزي VRF عدد 4</t>
  </si>
  <si>
    <t>2026/07/11 - 08:35 م</t>
  </si>
  <si>
    <t>تثبيت قطع تبريد داخلية VRF عدد 2</t>
  </si>
  <si>
    <t xml:space="preserve">إعادة تشغيل محولة البناية ليلا </t>
  </si>
  <si>
    <t>2026/07/11 - 08:36 م</t>
  </si>
  <si>
    <t>اعدة تشغيل محولة البناية ليلا</t>
  </si>
  <si>
    <t>تغليف ATS جهاز التحويل الذي تم صيانته لخزنه</t>
  </si>
  <si>
    <t>2026/07/11 - 08:37 م</t>
  </si>
  <si>
    <t xml:space="preserve">إعادة تثبيت قطع تبريد VRF داخلية عدد 4 </t>
  </si>
  <si>
    <t>2026/07/11 - 08:43 م</t>
  </si>
  <si>
    <t>فتح قطع تبريد VRF داخلية عدد 3</t>
  </si>
  <si>
    <t>2026/07/11 - 08:44 م</t>
  </si>
  <si>
    <t>إعادة تثبيت قطع تبريد VRF داخلية عدد 4</t>
  </si>
  <si>
    <t>2026/07/11 - 09:40 م</t>
  </si>
  <si>
    <t>(الصحيات الخارجية)</t>
  </si>
  <si>
    <t xml:space="preserve">استبدال سبوت لايت تالف </t>
  </si>
  <si>
    <t>2026/07/12 - 06:13 ص</t>
  </si>
  <si>
    <t>2026/07/12 - 06:26 ص</t>
  </si>
  <si>
    <t>عمل ماشة 13 أمبير لجهاز كهربائي</t>
  </si>
  <si>
    <t>استبدال سويج سبلت 45A</t>
  </si>
  <si>
    <t>2026/07/12 - 06:14 ص</t>
  </si>
  <si>
    <t>2026/07/12 - 06:15 ص</t>
  </si>
  <si>
    <t>(الأولى + الثانية)</t>
  </si>
  <si>
    <t>فحص تشغيل المولدتين معا (تزامن) 1MW</t>
  </si>
  <si>
    <t>2026/07/12 - 06:17 ص</t>
  </si>
  <si>
    <t>عمل صيانة الى مضخة مياه جوكي باستبدال فيوز  تالف</t>
  </si>
  <si>
    <t>2026/07/12 - 06:19 ص</t>
  </si>
  <si>
    <t>2026/07/12 - 06:25 ص</t>
  </si>
  <si>
    <t>(طابق 2) ، (Zone A)</t>
  </si>
  <si>
    <t>تم فتح قطع التبريد VRF الداخلية عدد 14</t>
  </si>
  <si>
    <t>2026/07/12 - 06:20 ص</t>
  </si>
  <si>
    <t>(i_6_ابتدائية الساقي)</t>
  </si>
  <si>
    <t>إصلاح مايك الصوتيات</t>
  </si>
  <si>
    <t>2026/07/12 - 06:22 ص</t>
  </si>
  <si>
    <t>إضافة تري كيبل 16*16 لتغطية اسلاك الكهرباء</t>
  </si>
  <si>
    <t>2026/07/12 - 06:24 ص</t>
  </si>
  <si>
    <t>صيانة لوكرات عدد 2</t>
  </si>
  <si>
    <t>2026/07/12 - 06:34 ص</t>
  </si>
  <si>
    <t>اعادة تصليح وصبغ حائط</t>
  </si>
  <si>
    <t>2026/07/12 - 06:27 ص</t>
  </si>
  <si>
    <t>2026/07/12 - 06:37 ص</t>
  </si>
  <si>
    <t>صيانة رحلات عدد 2</t>
  </si>
  <si>
    <t>2026/07/12 - 06:28 ص</t>
  </si>
  <si>
    <t>صيانة يدة شباك عدد2</t>
  </si>
  <si>
    <t>2026/07/12 - 06:29 ص</t>
  </si>
  <si>
    <t>2026/07/12 - 06:30 ص</t>
  </si>
  <si>
    <t>2026/07/12 - 06:36 ص</t>
  </si>
  <si>
    <t>صيانة يدة باب المنيوم</t>
  </si>
  <si>
    <t>2026/07/12 - 06:31 ص</t>
  </si>
  <si>
    <t>2026/07/12 - 06:35 ص</t>
  </si>
  <si>
    <t>صيانة يدة باب المنيوم عدد 2</t>
  </si>
  <si>
    <t>2026/07/12 - 06:32 ص</t>
  </si>
  <si>
    <t>صيانة يدة شباك حديد</t>
  </si>
  <si>
    <t>2026/07/12 - 06:33 ص</t>
  </si>
  <si>
    <t>صيانة يدة باب المنيوم في الصحيات</t>
  </si>
  <si>
    <t>صيانة لوكر حديد صف الثاني ج</t>
  </si>
  <si>
    <t>2026/07/13 - 01:09 م</t>
  </si>
  <si>
    <t>2026/07/30 - 01:44 م</t>
  </si>
  <si>
    <t>التبريد لا يعمل</t>
  </si>
  <si>
    <t>2026/07/13 - 01:19 م</t>
  </si>
  <si>
    <t>2026/07/13 - 01:20 م</t>
  </si>
  <si>
    <t>صيانة رحلات مدرسية عدد 2</t>
  </si>
  <si>
    <t>صيانة ميز معلمة</t>
  </si>
  <si>
    <t>صيانة لوكرات</t>
  </si>
  <si>
    <t>2026/07/13 - 02:04 م</t>
  </si>
  <si>
    <t>2026/07/13 - 02:09 م</t>
  </si>
  <si>
    <t>فتح وتنظيف قطع تبريد داخلية VRF عدد 2</t>
  </si>
  <si>
    <t>2026/07/13 - 02:05 م</t>
  </si>
  <si>
    <t xml:space="preserve">غسل القطع الداخلية </t>
  </si>
  <si>
    <t xml:space="preserve">استبدال مصباح إشارة قاطع كهرباء البيوت </t>
  </si>
  <si>
    <t>2026/07/13 - 02:06 م</t>
  </si>
  <si>
    <t>ربط ماشة 13A الى سيار مؤقت حسب احتياج قسم التربية</t>
  </si>
  <si>
    <t>غسل قطع تبريد داخلية VRF عدد 7</t>
  </si>
  <si>
    <t>2026/07/13 - 02:07 م</t>
  </si>
  <si>
    <t>2026/07/13 - 02:10 م</t>
  </si>
  <si>
    <t>فتح قطع تبريد داخلية VRF عدد 15</t>
  </si>
  <si>
    <t>2026/07/13 - 02:08 م</t>
  </si>
  <si>
    <t>تأسيس تغذية من الطاقة الشمسية الى سبلت جديد</t>
  </si>
  <si>
    <t>2026/07/14 - 09:17 ص</t>
  </si>
  <si>
    <t>2026/07/14 - 11:31 ص</t>
  </si>
  <si>
    <t>صيانة ممر خارجي</t>
  </si>
  <si>
    <t>2026/07/14 - 09:23 ص</t>
  </si>
  <si>
    <t>2026/07/14 - 09:30 ص</t>
  </si>
  <si>
    <t>تثبيت لوحة إعلانات</t>
  </si>
  <si>
    <t>2026/07/14 - 09:46 ص</t>
  </si>
  <si>
    <t>صيغالعاب</t>
  </si>
  <si>
    <t>2026/07/14 - 11:32 ص</t>
  </si>
  <si>
    <t>تصليح حائط</t>
  </si>
  <si>
    <t>2026/07/15 - 08:32 ص</t>
  </si>
  <si>
    <t>2026/07/15 - 08:40 ص</t>
  </si>
  <si>
    <t>تبديل فلتر الماء</t>
  </si>
  <si>
    <t>2026/07/15 - 08:33 ص</t>
  </si>
  <si>
    <t>2026/07/15 - 08:39 ص</t>
  </si>
  <si>
    <t>(النافورة)</t>
  </si>
  <si>
    <t>تبديل كاك السقي عدد ٥</t>
  </si>
  <si>
    <t>2026/07/15 - 08:38 ص</t>
  </si>
  <si>
    <t xml:space="preserve">تبديل كاك سقي </t>
  </si>
  <si>
    <t>2026/07/15 - 08:35 ص</t>
  </si>
  <si>
    <t>لحيم تانكي مضخة الاطفاء</t>
  </si>
  <si>
    <t>2026/07/15 - 08:36 ص</t>
  </si>
  <si>
    <t xml:space="preserve">صبغ قاعة الالعاب </t>
  </si>
  <si>
    <t>2026/07/16 - 08:46 ص</t>
  </si>
  <si>
    <t>2026/07/16 - 08:47 ص</t>
  </si>
  <si>
    <t>شد بردان</t>
  </si>
  <si>
    <t>2026/07/16 - 08:50 ص</t>
  </si>
  <si>
    <t>2026/07/16 - 08:55 ص</t>
  </si>
  <si>
    <t>(طابق 1) ، (Zone B)</t>
  </si>
  <si>
    <t>صيانة رحلة الصف الرابع ج</t>
  </si>
  <si>
    <t>2026/07/16 - 08:56 ص</t>
  </si>
  <si>
    <t>صيانة مقاعد تخم</t>
  </si>
  <si>
    <t>2026/07/16 - 08:51 ص</t>
  </si>
  <si>
    <t>صيانة ميز معلم</t>
  </si>
  <si>
    <t>2026/07/16 - 08:52 ص</t>
  </si>
  <si>
    <t>2026/07/16 - 08:57 ص</t>
  </si>
  <si>
    <t>تبديل يدة باب في الصحيات</t>
  </si>
  <si>
    <t>2026/07/16 - 08:53 ص</t>
  </si>
  <si>
    <t xml:space="preserve">صيانة بردة </t>
  </si>
  <si>
    <t>2026/07/16 - 08:54 ص</t>
  </si>
  <si>
    <t>2026/07/16 - 08:58 ص</t>
  </si>
  <si>
    <t xml:space="preserve">لحيم خران كاز </t>
  </si>
  <si>
    <t>2026/07/16 - 09:34 ص</t>
  </si>
  <si>
    <t>2026/07/16 - 09:42 ص</t>
  </si>
  <si>
    <t>اضافة كاز 5000 لتر</t>
  </si>
  <si>
    <t>2026/07/16 - 09:35 ص</t>
  </si>
  <si>
    <t>(غرفة محطة الرفع)</t>
  </si>
  <si>
    <t>تنظيف غرفة السنكرو</t>
  </si>
  <si>
    <t>2026/07/16 - 09:36 ص</t>
  </si>
  <si>
    <t>2026/07/16 - 09:43 ص</t>
  </si>
  <si>
    <t>(7_J  ابتدائية الساقي)</t>
  </si>
  <si>
    <t>استبدال زيت المولدة</t>
  </si>
  <si>
    <t>2026/07/16 - 09:39 ص</t>
  </si>
  <si>
    <t>غسل مولدة ال 500</t>
  </si>
  <si>
    <t xml:space="preserve">تنظيف فلاتر المولدة 1 ميكا </t>
  </si>
  <si>
    <t>2026/07/16 - 01:29 م</t>
  </si>
  <si>
    <t>2026/07/18 - 10:35 ص</t>
  </si>
  <si>
    <t>2026/07/18 - 10:43 ص</t>
  </si>
  <si>
    <t>صيانةباب المنيوم في الصحيات</t>
  </si>
  <si>
    <t>تبديل كيلون باب المنيوم</t>
  </si>
  <si>
    <t>2026/07/18 - 10:36 ص</t>
  </si>
  <si>
    <t>صيانة رحلات عدد 3</t>
  </si>
  <si>
    <t>2026/07/18 - 10:37 ص</t>
  </si>
  <si>
    <t>2026/07/18 - 10:42 ص</t>
  </si>
  <si>
    <t>(طابق 2) ، (Zone B)</t>
  </si>
  <si>
    <t xml:space="preserve">صيانة شباك </t>
  </si>
  <si>
    <t>2026/07/18 - 10:38 ص</t>
  </si>
  <si>
    <t>صيانة باب خشب الصف الثالث</t>
  </si>
  <si>
    <t>2026/07/18 - 10:40 ص</t>
  </si>
  <si>
    <t>2026/07/18 - 10:41 ص</t>
  </si>
  <si>
    <t>تركيب بردة في الطابق الارضي</t>
  </si>
  <si>
    <t>2026/07/19 - 12:10 م</t>
  </si>
  <si>
    <t>2026/07/20 - 07:12 ص</t>
  </si>
  <si>
    <t>صيانة القاطع الخشبي في الاستعلامات</t>
  </si>
  <si>
    <t>2026/07/20 - 11:03 ص</t>
  </si>
  <si>
    <t>2026/07/20 - 01:12 م</t>
  </si>
  <si>
    <t>2026/07/20 - 11:04 ص</t>
  </si>
  <si>
    <t>2026/07/20 - 01:13 م</t>
  </si>
  <si>
    <t>صيانة لوكرات عدد 3 غرفة المعلمات</t>
  </si>
  <si>
    <t>2026/07/20 - 11:05 ص</t>
  </si>
  <si>
    <t>صيانة مكاتب عدد 3 غرفة المعلمات</t>
  </si>
  <si>
    <t>2026/07/20 - 11:06 ص</t>
  </si>
  <si>
    <t>تثبيت تعلاكة حمام المعلمات</t>
  </si>
  <si>
    <t>2026/07/21 - 01:41 م</t>
  </si>
  <si>
    <t>2026/07/21 - 02:40 م</t>
  </si>
  <si>
    <t>فتح كاسيت عدد 12</t>
  </si>
  <si>
    <t>2026/07/21 - 01:55 م</t>
  </si>
  <si>
    <t>(طابق ارضي) zone B</t>
  </si>
  <si>
    <t>غسل 12 قطعة كاسيت</t>
  </si>
  <si>
    <t>2026/07/21 - 01:59 م</t>
  </si>
  <si>
    <t xml:space="preserve">شد 12 قطعة كاسيت </t>
  </si>
  <si>
    <t>2026/07/21 - 02:00 م</t>
  </si>
  <si>
    <t>2026/07/21 - 02:39 م</t>
  </si>
  <si>
    <t xml:space="preserve">فتح 12 قطعة كاسيت </t>
  </si>
  <si>
    <t>2026/07/21 - 02:01 م</t>
  </si>
  <si>
    <t xml:space="preserve">غسل 12 قطعة كاسيت </t>
  </si>
  <si>
    <t>2026/07/21 - 02:02 م</t>
  </si>
  <si>
    <t>2026/07/21 - 02:03 م</t>
  </si>
  <si>
    <t>2026/07/21 - 02:38 م</t>
  </si>
  <si>
    <t>2026/07/21 - 02:05 م</t>
  </si>
  <si>
    <t>2026/07/21 - 02:06 م</t>
  </si>
  <si>
    <t>2026/07/21 - 02:29 م</t>
  </si>
  <si>
    <t>(طابق ارضي) ، (Zone A)</t>
  </si>
  <si>
    <t xml:space="preserve">فتح 22 قطعة كاسيت </t>
  </si>
  <si>
    <t>2026/07/21 - 02:30 م</t>
  </si>
  <si>
    <t xml:space="preserve">غسل 22 قطعة كاسيت </t>
  </si>
  <si>
    <t xml:space="preserve">شد 22 قطعة كاسيت </t>
  </si>
  <si>
    <t>2026/07/21 - 02:31 م</t>
  </si>
  <si>
    <t>2026/07/21 - 02:37 م</t>
  </si>
  <si>
    <t>(طابق 1) ، (Zone A)</t>
  </si>
  <si>
    <t>2026/07/21 - 02:32 م</t>
  </si>
  <si>
    <t>2026/07/21 - 02:33 م</t>
  </si>
  <si>
    <t>(طابق 2) ، (السطح)</t>
  </si>
  <si>
    <t xml:space="preserve">فتح 15 قطعة كاسيت </t>
  </si>
  <si>
    <t>2026/07/21 - 02:36 م</t>
  </si>
  <si>
    <t xml:space="preserve">غسل 15 قطعة كاسيت </t>
  </si>
  <si>
    <t xml:space="preserve">شد 15 قطعة كاسيت </t>
  </si>
  <si>
    <t>2026/07/21 - 02:41 م</t>
  </si>
  <si>
    <t>2026/07/21 - 02:45 م</t>
  </si>
  <si>
    <t xml:space="preserve">لا يوجد ماء Ro </t>
  </si>
  <si>
    <t>2026/07/21 - 02:42 م</t>
  </si>
  <si>
    <t>لا يوجد ماء Ro</t>
  </si>
  <si>
    <t>2026/07/21 - 02:49 م</t>
  </si>
  <si>
    <t>2026/07/21 - 02:50 م</t>
  </si>
  <si>
    <t>تركيب بردة</t>
  </si>
  <si>
    <t>2026/07/22 - 08:23 ص</t>
  </si>
  <si>
    <t>2026/07/22 - 08:24 ص</t>
  </si>
  <si>
    <t>تشغيل تبريد القاعة الرياضية</t>
  </si>
  <si>
    <t>لا يوجد ماء  ro</t>
  </si>
  <si>
    <t>2026/07/22 - 09:22 ص</t>
  </si>
  <si>
    <t>2026/07/22 - 10:08 ص</t>
  </si>
  <si>
    <t>(طابق ارضي) ، (طابق 1)</t>
  </si>
  <si>
    <t>2026/07/22 - 09:51 ص</t>
  </si>
  <si>
    <t>2026/07/22 - 10:07 ص</t>
  </si>
  <si>
    <t xml:space="preserve">تبديل مسدس شطاف </t>
  </si>
  <si>
    <t>2026/07/22 - 11:36 ص</t>
  </si>
  <si>
    <t>2026/07/22 - 11:37 ص</t>
  </si>
  <si>
    <t>التبريد لايعمل</t>
  </si>
  <si>
    <t>2026/07/23 - 07:58 ص</t>
  </si>
  <si>
    <t>2026/07/23 - 08:03 ص</t>
  </si>
  <si>
    <t>أعمال حفر امام الروضة</t>
  </si>
  <si>
    <t>2026/07/23 - 07:59 ص</t>
  </si>
  <si>
    <t>أعمال حفر مقابل النافورة</t>
  </si>
  <si>
    <t>2026/07/23 - 08:00 ص</t>
  </si>
  <si>
    <t>(المولدة الخارجية )</t>
  </si>
  <si>
    <t>غسل المولدة الخارجية 500 KVA</t>
  </si>
  <si>
    <t>2026/07/23 - 08:04 ص</t>
  </si>
  <si>
    <t xml:space="preserve">تشغيل تبريد القاعة الرياضية مقابل الاولى </t>
  </si>
  <si>
    <t>2026/07/25 - 07:50 ص</t>
  </si>
  <si>
    <t>2026/07/25 - 07:56 ص</t>
  </si>
  <si>
    <t>صيانة ديكور خشب</t>
  </si>
  <si>
    <t>2026/07/25 - 07:51 ص</t>
  </si>
  <si>
    <t>تبديل لبة باب صحيات</t>
  </si>
  <si>
    <t>2026/07/25 - 07:52 ص</t>
  </si>
  <si>
    <t>2026/07/25 - 07:57 ص</t>
  </si>
  <si>
    <t>صيانة باب المنيوم في الصحيات</t>
  </si>
  <si>
    <t>(طابق 3)</t>
  </si>
  <si>
    <t>2026/07/25 - 07:53 ص</t>
  </si>
  <si>
    <t>صيانة مقعد في قاعة المؤتمرات</t>
  </si>
  <si>
    <t>2026/07/25 - 07:54 ص</t>
  </si>
  <si>
    <t>صيانة باب خشب قاعة سراج العميد</t>
  </si>
  <si>
    <t>2026/07/25 - 07:55 ص</t>
  </si>
  <si>
    <t>2026/07/25 - 07:58 ص</t>
  </si>
  <si>
    <t>صيانة كشوانية</t>
  </si>
  <si>
    <t>2026/07/28 - 08:38 ص</t>
  </si>
  <si>
    <t>2026/08/15 - 12:13 م</t>
  </si>
  <si>
    <t>(المالية 1)</t>
  </si>
  <si>
    <t>2026/07/30 - 11:36 ص</t>
  </si>
  <si>
    <t>اضافة قاطع MCCB جديد  لتغذية البيوت الخارجية</t>
  </si>
  <si>
    <t>2026/07/30 - 11:37 ص</t>
  </si>
  <si>
    <t>(Zone B) ، (غرفة الكهرباء)</t>
  </si>
  <si>
    <t>فحص كفاءة بطاريات UPS بعد قطع التغذية عنه</t>
  </si>
  <si>
    <t>2026/07/30 - 11:39 ص</t>
  </si>
  <si>
    <t>استبدال بلك سويج 15 امبير</t>
  </si>
  <si>
    <t>2026/07/30 - 11:40 ص</t>
  </si>
  <si>
    <t>مساعدة وحدة التبريد في غسل وحدة تبريد داخلية عدد 7</t>
  </si>
  <si>
    <t>2026/07/30 - 11:41 ص</t>
  </si>
  <si>
    <t xml:space="preserve">مساعدة وحدة التبريد في غسل وحدة تبريد داخلية عدد 4 </t>
  </si>
  <si>
    <t>2026/07/30 - 11:42 ص</t>
  </si>
  <si>
    <t>مساعدة وحدة التبريد في شد وحدة تبريد داخلية عدد 3</t>
  </si>
  <si>
    <t>2026/07/30 - 11:43 ص</t>
  </si>
  <si>
    <t>تغير تغذية احد المصاعد لتعمل مع الطابق الارضي والاول (طاقة شمسية + محطة)</t>
  </si>
  <si>
    <t>2026/07/30 - 11:44 ص</t>
  </si>
  <si>
    <t xml:space="preserve">صيانة منشوريات عدد 9 بلحام الاجزاء التالفة </t>
  </si>
  <si>
    <t>2026/07/30 - 11:45 ص</t>
  </si>
  <si>
    <t>استبدال محولات سوبت لايت عدد 3</t>
  </si>
  <si>
    <t>2026/07/30 - 11:46 ص</t>
  </si>
  <si>
    <t>تسجيل قراءات مقايس الاحمال الكهربائية في الساعة 10:00 ص</t>
  </si>
  <si>
    <t>2026/07/30 - 11:47 ص</t>
  </si>
  <si>
    <t>(خدمات المجمع)</t>
  </si>
  <si>
    <t xml:space="preserve">عمل سيار كهرباء طول 4 متر بماخذين طاقة </t>
  </si>
  <si>
    <t>2026/07/30 - 11:48 ص</t>
  </si>
  <si>
    <t>(السائقين)</t>
  </si>
  <si>
    <t>استبدال كيبل غلاية ماء</t>
  </si>
  <si>
    <t>2026/07/30 - 11:49 ص</t>
  </si>
  <si>
    <t xml:space="preserve">اصلاح قطع في احد الاسلاك المغذية لها </t>
  </si>
  <si>
    <t>2026/07/30 - 11:50 ص</t>
  </si>
  <si>
    <t>(طابق 2) ، (غرفة الكهرباء)</t>
  </si>
  <si>
    <t>2026/07/30 - 11:51 ص</t>
  </si>
  <si>
    <t>(UPS الصوتيات)</t>
  </si>
  <si>
    <t>اعادة UPS  الى وضع INERTER بسبب خلل كان يسبب انطفاء المنظومة</t>
  </si>
  <si>
    <t>تفعيل ميزة AUTO START لضمان  اعادة تشغيل UPS بعد الانقطاع تلقائيا</t>
  </si>
  <si>
    <t>2026/07/30 - 11:53 ص</t>
  </si>
  <si>
    <t xml:space="preserve">توصيل كيبل البيوت الخارجية الاضافي الى قاطعه  الجديد </t>
  </si>
  <si>
    <t>(وحدة المدني)</t>
  </si>
  <si>
    <t xml:space="preserve">اعادة تغشغيل  التلفون الارضي بسبب خلل في  DHCP </t>
  </si>
  <si>
    <t>2026/07/30 - 11:55 ص</t>
  </si>
  <si>
    <t>اكمال عملية ربط الكيبل الاضافي الجديد من جهة بورد البيوت الخارجية</t>
  </si>
  <si>
    <t>2026/07/30 - 11:56 ص</t>
  </si>
  <si>
    <t>اصلاح انارة منشورية بلحام الاجزاء التالفة عدد 6</t>
  </si>
  <si>
    <t>اعادة تبيت بلك سويج كان متحرك من مكانه</t>
  </si>
  <si>
    <t>2026/07/30 - 11:57 ص</t>
  </si>
  <si>
    <t>(J_7  جامعة العميد)</t>
  </si>
  <si>
    <t>اصلاح انارة منشورية بلحام الاجزاء التالفة عدد 5</t>
  </si>
  <si>
    <t>2026/07/30 - 11:58 ص</t>
  </si>
  <si>
    <t>استبدال انارة سبوت لايت تالفة</t>
  </si>
  <si>
    <t>(صحيات الارضي )</t>
  </si>
  <si>
    <t>2026/07/30 - 12:00 م</t>
  </si>
  <si>
    <t>اصلاح خلل في سيطرة ATS مما تسبب في توقف التغذية عن البناية</t>
  </si>
  <si>
    <t>مساعدة وحدة التبريد في شد وحدة تبريد داخلية عدد 6</t>
  </si>
  <si>
    <t>2026/07/30 - 12:01 م</t>
  </si>
  <si>
    <t>(Zone A)</t>
  </si>
  <si>
    <t>مساعدة وحدة التبريد في غسل وحدة تبريد داخلية عدد 6</t>
  </si>
  <si>
    <t>مساعدة وحدة التبريد في فتح وحدة تبريد داخلية عدد 8</t>
  </si>
  <si>
    <t>2026/07/30 - 12:02 م</t>
  </si>
  <si>
    <t>مساعدة وحدة التبريد في شد وحدة تبريد داخلية عدد 8</t>
  </si>
  <si>
    <t>2026/07/30 - 12:03 م</t>
  </si>
  <si>
    <t>2026/07/30 - 12:04 م</t>
  </si>
  <si>
    <t>(غرفة مزامنة المولدات)</t>
  </si>
  <si>
    <t>اصلاح خلل تسريب كهربائي في احد نقاط الغرفة</t>
  </si>
  <si>
    <t>2026/07/30 - 12:05 م</t>
  </si>
  <si>
    <t>استبدال ماشة 13 امبير تالفة لسيار تابع الى المولدات</t>
  </si>
  <si>
    <t>2026/07/30 - 12:06 م</t>
  </si>
  <si>
    <t>2026/07/30 - 12:07 م</t>
  </si>
  <si>
    <t>(غرفة المراقبة)</t>
  </si>
  <si>
    <t xml:space="preserve">فحص كفاءة بطاريات UPS عدد 2 بعد قطع التغذية عنه </t>
  </si>
  <si>
    <t>2026/07/30 - 12:08 م</t>
  </si>
  <si>
    <t>(المصعد)</t>
  </si>
  <si>
    <t>استبدال سلك الامان الخاص بالباب بسبب تعرضه للقطع</t>
  </si>
  <si>
    <t>2026/07/30 - 12:09 م</t>
  </si>
  <si>
    <t>مساعدة وحدة التبريد في فتح وحدة تبريد داخلية عدد 14</t>
  </si>
  <si>
    <t>مساعدة وحدة التبريد في شد وحدة تبريد داخلية عدد 5</t>
  </si>
  <si>
    <t>2026/07/30 - 12:10 م</t>
  </si>
  <si>
    <t>مساعدة وحدة التبريد في شد وحدة تبريد داخلية عدد 12</t>
  </si>
  <si>
    <t>2026/07/30 - 12:11 م</t>
  </si>
  <si>
    <t>(مضخة المياه)</t>
  </si>
  <si>
    <t>اصلاح عطل فاصم في لوحة السيطرة</t>
  </si>
  <si>
    <t>مساعدة وحدة التبريد في فتح وحدة تبريد داخلية عدد 6</t>
  </si>
  <si>
    <t>مساعدة وحدة التبريد في شد وحدة تبريد داخلية عدد 4</t>
  </si>
  <si>
    <t>2026/07/30 - 12:12 م</t>
  </si>
  <si>
    <t>استبدال ماشة 13 امبير لبراد ماء</t>
  </si>
  <si>
    <t>استبدال بلك سويج 13 امبير</t>
  </si>
  <si>
    <t>2026/07/30 - 12:13 م</t>
  </si>
  <si>
    <t>اعادة تنظيم تري كيبل وضم الاسلاك</t>
  </si>
  <si>
    <t>2026/07/30 - 12:14 م</t>
  </si>
  <si>
    <t>2026/07/30 - 01:06 م</t>
  </si>
  <si>
    <t>استبدال بلك سويج حراري  + ماشة حرارية</t>
  </si>
  <si>
    <t>2026/07/30 - 01:08 م</t>
  </si>
  <si>
    <t>اضافة نقاط كهرباء جديدة عدد 5 مرتبطة بالـ UPS</t>
  </si>
  <si>
    <t>2026/07/30 - 01:09 م</t>
  </si>
  <si>
    <t>(الصحيات)</t>
  </si>
  <si>
    <t>استبدال محولة انارة سبوت لايت</t>
  </si>
  <si>
    <t>2026/07/30 - 01:10 م</t>
  </si>
  <si>
    <t>(كرفان حفظ النظام)</t>
  </si>
  <si>
    <t>2026/07/30 - 01:12 م</t>
  </si>
  <si>
    <t>2026/07/30 - 01:22 م</t>
  </si>
  <si>
    <t>(غرفة استقبال الضيوف)</t>
  </si>
  <si>
    <t>اضافة نقاط كهرباء عدد 7 جديدة لشحن الحاسبات</t>
  </si>
  <si>
    <t>2026/07/30 - 01:13 م</t>
  </si>
  <si>
    <t>مساعدة وحدة التبريد في فتح وحدة تبريد داخلية عدد 15</t>
  </si>
  <si>
    <t>مساعدة وحدة التبريد في فتح وحدة تبريد داخلية عدد 23</t>
  </si>
  <si>
    <t>مساعدة وحدة التبريد في غسل وحدة تبريد داخلية عدد 30</t>
  </si>
  <si>
    <t>2026/07/30 - 01:14 م</t>
  </si>
  <si>
    <t>2026/07/30 - 01:23 م</t>
  </si>
  <si>
    <t>(طابق 4) ، (المراقبة)</t>
  </si>
  <si>
    <t>استبدال سويج 45 امبير لمكيف الغرفة نوع وارث</t>
  </si>
  <si>
    <t>2026/07/30 - 01:15 م</t>
  </si>
  <si>
    <t>(طابق ارضي) ، (طابق 4)</t>
  </si>
  <si>
    <t>وضع ملصقات على القواطع المغذية  لاجهزة UPS غرفة المراقبة</t>
  </si>
  <si>
    <t>2026/07/30 - 01:16 م</t>
  </si>
  <si>
    <t>مساعدة وحدة التبريد في شد وحدة تبريد داخلية عدد 10</t>
  </si>
  <si>
    <t>مساعدة وحدة التبريد في فتح وحدة تبريد داخلية عدد 16</t>
  </si>
  <si>
    <t>2026/07/30 - 01:17 م</t>
  </si>
  <si>
    <t>(درج رئاسة القسم)</t>
  </si>
  <si>
    <t>صيانة انارة منشورية عدد 2</t>
  </si>
  <si>
    <t>2026/07/30 - 01:18 م</t>
  </si>
  <si>
    <t>مساعدة وحدة التبريد في فتح وحدة تبريد داخلية عدد 32</t>
  </si>
  <si>
    <t>مساعدة وحدة التبريد في شد وحدة تبريد داخلية عدد 22</t>
  </si>
  <si>
    <t>2026/07/30 - 01:19 م</t>
  </si>
  <si>
    <t>2026/07/30 - 01:20 م</t>
  </si>
  <si>
    <t>(باب البناية)</t>
  </si>
  <si>
    <t>مساعدة وحدة المدني والمكيانيك في حفر مكان انبوب ماء</t>
  </si>
  <si>
    <t>مساعدة وحدة التبريد في غسل وحدة تبريد داخلية عدد 12</t>
  </si>
  <si>
    <t>2026/07/30 - 01:21 م</t>
  </si>
  <si>
    <t>مساعدة وحدة التبريد في شد وحدة تبريد داخلية عدد 36</t>
  </si>
  <si>
    <t>2026/08/06 - 09:12 ص</t>
  </si>
  <si>
    <t>2026/08/06 - 11:18 ص</t>
  </si>
  <si>
    <t xml:space="preserve">صيانة ديكور خشب </t>
  </si>
  <si>
    <t>2026/08/06 - 09:13 ص</t>
  </si>
  <si>
    <t>صيانة باب المنيوم عدد 2</t>
  </si>
  <si>
    <t>2026/08/06 - 09:14 ص</t>
  </si>
  <si>
    <t>2026/08/06 - 09:16 ص</t>
  </si>
  <si>
    <t>2026/08/06 - 11:19 ص</t>
  </si>
  <si>
    <t xml:space="preserve">صيانة مقعد </t>
  </si>
  <si>
    <t>صيانة باب خشب عدد2</t>
  </si>
  <si>
    <t>2026/08/06 - 11:20 ص</t>
  </si>
  <si>
    <t xml:space="preserve">صيانة كشوانية </t>
  </si>
  <si>
    <t>2026/08/06 - 09:18 ص</t>
  </si>
  <si>
    <t>(غرف الامنية)</t>
  </si>
  <si>
    <t>اعمال شد براغي</t>
  </si>
  <si>
    <t>صيانة ميز في رئاسة القسم</t>
  </si>
  <si>
    <t>2026/08/06 - 09:20 ص</t>
  </si>
  <si>
    <t xml:space="preserve">اعمال تفليش سيفونة </t>
  </si>
  <si>
    <t>2026/08/06 - 09:21 ص</t>
  </si>
  <si>
    <t>اعمال حفر قرب المركز الثقافي</t>
  </si>
  <si>
    <t>2026/08/06 - 09:25 ص</t>
  </si>
  <si>
    <t>2026/08/06 - 11:21 ص</t>
  </si>
  <si>
    <t>صيانة مكنسة كهربائية</t>
  </si>
  <si>
    <t>2026/08/06 - 09:26 ص</t>
  </si>
  <si>
    <t xml:space="preserve">تبديل قفل لوكر </t>
  </si>
  <si>
    <t>2026/08/06 - 09:27 ص</t>
  </si>
  <si>
    <t xml:space="preserve">تبديل مقص شباك </t>
  </si>
  <si>
    <t>صيانة تور شباك</t>
  </si>
  <si>
    <t>2026/08/06 - 09:28 ص</t>
  </si>
  <si>
    <t>2026/08/06 - 11:22 ص</t>
  </si>
  <si>
    <t>2026/08/06 - 09:29 ص</t>
  </si>
  <si>
    <t xml:space="preserve">صيانة باب صحيات </t>
  </si>
  <si>
    <t>2026/08/06 - 09:30 ص</t>
  </si>
  <si>
    <t>2026/08/06 - 11:40 ص</t>
  </si>
  <si>
    <t>2026/08/06 - 09:31 ص</t>
  </si>
  <si>
    <t>2026/08/06 - 11:41 ص</t>
  </si>
  <si>
    <t>2026/08/06 - 11:42 ص</t>
  </si>
  <si>
    <t>2026/08/06 - 09:32 ص</t>
  </si>
  <si>
    <t xml:space="preserve">صيانة باب صحيات المنيوم </t>
  </si>
  <si>
    <t>2026/08/06 - 11:43 ص</t>
  </si>
  <si>
    <t>صيانة باب صحيات عدد 2</t>
  </si>
  <si>
    <t>2026/08/06 - 09:33 ص</t>
  </si>
  <si>
    <t>صيانة جك باب غرفة الكهرباء</t>
  </si>
  <si>
    <t>2026/08/06 - 09:38 ص</t>
  </si>
  <si>
    <t>صيانة لوكر عدد 2</t>
  </si>
  <si>
    <t>2026/08/06 - 11:44 ص</t>
  </si>
  <si>
    <t>(طابق 3) ، (Zone B)</t>
  </si>
  <si>
    <t>2026/08/06 - 09:39 ص</t>
  </si>
  <si>
    <t>2026/08/06 - 09:40 ص</t>
  </si>
  <si>
    <t>2026/08/06 - 11:45 ص</t>
  </si>
  <si>
    <t xml:space="preserve">صيانة مقص شباك </t>
  </si>
  <si>
    <t>تبديل مقص شباك عدد 2</t>
  </si>
  <si>
    <t>2026/08/06 - 09:45 ص</t>
  </si>
  <si>
    <t>2026/08/06 - 09:48 ص</t>
  </si>
  <si>
    <t>2026/08/06 - 11:46 ص</t>
  </si>
  <si>
    <t>صيانة الباب الفاصل بين الزونين</t>
  </si>
  <si>
    <t>صيانة قنفة عدد 2</t>
  </si>
  <si>
    <t>2026/08/06 - 09:50 ص</t>
  </si>
  <si>
    <t>تبديل قفغل لوكر عدد 3</t>
  </si>
  <si>
    <t>2026/08/06 - 09:51 ص</t>
  </si>
  <si>
    <t>2026/08/06 - 11:47 ص</t>
  </si>
  <si>
    <t>فتح باب مقفل</t>
  </si>
  <si>
    <t>2026/08/06 - 09:52 ص</t>
  </si>
  <si>
    <t>2026/08/06 - 11:52 ص</t>
  </si>
  <si>
    <t>2026/08/06 - 11:53 ص</t>
  </si>
  <si>
    <t>2026/08/06 - 09:53 ص</t>
  </si>
  <si>
    <t>2026/08/06 - 12:19 م</t>
  </si>
  <si>
    <t>صيانة مقاعد عدد 2</t>
  </si>
  <si>
    <t>2026/08/06 - 12:20 م</t>
  </si>
  <si>
    <t>2026/08/06 - 09:54 ص</t>
  </si>
  <si>
    <t>2026/08/06 - 11:11 ص</t>
  </si>
  <si>
    <t>2026/08/06 - 12:21 م</t>
  </si>
  <si>
    <t>تعليك لوحة بريد</t>
  </si>
  <si>
    <t>2026/08/06 - 11:12 ص</t>
  </si>
  <si>
    <t>تفليش سيفونة</t>
  </si>
  <si>
    <t xml:space="preserve">رفع إنقاذ </t>
  </si>
  <si>
    <t>2026/08/06 - 11:14 ص</t>
  </si>
  <si>
    <t>صيانة أبواب الصحيات الخارجية عدد 3</t>
  </si>
  <si>
    <t>2026/08/06 - 11:15 ص</t>
  </si>
  <si>
    <t>2026/08/06 - 12:22 م</t>
  </si>
  <si>
    <t>صيانة سقف ثانوي</t>
  </si>
  <si>
    <t>2026/08/06 - 11:16 ص</t>
  </si>
  <si>
    <t>2026/08/06 - 12:23 م</t>
  </si>
  <si>
    <t>صيانة مرمر الخارجي</t>
  </si>
  <si>
    <t>2026/08/07 - 07:35 ص</t>
  </si>
  <si>
    <t>2026/08/08 - 06:43 م</t>
  </si>
  <si>
    <t>صيانة المفرغات غرفة الادارة</t>
  </si>
  <si>
    <t>2026/08/08 - 09:42 ص</t>
  </si>
  <si>
    <t>2026/08/08 - 09:43 ص</t>
  </si>
  <si>
    <t>صيانة كاك زاوية</t>
  </si>
  <si>
    <t>2026/08/10 - 11:21 ص</t>
  </si>
  <si>
    <t>2026/08/10 - 12:33 م</t>
  </si>
  <si>
    <t xml:space="preserve">إزالة بوستر وتسليمه </t>
  </si>
  <si>
    <t>2026/08/10 - 11:23 ص</t>
  </si>
  <si>
    <t>2026/08/15 - 11:28 ص</t>
  </si>
  <si>
    <t xml:space="preserve">صيانة السبلت </t>
  </si>
  <si>
    <t>2026/08/10 - 11:25 ص</t>
  </si>
  <si>
    <t>صيانة السبلت الصف الأول ب</t>
  </si>
  <si>
    <t>2026/08/15 - 11:36 ص</t>
  </si>
  <si>
    <t>2026/08/15 - 11:59 ص</t>
  </si>
  <si>
    <t>صيانة باب الصحيات الخارجية</t>
  </si>
  <si>
    <t>2026/08/15 - 11:37 ص</t>
  </si>
  <si>
    <t>2026/08/15 - 12:00 م</t>
  </si>
  <si>
    <t>صيانة باب الصحيات الخارجية عدد 3 مقابل البناية الاولى</t>
  </si>
  <si>
    <t>2026/08/15 - 11:38 ص</t>
  </si>
  <si>
    <t>2026/08/15 - 11:39 ص</t>
  </si>
  <si>
    <t>حفر سيفونات عدد 3</t>
  </si>
  <si>
    <t>2026/08/15 - 12:01 م</t>
  </si>
  <si>
    <t>تنظيف سيفونات عدد 3</t>
  </si>
  <si>
    <t>2026/08/15 - 11:42 ص</t>
  </si>
  <si>
    <t>صيانة قطع مرمر الخارجية</t>
  </si>
  <si>
    <t>2026/08/15 - 11:43 ص</t>
  </si>
  <si>
    <t xml:space="preserve">اعمال حفر قرب الشاشة </t>
  </si>
  <si>
    <t>2026/08/15 - 11:44 ص</t>
  </si>
  <si>
    <t>اعمال حفر قرب البناية الخامسة</t>
  </si>
  <si>
    <t>2026/08/15 - 11:45 ص</t>
  </si>
  <si>
    <t>2026/08/15 - 12:02 م</t>
  </si>
  <si>
    <t>2026/08/15 - 11:46 ص</t>
  </si>
  <si>
    <t xml:space="preserve">تبديل يدة باب </t>
  </si>
  <si>
    <t>2026/08/15 - 11:47 ص</t>
  </si>
  <si>
    <t>2026/08/15 - 11:48 ص</t>
  </si>
  <si>
    <t>صيانة ميز عدد 2</t>
  </si>
  <si>
    <t>2026/08/15 - 12:03 م</t>
  </si>
  <si>
    <t>2026/08/15 - 11:49 ص</t>
  </si>
  <si>
    <t>صب مكان البوري قرب الروضة</t>
  </si>
  <si>
    <t>2026/08/15 - 11:50 ص</t>
  </si>
  <si>
    <t>تفليش صبة انبوب الاطفاء قرب المدرسة الخامسة</t>
  </si>
  <si>
    <t>2026/08/15 - 12:04 م</t>
  </si>
  <si>
    <t>تم دفن مكان البوري ورفع الانقاذ</t>
  </si>
  <si>
    <t>2026/08/15 - 11:51 ص</t>
  </si>
  <si>
    <t>ارجاع المقرنص قرب المركز الثقافي</t>
  </si>
  <si>
    <t>تم تطبيك المقرنص قرب روضة القمر</t>
  </si>
  <si>
    <t>2026/08/15 - 11:52 ص</t>
  </si>
  <si>
    <t>تم فتح بوستر</t>
  </si>
  <si>
    <t>2026/08/15 - 11:53 ص</t>
  </si>
  <si>
    <t>2026/08/15 - 12:05 م</t>
  </si>
  <si>
    <t>2026/08/15 - 11:54 ص</t>
  </si>
  <si>
    <t>صيانة بردات عدد 3</t>
  </si>
  <si>
    <t>2026/08/15 - 11:55 ص</t>
  </si>
  <si>
    <t>ارجاع بردات عدد 4</t>
  </si>
  <si>
    <t>2026/08/15 - 12:06 م</t>
  </si>
  <si>
    <t>صيانة بردات عدد 5</t>
  </si>
  <si>
    <t>2026/08/15 - 11:56 ص</t>
  </si>
  <si>
    <t>تنزيل بردة وصيانة سحبة البردة</t>
  </si>
  <si>
    <t>2026/08/15 - 11:57 ص</t>
  </si>
  <si>
    <t>اعادة تثبيت مزهرية عدد 2</t>
  </si>
  <si>
    <t>تنزيل مزهريات عدد 6</t>
  </si>
  <si>
    <t>2026/08/15 - 11:58 ص</t>
  </si>
  <si>
    <t>صيانة بردات في صف الشمس</t>
  </si>
  <si>
    <t>2026/08/15 - 12:08 م</t>
  </si>
  <si>
    <t>2026/08/15 - 12:09 م</t>
  </si>
  <si>
    <t xml:space="preserve">التبريد لا يعمل </t>
  </si>
  <si>
    <t>2026/08/15 - 12:10 م</t>
  </si>
  <si>
    <t>التبريد حار</t>
  </si>
  <si>
    <t>التبريد يفصل</t>
  </si>
  <si>
    <t>2026/08/15 - 12:18 م</t>
  </si>
  <si>
    <t>2026/08/15 - 12:29 م</t>
  </si>
  <si>
    <t>فتح 22 قطعة كاسيت</t>
  </si>
  <si>
    <t>2026/08/16 - 10:09 م</t>
  </si>
  <si>
    <t>2026/08/15 - 12:19 م</t>
  </si>
  <si>
    <t>2026/08/15 - 12:30 م</t>
  </si>
  <si>
    <t>فتح 15 قطعة كاسيت</t>
  </si>
  <si>
    <t>2026/08/15 - 12:22 م</t>
  </si>
  <si>
    <t>فتح 12قطعة كاسيت</t>
  </si>
  <si>
    <t>فتح 12 قطعة كاسيت</t>
  </si>
  <si>
    <t>2026/08/15 - 12:23 م</t>
  </si>
  <si>
    <t>2026/08/15 - 12:31 م</t>
  </si>
  <si>
    <t>غسل 22 قطعة كاسيت</t>
  </si>
  <si>
    <t>2026/08/15 - 12:24 م</t>
  </si>
  <si>
    <t>غسل 15قطعة كاسيت</t>
  </si>
  <si>
    <t>غسل 12قطعة كاسيت</t>
  </si>
  <si>
    <t>2026/08/15 - 12:25 م</t>
  </si>
  <si>
    <t>2026/08/15 - 12:32 م</t>
  </si>
  <si>
    <t>2026/08/15 - 12:26 م</t>
  </si>
  <si>
    <t>شد 12قطعة كاسيت</t>
  </si>
  <si>
    <t>2026/08/15 - 12:27 م</t>
  </si>
  <si>
    <t>شد 22 قطعة كاسيت</t>
  </si>
  <si>
    <t>2026/08/15 - 12:28 م</t>
  </si>
  <si>
    <t>2026/08/15 - 12:33 م</t>
  </si>
  <si>
    <t>شد 15 قطعة كاسيت</t>
  </si>
  <si>
    <t>2026/08/15 - 12:37 م</t>
  </si>
  <si>
    <t>2026/08/15 - 12:38 م</t>
  </si>
  <si>
    <t>غسل محطة الماء</t>
  </si>
  <si>
    <t>2026/08/15 - 12:39 م</t>
  </si>
  <si>
    <t>2026/08/16 - 10:08 م</t>
  </si>
  <si>
    <t>غسل محطة الماء ارو</t>
  </si>
  <si>
    <t>2026/08/15 - 12:40 م</t>
  </si>
  <si>
    <t>فحص منظومة الاطفاء الرئيسية</t>
  </si>
  <si>
    <t>2026/08/15 - 12:41 م</t>
  </si>
  <si>
    <t>2026/08/15 - 12:42 م</t>
  </si>
  <si>
    <t>2026/08/16 - 10:07 م</t>
  </si>
  <si>
    <t>2026/08/15 - 12:43 م</t>
  </si>
  <si>
    <t>شد عكس انبوب قرب المركز الثقافي</t>
  </si>
  <si>
    <t>2026/08/15 - 12:44 م</t>
  </si>
  <si>
    <t>2026/08/16 - 10:06 م</t>
  </si>
  <si>
    <t>فحص مضخة الاطفاء الثانوية</t>
  </si>
  <si>
    <t>تشغيل مضخة الماء ارو</t>
  </si>
  <si>
    <t>2026/08/15 - 12:45 م</t>
  </si>
  <si>
    <t xml:space="preserve">فحص منظومة الاطفاء الثانوية </t>
  </si>
  <si>
    <t>2026/08/15 - 12:49 م</t>
  </si>
  <si>
    <t>2026/08/16 - 10:05 م</t>
  </si>
  <si>
    <t>تم توسيع حفر امام المدرسة الخامسة</t>
  </si>
  <si>
    <t>2026/08/15 - 12:50 م</t>
  </si>
  <si>
    <t>تم فتح كاك انبوب الاطفاء الرئيسي قرب البناية الخامسة</t>
  </si>
  <si>
    <t>2026/08/15 - 12:51 م</t>
  </si>
  <si>
    <t xml:space="preserve">تم فحص منظومة الاطفاء </t>
  </si>
  <si>
    <t>2026/08/15 - 12:52 م</t>
  </si>
  <si>
    <t>2026/08/16 - 10:04 م</t>
  </si>
  <si>
    <t>2026/08/15 - 12:53 م</t>
  </si>
  <si>
    <t>تم غسل محطة الماء ارو</t>
  </si>
  <si>
    <t>2026/08/15 - 12:56 م</t>
  </si>
  <si>
    <t>غسل فلاتر التبريد</t>
  </si>
  <si>
    <t>2026/08/16 - 08:31 ص</t>
  </si>
  <si>
    <t>غسل الواح الطاقة الشمسية</t>
  </si>
  <si>
    <t>2026/08/16 - 08:33 ص</t>
  </si>
  <si>
    <t>لحام اجزاء تالفة في انارة منشورية عدد 3</t>
  </si>
  <si>
    <t>2026/08/16 - 08:35 ص</t>
  </si>
  <si>
    <t>استبدال سويج ثلاثي عدد 2</t>
  </si>
  <si>
    <t>استبدال بلك سويج 13 امبير عدد 2</t>
  </si>
  <si>
    <t>2026/08/16 - 03:47 م</t>
  </si>
  <si>
    <t>استبدال محولة إنارة منشورية عدد 2</t>
  </si>
  <si>
    <t>استبدال بلك سويج 13 أمبير</t>
  </si>
  <si>
    <t>2026/08/16 - 03:48 م</t>
  </si>
  <si>
    <t>استبدال محولة انارة منشورية عدد 1</t>
  </si>
  <si>
    <t>استبدال بلك سويج 13 أمبير عدد 3</t>
  </si>
  <si>
    <t>2026/08/16 - 03:50 م</t>
  </si>
  <si>
    <t>استبدال محولة انارة سبوت لايت عدد 3</t>
  </si>
  <si>
    <t>2026/08/16 - 03:55 م</t>
  </si>
  <si>
    <t>إصلاح انارة منشورية عدد 3</t>
  </si>
  <si>
    <t xml:space="preserve">استبدال محولة سبوت لايت عدد 1 </t>
  </si>
  <si>
    <t>2026/08/16 - 03:56 م</t>
  </si>
  <si>
    <t>استبدال بلك سويج عدد 2</t>
  </si>
  <si>
    <t>2026/08/16 - 03:58 م</t>
  </si>
  <si>
    <t xml:space="preserve">استبدال محولة سبوت لايت </t>
  </si>
  <si>
    <t>صيانة انارة منشورية عدد 3</t>
  </si>
  <si>
    <t>2026/08/16 - 04:02 م</t>
  </si>
  <si>
    <t>(قرب برج الإتصالات)</t>
  </si>
  <si>
    <t>مساعدة وحدة الميكانيك باستبدال كاك منظومة إطفاء الحريق</t>
  </si>
  <si>
    <t>2026/08/16 - 04:10 م</t>
  </si>
  <si>
    <t>صيانة انارة منشورية عدد 4</t>
  </si>
  <si>
    <t>2026/08/16 - 04:11 م</t>
  </si>
  <si>
    <t>(رئاسة القسم)</t>
  </si>
  <si>
    <t>استبدال محولة انارة منشورية</t>
  </si>
  <si>
    <t>2026/08/16 - 04:12 م</t>
  </si>
  <si>
    <t>(بيت الإعلام)</t>
  </si>
  <si>
    <t>(شعبة تقنية المعلومات)</t>
  </si>
  <si>
    <t>فحص UPS FARBER 3kv الخاص بالسيرفرات وتشخيص العطل</t>
  </si>
  <si>
    <t>2026/08/16 - 04:15 م</t>
  </si>
  <si>
    <t>(نور العميد )</t>
  </si>
  <si>
    <t>(حي العباس)</t>
  </si>
  <si>
    <t>الكشف على منظمة الطاقة الشمسية في المجمع</t>
  </si>
  <si>
    <t>2026/08/16 - 04:16 م</t>
  </si>
  <si>
    <t>استبدال سلك الأمان الخاص بباب المصعد بسبب تعرضه الى الانقطاع</t>
  </si>
  <si>
    <t>استبدال سبوت لايت</t>
  </si>
  <si>
    <t>2026/08/16 - 04:17 م</t>
  </si>
  <si>
    <t>(بورد UPS )</t>
  </si>
  <si>
    <t>استبدال قاطع احادي 6 أمبير بآخر 16 أمبير</t>
  </si>
  <si>
    <t>2026/08/16 - 09:23 م</t>
  </si>
  <si>
    <t>إصلاح حساس الفوتوسيل، كان يسبب بقاء الإنارة تعمل بالنهار</t>
  </si>
  <si>
    <t>2026/08/16 - 09:24 م</t>
  </si>
  <si>
    <t>2026/08/16 - 09:26 م</t>
  </si>
  <si>
    <t>(گرفان الأمنية)</t>
  </si>
  <si>
    <t xml:space="preserve">استبدال تري كيبل بأنابيب PVC واعادة تنظيم التمديدات الكهربائية </t>
  </si>
  <si>
    <t>(نور العميد بنات)</t>
  </si>
  <si>
    <t>فحص كفاءة بطاريات UPS الشاشات لكن بدون تشغيل أحمال</t>
  </si>
  <si>
    <t>2026/08/16 - 09:27 م</t>
  </si>
  <si>
    <t>مساعدة وحدة التبريد في تنظيف جميع فلاتر تبريد البناية</t>
  </si>
  <si>
    <t>2026/08/16 - 09:28 م</t>
  </si>
  <si>
    <t>إضافة 10 مروحة سقفية الى 5 صفوف وربطها مع الإنارة</t>
  </si>
  <si>
    <t>2026/08/16 - 09:29 م</t>
  </si>
  <si>
    <t>إضافة 12 مروحة سقفية الى 6 صفوف وربطها مع الإنارة</t>
  </si>
  <si>
    <t>2026/08/16 - 09:30 م</t>
  </si>
  <si>
    <t>(الگراج الخارجي)</t>
  </si>
  <si>
    <t>إطفاء القواطع المغذية للإنارة بسبب تعرض احد الاعمدة الى حادث اصطدام</t>
  </si>
  <si>
    <t>إزالة الأسلاك المتبقية من البلوجكتر المتضرر واعادة رفع القواطع</t>
  </si>
  <si>
    <t>2026/08/16 - 09:31 م</t>
  </si>
  <si>
    <t>ربط مراوح سقفية عدد 2 في احد الصفوف</t>
  </si>
  <si>
    <t>2026/08/16 - 09:33 م</t>
  </si>
  <si>
    <t xml:space="preserve">تثبيت جهاز التحكم الخاص بالمرواح السقفية في 6 صفوف </t>
  </si>
  <si>
    <t>تثبيت جهاز التحكم الخاص بالمرواح السقفية في 6 صفوف</t>
  </si>
  <si>
    <t>2026/08/16 - 09:34 م</t>
  </si>
  <si>
    <t>إضافة مراوح سقفية عدد 2</t>
  </si>
  <si>
    <t>2026/08/16 - 09:35 م</t>
  </si>
  <si>
    <t xml:space="preserve">إضافة مراوح سقفية عدد 2 </t>
  </si>
  <si>
    <t>2026/08/16 - 09:36 م</t>
  </si>
  <si>
    <t xml:space="preserve">استبدال القاطع 32 أمبير المغذي من الطاقة الشمسية </t>
  </si>
  <si>
    <t>استبدال محولة انارة منشورية عدد 4</t>
  </si>
  <si>
    <t>2026/08/16 - 09:37 م</t>
  </si>
  <si>
    <t>إضافة مراوح سقفية عدد 3</t>
  </si>
  <si>
    <t>2026/08/16 - 09:39 م</t>
  </si>
  <si>
    <t>أثناء الفحص تبين تسرب سائل الإلكتروليت من بطاريات UPS 6KVA الخاص بسيرفر المالية 1</t>
  </si>
  <si>
    <t>2026/08/16 - 09:40 م</t>
  </si>
  <si>
    <t>(غرفة ست منى )</t>
  </si>
  <si>
    <t>2026/08/16 - 09:41 م</t>
  </si>
  <si>
    <t xml:space="preserve">صيانة مولدة 250KVA بصيانة زر الطوارئ </t>
  </si>
  <si>
    <t>2026/08/16 - 09:42 م</t>
  </si>
  <si>
    <t>استبدال محولة سبوت لايت و منشورية عدد 13</t>
  </si>
  <si>
    <t>استبدال محولة سبوت لايت و منشورية عدد 10</t>
  </si>
  <si>
    <t>2026/08/16 - 09:43 م</t>
  </si>
  <si>
    <t>استبدال محولة سبوت لايت قدرة 34 واط عدد 9</t>
  </si>
  <si>
    <t>استبدال محولة سبوت لايت قدرة 20 واط عدد 4</t>
  </si>
  <si>
    <t>2026/08/16 - 09:44 م</t>
  </si>
  <si>
    <t>إضافة ماشة 13 أمبير ثلاجة</t>
  </si>
  <si>
    <t>2026/08/16 - 09:48 م</t>
  </si>
  <si>
    <t>استبدال محولة سبوت لايت قدرة 20 واط عدد 2</t>
  </si>
  <si>
    <t>2026/08/16 - 09:52 م</t>
  </si>
  <si>
    <t>صيانة انارة منشورية بلحام الأجزاء المتضررة</t>
  </si>
  <si>
    <t>(قاعة المؤتمرات)</t>
  </si>
  <si>
    <t>إعادة تثبيت الإنارة المخفية العالية</t>
  </si>
  <si>
    <t>2026/08/16 - 09:53 م</t>
  </si>
  <si>
    <t>رفع كابل التغذية المؤقت وربط كابل دائمي بطول 14 متر</t>
  </si>
  <si>
    <t>2026/08/16 - 09:54 م</t>
  </si>
  <si>
    <t>2026/08/18 - 06:15 ص</t>
  </si>
  <si>
    <t>2026/08/18 - 06:20 ص</t>
  </si>
  <si>
    <t>(مجمع العباس السكني)</t>
  </si>
  <si>
    <t>(مدرسة نور العباس الابتدائية للبنين)</t>
  </si>
  <si>
    <t xml:space="preserve">تلبية لطلب شعبة التقنية تم الكشف عن UPS الشاشات ومعالجة مشكلة انقلاب الفيزات </t>
  </si>
  <si>
    <t>2026/08/18 - 06:17 ص</t>
  </si>
  <si>
    <t>(اسب)</t>
  </si>
  <si>
    <t>استبدال سلك الطوارئ الخاص بباب المصعد</t>
  </si>
  <si>
    <t>2026/08/18 - 06:18 ص</t>
  </si>
  <si>
    <t>(المختبرات)</t>
  </si>
  <si>
    <t xml:space="preserve">إعادة ترتيب كابل التغذية القادم من محطة الرفع وتوزيع الأحمال على 3 فيزات بدل من واحد </t>
  </si>
  <si>
    <t>2026/08/18 - 06:19 ص</t>
  </si>
  <si>
    <t>2026/08/18 - 06:21 ص</t>
  </si>
  <si>
    <t>إكمال المرحلة الأولى من تأسيس منظومة إتصالات ( كاميرات، انترنت، حاسبات، تلفون ارضي)</t>
  </si>
  <si>
    <t>2026/08/22 - 07:52 ص</t>
  </si>
  <si>
    <t>2026/08/22 - 08:13 ص</t>
  </si>
  <si>
    <t>تعليك لوحة اعلانات عدد 2</t>
  </si>
  <si>
    <t>2026/08/22 - 07:53 ص</t>
  </si>
  <si>
    <t>تعليك طفاية حريق عدد 3</t>
  </si>
  <si>
    <t>ارجاع طفايات حريق عدد 3</t>
  </si>
  <si>
    <t>2026/08/22 - 07:54 ص</t>
  </si>
  <si>
    <t>2026/08/22 - 08:14 ص</t>
  </si>
  <si>
    <t>اعمال تصليح ومعجنة الحائط</t>
  </si>
  <si>
    <t>2026/08/22 - 07:55 ص</t>
  </si>
  <si>
    <t>اعمال سنفرة الطابق الارضي</t>
  </si>
  <si>
    <t>اعمال وضع التيب في الطابق الارضي</t>
  </si>
  <si>
    <t>2026/08/22 - 07:56 ص</t>
  </si>
  <si>
    <t>اعمال صبغ الطابق الارضي</t>
  </si>
  <si>
    <t>2026/08/22 - 07:57 ص</t>
  </si>
  <si>
    <t>2026/08/22 - 08:15 ص</t>
  </si>
  <si>
    <t>اعمال تصليح ومعجنة الطابق الاول</t>
  </si>
  <si>
    <t>2026/08/22 - 07:58 ص</t>
  </si>
  <si>
    <t>اعمال سنفرة الطابق الاول</t>
  </si>
  <si>
    <t>صبغ الحائط ممر الطابق الاول</t>
  </si>
  <si>
    <t>2026/08/22 - 07:59 ص</t>
  </si>
  <si>
    <t>اعمال رفع التيب وتنظيف المكان</t>
  </si>
  <si>
    <t>2026/08/22 - 08:16 ص</t>
  </si>
  <si>
    <t>صيانة الباب الرئيسية</t>
  </si>
  <si>
    <t>2026/08/22 - 08:00 ص</t>
  </si>
  <si>
    <t>(G_روضة الجود) ، (B_روضة القمر)</t>
  </si>
  <si>
    <t>صيانة ابواب الصحيات الخارجية</t>
  </si>
  <si>
    <t>2026/08/22 - 08:01 ص</t>
  </si>
  <si>
    <t>صيانة لبة باب الصحيات الخارجية</t>
  </si>
  <si>
    <t>2026/08/22 - 08:02 ص</t>
  </si>
  <si>
    <t xml:space="preserve">فتح باب عدد 4 الصحيات الخارجية </t>
  </si>
  <si>
    <t>2026/08/22 - 08:17 ص</t>
  </si>
  <si>
    <t>2026/08/22 - 08:03 ص</t>
  </si>
  <si>
    <t>صيانة باب عدد 4 الصحيات الخارجية</t>
  </si>
  <si>
    <t>تبديل يدة باب الصحيات الخارجية عدد 2</t>
  </si>
  <si>
    <t>2026/08/22 - 08:05 ص</t>
  </si>
  <si>
    <t>فتح باب الصحيات الخارجية عدد 6 مقابل الالعاب</t>
  </si>
  <si>
    <t>2026/08/22 - 08:06 ص</t>
  </si>
  <si>
    <t>2026/08/22 - 08:18 ص</t>
  </si>
  <si>
    <t>فتح ابواب الصحيات مقابل الالعاب</t>
  </si>
  <si>
    <t>2026/08/22 - 08:09 ص</t>
  </si>
  <si>
    <t>صيانة باب الصحيات مقابل الالعاب</t>
  </si>
  <si>
    <t>2026/08/22 - 08:10 ص</t>
  </si>
  <si>
    <t>تعليك لوحة غرفة الادارة</t>
  </si>
  <si>
    <t>2026/08/22 - 08:19 ص</t>
  </si>
  <si>
    <t>صيانة يدات ابواب عدد 3 الصحيات الخارجية</t>
  </si>
  <si>
    <t>2026/08/22 - 08:11 ص</t>
  </si>
  <si>
    <t>اعمال صبغ ابرايمر وتيب مقابل المدرسة الاولى</t>
  </si>
  <si>
    <t>2026/08/22 - 08:12 ص</t>
  </si>
  <si>
    <t>اعمال صبغ الرصيف بالون الابيض والاصفر</t>
  </si>
  <si>
    <t>اعمال تطبيك سيراميك</t>
  </si>
  <si>
    <t>2026/08/25 - 10:05 ص</t>
  </si>
  <si>
    <t>2026/08/25 - 11:11 ص</t>
  </si>
  <si>
    <t>2026/08/25 - 10:06 ص</t>
  </si>
  <si>
    <t>2026/08/25 - 11:12 ص</t>
  </si>
  <si>
    <t>فتح 15قطعة كاسيت</t>
  </si>
  <si>
    <t>2026/08/25 - 10:10 ص</t>
  </si>
  <si>
    <t>2026/08/25 - 10:11 ص</t>
  </si>
  <si>
    <t>2026/08/25 - 10:12 ص</t>
  </si>
  <si>
    <t>2026/08/25 - 11:13 ص</t>
  </si>
  <si>
    <t>2026/08/25 - 11:14 ص</t>
  </si>
  <si>
    <t>غسل 15 قطعة كاسيت</t>
  </si>
  <si>
    <t>2026/08/25 - 10:13 ص</t>
  </si>
  <si>
    <t>2026/08/25 - 11:47 ص</t>
  </si>
  <si>
    <t>2026/08/25 - 11:48 ص</t>
  </si>
  <si>
    <t>2026/08/25 - 10:14 ص</t>
  </si>
  <si>
    <t>2026/08/25 - 10:20 ص</t>
  </si>
  <si>
    <t>2026/08/25 - 10:23 ص</t>
  </si>
  <si>
    <t>2026/08/25 - 10:24 ص</t>
  </si>
  <si>
    <t>2026/08/25 - 11:49 ص</t>
  </si>
  <si>
    <t>شد 12 قطعة كاسيت</t>
  </si>
  <si>
    <t>2026/08/25 - 10:25 ص</t>
  </si>
  <si>
    <t>2026/08/25 - 10:31 ص</t>
  </si>
  <si>
    <t>2026/08/25 - 10:32 ص</t>
  </si>
  <si>
    <t>2026/08/25 - 11:50 ص</t>
  </si>
  <si>
    <t>2026/08/25 - 10:47 ص</t>
  </si>
  <si>
    <t>2026/08/25 - 10:48 ص</t>
  </si>
  <si>
    <t>2026/08/25 - 11:51 ص</t>
  </si>
  <si>
    <t>2026/08/25 - 10:49 ص</t>
  </si>
  <si>
    <t>غسل22 قطعة كاسيت</t>
  </si>
  <si>
    <t>2026/08/25 - 10:50 ص</t>
  </si>
  <si>
    <t>2026/08/25 - 10:51 ص</t>
  </si>
  <si>
    <t>م.مرتضى عباس</t>
  </si>
  <si>
    <t>2026/08/25 - 11:52 ص</t>
  </si>
  <si>
    <t>((مركز A) ، (رئاسة القسم))</t>
  </si>
  <si>
    <t>(ادامة وتنظيف فلاتر منظومة VRF)</t>
  </si>
  <si>
    <t>2026/08/25 - 10:52 ص</t>
  </si>
  <si>
    <t>2026/08/25 - 10:53 ص</t>
  </si>
  <si>
    <t>2026/08/25 - 11:53 ص</t>
  </si>
  <si>
    <t>2026/08/25 - 10:56 ص</t>
  </si>
  <si>
    <t>((مركز A) ، (قاعة المؤتمرات))</t>
  </si>
  <si>
    <t>(ادامة وتنظيف منظومة السبلت Package)</t>
  </si>
  <si>
    <t>2026/08/25 - 11:54 ص</t>
  </si>
  <si>
    <t>2026/08/25 - 10:57 ص</t>
  </si>
  <si>
    <t>2026/08/25 - 11:55 ص</t>
  </si>
  <si>
    <t>((مركز A) ، (قاعة سراج العميد))</t>
  </si>
  <si>
    <t>2026/08/25 - 10:59 ص</t>
  </si>
  <si>
    <t>2026/08/25 - 11:56 ص</t>
  </si>
  <si>
    <t>((روضة G (2)) ، (القاعة الرياضية مقابل الخامسة))</t>
  </si>
  <si>
    <t>(ادامة وتنظيف منظومة Package)</t>
  </si>
  <si>
    <t>((روضة G (2)) ، (القاعة الرياضية مقابل الرابعة))</t>
  </si>
  <si>
    <t>2026/08/25 - 11:00 ص</t>
  </si>
  <si>
    <t>2026/08/25 - 11:57 ص</t>
  </si>
  <si>
    <t>((روضة B (1)) ، (القاعة الراضية مقابل الالعاب))</t>
  </si>
  <si>
    <t>2026/08/25 - 11:01 ص</t>
  </si>
  <si>
    <t>((روضة B (1)) ، (القاعة الرياضة مقابل الاولى))</t>
  </si>
  <si>
    <t>2026/08/25 - 11:58 ص</t>
  </si>
  <si>
    <t>((روضة G (2)))</t>
  </si>
  <si>
    <t>(ادامة وتنظيف منظومة DX)</t>
  </si>
  <si>
    <t>2026/08/25 - 11:02 ص</t>
  </si>
  <si>
    <t>2026/08/25 - 11:03 ص</t>
  </si>
  <si>
    <t>2026/08/25 - 11:59 ص</t>
  </si>
  <si>
    <t>((روضة B (1)))</t>
  </si>
  <si>
    <t>2026/08/25 - 11:04 ص</t>
  </si>
  <si>
    <t>((مدرسة J (7)))</t>
  </si>
  <si>
    <t>2026/08/25 - 12:00 م</t>
  </si>
  <si>
    <t>2026/08/25 - 11:05 ص</t>
  </si>
  <si>
    <t>2026/08/25 - 12:01 م</t>
  </si>
  <si>
    <t>2026/08/25 - 11:06 ص</t>
  </si>
  <si>
    <t>((مدرسة I (6)))</t>
  </si>
  <si>
    <t>2026/08/25 - 11:07 ص</t>
  </si>
  <si>
    <t>2026/08/25 - 12:02 م</t>
  </si>
  <si>
    <t>((مدرسة H (5)))</t>
  </si>
  <si>
    <t>((مدرسة F (4)))</t>
  </si>
  <si>
    <t>2026/08/25 - 12:03 م</t>
  </si>
  <si>
    <t>((مدرسة E (3)))</t>
  </si>
  <si>
    <t>2026/08/25 - 11:08 ص</t>
  </si>
  <si>
    <t>((مدرسة D (2)))</t>
  </si>
  <si>
    <t>2026/08/25 - 12:04 م</t>
  </si>
  <si>
    <t>((مدرسة C (1)))</t>
  </si>
  <si>
    <t>((مركز A))</t>
  </si>
  <si>
    <t>2026/08/25 - 11:09 ص</t>
  </si>
  <si>
    <t>(ادامة وتنظيف القطع الخارجية لمنظومات التبريد)</t>
  </si>
  <si>
    <t>2026/08/25 - 12:05 م</t>
  </si>
  <si>
    <t>2026/08/25 - 11:10 ص</t>
  </si>
  <si>
    <t>2026/08/25 - 12:06 م</t>
  </si>
  <si>
    <t>2026/08/25 - 12:07 م</t>
  </si>
  <si>
    <t>(طابق 3) ، (طابق 4) ، (السطح)</t>
  </si>
  <si>
    <t>(السطح) ، (المصعد)</t>
  </si>
  <si>
    <t>(ادامة وتنظيف السبالت الخاصة بغرف المصاعد)</t>
  </si>
  <si>
    <t>2026/08/25 - 11:15 ص</t>
  </si>
  <si>
    <t>2026/08/25 - 11:16 ص</t>
  </si>
  <si>
    <t>2026/08/25 - 12:08 م</t>
  </si>
  <si>
    <t>2026/08/25 - 11:17 ص</t>
  </si>
  <si>
    <t>2026/08/25 - 11:18 ص</t>
  </si>
  <si>
    <t>2026/08/25 - 12:09 م</t>
  </si>
  <si>
    <t>(كل الطوابق)</t>
  </si>
  <si>
    <t>(ادامة وتنظيف السبالت الخاصة بغرف الكهرباء)</t>
  </si>
  <si>
    <t>2026/08/25 - 11:19 ص</t>
  </si>
  <si>
    <t>2026/08/25 - 11:20 ص</t>
  </si>
  <si>
    <t>2026/08/25 - 12:10 م</t>
  </si>
  <si>
    <t>2026/08/25 - 11:21 ص</t>
  </si>
  <si>
    <t>2026/08/25 - 12:11 م</t>
  </si>
  <si>
    <t>2026/08/25 - 11:22 ص</t>
  </si>
  <si>
    <t>2026/08/25 - 11:23 ص</t>
  </si>
  <si>
    <t>2026/08/25 - 11:27 ص</t>
  </si>
  <si>
    <t>2026/08/25 - 12:12 م</t>
  </si>
  <si>
    <t>2026/08/25 - 11:28 ص</t>
  </si>
  <si>
    <t>2026/08/25 - 11:29 ص</t>
  </si>
  <si>
    <t>2026/08/25 - 12:13 م</t>
  </si>
  <si>
    <t>2026/08/25 - 11:30 ص</t>
  </si>
  <si>
    <t>2026/08/25 - 12:14 م</t>
  </si>
  <si>
    <t>2026/08/25 - 11:31 ص</t>
  </si>
  <si>
    <t>2026/08/25 - 11:32 ص</t>
  </si>
  <si>
    <t>2026/08/25 - 11:33 ص</t>
  </si>
  <si>
    <t>2026/08/25 - 12:15 م</t>
  </si>
  <si>
    <t>2026/08/25 - 11:38 ص</t>
  </si>
  <si>
    <t>2026/08/25 - 12:16 م</t>
  </si>
  <si>
    <t>2026/08/25 - 11:40 ص</t>
  </si>
  <si>
    <t>2026/08/25 - 12:17 م</t>
  </si>
  <si>
    <t>2026/08/25 - 11:41 ص</t>
  </si>
  <si>
    <t>2026/08/25 - 12:18 م</t>
  </si>
  <si>
    <t>2026/08/25 - 12:19 م</t>
  </si>
  <si>
    <t>2026/08/25 - 12:20 م</t>
  </si>
  <si>
    <t>2026/08/25 - 12:23 م</t>
  </si>
  <si>
    <t>2026/08/25 - 12:22 م</t>
  </si>
  <si>
    <t>2026/08/25 - 12:21 م</t>
  </si>
  <si>
    <t>2026/08/26 - 09:57 ص</t>
  </si>
  <si>
    <t>2026/08/26 - 11:33 ص</t>
  </si>
  <si>
    <t>(I_6  ابتدائية الساقي) ، (7_J  ابتدائية الساقي)</t>
  </si>
  <si>
    <t>استلام كاز للمولدات الخارجية</t>
  </si>
  <si>
    <t>2026/08/26 - 09:58 ص</t>
  </si>
  <si>
    <t>استبدال زيت المولدة 1 ميكا المحطة</t>
  </si>
  <si>
    <t>2026/08/26 - 09:59 ص</t>
  </si>
  <si>
    <t>استبدال زيت المولدة 1 ميكا d</t>
  </si>
  <si>
    <t>2026/08/26 - 10:01 ص</t>
  </si>
  <si>
    <t>استبدال زيت المولدة 400 G.H</t>
  </si>
  <si>
    <t>2026/08/26 - 10:02 ص</t>
  </si>
  <si>
    <t>ملأ خزان 1 ميكا المحطة</t>
  </si>
  <si>
    <t>2026/08/26 - 11:34 ص</t>
  </si>
  <si>
    <t>ملأ خزان 500 محطة</t>
  </si>
  <si>
    <t>2026/08/26 - 10:03 ص</t>
  </si>
  <si>
    <t>ملأ خزان 1 ميكا E</t>
  </si>
  <si>
    <t>2026/08/26 - 11:35 ص</t>
  </si>
  <si>
    <t>ملأ خزان 1 ميكا خارجية</t>
  </si>
  <si>
    <t>2026/08/26 - 10:04 ص</t>
  </si>
  <si>
    <t>ملأ خزان 500 الخارجية</t>
  </si>
  <si>
    <t>2026/08/26 - 10:05 ص</t>
  </si>
  <si>
    <t>ملأ خزان 1 ميكا F</t>
  </si>
  <si>
    <t>ملأ خزان 1 ميكا C</t>
  </si>
  <si>
    <t>2026/08/26 - 10:06 ص</t>
  </si>
  <si>
    <t>2026/08/26 - 11:36 ص</t>
  </si>
  <si>
    <t xml:space="preserve">استبدال فلاتر المولدة 1 ميكا C </t>
  </si>
  <si>
    <t>2026/08/26 - 10:07 ص</t>
  </si>
  <si>
    <t>استبدال زيت المولدة 500 محطة</t>
  </si>
  <si>
    <t>2026/08/26 - 10:08 ص</t>
  </si>
  <si>
    <t>صيانة رأس البطارية للمولدة 400</t>
  </si>
  <si>
    <t>2026/08/26 - 10:09 ص</t>
  </si>
  <si>
    <t xml:space="preserve">استلام كاز 8000 لتر </t>
  </si>
  <si>
    <t>2026/08/26 - 10:10 ص</t>
  </si>
  <si>
    <t>2026/08/26 - 11:37 ص</t>
  </si>
  <si>
    <t xml:space="preserve">استبدال زيت المولدة 1 ميكا </t>
  </si>
  <si>
    <t>2026/08/26 - 10:11 ص</t>
  </si>
  <si>
    <t>اضافة 700 لتر كاز للمولدة الامنية</t>
  </si>
  <si>
    <t>اضافة كاز 4300 لتر للمولدة 1 ميكا E</t>
  </si>
  <si>
    <t>2026/08/26 - 10:12 ص</t>
  </si>
  <si>
    <t>اضافة كاز 5000 لتر للمولدة 500 محطة</t>
  </si>
  <si>
    <t>2026/08/26 - 10:13 ص</t>
  </si>
  <si>
    <t>تنظيف غرفة السنكرو وغرفة محطة الرفع</t>
  </si>
  <si>
    <t>2026/08/26 - 10:14 ص</t>
  </si>
  <si>
    <t>2026/08/26 - 11:38 ص</t>
  </si>
  <si>
    <t>استبدال فلاتر الهواء للمولدة 1 ميكا D</t>
  </si>
  <si>
    <t>ملأ خزان المولدة 1 ميكا D</t>
  </si>
  <si>
    <t>2026/08/26 - 10:16 ص</t>
  </si>
  <si>
    <t>غسل المولدة 1 ميكا C</t>
  </si>
  <si>
    <t>2026/08/26 - 10:17 ص</t>
  </si>
  <si>
    <t>استلام كاز 11000 لتر تم توزيعها للمولدة المحطة والمركز</t>
  </si>
  <si>
    <t>2026/08/26 - 10:18 ص</t>
  </si>
  <si>
    <t>(A- المركز الثقافي) ، (B_روضة القمر)</t>
  </si>
  <si>
    <t>استبدال بطاريات المولدة 250 AB</t>
  </si>
  <si>
    <t>2026/08/26 - 10:39 ص</t>
  </si>
  <si>
    <t>2026/08/26 - 11:39 ص</t>
  </si>
  <si>
    <t>2026/08/26 - 10:40 ص</t>
  </si>
  <si>
    <t>استبدال رؤوس البطاريات للمولدة 250 مركز</t>
  </si>
  <si>
    <t>2026/08/26 - 10:41 ص</t>
  </si>
  <si>
    <t>غسل المولدة 1 ميكا محطة</t>
  </si>
  <si>
    <t>2026/08/26 - 10:42 ص</t>
  </si>
  <si>
    <t xml:space="preserve">اضافة كاز 5000 للموزلدة 1 ميكا </t>
  </si>
  <si>
    <t>(C_1  الاعدادية) ، (D_2  المتوسطة)</t>
  </si>
  <si>
    <t>2026/08/26 - 10:43 ص</t>
  </si>
  <si>
    <t>2026/08/26 - 11:40 ص</t>
  </si>
  <si>
    <t>غسل المولدة 1 ميكا D</t>
  </si>
  <si>
    <t>2026/08/26 - 10:44 ص</t>
  </si>
  <si>
    <t>غسل موقع المولدات والخزانات مركز ثقافي</t>
  </si>
  <si>
    <t>2026/08/26 - 10:47 ص</t>
  </si>
  <si>
    <t>غسل مولدة  1 ميكا E</t>
  </si>
  <si>
    <t>2026/08/26 - 11:41 ص</t>
  </si>
  <si>
    <t>غسل مولدة 1 ميكا [</t>
  </si>
  <si>
    <t>2026/08/26 - 10:50 ص</t>
  </si>
  <si>
    <t>غسل المولدة والخزانات للمولدة GH</t>
  </si>
  <si>
    <t>2026/08/26 - 10:53 ص</t>
  </si>
  <si>
    <t>صيانة شاحن بطارية مولدة 400</t>
  </si>
  <si>
    <t>2026/08/26 - 10:54 ص</t>
  </si>
  <si>
    <t>استلام كاز 31000 لتر</t>
  </si>
  <si>
    <t>2026/08/26 - 10:56 ص</t>
  </si>
  <si>
    <t xml:space="preserve">اضافة زيت للمولدة 1 ميكا </t>
  </si>
  <si>
    <t>2026/08/26 - 10:58 ص</t>
  </si>
  <si>
    <t>2026/08/26 - 11:42 ص</t>
  </si>
  <si>
    <t xml:space="preserve">استبدال زيت المولدة الامنية </t>
  </si>
  <si>
    <t>غسل مولدة المركز الثقافي</t>
  </si>
  <si>
    <t>2026/08/26 - 10:59 ص</t>
  </si>
  <si>
    <t>غسل مولدة المركز الثقافي 250</t>
  </si>
  <si>
    <t>2026/08/26 - 11:00 ص</t>
  </si>
  <si>
    <t>فتح وغسل راديتر المولدة الخارجية</t>
  </si>
  <si>
    <t>2026/08/26 - 11:01 ص</t>
  </si>
  <si>
    <t>2026/08/26 - 11:43 ص</t>
  </si>
  <si>
    <t>استبدال بطاريات المولدة 1 ميكا C</t>
  </si>
  <si>
    <t>2026/08/26 - 11:02 ص</t>
  </si>
  <si>
    <t>ysg hgl,g]m 500 lp'm</t>
  </si>
  <si>
    <t>(طابق 3) ، (السطح)</t>
  </si>
  <si>
    <t>صيانة كارت vrf</t>
  </si>
  <si>
    <t>2026/08/26 - 11:50 ص</t>
  </si>
  <si>
    <t>2026/08/26 - 11:56 ص</t>
  </si>
  <si>
    <t>2026/08/26 - 11:51 ص</t>
  </si>
  <si>
    <t>2026/08/26 - 11:57 ص</t>
  </si>
  <si>
    <t>2026/08/26 - 11:52 ص</t>
  </si>
  <si>
    <t>2026/08/26 - 11:58 ص</t>
  </si>
  <si>
    <t>2026/08/26 - 11:53 ص</t>
  </si>
  <si>
    <t>2026/08/26 - 12:26 م</t>
  </si>
  <si>
    <t>2026/08/26 - 12:27 م</t>
  </si>
  <si>
    <t>2026/08/26 - 11:54 ص</t>
  </si>
  <si>
    <t>2026/08/26 - 12:28 م</t>
  </si>
  <si>
    <t>2026/08/26 - 11:55 ص</t>
  </si>
  <si>
    <t>(طابق ارضي) ، (Zone A) ، (المرقاب)</t>
  </si>
  <si>
    <t>صيانة فان vrf</t>
  </si>
  <si>
    <t>2026/08/26 - 12:29 م</t>
  </si>
  <si>
    <t>(طابق ارضي) ، (Zone A) ، (العيادة)</t>
  </si>
  <si>
    <t>(طابق ارضي) ، (Zone A) ، (المعاونات)</t>
  </si>
  <si>
    <t>2026/08/26 - 12:30 م</t>
  </si>
  <si>
    <t>صيانة سبلت غرفة الكهرباء</t>
  </si>
  <si>
    <t>2026/08/26 - 11:59 ص</t>
  </si>
  <si>
    <t>(غرفة الكهرباء)</t>
  </si>
  <si>
    <t>(غرفة الكهرباء) ، (السنكرو)</t>
  </si>
  <si>
    <t>2026/08/26 - 12:00 م</t>
  </si>
  <si>
    <t>(طابق ارضي) ، (Zone B) ، (غرفة الكهرباء)</t>
  </si>
  <si>
    <t>2026/08/26 - 12:31 م</t>
  </si>
  <si>
    <t>(طابق 1) ، (Zone B) ، (غرفة الكهرباء)</t>
  </si>
  <si>
    <t>(طابق 2) ، (Zone B) ، (غرفة الكهرباء)</t>
  </si>
  <si>
    <t>2026/08/26 - 12:01 م</t>
  </si>
  <si>
    <t>صيانة سبلت غرفة المصعد</t>
  </si>
  <si>
    <t>2026/08/26 - 12:02 م</t>
  </si>
  <si>
    <t>(السطح) ، (القاعة لبرياضية)</t>
  </si>
  <si>
    <t>صيانة البكج</t>
  </si>
  <si>
    <t>2026/08/26 - 12:06 م</t>
  </si>
  <si>
    <t>(ادامة وتنظيف مضخات اطفاء الحريق)</t>
  </si>
  <si>
    <t>2026/08/26 - 12:32 م</t>
  </si>
  <si>
    <t>2026/08/26 - 12:07 م</t>
  </si>
  <si>
    <t>2026/08/26 - 12:35 م</t>
  </si>
  <si>
    <t>2026/08/26 - 12:08 م</t>
  </si>
  <si>
    <t>2026/08/26 - 12:34 م</t>
  </si>
  <si>
    <t>(تبديل فلاتر  + المواد الكيميائية لمظومة ماء OR)</t>
  </si>
  <si>
    <t>2026/08/26 - 12:09 م</t>
  </si>
  <si>
    <t>2026/08/26 - 12:33 م</t>
  </si>
  <si>
    <t>2026/08/26 - 12:10 م</t>
  </si>
  <si>
    <t>2026/08/29 - 01:45 م</t>
  </si>
  <si>
    <t>2026/09/06 - 10:14 ص</t>
  </si>
  <si>
    <t>صيانة  صوندات  البرادات</t>
  </si>
  <si>
    <t>2026/08/29 - 01:46 م</t>
  </si>
  <si>
    <t>2026/08/31 - 02:34 م</t>
  </si>
  <si>
    <t>صيانه قفل باب الحانوت</t>
  </si>
  <si>
    <t>2026/08/29 - 01:47 م</t>
  </si>
  <si>
    <t>2026/08/31 - 02:35 م</t>
  </si>
  <si>
    <t>صيانه باب الصف(الثاني أ /ب/ الخامس أ) القفل لايعمل</t>
  </si>
  <si>
    <t>2026/08/29 - 01:49 م</t>
  </si>
  <si>
    <t>2026/08/31 - 02:36 م</t>
  </si>
  <si>
    <t>صيانة لوكر في الصف الرابع (ب) القفل لايعمل</t>
  </si>
  <si>
    <t>2026/08/29 - 01:51 م</t>
  </si>
  <si>
    <t>صيانة بردة في الصف السادس (أ)</t>
  </si>
  <si>
    <t>2026/08/30 - 12:44 م</t>
  </si>
  <si>
    <t>صيانة حمام زوم A</t>
  </si>
  <si>
    <t>2026/08/30 - 12:45 م</t>
  </si>
  <si>
    <t>صيانة رحلة ثاني أ</t>
  </si>
  <si>
    <t>2026/08/30 - 12:48 م</t>
  </si>
  <si>
    <t>2026/08/31 - 02:37 م</t>
  </si>
  <si>
    <t>صيانة كرسي معلم ثاني (ج)+ صيانة رحلة ثاني (ط)</t>
  </si>
  <si>
    <t>2026/08/30 - 01:32 م</t>
  </si>
  <si>
    <t>باب ميز المعلمة ( المرسم)</t>
  </si>
  <si>
    <t>2026/08/30 - 01:36 م</t>
  </si>
  <si>
    <t>2026/08/31 - 02:39 م</t>
  </si>
  <si>
    <t>صيانة مصباح الحانوت +  صيانة سقيفة المقاسل + صيانة يدة حنفية  حمامات المراقب</t>
  </si>
  <si>
    <t>2026/08/30 - 01:39 م</t>
  </si>
  <si>
    <t>صيانة ميز معلمة غرفة المعلمات + صيانة يدة شباك غرفة المراقب</t>
  </si>
  <si>
    <t>2026/08/30 - 01:43 م</t>
  </si>
  <si>
    <t>2026/08/31 - 02:40 م</t>
  </si>
  <si>
    <t>صيانة صوندات المغاسل  حمامات الطلاب</t>
  </si>
  <si>
    <t>2026/08/31 - 02:44 م</t>
  </si>
  <si>
    <t>2026/08/31 - 03:03 م</t>
  </si>
  <si>
    <t xml:space="preserve">صيانة ساحبة الحمام </t>
  </si>
  <si>
    <t>صيانة ساحبات الحمام طابق اول</t>
  </si>
  <si>
    <t>2026/08/31 - 02:45 م</t>
  </si>
  <si>
    <t>صيانة سبلت معلمات طابق ارضي عدد 2</t>
  </si>
  <si>
    <t>2026/08/31 - 02:46 م</t>
  </si>
  <si>
    <t>2026/08/31 - 03:04 م</t>
  </si>
  <si>
    <t xml:space="preserve">صيانة سبلت صف الخامس </t>
  </si>
  <si>
    <t>صيانة سبلت مقابل غرفة المعلمات</t>
  </si>
  <si>
    <t>2026/08/31 - 02:47 م</t>
  </si>
  <si>
    <t>صيانة نقطة كهرباء سبلت</t>
  </si>
  <si>
    <t>2026/08/31 - 02:48 م</t>
  </si>
  <si>
    <t>2026/08/31 - 03:05 م</t>
  </si>
  <si>
    <t>صيانة باب صف الخامس أ</t>
  </si>
  <si>
    <t>2026/08/31 - 02:49 م</t>
  </si>
  <si>
    <t>صيانة يدة حنفية</t>
  </si>
  <si>
    <t>صيانة يدة شباك المرقاب</t>
  </si>
  <si>
    <t>2026/08/31 - 02:51 م</t>
  </si>
  <si>
    <t>صيانة بردات صف الاول ب</t>
  </si>
  <si>
    <t>2026/08/31 - 02:52 م</t>
  </si>
  <si>
    <t>2026/08/31 - 03:06 م</t>
  </si>
  <si>
    <t>صيانة سبلت غرفة المعلمات</t>
  </si>
  <si>
    <t>صيانة نقاط كهرباء</t>
  </si>
  <si>
    <t>2026/08/31 - 02:54 م</t>
  </si>
  <si>
    <t>صيانة ماكنة تنظيف</t>
  </si>
  <si>
    <t>2026/08/31 - 03:41 م</t>
  </si>
  <si>
    <t>2026/08/31 - 05:44 م</t>
  </si>
  <si>
    <t>2026/08/31 - 03:42 م</t>
  </si>
  <si>
    <t>صبغ جميع أبواب الخشب</t>
  </si>
  <si>
    <t>2026/08/31 - 05:50 م</t>
  </si>
  <si>
    <t xml:space="preserve">صبغ جميع أبواب الخشب </t>
  </si>
  <si>
    <t>2026/08/31 - 05:51 م</t>
  </si>
  <si>
    <t>2026/08/31 - 03:43 م</t>
  </si>
  <si>
    <t>صبغ غرفة الإدارة</t>
  </si>
  <si>
    <t>2026/08/31 - 03:44 م</t>
  </si>
  <si>
    <t>صبغ جميع أبواب الطابق الاول</t>
  </si>
  <si>
    <t>2026/08/31 - 05:52 م</t>
  </si>
  <si>
    <t xml:space="preserve">صبغ جميع أبواب الطابق الثاني </t>
  </si>
  <si>
    <t>2026/08/31 - 03:46 م</t>
  </si>
  <si>
    <t>2026/08/31 - 05:53 م</t>
  </si>
  <si>
    <t>2026/08/31 - 03:47 م</t>
  </si>
  <si>
    <t>2026/08/31 - 05:54 م</t>
  </si>
  <si>
    <t xml:space="preserve">صيانة لوحة طابق ارضي </t>
  </si>
  <si>
    <t>2026/08/31 - 03:48 م</t>
  </si>
  <si>
    <t>2026/09/06 - 10:15 ص</t>
  </si>
  <si>
    <t>(طابق 2) ، (Zone B) ، (السطح)</t>
  </si>
  <si>
    <t>صيانة باب بين الزونين</t>
  </si>
  <si>
    <t>صيانة ميز في المرسم</t>
  </si>
  <si>
    <t>2026/08/31 - 03:50 م</t>
  </si>
  <si>
    <t>تفليش حائط لعمل باب</t>
  </si>
  <si>
    <t>2026/08/31 - 03:51 م</t>
  </si>
  <si>
    <t>رفع الإنقاذ</t>
  </si>
  <si>
    <t>2026/08/31 - 03:53 م</t>
  </si>
  <si>
    <t>2026/09/06 - 10:16 ص</t>
  </si>
  <si>
    <t>2026/09/06 - 10:23 ص</t>
  </si>
  <si>
    <t xml:space="preserve">صبغ الطابق الاول </t>
  </si>
  <si>
    <t>2026/08/31 - 03:54 م</t>
  </si>
  <si>
    <t>2026/09/06 - 10:20 ص</t>
  </si>
  <si>
    <t>(5_H  ابتدائية القمر) ، (النافورة)</t>
  </si>
  <si>
    <t xml:space="preserve">ارجاع طفايات </t>
  </si>
  <si>
    <t>2026/08/31 - 03:55 م</t>
  </si>
  <si>
    <t>2026/09/06 - 10:22 ص</t>
  </si>
  <si>
    <t>غسل أنابيب النافورة</t>
  </si>
  <si>
    <t>2026/08/31 - 03:56 م</t>
  </si>
  <si>
    <t>2026/08/31 - 03:58 م</t>
  </si>
  <si>
    <t>2026/08/31 - 05:49 م</t>
  </si>
  <si>
    <t>أعمال تصليح الحائط بمادة المعجون</t>
  </si>
  <si>
    <t>2026/08/31 - 03:59 م</t>
  </si>
  <si>
    <t>أعمال صيانة حائط بمادة المعجون</t>
  </si>
  <si>
    <t>2026/08/31 - 04:00 م</t>
  </si>
  <si>
    <t xml:space="preserve">أعمال تصليح الحائط </t>
  </si>
  <si>
    <t>2026/08/31 - 04:01 م</t>
  </si>
  <si>
    <t xml:space="preserve">صبغ ابواب خشب الطابق الارضي </t>
  </si>
  <si>
    <t>2026/08/31 - 05:48 م</t>
  </si>
  <si>
    <t xml:space="preserve">صبغ جميع أبواب الطابق الاول </t>
  </si>
  <si>
    <t xml:space="preserve">صبغ جميع أبواب الطابق الارضي </t>
  </si>
  <si>
    <t>2026/08/31 - 04:02 م</t>
  </si>
  <si>
    <t>2026/08/31 - 05:47 م</t>
  </si>
  <si>
    <t xml:space="preserve">صبغ جميع أبواب الخشب الطابق الاول </t>
  </si>
  <si>
    <t xml:space="preserve">صبغ جميع أبواب الخشب الطابق الثاني </t>
  </si>
  <si>
    <t>2026/08/31 - 04:06 م</t>
  </si>
  <si>
    <t>2026/08/31 - 04:09 م</t>
  </si>
  <si>
    <t>أعمال ارجاع مقرنص</t>
  </si>
  <si>
    <t>2026/08/31 - 04:10 م</t>
  </si>
  <si>
    <t>2026/08/31 - 05:45 م</t>
  </si>
  <si>
    <t>أعمال صب بوري</t>
  </si>
  <si>
    <t>2026/08/31 - 04:11 م</t>
  </si>
  <si>
    <t>2026/08/31 - 05:40 م</t>
  </si>
  <si>
    <t>2026/08/31 - 05:41 م</t>
  </si>
  <si>
    <t>2026/09/02 - 11:01 ص</t>
  </si>
  <si>
    <t>2026/09/02 - 11:24 ص</t>
  </si>
  <si>
    <t>اعمال صبغ بيبان خشب المصلى</t>
  </si>
  <si>
    <t>2026/09/02 - 11:02 ص</t>
  </si>
  <si>
    <t>ارجاع سقوف ثانوية عدد 6</t>
  </si>
  <si>
    <t>2026/09/02 - 11:03 ص</t>
  </si>
  <si>
    <t>2026/09/02 - 11:23 ص</t>
  </si>
  <si>
    <t>2026/09/02 - 11:04 ص</t>
  </si>
  <si>
    <t>2026/09/02 - 11:07 ص</t>
  </si>
  <si>
    <t>فتح ابواب عدد 2</t>
  </si>
  <si>
    <t>2026/09/02 - 11:08 ص</t>
  </si>
  <si>
    <t>2026/09/02 - 11:22 ص</t>
  </si>
  <si>
    <t>صيانة تعلاكة ملابس</t>
  </si>
  <si>
    <t>2026/09/02 - 11:11 ص</t>
  </si>
  <si>
    <t>صيانة رحلات عدد2</t>
  </si>
  <si>
    <t>2026/09/02 - 11:12 ص</t>
  </si>
  <si>
    <t>2026/09/02 - 11:14 ص</t>
  </si>
  <si>
    <t>2026/09/02 - 11:15 ص</t>
  </si>
  <si>
    <t>2026/09/02 - 11:21 ص</t>
  </si>
  <si>
    <t>صيانة باب غرفة الكهرباء</t>
  </si>
  <si>
    <t>2026/09/02 - 11:16 ص</t>
  </si>
  <si>
    <t>2026/09/02 - 11:17 ص</t>
  </si>
  <si>
    <t>تبديل يدة باب صحيات</t>
  </si>
  <si>
    <t>2026/09/02 - 11:18 ص</t>
  </si>
  <si>
    <t>تبديل يدة باب الصحيات</t>
  </si>
  <si>
    <t>2026/09/02 - 11:19 ص</t>
  </si>
  <si>
    <t>2026/09/02 - 11:20 ص</t>
  </si>
  <si>
    <t>تعليق بردة صف المختبرات</t>
  </si>
  <si>
    <t>2026/09/06 - 09:46 ص</t>
  </si>
  <si>
    <t>2026/09/06 - 10:13 ص</t>
  </si>
  <si>
    <t>2026/09/06 - 09:47 ص</t>
  </si>
  <si>
    <t>2026/09/06 - 10:21 ص</t>
  </si>
  <si>
    <t>ملأ خزان المولدة 1 ميكا محطة</t>
  </si>
  <si>
    <t>2026/09/06 - 09:48 ص</t>
  </si>
  <si>
    <t>ملأ خزان المولدة 1 ميكا C</t>
  </si>
  <si>
    <t>2026/09/06 - 09:49 ص</t>
  </si>
  <si>
    <t>lملأ خزان المولدة الخاترجية الـ 500</t>
  </si>
  <si>
    <t>2026/09/14 - 11:50 ص</t>
  </si>
  <si>
    <t>ملأ خزان المولدة 1 ميكا AB</t>
  </si>
  <si>
    <t>2026/09/06 - 09:50 ص</t>
  </si>
  <si>
    <t>ملأ خزان المولدة الـ 250 GH</t>
  </si>
  <si>
    <t>2026/09/06 - 09:51 ص</t>
  </si>
  <si>
    <t>2026/09/14 - 11:49 ص</t>
  </si>
  <si>
    <t>ملأ خزان المولدة الـ 400 GH</t>
  </si>
  <si>
    <t>ملأ خزان المولدة الـ 1 ميكا GH</t>
  </si>
  <si>
    <t>2026/09/06 - 09:52 ص</t>
  </si>
  <si>
    <t>2026/09/14 - 11:48 ص</t>
  </si>
  <si>
    <t>اضافة كاز 6000 لتر للخزان الكبير</t>
  </si>
  <si>
    <t>2026/09/06 - 09:53 ص</t>
  </si>
  <si>
    <t>صيانة باب المولدة الخارجية الـ 500</t>
  </si>
  <si>
    <t>2026/09/06 - 09:56 ص</t>
  </si>
  <si>
    <t>2026/09/14 - 11:47 ص</t>
  </si>
  <si>
    <t>استبدال واشر المولدة 1 ميكا D</t>
  </si>
  <si>
    <t>2026/09/06 - 09:57 ص</t>
  </si>
  <si>
    <t>اضافة كاز 5000 لتر للخزان الكبير 1 ميكا مركز ثقافي</t>
  </si>
  <si>
    <t>2026/09/06 - 09:58 ص</t>
  </si>
  <si>
    <t>2026/09/14 - 11:46 ص</t>
  </si>
  <si>
    <t>اضافة كاز 5000 لتر للخزان الكبير 1 ميكا المحطة</t>
  </si>
  <si>
    <t>2026/09/06 - 09:59 ص</t>
  </si>
  <si>
    <t>ملأ خزان المولدة موقع GH</t>
  </si>
  <si>
    <t>2026/09/06 - 10:00 ص</t>
  </si>
  <si>
    <t>2026/09/14 - 11:45 ص</t>
  </si>
  <si>
    <t>ملأ خزان المولدة موقع E-F</t>
  </si>
  <si>
    <t>ملأ خزان المولدة موقع C-D</t>
  </si>
  <si>
    <t>2026/09/06 - 10:01 ص</t>
  </si>
  <si>
    <t>2026/09/14 - 11:44 ص</t>
  </si>
  <si>
    <t>غسل مولدة المحطة الـ500 وغسل الخزانات</t>
  </si>
  <si>
    <t>2026/09/06 - 10:02 ص</t>
  </si>
  <si>
    <t>اضافة 3 لتر زيت للمولدة 1 ميكا F</t>
  </si>
  <si>
    <t>2026/09/14 - 11:43 ص</t>
  </si>
  <si>
    <t>اصلاح غطاء كاتم مولدة 1 ميكا E</t>
  </si>
  <si>
    <t>2026/09/06 - 10:05 ص</t>
  </si>
  <si>
    <t>اصلاح غطاء كاتم الايسر مولدة 1 ميكا E</t>
  </si>
  <si>
    <t>2026/09/06 - 10:07 ص</t>
  </si>
  <si>
    <t>2026/09/14 - 11:42 ص</t>
  </si>
  <si>
    <t>اصلاح غطاء كاتم مولدة 1 ميكا C+D</t>
  </si>
  <si>
    <t>(5_H  ابتدائية القمر) ، (I_6  ابتدائية الساقي)</t>
  </si>
  <si>
    <t>اصلاح غطاء كاتم مولدة 1 ميكا GH+AB</t>
  </si>
  <si>
    <t>2026/09/14 - 11:41 ص</t>
  </si>
  <si>
    <t>اعمال صب بوري الاطفاء</t>
  </si>
  <si>
    <t>2026/09/06 - 10:17 ص</t>
  </si>
  <si>
    <t>2026/09/14 - 11:40 ص</t>
  </si>
  <si>
    <t>2026/09/14 - 11:39 ص</t>
  </si>
  <si>
    <t>صيانة مصد حائط خشب</t>
  </si>
  <si>
    <t>2026/09/06 - 10:18 ص</t>
  </si>
  <si>
    <t>2026/09/14 - 11:38 ص</t>
  </si>
  <si>
    <t>تغير قفل غرفة المعلمات</t>
  </si>
  <si>
    <t xml:space="preserve">اعمال رفع قالب الصب </t>
  </si>
  <si>
    <t>2026/09/06 - 10:19 ص</t>
  </si>
  <si>
    <t>اعمال تفليش شباك روضة الجود</t>
  </si>
  <si>
    <t>2026/09/14 - 11:37 ص</t>
  </si>
  <si>
    <t>اعمال تفليش شباك روضة القمر</t>
  </si>
  <si>
    <t>2026/09/14 - 11:34 ص</t>
  </si>
  <si>
    <t>2026/09/14 - 11:33 ص</t>
  </si>
  <si>
    <t>تصليح مكانات التالفة ممر الطابق الارضي</t>
  </si>
  <si>
    <t>2026/09/14 - 11:32 ص</t>
  </si>
  <si>
    <t>تصليح مكانات التالفة غرفة الصف الالكتروني</t>
  </si>
  <si>
    <t>2026/09/14 - 11:31 ص</t>
  </si>
  <si>
    <t>عمل تيب للطابق الارضي</t>
  </si>
  <si>
    <t>2026/09/06 - 10:24 ص</t>
  </si>
  <si>
    <t>تصليح مكان سحبة غرفة الصف الالكتروني</t>
  </si>
  <si>
    <t>صبغ برايمر غرفة الصف الالكتروني</t>
  </si>
  <si>
    <t>2026/09/06 - 10:25 ص</t>
  </si>
  <si>
    <t>2026/09/14 - 11:30 ص</t>
  </si>
  <si>
    <t xml:space="preserve">صبغ اساس حائط غرفة الصف الالكتروني </t>
  </si>
  <si>
    <t>2026/09/06 - 10:26 ص</t>
  </si>
  <si>
    <t>تسليك كيبل 70 متر  الى غرفة مزامنة مولدات المختبرات</t>
  </si>
  <si>
    <t>2026/09/14 - 11:28 ص</t>
  </si>
  <si>
    <t>(طابق 2) ، (Zone B) ، (المصعد)</t>
  </si>
  <si>
    <t>صيانة لوكر</t>
  </si>
  <si>
    <t>اعمال ارجاع قطع مرمر</t>
  </si>
  <si>
    <t>2026/09/06 - 10:27 ص</t>
  </si>
  <si>
    <t>2026/09/14 - 11:29 ص</t>
  </si>
  <si>
    <t xml:space="preserve">اعمال سنفرة الحائط </t>
  </si>
  <si>
    <t>2026/09/06 - 10:31 ص</t>
  </si>
  <si>
    <t>غرفة المولدات</t>
  </si>
  <si>
    <t>استحدات بلك سويج 13 امبير عدد 3</t>
  </si>
  <si>
    <t>2026/09/06 - 10:29 ص</t>
  </si>
  <si>
    <t>(بيت الاعلام)</t>
  </si>
  <si>
    <t>اضافة سويج لاطفاء وتشغيل شاشة التبليغات</t>
  </si>
  <si>
    <t>2026/09/06 - 10:30 ص</t>
  </si>
  <si>
    <t>اضافة بلك سوج لتغذية كمبيوتر  وشاشة التبليغات من ups</t>
  </si>
  <si>
    <t xml:space="preserve">اضافة  بلك سويج ups في غرفة المبرمجين </t>
  </si>
  <si>
    <t>2026/09/06 - 10:32 ص</t>
  </si>
  <si>
    <t>اضافة بلك سويج في غرفة الحاسبات</t>
  </si>
  <si>
    <t>2026/09/06 - 10:33 ص</t>
  </si>
  <si>
    <t>تغذية راك غرفة المولدات من ups المركزي في المدرسة الاولى</t>
  </si>
  <si>
    <t>2026/09/06 - 10:35 ص</t>
  </si>
  <si>
    <t>(سياج المجمع قرب الشعبة)</t>
  </si>
  <si>
    <t>سحب اسلاك الإتصالات الممتدة بمسافة 40 واستخدامها لنك رئيسي</t>
  </si>
  <si>
    <t>2026/09/06 - 10:36 ص</t>
  </si>
  <si>
    <t>2026/09/06 - 10:37 ص</t>
  </si>
  <si>
    <t>(غرفة المولدات)</t>
  </si>
  <si>
    <t>تجهيز الغرفة بشاشات عدد 2</t>
  </si>
  <si>
    <t>لحام اسلاك الاتصالات المقطوعة  الممتدة الى غرفة المدني</t>
  </si>
  <si>
    <t>2026/09/06 - 10:38 ص</t>
  </si>
  <si>
    <t>2026/09/06 - 10:39 ص</t>
  </si>
  <si>
    <t>(نور العباس الابتدائية بنين)</t>
  </si>
  <si>
    <t>الكشف عن عطل في القاطع الثنائي 32A المجهز للشاشات</t>
  </si>
  <si>
    <t>إضافة قواطع حماية وعمل تأريض الى RACK والأجهزة المرتبطة به.</t>
  </si>
  <si>
    <t>إضافة قاطع احادي 6A يغذي PDU الموجز في RACK</t>
  </si>
  <si>
    <t>إضافة قاطع احادي 3A يغذي كمبيوتر  في الغرفة.</t>
  </si>
  <si>
    <t>2026/09/06 - 10:40 ص</t>
  </si>
  <si>
    <t>2026/09/06 - 10:43 ص</t>
  </si>
  <si>
    <t>إضافة كاميرا DOME 4MP</t>
  </si>
  <si>
    <t>2026/09/06 - 10:41 ص</t>
  </si>
  <si>
    <t>إضافة جهاز HVR من أجل عرض كاميرات المولدات وعرض قناة الكاميرات الحرارية</t>
  </si>
  <si>
    <t>2026/09/06 - 10:42 ص</t>
  </si>
  <si>
    <t>تجهيز وحدة المولدات بتلفون ارضي جديد مع رقم اتصال داخلي وخارجي</t>
  </si>
  <si>
    <t>ربط الحاسبة الى الشبكة وتجيزها بالإنترنت و الطاقة من UPS المركزي</t>
  </si>
  <si>
    <t>2026/09/06 - 10:44 ص</t>
  </si>
  <si>
    <t>2026/09/06 - 10:45 ص</t>
  </si>
  <si>
    <t>إرجاع ربط التلفون الأرضي واعادة تجهيز الإنترنت</t>
  </si>
  <si>
    <t xml:space="preserve">إضافة اجهزة SWITCH  8P نوع ONV عدد 2 </t>
  </si>
  <si>
    <t>2026/09/06 - 10:46 ص</t>
  </si>
  <si>
    <t>إضافة راوتر TP LINK C20 وتجهيز الغرفة بالإنترنت</t>
  </si>
  <si>
    <t>2026/09/06 - 10:48 ص</t>
  </si>
  <si>
    <t>(غير محدد)</t>
  </si>
  <si>
    <t xml:space="preserve">اصلاح منشوريات عاطلة عدد </t>
  </si>
  <si>
    <t>2026/09/06 - 10:47 ص</t>
  </si>
  <si>
    <t>استبدال بلك سويج  امبير</t>
  </si>
  <si>
    <t xml:space="preserve">استبدال ماشية 13 امبير لسيار كهرباء </t>
  </si>
  <si>
    <t>2026/09/06 - 10:49 ص</t>
  </si>
  <si>
    <t>2026/09/06 - 10:52 ص</t>
  </si>
  <si>
    <t>(طابق 2) ، (غرفة المبرمجين)</t>
  </si>
  <si>
    <t>اضافة بلك سويج 13 امبير</t>
  </si>
  <si>
    <t>2026/09/06 - 10:50 ص</t>
  </si>
  <si>
    <t>استبدال قاطع 40 امبير تالف</t>
  </si>
  <si>
    <t>اصلاح اناارة منشورية عدد 2</t>
  </si>
  <si>
    <t>2026/09/06 - 10:53 ص</t>
  </si>
  <si>
    <t>استبدال قاطع احادي سعة 6A بآخر سعة 10A في بورد UPS</t>
  </si>
  <si>
    <t>2026/09/06 - 10:54 ص</t>
  </si>
  <si>
    <t>2026/09/06 - 10:57 ص</t>
  </si>
  <si>
    <t>إعادة ربط UPS سعة 3KV نوع FARBER خاص بالكاميرات و السيرفرات</t>
  </si>
  <si>
    <t>2026/09/06 - 10:58 ص</t>
  </si>
  <si>
    <t>تثبيت كاميرا جديدة في وحدة المدني نوع HIKVISION 4MP BULLET</t>
  </si>
  <si>
    <t>(وحدة التبريد)</t>
  </si>
  <si>
    <t>إعادة ربط التلفون الأرضي بعد استبداله.</t>
  </si>
  <si>
    <t>2026/09/06 - 10:55 ص</t>
  </si>
  <si>
    <t>صيانة انارة منشورية تالفة</t>
  </si>
  <si>
    <t>2026/09/06 - 10:56 ص</t>
  </si>
  <si>
    <t>(الصف الالكتروني)</t>
  </si>
  <si>
    <t>فصل ماخذ قدرة عدد 8  للقيام بالاعمال المدنية</t>
  </si>
  <si>
    <t>اضافة مفرغة هواء في بورد  الكهرباء</t>
  </si>
  <si>
    <t>الكشف عن خلل في منظومة الطاقة الشمسية في البيت</t>
  </si>
  <si>
    <t>2026/09/06 - 10:59 ص</t>
  </si>
  <si>
    <t>إعادة تشغيل قواطع الحماية التي تغذي UPS من الطاقة الشمسية حيث كانت مفصولة</t>
  </si>
  <si>
    <t>2026/09/06 - 11:00 ص</t>
  </si>
  <si>
    <t>(بورد الطاقة الشمسية)</t>
  </si>
  <si>
    <t xml:space="preserve"> استبدال قاطع ثنائي سعة 10A بقاطعين احاديين سعة 10A مغذي ups الكاميرات</t>
  </si>
  <si>
    <t>2026/09/06 - 11:01 ص</t>
  </si>
  <si>
    <t>لصق لوحات بلاستك شفافة جديدة عدد 4 لحفظ ورقات معلومات الأسلاك و بعض الأمور المهمة</t>
  </si>
  <si>
    <t xml:space="preserve">فحص كفاءة بطاريات (UPS) </t>
  </si>
  <si>
    <t>2026/09/07 - 09:00 ص</t>
  </si>
  <si>
    <t>(نور العميد بنين)</t>
  </si>
  <si>
    <t>2026/09/10 - 02:27 م</t>
  </si>
  <si>
    <t>2026/09/12 - 01:41 م</t>
  </si>
  <si>
    <t xml:space="preserve">تعليك بردة </t>
  </si>
  <si>
    <t>2026/09/10 - 02:28 م</t>
  </si>
  <si>
    <t>2026/09/12 - 01:42 م</t>
  </si>
  <si>
    <t>عمل ثقب لشد شطاف</t>
  </si>
  <si>
    <t>تعليك بردة عدد ٢</t>
  </si>
  <si>
    <t>2026/09/10 - 02:29 م</t>
  </si>
  <si>
    <t>2026/09/12 - 01:43 م</t>
  </si>
  <si>
    <t xml:space="preserve">تصليح بمادة معجون </t>
  </si>
  <si>
    <t>2026/09/10 - 02:31 م</t>
  </si>
  <si>
    <t xml:space="preserve">تبديل سحبة </t>
  </si>
  <si>
    <t>2026/09/12 - 01:44 م</t>
  </si>
  <si>
    <t>2026/09/10 - 02:32 م</t>
  </si>
  <si>
    <t>2026/09/12 - 01:45 م</t>
  </si>
  <si>
    <t>2026/09/10 - 02:33 م</t>
  </si>
  <si>
    <t xml:space="preserve">صيانة هزارة </t>
  </si>
  <si>
    <t>2026/09/10 - 02:34 م</t>
  </si>
  <si>
    <t>2026/09/12 - 01:46 م</t>
  </si>
  <si>
    <t>2026/09/10 - 02:36 م</t>
  </si>
  <si>
    <t>تصليح بمادة المعجون</t>
  </si>
  <si>
    <t>2026/09/12 - 01:47 م</t>
  </si>
  <si>
    <t>سنفرة الحائط بالكامل</t>
  </si>
  <si>
    <t>2026/09/10 - 02:37 م</t>
  </si>
  <si>
    <t>صبغ حائط الممر بالكامل</t>
  </si>
  <si>
    <t xml:space="preserve">عمل معجون وتيب ممر الطابق الاول </t>
  </si>
  <si>
    <t>2026/09/10 - 02:39 م</t>
  </si>
  <si>
    <t>2026/09/12 - 01:48 م</t>
  </si>
  <si>
    <t xml:space="preserve">عمل سنفرة للحائط الطابق الاول </t>
  </si>
  <si>
    <t xml:space="preserve">صبغ حائط الممر بالكامل </t>
  </si>
  <si>
    <t>2026/09/10 - 02:40 م</t>
  </si>
  <si>
    <t>2026/09/12 - 01:49 م</t>
  </si>
  <si>
    <t>تنظيف الأرضية</t>
  </si>
  <si>
    <t>2026/09/10 - 02:41 م</t>
  </si>
  <si>
    <t>تصليح حائط غرفة الإلكترونية</t>
  </si>
  <si>
    <t>2026/09/10 - 02:45 م</t>
  </si>
  <si>
    <t>2026/09/12 - 01:50 م</t>
  </si>
  <si>
    <t xml:space="preserve">عمل سنفرة للحائط غرفة الإلكترونية </t>
  </si>
  <si>
    <t xml:space="preserve">صبغ حائط صف الإلكترونية </t>
  </si>
  <si>
    <t>2026/09/10 - 02:47 م</t>
  </si>
  <si>
    <t>2026/09/12 - 01:51 م</t>
  </si>
  <si>
    <t>تصليح حائط غرفة الحانوت</t>
  </si>
  <si>
    <t>2026/09/10 - 02:48 م</t>
  </si>
  <si>
    <t>عمل سنفرة للحائط غرفة الحانوت</t>
  </si>
  <si>
    <t>2026/09/10 - 02:49 م</t>
  </si>
  <si>
    <t xml:space="preserve">صبغ غرفة الحانوت </t>
  </si>
  <si>
    <t>2026/09/10 - 02:50 م</t>
  </si>
  <si>
    <t>2026/09/12 - 01:52 م</t>
  </si>
  <si>
    <t xml:space="preserve">تصليح حائط غرفة المعلمات بمادة المعجون </t>
  </si>
  <si>
    <t xml:space="preserve">عمل سنفرة للحائط غرفة المعلمات </t>
  </si>
  <si>
    <t>2026/09/10 - 02:51 م</t>
  </si>
  <si>
    <t xml:space="preserve">صبغ حائط غرفة المعلمات </t>
  </si>
  <si>
    <t>2026/09/10 - 02:52 م</t>
  </si>
  <si>
    <t>2026/09/12 - 01:53 م</t>
  </si>
  <si>
    <t xml:space="preserve">تصليح حائط غرفة الاستراحة بمادة المعجون </t>
  </si>
  <si>
    <t xml:space="preserve">صبغ حائط غرفة الاستراحة </t>
  </si>
  <si>
    <t>2026/09/10 - 02:53 م</t>
  </si>
  <si>
    <t>ارجاع لوحات عدد ٧</t>
  </si>
  <si>
    <t>2026/09/10 - 02:55 م</t>
  </si>
  <si>
    <t>2026/09/12 - 01:54 م</t>
  </si>
  <si>
    <t>صيانة يدات لوكر عدد ٨</t>
  </si>
  <si>
    <t xml:space="preserve">صيانة لوكر غرفة المعلمات </t>
  </si>
  <si>
    <t>2026/09/10 - 02:56 م</t>
  </si>
  <si>
    <t>2026/09/12 - 01:55 م</t>
  </si>
  <si>
    <t xml:space="preserve">صيانة ميز غرفة المعلمات </t>
  </si>
  <si>
    <t>2026/09/10 - 02:57 م</t>
  </si>
  <si>
    <t xml:space="preserve">صيانة قنفة غرفة المعلمات </t>
  </si>
  <si>
    <t>2026/09/10 - 02:58 م</t>
  </si>
  <si>
    <t>2026/09/12 - 01:56 م</t>
  </si>
  <si>
    <t>ارجاع طفايات عدد ٥</t>
  </si>
  <si>
    <t>2026/09/12 - 01:57 م</t>
  </si>
  <si>
    <t xml:space="preserve">أعمال تنظيف الطابق الاول </t>
  </si>
  <si>
    <t>2026/09/10 - 02:59 م</t>
  </si>
  <si>
    <t>2026/09/12 - 01:58 م</t>
  </si>
  <si>
    <t>2026/09/12 - 01:59 م</t>
  </si>
  <si>
    <t>تعليك لوحد صف الفرح</t>
  </si>
  <si>
    <t>2026/09/10 - 03:00 م</t>
  </si>
  <si>
    <t>2026/09/12 - 02:10 م</t>
  </si>
  <si>
    <t xml:space="preserve">تعليك شمسية باب الروضة </t>
  </si>
  <si>
    <t>2026/09/10 - 03:01 م</t>
  </si>
  <si>
    <t>(الصحيات مقابل الالعاب )</t>
  </si>
  <si>
    <t>2026/09/10 - 03:02 م</t>
  </si>
  <si>
    <t>صيانة رفوف</t>
  </si>
  <si>
    <t>2026/09/10 - 03:03 م</t>
  </si>
  <si>
    <t>2026/09/12 - 02:09 م</t>
  </si>
  <si>
    <t xml:space="preserve">صيانة ميز اطفال </t>
  </si>
  <si>
    <t>2026/09/12 - 02:08 م</t>
  </si>
  <si>
    <t>فتح وشد يدة باب المصعد</t>
  </si>
  <si>
    <t>2026/09/10 - 03:04 م</t>
  </si>
  <si>
    <t>تبديل رجل لوكر</t>
  </si>
  <si>
    <t>2026/09/10 - 03:05 م</t>
  </si>
  <si>
    <t xml:space="preserve">صيانة رفوف </t>
  </si>
  <si>
    <t>ارجاع بردة</t>
  </si>
  <si>
    <t>2026/09/10 - 03:06 م</t>
  </si>
  <si>
    <t xml:space="preserve">تعليك صبورة </t>
  </si>
  <si>
    <t>2026/09/10 - 03:08 م</t>
  </si>
  <si>
    <t>شربته حمام الشمس</t>
  </si>
  <si>
    <t>2026/09/12 - 02:02 م</t>
  </si>
  <si>
    <t>2026/09/12 - 02:01 م</t>
  </si>
  <si>
    <t>2026/09/10 - 03:09 م</t>
  </si>
  <si>
    <t>2026/09/10 - 03:10 م</t>
  </si>
  <si>
    <t>2026/09/12 - 02:00 م</t>
  </si>
  <si>
    <t>صيانة باب خشب حمام صف الفرح</t>
  </si>
  <si>
    <t>صيانة باب المنيوم صف العسل</t>
  </si>
  <si>
    <t>2026/09/10 - 03:11 م</t>
  </si>
  <si>
    <t xml:space="preserve">صيانة باب المنيوم حمام </t>
  </si>
  <si>
    <t xml:space="preserve">صيانة باب خشب </t>
  </si>
  <si>
    <t>2026/09/10 - 03:12 م</t>
  </si>
  <si>
    <t>2026/09/12 - 02:07 م</t>
  </si>
  <si>
    <t xml:space="preserve">صيانة لوكر حديد </t>
  </si>
  <si>
    <t>2026/09/10 - 03:13 م</t>
  </si>
  <si>
    <t xml:space="preserve">تعليك لوحة فنية </t>
  </si>
  <si>
    <t>2026/09/12 - 02:06 م</t>
  </si>
  <si>
    <t>(C_1  الاعدادية) ، (G_روضة الجود)</t>
  </si>
  <si>
    <t>2026/09/10 - 03:14 م</t>
  </si>
  <si>
    <t>تعليك ساعة</t>
  </si>
  <si>
    <t>2026/09/10 - 03:15 م</t>
  </si>
  <si>
    <t>صياغرفوف</t>
  </si>
  <si>
    <t>2026/09/12 - 02:05 م</t>
  </si>
  <si>
    <t>2026/09/10 - 03:16 م</t>
  </si>
  <si>
    <t>صبغ جميع أبواب الطابق الارضي</t>
  </si>
  <si>
    <t>2026/09/10 - 03:17 م</t>
  </si>
  <si>
    <t>2026/09/10 - 03:18 م</t>
  </si>
  <si>
    <t>(طابق ارضي) ، (طابق 1) ، (طابق 2) ، (Zone B)</t>
  </si>
  <si>
    <t>تنظيف الأرضية من الصبغ</t>
  </si>
  <si>
    <t>2026/09/10 - 03:19 م</t>
  </si>
  <si>
    <t>2026/09/12 - 02:04 م</t>
  </si>
  <si>
    <t>2026/09/10 - 03:21 م</t>
  </si>
  <si>
    <t>تعليك قواعد بردة</t>
  </si>
  <si>
    <t>2026/09/14 - 08:30 ص</t>
  </si>
  <si>
    <t>2026/09/14 - 09:43 ص</t>
  </si>
  <si>
    <t>(C_1  الاعدادية) ، (D_2  المتوسطة) ، (E_3  ابتدائية العميد)</t>
  </si>
  <si>
    <t>فحص الماء Ro</t>
  </si>
  <si>
    <t>2026/09/14 - 08:31 ص</t>
  </si>
  <si>
    <t>2026/09/14 - 09:44 ص</t>
  </si>
  <si>
    <t>(F_4  جود العميد) ، (5_H  ابتدائية القمر) ، (I_6  ابتدائية الساقي)</t>
  </si>
  <si>
    <t>(7_J  ابتدائية الساقي) ، (G_روضة الجود) ، (B_روضة القمر)</t>
  </si>
  <si>
    <t>2026/09/14 - 08:32 ص</t>
  </si>
  <si>
    <t>2026/09/14 - 09:45 ص</t>
  </si>
  <si>
    <t>غسل وتنظيف مضخة الاطفاء الثانوية</t>
  </si>
  <si>
    <t>2026/09/14 - 08:33 ص</t>
  </si>
  <si>
    <t>2026/09/14 - 08:34 ص</t>
  </si>
  <si>
    <t>2026/09/14 - 09:46 ص</t>
  </si>
  <si>
    <t>تبديل صوندات برادات</t>
  </si>
  <si>
    <t>2026/09/14 - 08:35 ص</t>
  </si>
  <si>
    <t>غسل منظومة الاطفاء الثانوية</t>
  </si>
  <si>
    <t>2026/09/14 - 08:36 ص</t>
  </si>
  <si>
    <t>2026/09/14 - 09:47 ص</t>
  </si>
  <si>
    <t>تنظيف فلاتر مغسلة عدد2</t>
  </si>
  <si>
    <t>2026/09/14 - 08:38 ص</t>
  </si>
  <si>
    <t xml:space="preserve">غسل التانكي وغسل غرفة محطة الماء Ro </t>
  </si>
  <si>
    <t>2026/09/14 - 08:39 ص</t>
  </si>
  <si>
    <t>2026/09/14 - 09:48 ص</t>
  </si>
  <si>
    <t xml:space="preserve">تشغيل محطة الماء </t>
  </si>
  <si>
    <t>2026/09/14 - 08:40 ص</t>
  </si>
  <si>
    <t>2026/09/14 - 09:49 ص</t>
  </si>
  <si>
    <t>فحص منظومة الاطفاء الثانوية</t>
  </si>
  <si>
    <t>2026/09/14 - 08:41 ص</t>
  </si>
  <si>
    <t xml:space="preserve">غسل وتنظيف مظخة الاطفاء الثانوية </t>
  </si>
  <si>
    <t>2026/09/14 - 08:43 ص</t>
  </si>
  <si>
    <t>2026/09/14 - 09:50 ص</t>
  </si>
  <si>
    <t>2026/09/14 - 08:46 ص</t>
  </si>
  <si>
    <t>تشغيل مضخة الماء الرئيسية</t>
  </si>
  <si>
    <t>2026/09/14 - 08:47 ص</t>
  </si>
  <si>
    <t>2026/09/14 - 09:51 ص</t>
  </si>
  <si>
    <t>تفريغ جميع البرادات من الماء</t>
  </si>
  <si>
    <t>2026/09/14 - 08:48 ص</t>
  </si>
  <si>
    <t>فحص ماء ارو جميع البنايات</t>
  </si>
  <si>
    <t>2026/09/14 - 08:49 ص</t>
  </si>
  <si>
    <t>2026/09/14 - 09:52 ص</t>
  </si>
  <si>
    <t>فحص مضخة الاطفاء</t>
  </si>
  <si>
    <t>2026/09/14 - 08:50 ص</t>
  </si>
  <si>
    <t>(C_1  الاعدادية) ، (D_2  المتوسطة) ، (E_3  ابتدائية العميد) ، (F_4  جود العميد)</t>
  </si>
  <si>
    <t>(Zone A) ، (Zone B)</t>
  </si>
  <si>
    <t>تم جرد الصحيات</t>
  </si>
  <si>
    <t>2026/09/14 - 08:52 ص</t>
  </si>
  <si>
    <t>2026/09/14 - 08:53 ص</t>
  </si>
  <si>
    <t>2026/09/14 - 09:53 ص</t>
  </si>
  <si>
    <t>فحص مظخة الاطفاء الرئيسية</t>
  </si>
  <si>
    <t>2026/09/14 - 08:54 ص</t>
  </si>
  <si>
    <t>2026/09/14 - 09:54 ص</t>
  </si>
  <si>
    <t>2026/09/14 - 08:55 ص</t>
  </si>
  <si>
    <t>2026/09/14 - 09:55 ص</t>
  </si>
  <si>
    <t>2026/09/14 - 08:56 ص</t>
  </si>
  <si>
    <t xml:space="preserve">تبديل صوندة فلاش </t>
  </si>
  <si>
    <t>صيانة خرطوم مغسلة فلتر</t>
  </si>
  <si>
    <t>2026/09/14 - 08:57 ص</t>
  </si>
  <si>
    <t>2026/09/14 - 09:56 ص</t>
  </si>
  <si>
    <t>(طابق ارضي) ، (طابق 1) ، (طابق 2) ، (Zone A) ، (Zone B)</t>
  </si>
  <si>
    <t>2026/09/14 - 08:58 ص</t>
  </si>
  <si>
    <t xml:space="preserve">فحص مظخة الاطفاء </t>
  </si>
  <si>
    <t>صيانة  صندوق فلاش</t>
  </si>
  <si>
    <t>2026/09/14 - 08:59 ص</t>
  </si>
  <si>
    <t>2026/09/14 - 09:57 ص</t>
  </si>
  <si>
    <t>صيانة صندوق فلاش</t>
  </si>
  <si>
    <t>2026/09/14 - 09:00 ص</t>
  </si>
  <si>
    <t>2026/09/14 - 09:58 ص</t>
  </si>
  <si>
    <t>صيانة صوندات فلاش عدد 3</t>
  </si>
  <si>
    <t>2026/09/14 - 09:02 ص</t>
  </si>
  <si>
    <t>2026/09/14 - 09:59 ص</t>
  </si>
  <si>
    <t>صيانة سيفونة مغسلة عدد 2</t>
  </si>
  <si>
    <t>2026/09/14 - 09:03 ص</t>
  </si>
  <si>
    <t>2026/09/14 - 11:26 ص</t>
  </si>
  <si>
    <t>صيانة صندوق فلاش عدد 3</t>
  </si>
  <si>
    <t>2026/09/14 - 11:24 ص</t>
  </si>
  <si>
    <t>2026/09/14 - 09:04 ص</t>
  </si>
  <si>
    <t>2026/09/14 - 11:23 ص</t>
  </si>
  <si>
    <t>(طابق 1) ، (طابق 2)</t>
  </si>
  <si>
    <t>2026/09/14 - 09:05 ص</t>
  </si>
  <si>
    <t>تبديل صوندة شطاف عدد 2</t>
  </si>
  <si>
    <t xml:space="preserve">تبديل قبق غربي </t>
  </si>
  <si>
    <t>2026/09/14 - 09:06 ص</t>
  </si>
  <si>
    <t>2026/09/14 - 11:22 ص</t>
  </si>
  <si>
    <t>تشغيل محطة الماء ارو</t>
  </si>
  <si>
    <t>2026/09/14 - 09:07 ص</t>
  </si>
  <si>
    <t>2026/09/14 - 11:21 ص</t>
  </si>
  <si>
    <t>2026/09/14 - 09:23 ص</t>
  </si>
  <si>
    <t>2026/09/14 - 11:20 ص</t>
  </si>
  <si>
    <t>الغاء كاك زاوية عدد 2</t>
  </si>
  <si>
    <t>2026/09/14 - 09:24 ص</t>
  </si>
  <si>
    <t>شد كاك زاوية ثنائي</t>
  </si>
  <si>
    <t>2026/09/14 - 09:25 ص</t>
  </si>
  <si>
    <t>2026/09/14 - 11:19 ص</t>
  </si>
  <si>
    <t xml:space="preserve">تثبيت قاعدة شطاف </t>
  </si>
  <si>
    <t>2026/09/14 - 09:26 ص</t>
  </si>
  <si>
    <t>تنصيب مقعد غربي</t>
  </si>
  <si>
    <t>2026/09/14 - 11:18 ص</t>
  </si>
  <si>
    <t>تنصيب مقعد غربي وفحصة</t>
  </si>
  <si>
    <t>2026/09/14 - 09:27 ص</t>
  </si>
  <si>
    <t>2026/09/14 - 11:17 ص</t>
  </si>
  <si>
    <t>2026/09/14 - 09:28 ص</t>
  </si>
  <si>
    <t>2026/09/14 - 09:29 ص</t>
  </si>
  <si>
    <t>2026/09/14 - 11:16 ص</t>
  </si>
  <si>
    <t xml:space="preserve">فحص منظومة الاطفاء </t>
  </si>
  <si>
    <t>2026/09/14 - 09:30 ص</t>
  </si>
  <si>
    <t>تم متابعة مستوى الماء و اضافة المواد</t>
  </si>
  <si>
    <t>2026/09/14 - 09:31 ص</t>
  </si>
  <si>
    <t>2026/09/14 - 11:15 ص</t>
  </si>
  <si>
    <t>2026/09/14 - 09:32 ص</t>
  </si>
  <si>
    <t>2026/09/14 - 09:33 ص</t>
  </si>
  <si>
    <t>2026/09/14 - 11:14 ص</t>
  </si>
  <si>
    <t>تبديل صوندة شطاف عدد 3 الصحيات مقابل البناية الاولى</t>
  </si>
  <si>
    <t>2026/09/14 - 09:34 ص</t>
  </si>
  <si>
    <t>2026/09/14 - 09:35 ص</t>
  </si>
  <si>
    <t>2026/09/14 - 11:13 ص</t>
  </si>
  <si>
    <t>تشغيل مظخة الماء السقي</t>
  </si>
  <si>
    <t>2026/09/14 - 09:36 ص</t>
  </si>
  <si>
    <t xml:space="preserve">صيانة سيفونة </t>
  </si>
  <si>
    <t>2026/09/14 - 11:12 ص</t>
  </si>
  <si>
    <t>تشغيل البكجات</t>
  </si>
  <si>
    <t>2026/09/14 - 09:38 ص</t>
  </si>
  <si>
    <t>تبديل غطاء غربي</t>
  </si>
  <si>
    <t>2026/09/14 - 09:39 ص</t>
  </si>
  <si>
    <t>تبديل غطاء سيفونة</t>
  </si>
  <si>
    <t>2026/09/14 - 11:11 ص</t>
  </si>
  <si>
    <t>فحص مظخة الاطفاء</t>
  </si>
  <si>
    <t>2026/09/14 - 11:10 ص</t>
  </si>
  <si>
    <t>تنظيف براد ماء عدد 2</t>
  </si>
  <si>
    <t>(طابق ارضي) ، (طابق 1) ، (طابق 2)</t>
  </si>
  <si>
    <t>تبديل صوندات البرادات</t>
  </si>
  <si>
    <t>2026/09/14 - 11:09 ص</t>
  </si>
  <si>
    <t>اطفاء منظومة الماء ارو</t>
  </si>
  <si>
    <t>2026/09/14 - 11:08 ص</t>
  </si>
  <si>
    <t xml:space="preserve">تم الغاء خلاط </t>
  </si>
  <si>
    <t>غسل وتنظيف برادات عدد3</t>
  </si>
  <si>
    <t>2026/09/14 - 11:07 ص</t>
  </si>
  <si>
    <t>2026/09/14 - 11:06 ص</t>
  </si>
  <si>
    <t>2026/09/14 - 11:05 ص</t>
  </si>
  <si>
    <t>2026/09/14 - 11:04 ص</t>
  </si>
  <si>
    <t>غسل وتنظيف محطة الماء ارو وغسل الخزانات وتبديل فلاتر</t>
  </si>
  <si>
    <t>غسل انابيب النافورة</t>
  </si>
  <si>
    <t>2026/09/14 - 11:03 ص</t>
  </si>
  <si>
    <t>غسل منظومات الاطفاء الثانوية</t>
  </si>
  <si>
    <t>2026/09/14 - 11:02 ص</t>
  </si>
  <si>
    <t xml:space="preserve">تشغيل محطة الماء ارو </t>
  </si>
  <si>
    <t>2026/09/14 - 11:01 ص</t>
  </si>
  <si>
    <t>صيانة صندوق فلاش عدد 2</t>
  </si>
  <si>
    <t>تبديل خرطوم برادات عدد 3</t>
  </si>
  <si>
    <t>صيانة مغسلة</t>
  </si>
  <si>
    <t>2026/09/14 - 10:00 ص</t>
  </si>
  <si>
    <t>2026/09/14 - 10:50 ص</t>
  </si>
  <si>
    <t>2026/09/14 - 10:01 ص</t>
  </si>
  <si>
    <t>2026/09/14 - 10:49 ص</t>
  </si>
  <si>
    <t>2026/09/14 - 10:03 ص</t>
  </si>
  <si>
    <t xml:space="preserve">غسل منظومة الاطفاء </t>
  </si>
  <si>
    <t>2026/09/14 - 10:48 ص</t>
  </si>
  <si>
    <t>2026/09/14 - 10:04 ص</t>
  </si>
  <si>
    <t>2026/09/14 - 10:05 ص</t>
  </si>
  <si>
    <t>غسل وتنظيف غرفة المضخات</t>
  </si>
  <si>
    <t>2026/09/14 - 10:06 ص</t>
  </si>
  <si>
    <t>2026/09/14 - 10:45 ص</t>
  </si>
  <si>
    <t>غسل غرفة محطة الماء ارو</t>
  </si>
  <si>
    <t>غسل وتنظيف غرفة محطة الماء ارو</t>
  </si>
  <si>
    <t>2026/09/16 - 11:27 ص</t>
  </si>
  <si>
    <t>2026/09/16 - 12:01 م</t>
  </si>
  <si>
    <t>2026/09/16 - 12:02 م</t>
  </si>
  <si>
    <t>2026/09/16 - 11:28 ص</t>
  </si>
  <si>
    <t>صيانة رجل قنفة في غرفة المعلمات</t>
  </si>
  <si>
    <t>2026/09/16 - 11:29 ص</t>
  </si>
  <si>
    <t>2026/09/16 - 12:03 م</t>
  </si>
  <si>
    <t>صيانة باب المنيوم الصحيات</t>
  </si>
  <si>
    <t>2026/09/16 - 11:31 ص</t>
  </si>
  <si>
    <t>2026/09/16 - 12:04 م</t>
  </si>
  <si>
    <t>2026/09/16 - 11:32 ص</t>
  </si>
  <si>
    <t>(طابق 2) ، (Zone A) ، (المطعم)</t>
  </si>
  <si>
    <t>تعليك بردة</t>
  </si>
  <si>
    <t>2026/09/16 - 11:33 ص</t>
  </si>
  <si>
    <t>2026/09/16 - 12:05 م</t>
  </si>
  <si>
    <t>صبانة بردة</t>
  </si>
  <si>
    <t>2026/09/16 - 11:34 ص</t>
  </si>
  <si>
    <t>(طابق ارضي) ، (Zone A) ، (غرفة الارشاد)</t>
  </si>
  <si>
    <t xml:space="preserve">صبانة سحبات </t>
  </si>
  <si>
    <t>2026/09/16 - 11:35 ص</t>
  </si>
  <si>
    <t>تبديل سقوف ثانوية</t>
  </si>
  <si>
    <t>2026/09/16 - 11:36 ص</t>
  </si>
  <si>
    <t>2026/09/16 - 12:06 م</t>
  </si>
  <si>
    <t>(طابق 1) ، (طابق 2) ، (Zone B)</t>
  </si>
  <si>
    <t>2026/09/16 - 11:38 ص</t>
  </si>
  <si>
    <t>صيانة سقوف الصحيات</t>
  </si>
  <si>
    <t>2026/09/16 - 11:39 ص</t>
  </si>
  <si>
    <t>2026/09/16 - 12:07 م</t>
  </si>
  <si>
    <t>(طابق ارضي) ، (الاستعلامات)</t>
  </si>
  <si>
    <t>2026/09/16 - 11:40 ص</t>
  </si>
  <si>
    <t>2026/09/16 - 12:08 م</t>
  </si>
  <si>
    <t>تعليق مرايه</t>
  </si>
  <si>
    <t>2026/09/16 - 11:41 ص</t>
  </si>
  <si>
    <t>ارجاع سقف في الصحيات</t>
  </si>
  <si>
    <t>2026/09/16 - 11:43 ص</t>
  </si>
  <si>
    <t>2026/09/16 - 12:09 م</t>
  </si>
  <si>
    <t>صيانة سقوف ثانوية في الصحيات</t>
  </si>
  <si>
    <t>2026/09/16 - 11:44 ص</t>
  </si>
  <si>
    <t>2026/09/16 - 11:45 ص</t>
  </si>
  <si>
    <t>صيانة باب مثقفل في الصحيات</t>
  </si>
  <si>
    <t>2026/09/16 - 11:47 ص</t>
  </si>
  <si>
    <t>2026/09/16 - 12:10 م</t>
  </si>
  <si>
    <t>صيانة قطع التهوية الخشبية في الباب</t>
  </si>
  <si>
    <t>2026/09/16 - 11:51 ص</t>
  </si>
  <si>
    <t>(كرفان الخدمية)</t>
  </si>
  <si>
    <t xml:space="preserve">تعليك صيدلية </t>
  </si>
  <si>
    <t>2026/09/16 - 11:53 ص</t>
  </si>
  <si>
    <t>2026/09/16 - 12:11 م</t>
  </si>
  <si>
    <t>تعليك سبورة في صف الورود</t>
  </si>
  <si>
    <t>تعليك صبورة في صف الورود</t>
  </si>
  <si>
    <t>2026/09/16 - 11:54 ص</t>
  </si>
  <si>
    <t>تبديل سقف تانوي تالف</t>
  </si>
  <si>
    <t>2026/09/16 - 11:56 ص</t>
  </si>
  <si>
    <t>2026/09/16 - 12:12 م</t>
  </si>
  <si>
    <t>2026/09/16 - 11:57 ص</t>
  </si>
  <si>
    <t>(Zone B) ، (المختبر)</t>
  </si>
  <si>
    <t>صيانة ديك شباك</t>
  </si>
  <si>
    <t>2026/09/16 - 11:58 ص</t>
  </si>
  <si>
    <t>2026/09/16 - 12:13 م</t>
  </si>
  <si>
    <t>تبديل يده باب الصحيات</t>
  </si>
  <si>
    <t>2026/09/16 - 11:59 ص</t>
  </si>
  <si>
    <t>2026/09/16 - 12:14 م</t>
  </si>
  <si>
    <t>تبديل كيلون باب المخزن في الصحيات</t>
  </si>
  <si>
    <t>2026/09/16 - 12:00 م</t>
  </si>
  <si>
    <t>صيانة باب الاستراحة</t>
  </si>
  <si>
    <t>2026/09/24 - 10:04 ص</t>
  </si>
  <si>
    <t>2026/09/24 - 10:11 ص</t>
  </si>
  <si>
    <t xml:space="preserve">صيانة لوكر عدد 2 </t>
  </si>
  <si>
    <t>2026/09/24 - 10:05 ص</t>
  </si>
  <si>
    <t>2026/09/24 - 10:12 ص</t>
  </si>
  <si>
    <t>صيانة لوكر عدد 3</t>
  </si>
  <si>
    <t>2026/09/24 - 10:06 ص</t>
  </si>
  <si>
    <t>2026/09/24 - 10:13 ص</t>
  </si>
  <si>
    <t>(طابق ارضي) ، (Zone A) ، (Zone B)</t>
  </si>
  <si>
    <t>صيانة باب المنيوم بين الزونين</t>
  </si>
  <si>
    <t>صيانة لوكر حديد عدد 2</t>
  </si>
  <si>
    <t>2026/09/24 - 10:07 ص</t>
  </si>
  <si>
    <t xml:space="preserve">اعمال لبخ باب الطوارئ </t>
  </si>
  <si>
    <t>2026/09/24 - 10:08 ص</t>
  </si>
  <si>
    <t>2026/09/24 - 10:14 ص</t>
  </si>
  <si>
    <t>تعليك سبورة</t>
  </si>
  <si>
    <t>2026/09/24 - 10:09 ص</t>
  </si>
  <si>
    <t>2026/09/24 - 10:15 ص</t>
  </si>
  <si>
    <t xml:space="preserve">صيانة لوكر عدد 3 </t>
  </si>
  <si>
    <t>2026/09/24 - 10:10 ص</t>
  </si>
  <si>
    <t>2026/09/24 - 10:16 ص</t>
  </si>
  <si>
    <t>اعمال لبخ باب الطوارئ</t>
  </si>
  <si>
    <t>صيانة رجل قنفة</t>
  </si>
  <si>
    <t>2026/09/24 - 10:17 ص</t>
  </si>
  <si>
    <t>ارجاع سقوف ثانوية عدد 3</t>
  </si>
  <si>
    <t>2026/09/24 - 10:18 ص</t>
  </si>
  <si>
    <t>صيانة خشبة مصد حائط</t>
  </si>
  <si>
    <t>2026/09/24 - 10:19 ص</t>
  </si>
  <si>
    <t>تعليك رف</t>
  </si>
  <si>
    <t>2026/09/24 - 10:20 ص</t>
  </si>
  <si>
    <t>ارجاع سقوف ثانوية عدد 7</t>
  </si>
  <si>
    <t>صيانة باب شفت المنيوم</t>
  </si>
  <si>
    <t>2026/09/24 - 10:21 ص</t>
  </si>
  <si>
    <t>صيانة مجر ميز</t>
  </si>
  <si>
    <t>2026/09/24 - 10:22 ص</t>
  </si>
  <si>
    <t>اعمال تركيب لوحات عدد 3</t>
  </si>
  <si>
    <t>صيانة جك باب الاستعلامات</t>
  </si>
  <si>
    <t>2026/09/24 - 10:23 ص</t>
  </si>
  <si>
    <t xml:space="preserve">اعمال لبخ حائط </t>
  </si>
  <si>
    <t xml:space="preserve">صيانة باب كاونتر </t>
  </si>
  <si>
    <t>اعمال صب سيفونات عدد 2</t>
  </si>
  <si>
    <t>2026/09/24 - 10:24 ص</t>
  </si>
  <si>
    <t>شد لوحات صف الثالث</t>
  </si>
  <si>
    <t>شد قواعد لوحات</t>
  </si>
  <si>
    <t>2026/09/24 - 10:25 ص</t>
  </si>
  <si>
    <t>اعمال فتح رف في الحانوت</t>
  </si>
  <si>
    <t>2026/09/24 - 10:26 ص</t>
  </si>
  <si>
    <t>اعمال تفليش حائط</t>
  </si>
  <si>
    <t>اعمال تركيب لوحات</t>
  </si>
  <si>
    <t>2026/09/24 - 10:27 ص</t>
  </si>
  <si>
    <t>تركيب قاعدة لوحات</t>
  </si>
  <si>
    <t>2026/09/24 - 10:29 ص</t>
  </si>
  <si>
    <t>تركيب لوحات عدد 3</t>
  </si>
  <si>
    <t>اعمال فتح لوحات عدد 6</t>
  </si>
  <si>
    <t>2026/09/24 - 10:30 ص</t>
  </si>
  <si>
    <t>صيانة كرسي عدد 2</t>
  </si>
  <si>
    <t>2026/09/24 - 10:28 ص</t>
  </si>
  <si>
    <t>2026/09/24 - 10:31 ص</t>
  </si>
  <si>
    <t>2026/09/24 - 10:32 ص</t>
  </si>
  <si>
    <t>صيانة عارضة في الحانوت</t>
  </si>
  <si>
    <t>2026/09/24 - 10:33 ص</t>
  </si>
  <si>
    <t>اعمال تفليش سيفونة</t>
  </si>
  <si>
    <t>2026/09/24 - 10:34 ص</t>
  </si>
  <si>
    <t>تبديل كيلون باب مخزن</t>
  </si>
  <si>
    <t>2026/09/24 - 10:35 ص</t>
  </si>
  <si>
    <t>2026/09/24 - 10:36 ص</t>
  </si>
  <si>
    <t>شد سبورة</t>
  </si>
  <si>
    <t>2026/09/24 - 10:37 ص</t>
  </si>
  <si>
    <t>(غرفة الخدمية)</t>
  </si>
  <si>
    <t>شد صيدلية</t>
  </si>
  <si>
    <t>ارجاع مقرنص</t>
  </si>
  <si>
    <t>2026/09/24 - 10:38 ص</t>
  </si>
  <si>
    <t>صيانة لبة باب</t>
  </si>
  <si>
    <t>2026/09/24 - 10:45 ص</t>
  </si>
  <si>
    <t>تعليك مري عدد 6</t>
  </si>
  <si>
    <t>2026/09/24 - 10:46 ص</t>
  </si>
  <si>
    <t>2026/09/24 - 10:39 ص</t>
  </si>
  <si>
    <t>2026/09/24 - 10:47 ص</t>
  </si>
  <si>
    <t>2026/09/24 - 10:40 ص</t>
  </si>
  <si>
    <t>اضافة سحبة غرفة الارشاد</t>
  </si>
  <si>
    <t>2026/09/24 - 10:48 ص</t>
  </si>
  <si>
    <t>2026/09/24 - 10:41 ص</t>
  </si>
  <si>
    <t>2026/09/24 - 10:49 ص</t>
  </si>
  <si>
    <t>2026/09/24 - 10:50 ص</t>
  </si>
  <si>
    <t>تعليك بردة غرفة المعلمات</t>
  </si>
  <si>
    <t>2026/09/24 - 10:42 ص</t>
  </si>
  <si>
    <t xml:space="preserve">تعليك بردة بالمطعم </t>
  </si>
  <si>
    <t>2026/09/24 - 10:51 ص</t>
  </si>
  <si>
    <t>2026/09/24 - 10:43 ص</t>
  </si>
  <si>
    <t>2026/09/24 - 10:44 ص</t>
  </si>
  <si>
    <t>2026/09/24 - 10:52 ص</t>
  </si>
  <si>
    <t>اعمال غسل النافورة</t>
  </si>
  <si>
    <t>2026/09/26 - 08:34 ص</t>
  </si>
  <si>
    <t>2026/09/26 - 11:09 ص</t>
  </si>
  <si>
    <t>صيانة يدات الحمامات</t>
  </si>
  <si>
    <t>2026/09/26 - 09:57 ص</t>
  </si>
  <si>
    <t>2026/09/26 - 10:27 ص</t>
  </si>
  <si>
    <t xml:space="preserve">تبديل فلاتر 1 ميكا </t>
  </si>
  <si>
    <t>2026/09/26 - 09:58 ص</t>
  </si>
  <si>
    <t>2026/09/26 - 10:28 ص</t>
  </si>
  <si>
    <t>2026/09/26 - 10:04 ص</t>
  </si>
  <si>
    <t>2026/09/26 - 10:05 ص</t>
  </si>
  <si>
    <t>غسل مواقع وخزانات المولدة D-C</t>
  </si>
  <si>
    <t>2026/09/26 - 10:06 ص</t>
  </si>
  <si>
    <t>2026/09/26 - 10:29 ص</t>
  </si>
  <si>
    <t>اضافة 2000 لتر كاز للخزان الصغير مركز ثقافي</t>
  </si>
  <si>
    <t>2026/09/26 - 10:07 ص</t>
  </si>
  <si>
    <t>ملأ خزان الماء للخزانات الخارجية</t>
  </si>
  <si>
    <t>استبدال فلتر الكاز مولدة 1 ميكا مركز ثقافي</t>
  </si>
  <si>
    <t>2026/09/26 - 10:08 ص</t>
  </si>
  <si>
    <t>غسل المولدة 250 GH</t>
  </si>
  <si>
    <t>2026/09/26 - 10:30 ص</t>
  </si>
  <si>
    <t>غسل المولدة 1 ميكا GH</t>
  </si>
  <si>
    <t>2026/09/26 - 10:09 ص</t>
  </si>
  <si>
    <t>تغليف البراميل بأكياس نايلون</t>
  </si>
  <si>
    <t>(A- المركز الثقافي) ، (C_1  الاعدادية)</t>
  </si>
  <si>
    <t>استلام كاز 5000 لتر</t>
  </si>
  <si>
    <t>2026/09/26 - 10:10 ص</t>
  </si>
  <si>
    <t xml:space="preserve">ملا خزان المولدة 1 ميكا </t>
  </si>
  <si>
    <t>2026/09/26 - 10:11 ص</t>
  </si>
  <si>
    <t>2026/09/26 - 10:34 ص</t>
  </si>
  <si>
    <t>ملأ خزان المولدة 1 ميكا</t>
  </si>
  <si>
    <t>تبديل قايش المولدة</t>
  </si>
  <si>
    <t>2026/09/26 - 10:12 ص</t>
  </si>
  <si>
    <t>2026/09/26 - 10:13 ص</t>
  </si>
  <si>
    <t>2026/09/26 - 10:33 ص</t>
  </si>
  <si>
    <t>غسل موقع المولدة 400 GH</t>
  </si>
  <si>
    <t>2026/09/26 - 10:14 ص</t>
  </si>
  <si>
    <t>غسل المولدة 1 ميكا مع فتح احواض الراديتر وغسلة</t>
  </si>
  <si>
    <t>ملأ خزان المولدة 500</t>
  </si>
  <si>
    <t>2026/09/26 - 10:15 ص</t>
  </si>
  <si>
    <t>استبدال زيت المولدة 250 مركز ثقافي</t>
  </si>
  <si>
    <t>2026/09/26 - 10:16 ص</t>
  </si>
  <si>
    <t>2026/09/26 - 10:32 ص</t>
  </si>
  <si>
    <t>ملأ خزان المولدة 400 GH</t>
  </si>
  <si>
    <t>2026/09/26 - 10:17 ص</t>
  </si>
  <si>
    <t>2026/09/26 - 10:18 ص</t>
  </si>
  <si>
    <t>استبدال بطاريات المولدة 1 ميكا ىخارجية</t>
  </si>
  <si>
    <t>2026/09/26 - 10:24 ص</t>
  </si>
  <si>
    <t>استلام كاز للمولدة 1 ميكا والمولدة الـ 500 محطة</t>
  </si>
  <si>
    <t>2026/09/26 - 10:25 ص</t>
  </si>
  <si>
    <t>2026/09/26 - 10:31 ص</t>
  </si>
  <si>
    <t>اصلاح نضوح سائل التبريد للمولدة 1 ميكا</t>
  </si>
  <si>
    <t>2026/09/26 - 10:26 ص</t>
  </si>
  <si>
    <t>استبدال زيت المولدة الخارجية الـ500</t>
  </si>
  <si>
    <t xml:space="preserve">تبديل زيت المولدة 1 ميكا </t>
  </si>
  <si>
    <t>2026/09/27 - 07:39 ص</t>
  </si>
  <si>
    <t>2026/09/27 - 07:40 ص</t>
  </si>
  <si>
    <t>فحص مضخة الإطفاء الرئيسية</t>
  </si>
  <si>
    <t>2026/09/27 - 07:41 ص</t>
  </si>
  <si>
    <t xml:space="preserve">فحص ماء RO </t>
  </si>
  <si>
    <t>2026/09/27 - 07:42 ص</t>
  </si>
  <si>
    <t>غسل وتنظيف غرفة المضخات الرئيسية</t>
  </si>
  <si>
    <t>2026/09/27 - 07:47 ص</t>
  </si>
  <si>
    <t xml:space="preserve">فحص منظومة الإطفاء الثانوية </t>
  </si>
  <si>
    <t>2026/09/27 - 07:43 ص</t>
  </si>
  <si>
    <t>تشغيل منظومة ماء RO</t>
  </si>
  <si>
    <t>2026/09/27 - 07:45 ص</t>
  </si>
  <si>
    <t>2026/09/27 - 07:49 ص</t>
  </si>
  <si>
    <t>2026/09/27 - 07:50 ص</t>
  </si>
  <si>
    <t>2026/09/27 - 07:51 ص</t>
  </si>
  <si>
    <t>2026/09/27 - 07:52 ص</t>
  </si>
  <si>
    <t>2026/09/27 - 07:54 ص</t>
  </si>
  <si>
    <t>تفريغ خزان ماء RO</t>
  </si>
  <si>
    <t>2026/09/27 - 07:53 ص</t>
  </si>
  <si>
    <t>2026/09/27 - 07:55 ص</t>
  </si>
  <si>
    <t>تشغيل منظومة ماء Ro</t>
  </si>
  <si>
    <t>2026/09/27 - 07:58 ص</t>
  </si>
  <si>
    <t xml:space="preserve">تشغيل منظومة ماء RO </t>
  </si>
  <si>
    <t>2026/09/27 - 08:04 ص</t>
  </si>
  <si>
    <t>2026/09/27 - 08:10 ص</t>
  </si>
  <si>
    <t>2026/09/27 - 08:11 ص</t>
  </si>
  <si>
    <t>2026/09/27 - 08:12 ص</t>
  </si>
  <si>
    <t>فتح انسداد صحيات</t>
  </si>
  <si>
    <t>2026/09/27 - 08:13 ص</t>
  </si>
  <si>
    <t>الغاء سيفونة تصريف</t>
  </si>
  <si>
    <t>2026/09/27 - 08:14 ص</t>
  </si>
  <si>
    <t>2026/09/27 - 08:15 ص</t>
  </si>
  <si>
    <t>معالجة طوافة براد</t>
  </si>
  <si>
    <t>2026/09/27 - 08:18 ص</t>
  </si>
  <si>
    <t>2026/09/27 - 08:17 ص</t>
  </si>
  <si>
    <t>تفريغ جميع البرادات</t>
  </si>
  <si>
    <t>2026/09/27 - 08:19 ص</t>
  </si>
  <si>
    <t xml:space="preserve">تفريغ جميع البرادات </t>
  </si>
  <si>
    <t xml:space="preserve">تبديل طوافة </t>
  </si>
  <si>
    <t>2026/09/27 - 08:22 ص</t>
  </si>
  <si>
    <t>2026/09/27 - 08:20 ص</t>
  </si>
  <si>
    <t xml:space="preserve">تبديل خرطوم براد </t>
  </si>
  <si>
    <t>2026/09/27 - 08:21 ص</t>
  </si>
  <si>
    <t>2026/09/27 - 08:24 ص</t>
  </si>
  <si>
    <t>(5_H  ابتدائية القمر) ، (النافورة) ، (محطة الرفع)</t>
  </si>
  <si>
    <t>2026/09/27 - 08:25 ص</t>
  </si>
  <si>
    <t>معالجة وكوي أنبوب الاسالة</t>
  </si>
  <si>
    <t>2026/09/27 - 08:26 ص</t>
  </si>
  <si>
    <t xml:space="preserve">فحص منظومة الإطفاء الرئيسية </t>
  </si>
  <si>
    <t>2026/09/27 - 08:27 ص</t>
  </si>
  <si>
    <t>2026/09/27 - 08:28 ص</t>
  </si>
  <si>
    <t>فحص منظومة ماء RO في جميع البنايات</t>
  </si>
  <si>
    <t>2026/09/27 - 08:29 ص</t>
  </si>
  <si>
    <t>صيانة صوندة تصريف مغسلة</t>
  </si>
  <si>
    <t>2026/09/27 - 08:30 ص</t>
  </si>
  <si>
    <t>صيانة ة مقعد غربى</t>
  </si>
  <si>
    <t>2026/09/27 - 08:31 ص</t>
  </si>
  <si>
    <t>2026/09/27 - 08:32 ص</t>
  </si>
  <si>
    <t>2026/09/27 - 08:33 ص</t>
  </si>
  <si>
    <t>صيانة برادات عدد ٤</t>
  </si>
  <si>
    <t>2026/09/27 - 08:34 ص</t>
  </si>
  <si>
    <t>2026/09/27 - 08:35 ص</t>
  </si>
  <si>
    <t>(القاعة الرياضية مقابل المدرسة الرابعة)</t>
  </si>
  <si>
    <t xml:space="preserve">صيانة بوري صندوق الإطفاء </t>
  </si>
  <si>
    <t>2026/09/27 - 08:37 ص</t>
  </si>
  <si>
    <t>2026/09/27 - 08:40 ص</t>
  </si>
  <si>
    <t>(صحيات الخارجية مقابل المدرسة الرابعة )</t>
  </si>
  <si>
    <t>2026/09/27 - 08:38 ص</t>
  </si>
  <si>
    <t>2026/09/27 - 08:39 ص</t>
  </si>
  <si>
    <t>2026/09/27 - 08:41 ص</t>
  </si>
  <si>
    <t>صيانة برادات عدد ٢</t>
  </si>
  <si>
    <t>2026/09/27 - 08:43 ص</t>
  </si>
  <si>
    <t xml:space="preserve">فحص مظخة الإطفاء الثانوية </t>
  </si>
  <si>
    <t>2026/09/27 - 08:42 ص</t>
  </si>
  <si>
    <t>(C_1  الاعدادية) ، (D_2  المتوسطة) ، (E_3  ابتدائية العميد) ، (F_4  جود العميد) ، (B_روضة القمر)</t>
  </si>
  <si>
    <t>تفريغ أنابيب الحريق</t>
  </si>
  <si>
    <t>2026/09/27 - 08:44 ص</t>
  </si>
  <si>
    <t xml:space="preserve">غسل جميع البرادات </t>
  </si>
  <si>
    <t>2026/09/27 - 08:45 ص</t>
  </si>
  <si>
    <t>2026/09/27 - 08:47 ص</t>
  </si>
  <si>
    <t>فحص جميع البنايات الماء RO</t>
  </si>
  <si>
    <t>2026/09/27 - 08:46 ص</t>
  </si>
  <si>
    <t xml:space="preserve">إضافة قفل زاوية </t>
  </si>
  <si>
    <t>2026/09/27 - 08:48 ص</t>
  </si>
  <si>
    <t>اضافة مسدس صوندة ماء</t>
  </si>
  <si>
    <t>2026/09/27 - 08:49 ص</t>
  </si>
  <si>
    <t>(D_2  المتوسطة) ، (F_4  جود العميد)</t>
  </si>
  <si>
    <t>نشر طفايات الحريق</t>
  </si>
  <si>
    <t>2026/09/27 - 08:50 ص</t>
  </si>
  <si>
    <t xml:space="preserve">(C_1  الاعدادية) </t>
  </si>
  <si>
    <t>2026/09/27 - 08:51 ص</t>
  </si>
  <si>
    <t>2026/09/27 - 08:52 ص</t>
  </si>
  <si>
    <t>صيانة الوزلات</t>
  </si>
  <si>
    <t>2026/09/27 - 08:53 ص</t>
  </si>
  <si>
    <t>2026/09/27 - 08:54 ص</t>
  </si>
  <si>
    <t>2026/09/27 - 08:55 ص</t>
  </si>
  <si>
    <t>فحص منظومة الماء RO</t>
  </si>
  <si>
    <t>2026/09/27 - 08:57 ص</t>
  </si>
  <si>
    <t>2026/09/27 - 08:58 ص</t>
  </si>
  <si>
    <t>صيانة برادات عدد ٣</t>
  </si>
  <si>
    <t>تبديل حنفية براد ماء</t>
  </si>
  <si>
    <t>2026/09/27 - 08:59 ص</t>
  </si>
  <si>
    <t xml:space="preserve">تبديل حنفية براد ماء </t>
  </si>
  <si>
    <t>2026/09/27 - 09:00 ص</t>
  </si>
  <si>
    <t>صيانة براد عدد ٢</t>
  </si>
  <si>
    <t>2026/09/27 - 09:04 ص</t>
  </si>
  <si>
    <t>تبديل حنفية براد ماء عدد ٢</t>
  </si>
  <si>
    <t>2026/09/27 - 09:01 ص</t>
  </si>
  <si>
    <t>2026/09/27 - 09:07 ص</t>
  </si>
  <si>
    <t>2026/09/27 - 09:06 ص</t>
  </si>
  <si>
    <t>2026/09/27 - 09:08 ص</t>
  </si>
  <si>
    <t>2026/09/27 - 09:09 ص</t>
  </si>
  <si>
    <t>2026/09/27 - 09:10 ص</t>
  </si>
  <si>
    <t>صيانة فلوميتر منظومة ماء RO</t>
  </si>
  <si>
    <t>2026/09/27 - 09:11 ص</t>
  </si>
  <si>
    <t>2026/09/27 - 09:12 ص</t>
  </si>
  <si>
    <t>2026/09/27 - 09:13 ص</t>
  </si>
  <si>
    <t>2026/09/27 - 09:14 ص</t>
  </si>
  <si>
    <t>2026/09/27 - 09:15 ص</t>
  </si>
  <si>
    <t>2026/09/27 - 09:16 ص</t>
  </si>
  <si>
    <t>2026/09/27 - 09:19 ص</t>
  </si>
  <si>
    <t>2026/09/27 - 09:20 ص</t>
  </si>
  <si>
    <t xml:space="preserve">تفريغ وملء </t>
  </si>
  <si>
    <t>2026/09/28 - 01:13 م</t>
  </si>
  <si>
    <t>2026/09/29 - 01:04 م</t>
  </si>
  <si>
    <t>صيانه سبلت عاطل   /صف خامس</t>
  </si>
  <si>
    <t>2026/09/29 - 08:19 ص</t>
  </si>
  <si>
    <t>2026/09/29 - 09:38 ص</t>
  </si>
  <si>
    <t>استبدال محولة سبوت لايت عدد 4</t>
  </si>
  <si>
    <t>2026/09/29 - 08:20 ص</t>
  </si>
  <si>
    <t>استبدال محولة انارة منشورية عدد 2</t>
  </si>
  <si>
    <t>2026/09/29 - 08:21 ص</t>
  </si>
  <si>
    <t>(الكشف عن اجهزة UPS مدارس نور العباس للبنات)</t>
  </si>
  <si>
    <t xml:space="preserve">الكشف عن اجهزة UPS مدارس نور العباس للبنات </t>
  </si>
  <si>
    <t>2026/09/29 - 09:39 ص</t>
  </si>
  <si>
    <t>صيانة مضخة اطفاء الحريق (الديزل)</t>
  </si>
  <si>
    <t>2026/09/29 - 08:23 ص</t>
  </si>
  <si>
    <t xml:space="preserve">ربط الكيبل الخاص بحساس الفوتوسيل </t>
  </si>
  <si>
    <t>2026/09/29 - 09:36 ص</t>
  </si>
  <si>
    <t>(المولدات الخارجية)</t>
  </si>
  <si>
    <t>استبدال ماشة 13 امبير</t>
  </si>
  <si>
    <t>2026/09/29 - 08:24 ص</t>
  </si>
  <si>
    <t>2026/09/29 - 09:29 ص</t>
  </si>
  <si>
    <t>الكشف عن اجهزة UPS مدارس نور العباس للبنين</t>
  </si>
  <si>
    <t>2026/09/29 - 08:25 ص</t>
  </si>
  <si>
    <t>(القاعة الرياضية)</t>
  </si>
  <si>
    <t>استبدال سويج سبلت 45 امبير</t>
  </si>
  <si>
    <t>(الزجاجية)</t>
  </si>
  <si>
    <t xml:space="preserve">ربط مضخة ماء مع بوستر </t>
  </si>
  <si>
    <t>2026/09/29 - 08:27 ص</t>
  </si>
  <si>
    <t>2026/09/29 - 09:37 ص</t>
  </si>
  <si>
    <t>صيانة وربط انارة منشورية 60*60</t>
  </si>
  <si>
    <t>2026/09/29 - 08:29 ص</t>
  </si>
  <si>
    <t>(المصلى)</t>
  </si>
  <si>
    <t>2026/09/29 - 08:31 ص</t>
  </si>
  <si>
    <t>2026/09/29 - 09:30 ص</t>
  </si>
  <si>
    <t>(المدني)</t>
  </si>
  <si>
    <t>استبدال سويج مكيف 45 امبير</t>
  </si>
  <si>
    <t>2026/09/29 - 08:32 ص</t>
  </si>
  <si>
    <t>استبدال بلك سويج 13A تالف عدد (2).</t>
  </si>
  <si>
    <t>استبدال سويج 45A تالف.</t>
  </si>
  <si>
    <t xml:space="preserve">صيانة انارة منشورية 60*60 54w </t>
  </si>
  <si>
    <t>2026/09/29 - 08:33 ص</t>
  </si>
  <si>
    <t>اصلاح قطع احد الأسلاك في الدائرة الإلكترونية الخاصة بـMIC الصوتيات</t>
  </si>
  <si>
    <t>2026/09/29 - 08:36 ص</t>
  </si>
  <si>
    <t>استبدال كابل ميكروفون الصوتيات (MIC) تم فتح الكارت الخاص بالجهاز، وإزالة السلك القديم</t>
  </si>
  <si>
    <t>2026/09/29 - 08:37 ص</t>
  </si>
  <si>
    <t>2026/09/29 - 09:31 ص</t>
  </si>
  <si>
    <t>ربط كابل الانارة الجانبية الخارجية</t>
  </si>
  <si>
    <t>ربط سيار كهرباء الى الحدادين</t>
  </si>
  <si>
    <t>2026/09/29 - 08:38 ص</t>
  </si>
  <si>
    <t>استبدال 16 بطارية نوع (12V, 9Ah) خاصة بجهاز UPS</t>
  </si>
  <si>
    <t>2026/09/29 - 08:39 ص</t>
  </si>
  <si>
    <t>2026/09/29 - 09:32 ص</t>
  </si>
  <si>
    <t xml:space="preserve">تبديل سبوت لايت24w عدد (2) </t>
  </si>
  <si>
    <t>2026/09/29 - 08:40 ص</t>
  </si>
  <si>
    <t>إدخال جهاز UPS الى الخدمة بعد تركه على الشحن لمدة 20 ساعة بدون أحمال.</t>
  </si>
  <si>
    <t>2026/09/29 - 08:41 ص</t>
  </si>
  <si>
    <t>ربط كابل الانارة الخارجية</t>
  </si>
  <si>
    <t>2026/09/29 - 08:42 ص</t>
  </si>
  <si>
    <t>2026/09/29 - 09:26 ص</t>
  </si>
  <si>
    <t>استبدال قاطع ثلاثي لمضخة اطفاء الحريق</t>
  </si>
  <si>
    <t>2026/09/29 - 08:43 ص</t>
  </si>
  <si>
    <t>2026/09/29 - 09:33 ص</t>
  </si>
  <si>
    <t>فحص انارة براكيتات المدرسة واضافة فوتوسيل</t>
  </si>
  <si>
    <t>2026/09/29 - 08:44 ص</t>
  </si>
  <si>
    <t>استبدال بلك سويج 13 امبير + ماشة 13 امبير</t>
  </si>
  <si>
    <t>2026/09/29 - 08:45 ص</t>
  </si>
  <si>
    <t>ازالة بلك سويج زائدة عن الحاجة</t>
  </si>
  <si>
    <t>2026/09/29 - 08:46 ص</t>
  </si>
  <si>
    <t>تبديل كيبل باب المصعد</t>
  </si>
  <si>
    <t>2026/09/29 - 08:47 ص</t>
  </si>
  <si>
    <t>2026/09/29 - 09:34 ص</t>
  </si>
  <si>
    <t>اصلاح شورت في الانارة</t>
  </si>
  <si>
    <t>استبدال محولة منشورية 50 واط</t>
  </si>
  <si>
    <t>2026/09/29 - 08:48 ص</t>
  </si>
  <si>
    <t>استبدال بلك سويج 15 امبير باخر 13 امبير</t>
  </si>
  <si>
    <t>2026/09/29 - 08:49 ص</t>
  </si>
  <si>
    <t>تم نقل منافذ التغذية من بورد التوزيع (كهرباء عاديه) الى طاقة شمسية</t>
  </si>
  <si>
    <t>(غرفة المرقاب)</t>
  </si>
  <si>
    <t>اعادة توزيع نقطة الوصول اللاسلكية (UniFi Access Point Wi-Fi) إلى موقع قريب من غرفة وحدة الكهرباء</t>
  </si>
  <si>
    <t>2026/09/29 - 08:50 ص</t>
  </si>
  <si>
    <t>اعادة توزيع نقطة الوصول اللاسلكية (UniFi Access Point Wi-Fi) إلى موقع قريب من غرفة الكهرباء</t>
  </si>
  <si>
    <t>2026/09/29 - 09:35 ص</t>
  </si>
  <si>
    <t>إزالة جهاز الـRouter الموجود داخل الغرفة بناءً على توجيه شعبة تقنية المعلومات</t>
  </si>
  <si>
    <t>2026/09/29 - 08:52 ص</t>
  </si>
  <si>
    <t>فتح والغاء عدد 5 مآخذ قدرة 13A و سويج 45A  وعدد 6 بوكس بلاستك</t>
  </si>
  <si>
    <t>2026/09/29 - 08:53 ص</t>
  </si>
  <si>
    <t>تم تسليك بلك سويج (UPS) الصف الالكتروني</t>
  </si>
  <si>
    <t>2026/09/29 - 08:54 ص</t>
  </si>
  <si>
    <t xml:space="preserve"> استبدال سبوت لايت عدد 5 </t>
  </si>
  <si>
    <t>2026/09/29 - 09:24 ص</t>
  </si>
  <si>
    <t>استبدال سبوت لايت عدد 2</t>
  </si>
  <si>
    <t>2026/09/29 - 08:55 ص</t>
  </si>
  <si>
    <t>(المولدات)</t>
  </si>
  <si>
    <t>ربط مضخة كاز عدد 2</t>
  </si>
  <si>
    <t>2026/09/29 - 09:03 ص</t>
  </si>
  <si>
    <t>فحص جهاز السبلت تبين وجود قصر كهربائي (Short Circuit) وتم اصلاحه</t>
  </si>
  <si>
    <t>2026/09/29 - 09:08 ص</t>
  </si>
  <si>
    <t>2026/09/29 - 09:23 ص</t>
  </si>
  <si>
    <t>(مولدات GH )</t>
  </si>
  <si>
    <t xml:space="preserve">اصلاح السلك البارد مما كان يسبب مشاكل </t>
  </si>
  <si>
    <t>2026/09/29 - 09:09 ص</t>
  </si>
  <si>
    <t>إعادة تثبيت ثرموستات أحدى القطع الداخلية لل VRF</t>
  </si>
  <si>
    <t>صيانة بلك سويج 13A</t>
  </si>
  <si>
    <t>2026/09/29 - 09:19 ص</t>
  </si>
  <si>
    <t>استبدال محولة 54w لشمعة منشورية 60 *60</t>
  </si>
  <si>
    <t>2026/09/29 - 09:18 ص</t>
  </si>
  <si>
    <t>إضافة وتركيب عدد (7) مراوح سقفية داخل وحدة المراقبة</t>
  </si>
  <si>
    <t>2026/09/29 - 09:10 ص</t>
  </si>
  <si>
    <t>(طابق ارضي) ، (data center)</t>
  </si>
  <si>
    <t>تغيير مصدر تغذية الشاشة الذكية في غرفة رئيس القسم من قاطع UPS1 إلى قاطع UPS2.</t>
  </si>
  <si>
    <t>2026/09/29 - 09:13 ص</t>
  </si>
  <si>
    <t>2026/09/29 - 09:15 ص</t>
  </si>
  <si>
    <t>(كل المجمع)</t>
  </si>
  <si>
    <t>عمل جولة على جميع اعمدة المجمع (التي تحتوي على بروجكترات شمسية)</t>
  </si>
  <si>
    <t>2026/09/29 - 09:16 ص</t>
  </si>
  <si>
    <t>معالجة مشكلة عدم حفظ الوقت والتاريخ  لمولدتي (250KVA) و (400KVA)</t>
  </si>
  <si>
    <t>تثبيت مروحة جدارية</t>
  </si>
  <si>
    <t>معالجة مشكلة تعارض عناوين IP في شبكة كاميرات المراقبة (VLAN)</t>
  </si>
  <si>
    <t>2026/09/29 - 09:20 ص</t>
  </si>
  <si>
    <t>2026/09/29 - 09:25 ص</t>
  </si>
  <si>
    <t>اكتشاف تعيين عنوان IP مطابق لعنوان IP الخاص بجهاز NVR وحدة الكهرباء، مما تسبب بحدوث تعارض في عناوين IP (IP Conflict)</t>
  </si>
  <si>
    <t>2026/09/29 - 09:40 ص</t>
  </si>
  <si>
    <t>تنظيف كل غرف الكهرباء</t>
  </si>
  <si>
    <t>2026/09/29 - 09:21 ص</t>
  </si>
  <si>
    <t>(F_4  جود العميد) ، (المالية 1)</t>
  </si>
  <si>
    <t xml:space="preserve">مد فليكس 4*2 من المالية الى غرفة الكهرباء </t>
  </si>
  <si>
    <t>(وحدة الشكبات)</t>
  </si>
  <si>
    <t>استبدال بلك سويج UPS 13 أمبير تالف</t>
  </si>
  <si>
    <t>2026/09/29 - 09:22 ص</t>
  </si>
  <si>
    <t>(طابق 1) ، (صف الورود)</t>
  </si>
  <si>
    <t xml:space="preserve">تم استبدال بلك سويج 13A تالف </t>
  </si>
  <si>
    <t>2026/09/29 - 09:41 ص</t>
  </si>
  <si>
    <t>تم استبدال بلك سويچ 15 امبير باخر 13 امبير</t>
  </si>
  <si>
    <t>تم اضافة بلك سويج عدد (3)</t>
  </si>
  <si>
    <t xml:space="preserve">تغذية شاشة عدد (2) </t>
  </si>
  <si>
    <t>2026/09/29 - 09:27 ص</t>
  </si>
  <si>
    <t>تزييت المصعد</t>
  </si>
  <si>
    <t>2026/09/29 - 09:28 ص</t>
  </si>
  <si>
    <t>إعادة تنظيم أسلاك الاتصالات المفصولة وترتيبها بالشكل الصحيح لضمان سهولة التتبع والصيانة.</t>
  </si>
  <si>
    <t xml:space="preserve">تغيير كابل الإيثرنت الخاص بالطابعة، بعد ملاحظة أن الكابل السابق كان مسلكًا بطريقة غير صحيحة، 
</t>
  </si>
  <si>
    <t>تنظيف الراك (Rack) وإزالة الأتربة المتراكمة،</t>
  </si>
  <si>
    <t>2026/09/29 - 09:42 ص</t>
  </si>
  <si>
    <t>اضافة نقطة UPS مجاور نقطة مضافة مسبقا لتغذية طابعات عدد 2 إضافة للطابعة الموجودة</t>
  </si>
  <si>
    <t>إضافة سيار كهرباء مزود بمأخذين للطاقة، سعة 13 أمبير، وبطول 4 أمتار لتغذية 2 طابعات.</t>
  </si>
  <si>
    <t>(غرفة كهرباء جود العميد)</t>
  </si>
  <si>
    <t>تجهيز منظومة السيطرة والحماية الكهربائية لجهاز ups</t>
  </si>
  <si>
    <t>نصب جهاز UPS بقدرة 6KVA نوع HUAWEI خاص بالمالية داخل غرفة كهرباء المدرسة</t>
  </si>
  <si>
    <t>إزالة جميع أجهزة UPS والأسلاك الزائدة، وتنظيف وتصفية الحائط من بقايا الكابلات والأنابيب الكهربائية غير المستخدمة</t>
  </si>
  <si>
    <t>2026/09/29 - 09:43 ص</t>
  </si>
  <si>
    <t xml:space="preserve"> ربط التغذية الكهربائية الجديدة الخاصة بالـRACK، والذي يعمل على تغذية منظومة اتصالات المالية والطابعات.</t>
  </si>
  <si>
    <t xml:space="preserve"> إضافة ملصق تعريف (PRINTERS) على "ماشة" الكهرباء بقدرة 13 أمبير الموجود داخل RACK </t>
  </si>
  <si>
    <t>إضافة نقاط كهرباء جديدة عدد 2 في غرفة المعاون التعليمي لتغذية حاسبات   (E-G-A)</t>
  </si>
  <si>
    <t>2026/09/29 - 09:47 ص</t>
  </si>
  <si>
    <t>إضافة نقاط كهرباء جديدة عدد 1 في الحانوت لتغذية ثلاجة (E-G-B)</t>
  </si>
  <si>
    <t>إضافة نقاط كهرباء جديدة عدد 2 في غرفة المعاون التعليمي الجانب الاخر من الحائط لتغذية حاسبات   (E-G-A)</t>
  </si>
  <si>
    <t>2026/09/29 - 09:46 ص</t>
  </si>
  <si>
    <t>(طابق 1) ، (شفت الصحيات)</t>
  </si>
  <si>
    <t xml:space="preserve"> إضافة سبوت لايت قدرة 32 واط</t>
  </si>
  <si>
    <t>(طابق 1) ، (Zone B) ، (شفت الصحيات)</t>
  </si>
  <si>
    <t xml:space="preserve">إضافة سبوت لايت قدرة 10 واط </t>
  </si>
  <si>
    <t>2026/09/29 - 09:45 ص</t>
  </si>
  <si>
    <t>(غرفة الارشاد)</t>
  </si>
  <si>
    <t xml:space="preserve"> إصلاح تري اسلاك  الكهرباء</t>
  </si>
  <si>
    <t>(صف المرح)</t>
  </si>
  <si>
    <t>إصلاح تري اسلاك الكهرباء</t>
  </si>
  <si>
    <t>2026/09/29 - 09:48 ص</t>
  </si>
  <si>
    <t>(طابق 1) ، (غرفة المعلمات)</t>
  </si>
  <si>
    <t xml:space="preserve">إضافة بلك سويج عدد (3) </t>
  </si>
  <si>
    <t>إضافة بلك سويج  13 امبير</t>
  </si>
  <si>
    <t>(غرفة العاملات)</t>
  </si>
  <si>
    <t>2026/09/29 - 09:49 ص</t>
  </si>
  <si>
    <t>توقف راك الأتصالات  نتيجة احتراق ماشة التغذية من الUPS</t>
  </si>
  <si>
    <t>(الحانوت الجديد )</t>
  </si>
  <si>
    <t>اضافة بلك سويج 13 امبير عدد 10</t>
  </si>
  <si>
    <t>اضافة بلك سويج حراري عدد 5</t>
  </si>
  <si>
    <t>نصب شمعات انارة 140 واط عدد 4</t>
  </si>
  <si>
    <t>2026/09/29 - 09:50 ص</t>
  </si>
  <si>
    <t xml:space="preserve">اضافة نقطة كهرباء مكيف 45 امبير </t>
  </si>
  <si>
    <t>2026/09/29 - 09:44 ص</t>
  </si>
  <si>
    <t>توصيل سيار كهرباء الى كادر الحدادة</t>
  </si>
  <si>
    <t>إدخال منظومة التبريد المركزي (VRF) الخاصة بالمدرسة ضمن شبكة الاتصالات الجديدة، والتي تعمل بنظام Static IP / VLAN</t>
  </si>
  <si>
    <t>إدخال منظومة التبريد المركزي (VRV) الخاصة بالمدرسة ضمن شبكة الاتصالات الجديدة، والتي تعمل بنظام Static IP / VLAN</t>
  </si>
  <si>
    <t>إدخال منظومة التبريد المركزي (VRF) الخاصة به ضمن شبكة الاتصالات الجديدة، والتي تعمل بنظام Static IP / VLAN</t>
  </si>
  <si>
    <t>إدخال منظومة التبريد المركزي (VRF) الخاصة بها ضمن شبكة الاتصالات الجديدة، والتي تعمل بنظام Static IP / VLAN</t>
  </si>
  <si>
    <t>2026/09/29 - 09:51 ص</t>
  </si>
  <si>
    <t>إدخال منظومة التبريد المركزي (VRF) الخاصة بالبناية ضمن شبكة الاتصالات الجديدة، والتي تعمل بنظام Static IP / VLAN</t>
  </si>
  <si>
    <t>(صف الورود)</t>
  </si>
  <si>
    <t xml:space="preserve">تم استبدال بلك سويج 13A </t>
  </si>
  <si>
    <t>اصلاح العطل الخاص بمضخة الوقود</t>
  </si>
  <si>
    <t>بسبب الانطفاء المتكرر لجهاز UPS المركزي، تم إجراء الكشف والفحص للجهاز وقياس كفاءة البطاريات</t>
  </si>
  <si>
    <t>2026/09/29 - 09:52 ص</t>
  </si>
  <si>
    <t>(المولدة)</t>
  </si>
  <si>
    <t>اجراء صيانة دورية</t>
  </si>
  <si>
    <t>تجهيز تغذية بديلة مؤقتة لجهاز UPS المركزي</t>
  </si>
  <si>
    <t>2026/09/29 - 09:53 ص</t>
  </si>
  <si>
    <t>تسليك كابل 20 متر الى المكيف</t>
  </si>
  <si>
    <t>2026/09/29 - 09:54 ص</t>
  </si>
  <si>
    <t>(العميد بابل بنين)</t>
  </si>
  <si>
    <t>الكشف على جهاز UPS الخاص بالشاشات الذكية، حيث كان الجهاز خارج الخدمة لمدة يومين</t>
  </si>
  <si>
    <t>فتح وفحص جميع Strings الخاصة بالبطاريات، والبالغ عددها 3 Strings، حيث يحتوي كل String على 20 بطارية وتشغليه على 2</t>
  </si>
  <si>
    <t xml:space="preserve">تم تفعيل ميزة Battery Mode Shutdown Delay </t>
  </si>
  <si>
    <t>2026/09/29 - 09:55 ص</t>
  </si>
  <si>
    <t xml:space="preserve">تفعيل ميزة Auto Start لضمان إعادة تشغيل جهاز الـUPS تلقائيًا </t>
  </si>
  <si>
    <t>(العميد بابل بنات)</t>
  </si>
  <si>
    <t>تفعيل ميزة Auto Start لضمان إعادة تشغيل جهاز الـUPS تلقائيًا</t>
  </si>
  <si>
    <t>2026/09/29 - 09:56 ص</t>
  </si>
  <si>
    <t>الكشف والفحص الفني لجهاز UPS الخاص بالشاشات الذكية، وذلك تمهيدًا للتهيئة لتنفيذ دائرة السيطرة الجديدة واستبدال البطاريات .</t>
  </si>
  <si>
    <t>(العميد بابل )</t>
  </si>
  <si>
    <t>إعادة تفييش وتركيب فيشة RJ45 الخاصة بخط الهاتف.</t>
  </si>
  <si>
    <t>2026/09/29 - 09:58 ص</t>
  </si>
  <si>
    <t>(نور العميد بنين )</t>
  </si>
  <si>
    <t>بعد التبليغ عن وجود خلل في دائرة السيطرة الخاصة بجهاز UPS والشاشات الذكية، تم زيارة الموقع وإجراء الفحص الفني</t>
  </si>
  <si>
    <t>2026/09/29 - 09:57 ص</t>
  </si>
  <si>
    <t>بانتظار التوزيع</t>
  </si>
  <si>
    <t>استبدال انارة منشورية 60*60 تالفة</t>
  </si>
  <si>
    <t>2026/09/29 - 09:59 ص</t>
  </si>
  <si>
    <t>إكمال أعمال دائرة السيطرة والحماية الكهربائية الخاصة ببورد تجهيز جهاز UPS للشاشات الذكية،</t>
  </si>
  <si>
    <t>2026/09/29 - 10:00 ص</t>
  </si>
  <si>
    <t>(نور العباس ابتدائية بنين)</t>
  </si>
  <si>
    <t>2026/09/29 - 10:01 ص</t>
  </si>
  <si>
    <t>(نور العباس ثانوية بنين)</t>
  </si>
  <si>
    <t>(نور العباس ثانوية بنات)</t>
  </si>
  <si>
    <t>(نور العباس ابتدائية بنات)</t>
  </si>
  <si>
    <t>2026/09/29 - 10:02 ص</t>
  </si>
  <si>
    <t xml:space="preserve"> إطلاق النسخة الثانية من برنامج الإسناد الهندسي V1.2
النسخة التجريبية</t>
  </si>
  <si>
    <t>معالجة مشكلة الوصول إلى شاشات التبريد المركزي نوع MITSUBISHI</t>
  </si>
  <si>
    <t xml:space="preserve">استبدال ماشة براد ماء 13 امبير </t>
  </si>
  <si>
    <t>اضافة نقطة ups الى الشاشة</t>
  </si>
  <si>
    <t>2026/09/29 - 10:03 ص</t>
  </si>
  <si>
    <t>اضافة بلك سويج 13 امبير عدد 2</t>
  </si>
  <si>
    <t>صيانة ماطور بوابة المجمع</t>
  </si>
  <si>
    <t>2026/09/29 - 10:04 ص</t>
  </si>
  <si>
    <t>2026/09/29 - 10:05 ص</t>
  </si>
  <si>
    <t>صيانة قطع احد فيزات راس التوليد</t>
  </si>
  <si>
    <t>2026/09/29 - 10:06 ص</t>
  </si>
  <si>
    <t>(نور العميد بنات )</t>
  </si>
  <si>
    <t xml:space="preserve">- تم تفعيل ميزة Auto Start لضمان إعادة تشغيل جهاز الـUPS تلقائيًا </t>
  </si>
  <si>
    <t>2026/09/29 - 10:07 ص</t>
  </si>
  <si>
    <t>(نور العباس ابتدائية بنين )</t>
  </si>
  <si>
    <t>2026/09/29 - 10:08 ص</t>
  </si>
  <si>
    <t>(نور العباس ثانوية بنين )</t>
  </si>
  <si>
    <t>2026/09/29 - 10:09 ص</t>
  </si>
  <si>
    <t xml:space="preserve">تم تفعيل ميزة Auto Start لضمان إعادة تشغيل جهاز الـUPS تلقائيًا </t>
  </si>
  <si>
    <t>(نور العباس ثانوية بنات )</t>
  </si>
  <si>
    <t>تم تفعيل ميزة Auto Start لضمان إعادة تشغيل جهاز الـUPS تلقائيًا</t>
  </si>
  <si>
    <t>(نور العباس ابتدائية بنات )</t>
  </si>
  <si>
    <t>2026/09/29 - 10:10 ص</t>
  </si>
  <si>
    <t>(المطبخ الخارجي)</t>
  </si>
  <si>
    <t>تغذية ثلاث نقاط من الطاقة الشمسية</t>
  </si>
  <si>
    <t>2026/09/29 - 10:11 ص</t>
  </si>
  <si>
    <t>2026/09/29 - 10:12 ص</t>
  </si>
  <si>
    <t>(طابق 1) ، (الحانوت)</t>
  </si>
  <si>
    <t xml:space="preserve"> تثبيت قانصة ذباب وتوصيلها كهربائياً مع الإنارة</t>
  </si>
  <si>
    <t>تحويل بلك سويج من التغذية الكهربائية الاعتيادية إلى تغذية UPS</t>
  </si>
  <si>
    <t>2026/09/29 - 10:14 ص</t>
  </si>
  <si>
    <t xml:space="preserve"> تغليف كبل HD</t>
  </si>
  <si>
    <t>2026/09/29 - 10:13 ص</t>
  </si>
  <si>
    <t>إكمال أعمال دائرة السيطرة والحماية الكهربائية الخاصة ببورد تجهيز جهاز UPS للشاشات الذكية</t>
  </si>
  <si>
    <t>2026/09/29 - 01:06 م</t>
  </si>
  <si>
    <t>2026/09/29 - 01:07 م</t>
  </si>
  <si>
    <t>2026/09/29 - 01:08 م</t>
  </si>
  <si>
    <t>2026/09/29 - 01:09 م</t>
  </si>
  <si>
    <t>2026/09/29 - 01:10 م</t>
  </si>
  <si>
    <t>2026/09/29 - 01:11 م</t>
  </si>
  <si>
    <t>2026/09/29 - 01:12 م</t>
  </si>
  <si>
    <t>2026/09/29 - 01:13 م</t>
  </si>
  <si>
    <t>2026/09/29 - 01:14 م</t>
  </si>
  <si>
    <t>2026/09/29 - 01:15 م</t>
  </si>
  <si>
    <t>2026/09/29 - 01:16 م</t>
  </si>
  <si>
    <t>2026/09/29 - 01:17 م</t>
  </si>
  <si>
    <t>2026/09/29 - 01:18 م</t>
  </si>
  <si>
    <t>2026/09/29 - 01:19 م</t>
  </si>
  <si>
    <t>2026/09/29 - 01:22 م</t>
  </si>
  <si>
    <t>2026/09/29 - 01:21 م</t>
  </si>
  <si>
    <t>2026/09/29 - 01:23 م</t>
  </si>
  <si>
    <t>2026/09/29 - 01:25 م</t>
  </si>
  <si>
    <t>2026/09/29 - 01:24 م</t>
  </si>
  <si>
    <t>2026/09/29 - 01:26 م</t>
  </si>
  <si>
    <t>2026/09/29 - 01:27 م</t>
  </si>
  <si>
    <t>2026/09/29 - 01:28 م</t>
  </si>
  <si>
    <t>2026/09/29 - 01:29 م</t>
  </si>
  <si>
    <t>2026/09/29 - 01:31 م</t>
  </si>
  <si>
    <t>2026/09/29 - 01:30 م</t>
  </si>
  <si>
    <t>2026/09/29 - 01:32 م</t>
  </si>
  <si>
    <t>2026/09/29 - 01:38 م</t>
  </si>
  <si>
    <t>2026/09/29 - 01:33 م</t>
  </si>
  <si>
    <t>2026/09/29 - 01:34 م</t>
  </si>
  <si>
    <t>2026/09/29 - 01:39 م</t>
  </si>
  <si>
    <t>2026/09/29 - 01:36 م</t>
  </si>
  <si>
    <t>2026/09/29 - 01:37 م</t>
  </si>
  <si>
    <t>2026/09/29 - 01:40 م</t>
  </si>
  <si>
    <t>2026/09/29 - 01:41 م</t>
  </si>
  <si>
    <t>2026/09/29 - 01:42 م</t>
  </si>
  <si>
    <t>2026/09/29 - 01:43 م</t>
  </si>
  <si>
    <t>2026/09/29 - 01:44 م</t>
  </si>
  <si>
    <t>2026/09/29 - 01:45 م</t>
  </si>
  <si>
    <t>2026/09/29 - 01:46 م</t>
  </si>
  <si>
    <t>2026/09/29 - 01:47 م</t>
  </si>
  <si>
    <t>2026/09/29 - 01:48 م</t>
  </si>
  <si>
    <t>2026/09/29 - 02:03 م</t>
  </si>
  <si>
    <t>2026/09/29 - 02:07 م</t>
  </si>
  <si>
    <t>2026/09/29 - 02:05 م</t>
  </si>
  <si>
    <t>2026/09/29 - 02:06 م</t>
  </si>
  <si>
    <t>2026/09/29 - 02:08 م</t>
  </si>
  <si>
    <t>2026/09/29 - 02:09 م</t>
  </si>
  <si>
    <t>2026/09/29 - 02:18 م</t>
  </si>
  <si>
    <t>2026/09/29 - 02:10 م</t>
  </si>
  <si>
    <t>2026/09/29 - 02:19 م</t>
  </si>
  <si>
    <t>2026/09/29 - 02:11 م</t>
  </si>
  <si>
    <t>2026/09/29 - 02:20 م</t>
  </si>
  <si>
    <t>2026/09/29 - 02:12 م</t>
  </si>
  <si>
    <t>2026/09/29 - 02:21 م</t>
  </si>
  <si>
    <t>2026/09/29 - 02:14 م</t>
  </si>
  <si>
    <t>2026/09/29 - 02:23 م</t>
  </si>
  <si>
    <t>2026/09/29 - 02:15 م</t>
  </si>
  <si>
    <t>2026/09/29 - 02:26 م</t>
  </si>
  <si>
    <t>2026/09/29 - 02:17 م</t>
  </si>
  <si>
    <t>2026/09/29 - 02:27 م</t>
  </si>
  <si>
    <t>2026/09/29 - 02:28 م</t>
  </si>
  <si>
    <t>2026/09/29 - 02:29 م</t>
  </si>
  <si>
    <t>2026/09/29 - 02:22 م</t>
  </si>
  <si>
    <t>2026/09/29 - 02:30 م</t>
  </si>
  <si>
    <t>2026/09/29 - 02:31 م</t>
  </si>
  <si>
    <t>2026/09/29 - 02:25 م</t>
  </si>
  <si>
    <t>2026/09/29 - 02:33 م</t>
  </si>
  <si>
    <t>2026/09/29 - 02:38 م</t>
  </si>
  <si>
    <t>2026/09/29 - 02:39 م</t>
  </si>
  <si>
    <t>2026/09/29 - 02:40 م</t>
  </si>
  <si>
    <t>2026/09/29 - 02:41 م</t>
  </si>
  <si>
    <t>2026/09/29 - 02:42 م</t>
  </si>
  <si>
    <t>2026/09/29 - 02:32 م</t>
  </si>
  <si>
    <t>2026/09/29 - 02:44 م</t>
  </si>
  <si>
    <t>2026/09/29 - 03:00 م</t>
  </si>
  <si>
    <t>2026/09/29 - 02:34 م</t>
  </si>
  <si>
    <t>2026/09/29 - 04:13 م</t>
  </si>
  <si>
    <t>2026/09/29 - 02:36 م</t>
  </si>
  <si>
    <t>2026/09/29 - 04:15 م</t>
  </si>
  <si>
    <t>2026/09/29 - 04:14 م</t>
  </si>
  <si>
    <t>2026/09/29 - 02:37 م</t>
  </si>
  <si>
    <t>2026/09/29 - 04:16 م</t>
  </si>
  <si>
    <t>2026/09/29 - 04:17 م</t>
  </si>
  <si>
    <t>2026/09/29 - 02:58 م</t>
  </si>
  <si>
    <t>2026/09/29 - 02:57 م</t>
  </si>
  <si>
    <t>2026/09/29 - 02:43 م</t>
  </si>
  <si>
    <t>2026/09/29 - 04:20 م</t>
  </si>
  <si>
    <t>2026/09/29 - 04:22 م</t>
  </si>
  <si>
    <t>2026/09/29 - 04:23 م</t>
  </si>
  <si>
    <t>2026/09/29 - 02:45 م</t>
  </si>
  <si>
    <t>2026/09/29 - 04:24 م</t>
  </si>
  <si>
    <t>2026/09/29 - 02:52 م</t>
  </si>
  <si>
    <t>2026/09/29 - 04:25 م</t>
  </si>
  <si>
    <t>2026/09/29 - 02:53 م</t>
  </si>
  <si>
    <t>2026/09/29 - 04:26 م</t>
  </si>
  <si>
    <t>2026/09/29 - 02:54 م</t>
  </si>
  <si>
    <t>2026/09/29 - 02:55 م</t>
  </si>
  <si>
    <t>2026/09/29 - 02:56 م</t>
  </si>
  <si>
    <t>2026/09/29 - 04:27 م</t>
  </si>
  <si>
    <t>2026/09/29 - 04:28 م</t>
  </si>
  <si>
    <t>2026/09/29 - 02:59 م</t>
  </si>
  <si>
    <t>2026/09/29 - 04:29 م</t>
  </si>
  <si>
    <t>2026/09/29 - 04:30 م</t>
  </si>
  <si>
    <t>2026/09/29 - 04:31 م</t>
  </si>
  <si>
    <t>2026/09/29 - 04:32 م</t>
  </si>
  <si>
    <t>2026/09/29 - 04:33 م</t>
  </si>
  <si>
    <t>2026/09/29 - 04:34 م</t>
  </si>
  <si>
    <t>2026/09/29 - 04:35 م</t>
  </si>
  <si>
    <t>2026/09/29 - 04:44 م</t>
  </si>
  <si>
    <t>2026/09/29 - 04:37 م</t>
  </si>
  <si>
    <t>2026/09/29 - 04:45 م</t>
  </si>
  <si>
    <t>2026/09/29 - 04:40 م</t>
  </si>
  <si>
    <t>2026/09/29 - 04:47 م</t>
  </si>
  <si>
    <t>2026/09/29 - 04:42 م</t>
  </si>
  <si>
    <t>2026/09/29 - 04:46 م</t>
  </si>
  <si>
    <t>2026/09/29 - 04:49 م</t>
  </si>
  <si>
    <t>2026/09/29 - 04:48 م</t>
  </si>
  <si>
    <t>2026/09/29 - 04:50 م</t>
  </si>
  <si>
    <t>2026/09/29 - 04:51 م</t>
  </si>
  <si>
    <t>2026/09/30 - 12:36 م</t>
  </si>
  <si>
    <t>2026/09/30 - 12:37 م</t>
  </si>
  <si>
    <t xml:space="preserve">تنظيف غرف الكهرباء </t>
  </si>
  <si>
    <t>2026/07/01 - 08:32 ص</t>
  </si>
  <si>
    <t>2026/07/01 - 12:06 م</t>
  </si>
  <si>
    <t>(3_C  المتوسطة)</t>
  </si>
  <si>
    <t>(طابق ارضي) ، (ZONE A)</t>
  </si>
  <si>
    <t>تثبيت لوحة اعلانات</t>
  </si>
  <si>
    <t>2026/07/01 - 12:21 م</t>
  </si>
  <si>
    <t>حسين رحيم</t>
  </si>
  <si>
    <t>2026/07/02 - 07:53 ص</t>
  </si>
  <si>
    <t>(4_D  الاعدادية)</t>
  </si>
  <si>
    <t xml:space="preserve">الحمامات حنفيه عاطله لا يمكن اغلاقها و الماء مستمر </t>
  </si>
  <si>
    <t>2026/07/02 - 07:58 ص</t>
  </si>
  <si>
    <t>أمجد رياض</t>
  </si>
  <si>
    <t>2026/07/23 - 01:34 م</t>
  </si>
  <si>
    <t>(1_A  الابتدائية الاولى)</t>
  </si>
  <si>
    <t>صيانه التبريد</t>
  </si>
  <si>
    <t>2026/07/02 - 08:56 ص</t>
  </si>
  <si>
    <t>م.علي الرضا</t>
  </si>
  <si>
    <t>2026/07/02 - 10:15 ص</t>
  </si>
  <si>
    <t>(ساحة خارجية) ، (غرفة المضخات )</t>
  </si>
  <si>
    <t>(الكراج)</t>
  </si>
  <si>
    <t xml:space="preserve">اعادة ربط مضخة كهربائية بعدً الانتهاء من صيانتها </t>
  </si>
  <si>
    <t>2026/07/02 - 10:09 ص</t>
  </si>
  <si>
    <t>2026/07/02 - 11:25 ص</t>
  </si>
  <si>
    <t>(طابق (1))</t>
  </si>
  <si>
    <t xml:space="preserve">شد بردا زيبرا عدد 2 </t>
  </si>
  <si>
    <t xml:space="preserve">الموقع باب دخول لزون B </t>
  </si>
  <si>
    <t>2026/07/02 - 11:26 ص</t>
  </si>
  <si>
    <t>الموقع قرب باب المصعد</t>
  </si>
  <si>
    <t>2026/07/02 - 10:19 ص</t>
  </si>
  <si>
    <t>ادارية الحر</t>
  </si>
  <si>
    <t>2026/07/02 - 10:20 ص</t>
  </si>
  <si>
    <t>(موقع المولدات )</t>
  </si>
  <si>
    <t>استبدال زيت المولدة 450KVA</t>
  </si>
  <si>
    <t>2026/07/02 - 10:34 ص</t>
  </si>
  <si>
    <t>2026/07/02 - 10:36 ص</t>
  </si>
  <si>
    <t>غسل موقع المولدات</t>
  </si>
  <si>
    <t>2026/07/02 - 10:39 ص</t>
  </si>
  <si>
    <t>(طابق (1)) ، (ZONE A)</t>
  </si>
  <si>
    <t xml:space="preserve">إطفاء إنذار الحريق داخل البنايه </t>
  </si>
  <si>
    <t>2026/07/02 - 10:40 ص</t>
  </si>
  <si>
    <t>2026/07/02 - 10:41 ص</t>
  </si>
  <si>
    <t>(طابق ارضي) ، (طابق (1)) ، (ZONE A) ، (ZONE B)</t>
  </si>
  <si>
    <t xml:space="preserve">فحص وتشغيل جميع الشاشات الذكية بطلب من وحدةً التقنية </t>
  </si>
  <si>
    <t>2026/07/02 - 10:50 ص</t>
  </si>
  <si>
    <t>(1_A  الابتدائية الاولى) ، (2_B  الابتدائية الثانية) ، (3_C  المتوسطة) ، (4_D  الاعدادية)</t>
  </si>
  <si>
    <t xml:space="preserve">تسجيل قراءات الشبكة الوطنية من غرف السيطرة </t>
  </si>
  <si>
    <t xml:space="preserve">عمل دوريً يوميا </t>
  </si>
  <si>
    <t>2026/07/02 - 11:31 ص</t>
  </si>
  <si>
    <t>م.اركان علي</t>
  </si>
  <si>
    <t>2026/07/02 - 11:32 ص</t>
  </si>
  <si>
    <t>رفع سواد البناية الاولى السطح</t>
  </si>
  <si>
    <t>(ساحة خارجية)</t>
  </si>
  <si>
    <t xml:space="preserve">مساعدة وحدة المدني في لحام باب الكراج </t>
  </si>
  <si>
    <t>2026/07/02 - 11:33 ص</t>
  </si>
  <si>
    <t>أزاله اللواصق الجداريه لأغراض الصبغ</t>
  </si>
  <si>
    <t>2026/07/02 - 11:34 ص</t>
  </si>
  <si>
    <t xml:space="preserve">مساعدة وحدة المدني في تثبيت لوحةً إعلانات في الاستعلامات </t>
  </si>
  <si>
    <t xml:space="preserve">معالجه الأماكن المتضرره بماده البورك والستن والتهيئه لأغراض الصبغ </t>
  </si>
  <si>
    <t>2026/07/02 - 11:36 ص</t>
  </si>
  <si>
    <t>أعمال  سمفره التصليح الخاص بالبنايه الاولى الطابق الاول A</t>
  </si>
  <si>
    <t>2026/07/02 - 11:37 ص</t>
  </si>
  <si>
    <t>(طابق ارضي) ، (ZONE B)</t>
  </si>
  <si>
    <t xml:space="preserve">تم إطفاء منظومة UPS خلال فترة تقريبا نصف ساعة للتأكد من سلامة البطارية واستمرارها في العمل </t>
  </si>
  <si>
    <t>2026/07/02 - 11:38 ص</t>
  </si>
  <si>
    <t xml:space="preserve">أعمال تصليح الداير البنايه الاولى الطابق الاول </t>
  </si>
  <si>
    <t>2026/07/02 - 11:41 ص</t>
  </si>
  <si>
    <t>تثبيت لوحت إعلانات البنايه الثالثه الطابق الارضي A جه الاستعلامات</t>
  </si>
  <si>
    <t>2026/07/02 - 11:42 ص</t>
  </si>
  <si>
    <t>2026/07/02 - 11:44 ص</t>
  </si>
  <si>
    <t xml:space="preserve">تثبيت قطعه إزاره مرمر جانب المصعد </t>
  </si>
  <si>
    <t>2026/07/02 - 11:43 ص</t>
  </si>
  <si>
    <t>تثبيت ازاره مرمر جانب المصعد</t>
  </si>
  <si>
    <t>2026/07/02 - 11:45 ص</t>
  </si>
  <si>
    <t>تثبيت برد عدد ٢ شبابيك البنايه الثالثه الطابق الاول A</t>
  </si>
  <si>
    <t>2026/07/02 - 11:46 ص</t>
  </si>
  <si>
    <t>2026/07/02 - 11:47 ص</t>
  </si>
  <si>
    <t xml:space="preserve">لحام الباب الخارجي للكراج جهه البنايه الاولى </t>
  </si>
  <si>
    <t>2026/07/02 - 11:55 ص</t>
  </si>
  <si>
    <t>2026/07/02 - 11:56 ص</t>
  </si>
  <si>
    <t>(بين البناية الثالثة والثانية )</t>
  </si>
  <si>
    <t>تم تسليم 680 لتر زيت محترك</t>
  </si>
  <si>
    <t>2026/07/02 - 11:57 ص</t>
  </si>
  <si>
    <t>2026/07/02 - 11:58 ص</t>
  </si>
  <si>
    <t>تم تنظيف الموقع من الاوساخ وتغليف البراميل</t>
  </si>
  <si>
    <t>2026/07/02 - 12:17 م</t>
  </si>
  <si>
    <t xml:space="preserve">تصليح أماكن الرطوبه في جدار الشباك الداير الطابق الاول </t>
  </si>
  <si>
    <t>2026/07/02 - 01:34 م</t>
  </si>
  <si>
    <t>أزاله التيب اللاصق من الشبابيك وجدران الداير البنايه الاولى الطابق الاول</t>
  </si>
  <si>
    <t>2026/07/02 - 01:35 م</t>
  </si>
  <si>
    <t xml:space="preserve">أعمال صبغ جدار الشباك الداير المحيط  البنايه الاولى الطابق الاول </t>
  </si>
  <si>
    <t>2026/07/02 - 01:38 م</t>
  </si>
  <si>
    <t>(حانوت الكراج)</t>
  </si>
  <si>
    <t>تم حفر خط الماء والمجاري للحانوت الخارجي</t>
  </si>
  <si>
    <t>2026/07/02 - 01:36 م</t>
  </si>
  <si>
    <t>(4_D  الاعدادية) ، (الكراج)</t>
  </si>
  <si>
    <t>(طابق ارضي) ، (ZONE A) ، (الحانوت الخارجي)</t>
  </si>
  <si>
    <t xml:space="preserve"> تم تبديل كاك زاوية في البنايه الرابعه z/a طابق الارضي 
</t>
  </si>
  <si>
    <t>2026/07/02 - 01:37 م</t>
  </si>
  <si>
    <t>(غرفة المضخات الرىيسية)</t>
  </si>
  <si>
    <t>(غرفة المضخات)</t>
  </si>
  <si>
    <t>تم متابعة المضخات الماء الرئيسيه 
(لا يوجد ماء اساله)</t>
  </si>
  <si>
    <t xml:space="preserve">تنضيف الاتربه على الجدران باستخدام جهاز البلور لأغراض الصبغ </t>
  </si>
  <si>
    <t>2026/07/02 - 01:39 م</t>
  </si>
  <si>
    <t>(الحانوت في الكراج)</t>
  </si>
  <si>
    <t>تم حفر وتهيئه مجرى بوري ماء ppr للمكتبه الخارجيه تمهيدا للتأسيس شبكه لماء</t>
  </si>
  <si>
    <t>2026/07/02 - 01:41 م</t>
  </si>
  <si>
    <t>2026/07/02 - 01:42 م</t>
  </si>
  <si>
    <t>تم تشغيل مضخات الاسالة لملى الخزان لاكن بعد فترة لوحظ انقطاع الماء</t>
  </si>
  <si>
    <t>2026/07/02 - 01:43 م</t>
  </si>
  <si>
    <t>تم فتح قطع داخلية VRF عدد 12 تحضيرا لعملية الغسل</t>
  </si>
  <si>
    <t>2026/07/02 - 08:48 م</t>
  </si>
  <si>
    <t>(3_C  المتوسطة) ، (غرفة استراحة منتسبين الآليات )</t>
  </si>
  <si>
    <t xml:space="preserve">مساعدة وحدة المدني في أعمال الصبغ </t>
  </si>
  <si>
    <t>2026/07/02 - 08:50 م</t>
  </si>
  <si>
    <t>أعمال وضع التيب اللاصق لغرف الآليات الباميه الثالثه</t>
  </si>
  <si>
    <t>2026/07/02 - 08:51 م</t>
  </si>
  <si>
    <t xml:space="preserve">أعمال معاجله الجدرام لغرفه اللاليات بالإضافه إلى أعمال السمفره </t>
  </si>
  <si>
    <t>2026/07/02 - 08:52 م</t>
  </si>
  <si>
    <t xml:space="preserve">أعمال صبغ غرفه الآليات قاط اول </t>
  </si>
  <si>
    <t>2026/07/02 - 08:54 م</t>
  </si>
  <si>
    <t>(2_B  الابتدائية الثانية)</t>
  </si>
  <si>
    <t xml:space="preserve">أعمال المعالجه للأماكن المتضرره لدرج البنايه الثانيه وسمفرتها  لأغراض الصبغ </t>
  </si>
  <si>
    <t>2026/07/02 - 08:55 م</t>
  </si>
  <si>
    <t xml:space="preserve">أعمال الصبغ للأماكن المتضرره لدرج البنايه الثانيه </t>
  </si>
  <si>
    <t>2026/07/03 - 12:53 م</t>
  </si>
  <si>
    <t>2026/07/03 - 12:56 م</t>
  </si>
  <si>
    <t>(1_A  الابتدائية الاولى) ، (3_C  المتوسطة) ، (4_D  الاعدادية)</t>
  </si>
  <si>
    <t>(مصعد)</t>
  </si>
  <si>
    <t xml:space="preserve">تم تزيت سكك المصعد الكهربائي واضافه الزيت المخصص لضمان سلاسة الحركة وتقليل الاحتكاك والصوت </t>
  </si>
  <si>
    <t xml:space="preserve">بشكل دوري </t>
  </si>
  <si>
    <t>2026/07/03 - 12:55 م</t>
  </si>
  <si>
    <t xml:space="preserve">تم تنظيف كابينة الغلاف الخارجيً للمصعدً الكهربائي وازالةً الاتربه والعوالق لضمان سلامه الأجزاء الميكانيكية </t>
  </si>
  <si>
    <t>(السطح) ، (مصعد)</t>
  </si>
  <si>
    <t xml:space="preserve">تم تنظيف غرف السيطرة الخاصة بالمصاعد الكهربائية وتنظيف بورد التوزيع والتحكم </t>
  </si>
  <si>
    <t>2026/07/03 - 01:12 م</t>
  </si>
  <si>
    <t>أعمال وضع التيب اللاصق لغرفه المختبر لاغراض الصيغ</t>
  </si>
  <si>
    <t>2026/07/03 - 01:13 م</t>
  </si>
  <si>
    <t xml:space="preserve">أعمال معالجه الجدران المتضرره بماده البورك والستن وسمفرتها بالكامل </t>
  </si>
  <si>
    <t>2026/07/03 - 01:14 م</t>
  </si>
  <si>
    <t xml:space="preserve">أعمال صبغ غرفه المختبرات بالكامل </t>
  </si>
  <si>
    <t>2026/07/03 - 01:15 م</t>
  </si>
  <si>
    <t>أعمال وضع التيب اللاصق لغرفه الحانوت لاغراض الصبغ</t>
  </si>
  <si>
    <t>2026/07/03 - 01:16 م</t>
  </si>
  <si>
    <t xml:space="preserve">أعمال معالجه الجدران المتضرره وسمفرتها بالكامل لاغراض الصبغ </t>
  </si>
  <si>
    <t>2026/07/03 - 01:17 م</t>
  </si>
  <si>
    <t xml:space="preserve">أعمال صبغ غرفه الحانوت </t>
  </si>
  <si>
    <t>2026/07/03 - 01:18 م</t>
  </si>
  <si>
    <t xml:space="preserve"> غرفة المختبرات والحانوت</t>
  </si>
  <si>
    <t xml:space="preserve">أعمال رفع وازالة الشريط اللاصق بعد اكمال أعمال الصبغ </t>
  </si>
  <si>
    <t>2026/07/04 - 07:35 ص</t>
  </si>
  <si>
    <t>2026/07/04 - 12:59 م</t>
  </si>
  <si>
    <t xml:space="preserve">(طابق ارضي) ، (ZONE A)  غرفة المدرسين </t>
  </si>
  <si>
    <t>تثبيت ستائر نوع (زيبرا) عدد (2).</t>
  </si>
  <si>
    <t>2026/07/04 - 10:15 ص</t>
  </si>
  <si>
    <t>م.حسن علي</t>
  </si>
  <si>
    <t>2026/07/04 - 10:20 ص</t>
  </si>
  <si>
    <t>استبدال انارة منشورية 60×60 عدد 1</t>
  </si>
  <si>
    <t>2026/07/04 - 10:47 ص</t>
  </si>
  <si>
    <t>صيانة انارة منشورية عدد 1 بأستبدال المحولة</t>
  </si>
  <si>
    <t>2026/07/04 - 11:36 ص</t>
  </si>
  <si>
    <t>2026/07/04 - 11:39 ص</t>
  </si>
  <si>
    <t>(طابق (1)) ، (ZONE B)</t>
  </si>
  <si>
    <t>مساعدة وحدة الميكانيك في فتح القطع الداخلية الخاصة بمنظومه التبريد VRF</t>
  </si>
  <si>
    <t>2026/07/04 - 11:42 ص</t>
  </si>
  <si>
    <t xml:space="preserve">تسجيل قرءات الشبكة من غرف السيطرة </t>
  </si>
  <si>
    <t xml:space="preserve">عمل دوري يومياً </t>
  </si>
  <si>
    <t>2026/07/04 - 11:43 ص</t>
  </si>
  <si>
    <t xml:space="preserve">تسجيل قراءات منظومه UPS ومتابعة الأحمال ونسبة الشحن </t>
  </si>
  <si>
    <t xml:space="preserve">العمل بشكل دوري في الشفت الليلي </t>
  </si>
  <si>
    <t>2026/07/04 - 01:00 م</t>
  </si>
  <si>
    <t>(طابق ارضي) ، (ZONE A) ، (غرفه المدرسين)</t>
  </si>
  <si>
    <t xml:space="preserve">تثبيت برد شباك عدد ٢ </t>
  </si>
  <si>
    <t>2026/07/04 - 01:02 م</t>
  </si>
  <si>
    <t>(طابق (1)) ، (ZONE A) ، (غرفه المخزن)</t>
  </si>
  <si>
    <t xml:space="preserve">أعمال وضع التيب اللاصق </t>
  </si>
  <si>
    <t>2026/07/04 - 01:03 م</t>
  </si>
  <si>
    <t>(طابق (1)) ، (ZONE A) ، (غرفه المخزن )</t>
  </si>
  <si>
    <t>أعمال معالجه الأماكن المتضرره وسمفرتها بالكامل</t>
  </si>
  <si>
    <t>2026/07/04 - 01:05 م</t>
  </si>
  <si>
    <t xml:space="preserve">أعمال صبغ الجدران بالكامل </t>
  </si>
  <si>
    <t>2026/07/04 - 01:06 م</t>
  </si>
  <si>
    <t>أعمال وضع التيب اللاصق لاغراض الصبغ</t>
  </si>
  <si>
    <t>2026/07/04 - 01:07 م</t>
  </si>
  <si>
    <t>2026/07/04 - 01:08 م</t>
  </si>
  <si>
    <t>أعمال معالجه الجدران لاغراض الصبغ</t>
  </si>
  <si>
    <t>2026/07/04 - 01:09 م</t>
  </si>
  <si>
    <t xml:space="preserve">أعمال وضع الشريط اللاصق لغرض صبغ الجدران </t>
  </si>
  <si>
    <t>2026/07/04 - 05:14 م</t>
  </si>
  <si>
    <t>2026/07/04 - 05:28 م</t>
  </si>
  <si>
    <t>تم تنظيف وغسل (6) قطع داخلية لمنظومة تبريد VRF .</t>
  </si>
  <si>
    <t>2026/07/04 - 05:15 م</t>
  </si>
  <si>
    <t>تم فتح (4) قطع داخلية خاصة بمنظومة تبريد VRF بمساعدة وحدة الكهرباء.</t>
  </si>
  <si>
    <t>2026/07/04 - 05:16 م</t>
  </si>
  <si>
    <t>تم فتح قطعتين (2) داخلية من منظومة تبريد VRF لغرض التنظيف.</t>
  </si>
  <si>
    <t>2026/07/04 - 05:27 م</t>
  </si>
  <si>
    <t>تم غسل الفان (المروحة) والإطار الخاص بالقطع الداخلية لمنظومة تبريد VRF باستخدام مادة التنظيف .</t>
  </si>
  <si>
    <t>2026/07/04 - 05:18 م</t>
  </si>
  <si>
    <t>تم إعادة ربط التوصيلات الكهربائية بالكامل للقطع الداخلية لتبريد VRF بعد الانتهاء من غسلها.</t>
  </si>
  <si>
    <t>2026/07/04 - 05:19 م</t>
  </si>
  <si>
    <t>(طابق ارضي) ، (طابق (1)) ، (ZONE B)</t>
  </si>
  <si>
    <t>تم تدريب كادر التربية للمساعدة في عمليات فتح القطع الداخلية لمنظومة VRF.</t>
  </si>
  <si>
    <t>2026/07/04 - 05:22 م</t>
  </si>
  <si>
    <t>2026/07/04 - 05:26 م</t>
  </si>
  <si>
    <t>(الكراج) ، (الخزان الرئيسي للبنايات)</t>
  </si>
  <si>
    <t>تم تزويد وإضافة الماء إلى الخزان الرئيسي بسبب نقص الماء في خزان المجمع.</t>
  </si>
  <si>
    <t>2026/07/04 - 05:24 م</t>
  </si>
  <si>
    <t>(الكراج) ، ( المكتبة الخارجية)</t>
  </si>
  <si>
    <t>تم تأسيس شبكة المياه الخاصة بمطبخ المكتبة الخارجية.</t>
  </si>
  <si>
    <t>2026/07/04 - 05:25 م</t>
  </si>
  <si>
    <t>( المكتبة الخارجية)</t>
  </si>
  <si>
    <t>تم حفر منطقة المقرنص لغرض تنفيذ ثقب الكور (Core Drill) لتأسيس وتمديد خط شبكة المجاري المؤدي إلى المكتبة الخارجية.</t>
  </si>
  <si>
    <t>2026/07/04 - 08:06 م</t>
  </si>
  <si>
    <t>2026/07/04 - 08:12 م</t>
  </si>
  <si>
    <t>تم تنظيف وغسل غرفة المضخات الرئيسية بالكامل.</t>
  </si>
  <si>
    <t>2026/07/04 - 08:09 م</t>
  </si>
  <si>
    <t>تم إجراء كشف فني على السقف الثانوي في البناية الثالثة لغرض استحداث أعمال جديدة.</t>
  </si>
  <si>
    <t>2026/07/04 - 08:07 م</t>
  </si>
  <si>
    <t>2026/07/04 - 08:08 م</t>
  </si>
  <si>
    <t>تمت متابعة ومواصلة أعمال حفر المقرنص تمهيداً لتنفيذ ثقب الكور الخاص بمد شبكة المجاري.</t>
  </si>
  <si>
    <t>2026/07/05 - 09:11 ص</t>
  </si>
  <si>
    <t>(الكراج) ، (غرفة المضخات الرئيسية)</t>
  </si>
  <si>
    <t>طلب عمل لتغيير شمعة الإضاءة (LED) التالفة داخل غرفة المضخات الرئيسية.</t>
  </si>
  <si>
    <t>2026/07/04 - 09:14 م</t>
  </si>
  <si>
    <t xml:space="preserve">سنفره التصليحات التي جرت على جدران البنايه الاولى </t>
  </si>
  <si>
    <t>2026/07/04 - 09:15 م</t>
  </si>
  <si>
    <t>2026/07/04 - 09:16 م</t>
  </si>
  <si>
    <t xml:space="preserve">أعمال التنضيف الحاصله لجدران البنايه لاغراض الصبغ </t>
  </si>
  <si>
    <t>2026/07/04 - 09:21 م</t>
  </si>
  <si>
    <t>أعمال الصبغ للجدران الداخليه للبنايه</t>
  </si>
  <si>
    <t>2026/07/05 - 08:38 ص</t>
  </si>
  <si>
    <t>2026/07/05 - 09:23 ص</t>
  </si>
  <si>
    <t xml:space="preserve">رفع نقاط الكهرباء من المكاتب في غرفة الاداره </t>
  </si>
  <si>
    <t>2026/07/05 - 09:05 ص</t>
  </si>
  <si>
    <t xml:space="preserve">فحص ومتابعة عمل الساحبات بصورة جيدة حسب التوقيت المحدد ( تايمر ) </t>
  </si>
  <si>
    <t>2026/07/05 - 09:06 ص</t>
  </si>
  <si>
    <t>2026/07/05 - 09:07 ص</t>
  </si>
  <si>
    <t>مساعدة وحدة الميكانيك في فتح القطع الداخلية لمنظومة التبريد (VRF)</t>
  </si>
  <si>
    <t>تسجيل قراءات منظومة (UPS)</t>
  </si>
  <si>
    <t>2026/07/05 - 09:12 ص</t>
  </si>
  <si>
    <t>2026/07/06 - 07:13 ص</t>
  </si>
  <si>
    <t xml:space="preserve">انسداد في احدى المغاسل </t>
  </si>
  <si>
    <t xml:space="preserve">بالقرب من غرفة الصيانة </t>
  </si>
  <si>
    <t>2026/07/05 - 09:24 ص</t>
  </si>
  <si>
    <t>2026/07/05 - 09:53 ص</t>
  </si>
  <si>
    <t>مروحه سقف ثانوي</t>
  </si>
  <si>
    <t>2026/07/05 - 09:50 ص</t>
  </si>
  <si>
    <t>2026/07/06 - 01:10 ص</t>
  </si>
  <si>
    <t>(طابق ارضي) ، (ZONE A) , غرفة المعاونيين</t>
  </si>
  <si>
    <t xml:space="preserve">نقل لوحة المفاتيح </t>
  </si>
  <si>
    <t>2026/07/05 - 09:56 ص</t>
  </si>
  <si>
    <t>(طابق (1)) ، (غرفه الارشاد)</t>
  </si>
  <si>
    <t xml:space="preserve">تثبيت قطعه ازاره </t>
  </si>
  <si>
    <t>2026/07/05 - 09:57 ص</t>
  </si>
  <si>
    <t>2026/07/05 - 09:58 ص</t>
  </si>
  <si>
    <t>(طابق ارضي) ، (ZONE A) ، (غرفه معاون شؤون الطلبه )</t>
  </si>
  <si>
    <t xml:space="preserve">تثبيت قطعه هزاره </t>
  </si>
  <si>
    <t>2026/07/05 - 10:40 ص</t>
  </si>
  <si>
    <t>2026/07/05 - 11:10 ص</t>
  </si>
  <si>
    <t xml:space="preserve">(طابق ارضي) ، (ZONE A) غرفة الادارة </t>
  </si>
  <si>
    <t xml:space="preserve">صيانة تبريد السبلت </t>
  </si>
  <si>
    <t>2026/07/05 - 11:30 ص</t>
  </si>
  <si>
    <t>(طابق ارضي) ، (ZONE A) غرفة الارشاد</t>
  </si>
  <si>
    <t xml:space="preserve">تثبيت اسعافات اولية </t>
  </si>
  <si>
    <t>2026/07/05 - 12:23 م</t>
  </si>
  <si>
    <t>2026/07/05 - 12:24 م</t>
  </si>
  <si>
    <t>اضافة مجموعة بلك سويج (13A)</t>
  </si>
  <si>
    <t>2026/07/05 - 01:57 م</t>
  </si>
  <si>
    <t>2026/07/06 - 07:09 ص</t>
  </si>
  <si>
    <t>بمساعدة وحدة التربية تم غسل قطع داخلية عدد (2)  الصف الرابع (ز)</t>
  </si>
  <si>
    <t>2026/07/05 - 02:01 م</t>
  </si>
  <si>
    <t>بمساعدة وحدة التربية تم غسل قطع داخلية VRF عدد (2)   في الصف الرابع (ح)</t>
  </si>
  <si>
    <t>2026/07/05 - 02:02 م</t>
  </si>
  <si>
    <t>2026/07/06 - 07:10 ص</t>
  </si>
  <si>
    <t>بمساعدة وحدة التربية تم غسل قطع داخلية VRF عدد (2)   في الصف الرابع (ط)</t>
  </si>
  <si>
    <t>2026/07/05 - 02:03 م</t>
  </si>
  <si>
    <t>بمساعدة وحدة التربية تم غسل قطع داخلية VRF عدد (2)   في الصف الخامس (ز)</t>
  </si>
  <si>
    <t>2026/07/06 - 07:11 ص</t>
  </si>
  <si>
    <t>بمساعدة وحدة التربية تم غسل قطع داخلية VRF عدد (2)   في الصف الخامس (ح)</t>
  </si>
  <si>
    <t>بمساعدة وحدة التربية تم غسل قطع داخلية VRF عدد (2)   في الصف الخامس (ط)</t>
  </si>
  <si>
    <t>2026/07/05 - 02:05 م</t>
  </si>
  <si>
    <t>تم فتح قطع داخلية لغرض الغسل في الصف الخامس ابتدائي (ط) عدد (2)</t>
  </si>
  <si>
    <t>2026/07/05 - 02:06 م</t>
  </si>
  <si>
    <t>2026/07/06 - 07:12 ص</t>
  </si>
  <si>
    <t>تم فتح قطع داخلية لغرض الغسل في الصف الخامس ابتدائي (هـ) عدد (2)</t>
  </si>
  <si>
    <t>2026/07/05 - 02:07 م</t>
  </si>
  <si>
    <t>تم فتح قطع داخلية لغرض الغسل في الصف الخامس ابتدائي (د) عدد (2)</t>
  </si>
  <si>
    <t>تم فتح قطع داخلية لغرض الغسل في الصف الخامس ابتدائي (جـ) عدد (2)</t>
  </si>
  <si>
    <t>2026/07/05 - 02:08 م</t>
  </si>
  <si>
    <t>تم فتح قطع داخلية لغرض الغسل في الصف الخامس ابتدائي (و) عدد (2)</t>
  </si>
  <si>
    <t>2026/07/05 - 02:10 م</t>
  </si>
  <si>
    <t>2026/07/06 - 07:06 ص</t>
  </si>
  <si>
    <t>(طابق (2)) ، (ZONE B)</t>
  </si>
  <si>
    <t>2026/07/06 - 07:07 ص</t>
  </si>
  <si>
    <t>2026/07/05 - 02:11 م</t>
  </si>
  <si>
    <t>2026/07/06 - 07:08 ص</t>
  </si>
  <si>
    <t>تمت متابعة وتفقد كفاءة عمل منظومة التبريد (VRF) بشكل عام</t>
  </si>
  <si>
    <t>2026/07/05 - 02:12 م</t>
  </si>
  <si>
    <t>تم فتح وتسليك انسداد في المجموعات الصحية (الصحيات).</t>
  </si>
  <si>
    <t>2026/07/05 - 07:50 م</t>
  </si>
  <si>
    <t>2026/07/05 - 07:51 م</t>
  </si>
  <si>
    <t xml:space="preserve">معالجه وسنفره جدران داير  البنايه الاولى </t>
  </si>
  <si>
    <t xml:space="preserve">صبغ جدران داير البنايه الاولى </t>
  </si>
  <si>
    <t>2026/07/05 - 08:55 م</t>
  </si>
  <si>
    <t>تثبيت انارة سبوت لايت ٣٢ واط عدد 1 قطعة في مطبخ الشركة الأمنية</t>
  </si>
  <si>
    <t>2026/07/06 - 01:04 ص</t>
  </si>
  <si>
    <t>(طابق ارضي) ، (ZONE A) ، (غرفه المدرسين )</t>
  </si>
  <si>
    <t>2026/07/06 - 01:05 ص</t>
  </si>
  <si>
    <t xml:space="preserve">أعمال تصليح الجدران المتضرره وسنفرتها مع تنضيف الجدران </t>
  </si>
  <si>
    <t>2026/07/06 - 01:06 ص</t>
  </si>
  <si>
    <t xml:space="preserve">أعمال صبح الجدران </t>
  </si>
  <si>
    <t>2026/07/06 - 01:07 ص</t>
  </si>
  <si>
    <t>(طابق ارضي) ، (ZONE A) ، (غرفه الارشاد)</t>
  </si>
  <si>
    <t>2026/07/06 - 01:08 ص</t>
  </si>
  <si>
    <t>(طابق ارضي) ، (ZONE A) ، (غرفه الارشاد )</t>
  </si>
  <si>
    <t xml:space="preserve">أعمال تصليح الجدران وسنفرتها مع التنضيف </t>
  </si>
  <si>
    <t xml:space="preserve">أعمال صبغ الجدران </t>
  </si>
  <si>
    <t>2026/07/06 - 07:37 ص</t>
  </si>
  <si>
    <t>2026/07/06 - 07:43 ص</t>
  </si>
  <si>
    <t xml:space="preserve">مساعدة وحدة الميكانيك في ربط مجموعة من قطع التبريد الداخلية </t>
  </si>
  <si>
    <t>2026/07/06 - 07:38 ص</t>
  </si>
  <si>
    <t>2026/07/06 - 08:53 ص</t>
  </si>
  <si>
    <t>تسجيل قراءات منظومة UPS</t>
  </si>
  <si>
    <t>2026/07/06 - 07:39 ص</t>
  </si>
  <si>
    <t>2026/07/06 - 08:54 ص</t>
  </si>
  <si>
    <t>مساعدة وحدة الميكانيك في ربط مجموعة من قطع التبريد (VRF)</t>
  </si>
  <si>
    <t>2026/07/06 - 10:18 ص</t>
  </si>
  <si>
    <t xml:space="preserve"> تنظيف فلاتر الهواء للمولدة 1MVA الاولى</t>
  </si>
  <si>
    <t>2026/07/06 - 11:59 ص</t>
  </si>
  <si>
    <t>2026/07/09 - 09:19 ص</t>
  </si>
  <si>
    <t xml:space="preserve">يوجد سقف ثانوي مفقود بالحمامات مجاور المصعد </t>
  </si>
  <si>
    <t>2026/07/06 - 12:12 م</t>
  </si>
  <si>
    <t>2026/07/06 - 12:24 م</t>
  </si>
  <si>
    <t>(طابق (2)) ، (ZONE B) ، (في الصف الخامس (د) الابتدائي)</t>
  </si>
  <si>
    <t xml:space="preserve">تم فتح قطع داخلية عدد (2) </t>
  </si>
  <si>
    <t>2026/07/06 - 12:13 م</t>
  </si>
  <si>
    <t>2026/07/06 - 12:25 م</t>
  </si>
  <si>
    <t>(طابق (2)) ، (ZONE B) ، (في الصف الرابع (ج) الابتدائي)</t>
  </si>
  <si>
    <t>2026/07/06 - 12:14 م</t>
  </si>
  <si>
    <t>(طابق (2)) ، (ZONE B) ، (في الصف الخامس (ح) الابتدائي)</t>
  </si>
  <si>
    <t xml:space="preserve">بمساعدة قسم التربية، تم غسل القطع الداخلية </t>
  </si>
  <si>
    <t>(طابق (2)) ، (ZONE B) ، (في الصف الخامس (ط) الابتدائي)</t>
  </si>
  <si>
    <t xml:space="preserve">بمساعدة قسم التربية تم غسل قطع داخلية عدد (2) </t>
  </si>
  <si>
    <t>2026/07/06 - 12:15 م</t>
  </si>
  <si>
    <t>2026/07/06 - 12:26 م</t>
  </si>
  <si>
    <t>(طابق (2)) ، (ZONE B) ، (في الصف الخامس (و) الابتدائي)</t>
  </si>
  <si>
    <t>(طابق (2)) ، (ZONE B) ، (في الصف الخامس (هـ) الابتدائي)</t>
  </si>
  <si>
    <t>2026/07/06 - 12:16 م</t>
  </si>
  <si>
    <t>2026/07/06 - 12:27 م</t>
  </si>
  <si>
    <t>(طابق (2)) ، (ZONE B) ، (في الصف الخامس (ج) الابتدائي)</t>
  </si>
  <si>
    <t xml:space="preserve">بمساعدة وحدة التربية تم غسل قطع داخلية عدد (2) </t>
  </si>
  <si>
    <t>2026/07/06 - 12:17 م</t>
  </si>
  <si>
    <t>(طابق (1)) ، (ZONE B) ، (في الصف الرابع (د) الابتدائي)</t>
  </si>
  <si>
    <t xml:space="preserve">تم ربط قطع داخلية لمنظومة التبريد VRF عدد (2) </t>
  </si>
  <si>
    <t>2026/07/06 - 12:18 م</t>
  </si>
  <si>
    <t>2026/07/06 - 12:28 م</t>
  </si>
  <si>
    <t>(طابق (1)) ، (ZONE B) ، (في الصف الرابع (ج) الابتدائي)</t>
  </si>
  <si>
    <t>2026/07/06 - 12:30 م</t>
  </si>
  <si>
    <t>(طابق (1)) ، (ZONE B) ، (في الصف الخامس (ز) الابتدائي)</t>
  </si>
  <si>
    <t>تم ربط قطع داخلية لمنظومة التبريد  VRF</t>
  </si>
  <si>
    <t>2026/07/06 - 12:19 م</t>
  </si>
  <si>
    <t>(الساحة الخارجية)</t>
  </si>
  <si>
    <t>تمت متابعة مضخات المياه الرئيسية (لوحظ عدم توفر ماء إسالة)</t>
  </si>
  <si>
    <t>2026/07/06 - 12:20 م</t>
  </si>
  <si>
    <t>تم فتح وتسليك انسداد في المجاميع الصحية</t>
  </si>
  <si>
    <t>2026/07/06 - 12:31 م</t>
  </si>
  <si>
    <t>(طابق (1)) ، (ZONE B) ، (في الصف الرابع (ط) الابتدائي)</t>
  </si>
  <si>
    <t xml:space="preserve">تم ربط قطع داخلية لمنظومة تبريد (VRF) عدد (2) </t>
  </si>
  <si>
    <t>تم ربط قطع داخلية لمنظومة تبريد (VRF) عدد (2)</t>
  </si>
  <si>
    <t>2026/07/06 - 12:32 م</t>
  </si>
  <si>
    <t>(طابق (1)) ، (ZONE B) ، (في الصف الخامس (ح) الابتدائي)</t>
  </si>
  <si>
    <t>(طابق (1)) ، (ZONE B) ، (في الصف الخامس (ط) الابتدائي)</t>
  </si>
  <si>
    <t>2026/07/06 - 12:47 م</t>
  </si>
  <si>
    <t>2026/07/06 - 12:49 م</t>
  </si>
  <si>
    <t>(طابق (2)) ، (ZONE A)</t>
  </si>
  <si>
    <t xml:space="preserve">تم فتح قطع داخلية عدد (8) </t>
  </si>
  <si>
    <t>2026/07/06 - 06:56 م</t>
  </si>
  <si>
    <t>(طابق ارضي) ، (الكراج) ، (غًرفه الآليات )</t>
  </si>
  <si>
    <t xml:space="preserve">إرجاع وتعليك بردد شباك عدد ٢ </t>
  </si>
  <si>
    <t>2026/07/06 - 06:58 م</t>
  </si>
  <si>
    <t>أعمال إضافه التيب اللاصق لاغراض الصبغ</t>
  </si>
  <si>
    <t>2026/07/06 - 06:59 م</t>
  </si>
  <si>
    <t>(طابق ارضي) ، (ZONE A) ، (غرفه الإرشاد )</t>
  </si>
  <si>
    <t xml:space="preserve">أعمال معالجه وسنفره جدران الغرفه </t>
  </si>
  <si>
    <t>2026/07/06 - 07:00 م</t>
  </si>
  <si>
    <t>2026/07/06 - 07:01 م</t>
  </si>
  <si>
    <t>أعمال تنضيف الجدران للغرفه وتهيأتها للصبغ</t>
  </si>
  <si>
    <t>2026/07/06 - 07:02 م</t>
  </si>
  <si>
    <t>(طابق ارضي) ، (ZONE A) ، (غرفه المعاون التعليمي)</t>
  </si>
  <si>
    <t>أعمال التيب اللاصق لاغراض الصبغ</t>
  </si>
  <si>
    <t>معالجه وسنفره جدوان الغرفه</t>
  </si>
  <si>
    <t>2026/07/06 - 07:03 م</t>
  </si>
  <si>
    <t>(طابق ارضي) ، (ZONE A) ، (غرفه المعاون التعليمي )</t>
  </si>
  <si>
    <t>تنضيف جدران الغرفه وتهيأتها للصبغ</t>
  </si>
  <si>
    <t>2026/07/06 - 07:04 م</t>
  </si>
  <si>
    <t xml:space="preserve">أعمال صبغ جدران الغرفه </t>
  </si>
  <si>
    <t>2026/07/06 - 11:47 م</t>
  </si>
  <si>
    <t>2026/07/06 - 11:48 م</t>
  </si>
  <si>
    <t>أعمال سنفره التصليحات لجدران الغرفه وتنضيفها</t>
  </si>
  <si>
    <t>2026/07/06 - 11:49 م</t>
  </si>
  <si>
    <t>2026/07/06 - 11:51 م</t>
  </si>
  <si>
    <t>(طابق ارضي) ، (ZONE A) ، (غرفه المعاون الادراي)</t>
  </si>
  <si>
    <t>(طابق ارضي) ، (ZONE A) ، (غرفه المعاون الإداري )</t>
  </si>
  <si>
    <t>أعمال تصليح الجدران وسنفرتها</t>
  </si>
  <si>
    <t>2026/07/06 - 11:52 م</t>
  </si>
  <si>
    <t>2026/07/06 - 11:53 م</t>
  </si>
  <si>
    <t>2026/07/06 - 11:54 م</t>
  </si>
  <si>
    <t>(طابق ارضي) ، (ZONE A) ، (غرفه الارشاد والمعاون التعليمي)</t>
  </si>
  <si>
    <t>أزاله التيب اللاصق بعد إكمال أعمال الصبغ</t>
  </si>
  <si>
    <t>2026/07/07 - 10:39 ص</t>
  </si>
  <si>
    <t>2026/07/07 - 10:42 ص</t>
  </si>
  <si>
    <t>بمساعدة وحدة التربية تم غسل قطع داخلية لمنظومة تبريد (VRF) عدد (2)</t>
  </si>
  <si>
    <t>2026/07/07 - 10:41 ص</t>
  </si>
  <si>
    <t>2026/07/07 - 10:43 ص</t>
  </si>
  <si>
    <t>2026/07/07 - 10:40 ص</t>
  </si>
  <si>
    <t>(طابق (2)) ، (ZONE A) ، (المصلى)</t>
  </si>
  <si>
    <t>تم فتح قطع داخلية لمنظومة تبريد (VRF) عدد (2)</t>
  </si>
  <si>
    <t>2026/07/07 - 10:44 ص</t>
  </si>
  <si>
    <t>2026/07/07 - 10:46 ص</t>
  </si>
  <si>
    <t xml:space="preserve"> اضافة 6000 لتر كاز للخزان الكبير</t>
  </si>
  <si>
    <t>2026/07/07 - 10:47 ص</t>
  </si>
  <si>
    <t>(1_A  الابتدائية الاولى) ، (غرفة المضخات الرئيسية)</t>
  </si>
  <si>
    <t>تم تشغيل مضخات ماء الإسالة (لوحظ عدم توفر ماء في الشبكة)</t>
  </si>
  <si>
    <t>2026/07/07 - 10:52 ص</t>
  </si>
  <si>
    <t>2026/07/07 - 10:57 ص</t>
  </si>
  <si>
    <t>صيانة انارة منشورية (60*60) عدد (2)</t>
  </si>
  <si>
    <t>2026/07/07 - 10:54 ص</t>
  </si>
  <si>
    <t>مساعدة وحدة الميكانيك في شد القطع الداخليه التابعة لمنظومه التبريد (VRF)</t>
  </si>
  <si>
    <t>2026/07/07 - 10:55 ص</t>
  </si>
  <si>
    <t>2026/07/07 - 10:56 ص</t>
  </si>
  <si>
    <t xml:space="preserve">تسجيل قراءات الشبكة الوطنية ومتابعة الأحمال </t>
  </si>
  <si>
    <t>2026/07/07 - 12:40 م</t>
  </si>
  <si>
    <t>2026/07/07 - 12:43 م</t>
  </si>
  <si>
    <t>(طابق (1)) ، (ZONE A) ، (مختبر الكيمياء)</t>
  </si>
  <si>
    <t>تم فتح ثرموستات (Thermostat) لمنظومة تبريد VRF</t>
  </si>
  <si>
    <t>2026/07/07 - 12:41 م</t>
  </si>
  <si>
    <t>(طابق (1)) ، (ZONE A) ، (السادس أعدادي ( أ ))</t>
  </si>
  <si>
    <t>تمت متابعة وفحص منظومة تبريد VRF لغرض تفقد وتشخيص عطل</t>
  </si>
  <si>
    <t>2026/07/07 - 12:42 م</t>
  </si>
  <si>
    <t>تم إجراء أعمال الصيانة اللازمة لمضخة الغسل (الخاصة بتنظيف القطع) (VRF)</t>
  </si>
  <si>
    <t>2026/07/07 - 08:21 م</t>
  </si>
  <si>
    <t>2026/07/08 - 07:58 ص</t>
  </si>
  <si>
    <t>(بين البناية الثالثة والبنية الثانية )</t>
  </si>
  <si>
    <t>صيانة غطاء صالنصة الكاتم للمولدة 1Mالاولى</t>
  </si>
  <si>
    <t>2026/07/08 - 12:10 م</t>
  </si>
  <si>
    <t>2026/07/08 - 12:11 م</t>
  </si>
  <si>
    <t>(طابق (2))</t>
  </si>
  <si>
    <t>أعمال التيب اللاصق للدرج لاغراض الصبغ</t>
  </si>
  <si>
    <t xml:space="preserve">أعمال المعالجه والسنفره لاغراض الصبغ </t>
  </si>
  <si>
    <t>2026/07/08 - 12:12 م</t>
  </si>
  <si>
    <t>2026/07/08 - 12:13 م</t>
  </si>
  <si>
    <t>2026/07/08 - 12:14 م</t>
  </si>
  <si>
    <t xml:space="preserve">أعمال الصبغ الجدران </t>
  </si>
  <si>
    <t>2026/07/08 - 12:15 م</t>
  </si>
  <si>
    <t>2026/07/08 - 12:16 م</t>
  </si>
  <si>
    <t>أعمال معالجه الجدران وسنفرتها لاغراض الصبغ</t>
  </si>
  <si>
    <t>2026/07/08 - 12:28 م</t>
  </si>
  <si>
    <t>(طابق (1)) ، (ZONE A) ، (السادس الإعدادي أ)</t>
  </si>
  <si>
    <t xml:space="preserve">أعمال وضع التيب اللاصق لاغراض الصبغ </t>
  </si>
  <si>
    <t>2026/07/08 - 12:29 م</t>
  </si>
  <si>
    <t xml:space="preserve">اضافة مأخذ قدرة عدد 2 من ups في في غرفة مسؤول وحدة الخدمات في المجمع بأستخدام بوكس ثنائي عدد 1 و مأخذ قدرة عدد 2 </t>
  </si>
  <si>
    <t>2026/07/08 - 12:30 م</t>
  </si>
  <si>
    <t>(طابق (1)) ، (ZONE A) ، (السادس الإعدادي أ )</t>
  </si>
  <si>
    <t>أعمال المعالجه الجدران وسنفرتها لاغراض الصيغ</t>
  </si>
  <si>
    <t>2026/07/08 - 12:31 م</t>
  </si>
  <si>
    <t>اضافة سلكتر لاشارة الوطني لغرض التحكم وتشغيل المولدة عند الحاجة في غرفة المزامنة(السنكرو)</t>
  </si>
  <si>
    <t>2026/07/08 - 12:32 م</t>
  </si>
  <si>
    <t>(طابق (1)) ، (ZONE A) ، (السادس الإعدادي ب)</t>
  </si>
  <si>
    <t>2026/07/08 - 12:33 م</t>
  </si>
  <si>
    <t>(طابق (1)) ، (ZONE A) ، (السادس الإعدادي ب )</t>
  </si>
  <si>
    <t>أعمال المعالجه والسنفره للجدران لاغراض الصبغ</t>
  </si>
  <si>
    <t>2026/07/08 - 12:34 م</t>
  </si>
  <si>
    <t xml:space="preserve">أعمال الصبغ للجدران </t>
  </si>
  <si>
    <t>2026/07/08 - 12:36 م</t>
  </si>
  <si>
    <t>مساعدة وحدة الميكانيك صيانة احدى قطع منظومة التبريد (VRF)</t>
  </si>
  <si>
    <t>2026/07/08 - 12:37 م</t>
  </si>
  <si>
    <t xml:space="preserve">تسجيل قراءات الشبكة الوطنية </t>
  </si>
  <si>
    <t>2026/07/08 - 01:53 م</t>
  </si>
  <si>
    <t xml:space="preserve">صيانة براكيت الدرج عدد 1 في البناية الأولى وذلك من خلال اعادة تثبيتها  </t>
  </si>
  <si>
    <t>استبدال فانوس درج تالف بآخر جديد في البناية الاولى</t>
  </si>
  <si>
    <t>2026/07/08 - 01:54 م</t>
  </si>
  <si>
    <t>2026/07/09 - 07:27 ص</t>
  </si>
  <si>
    <t>تم فتح قطع داخلية لمنظومة تبريد (VRF) عدد (3)</t>
  </si>
  <si>
    <t>2026/07/08 - 01:55 م</t>
  </si>
  <si>
    <t>(طابق (1)) ، (ZONE A) ، (غرفة تلاوة (القرأن الكريم))</t>
  </si>
  <si>
    <t>2026/07/08 - 01:56 م</t>
  </si>
  <si>
    <t>(طابق (1)) ، (ZONE A) ، (الحانوت الداخلي)</t>
  </si>
  <si>
    <t>2026/07/08 - 01:57 م</t>
  </si>
  <si>
    <t>2026/07/09 - 07:26 ص</t>
  </si>
  <si>
    <t>(طابق (1)) ، (ZONE A) ، (غرفة المرسم)</t>
  </si>
  <si>
    <t>2026/07/08 - 02:00 م</t>
  </si>
  <si>
    <t>(طابق (1)) ، (ZONE A) ، (المكتبة)</t>
  </si>
  <si>
    <t>2026/07/08 - 02:01 م</t>
  </si>
  <si>
    <t>(طابق (1)) ، (ZONE A) ، (قرب الباب الرئيسي)</t>
  </si>
  <si>
    <t>2026/07/08 - 02:03 م</t>
  </si>
  <si>
    <t>(طابق (1)) ، (ZONE A) ، (قرب المصعد)</t>
  </si>
  <si>
    <t>2026/07/09 - 07:25 ص</t>
  </si>
  <si>
    <t>(طابق (1)) ، (ZONE A) ، (قرب غرفة الميكانيك)</t>
  </si>
  <si>
    <t>(طابق (1)) ، (ZONE A) ، (قرب الحانوت الداخلي )</t>
  </si>
  <si>
    <t>2026/07/08 - 02:04 م</t>
  </si>
  <si>
    <t>فتح فان داخلية تبريد VRF</t>
  </si>
  <si>
    <t>2026/07/08 - 02:05 م</t>
  </si>
  <si>
    <t>استبدال فان VRF تالف</t>
  </si>
  <si>
    <t>2026/07/09 - 06:55 ص</t>
  </si>
  <si>
    <t xml:space="preserve">ثتبيت بردات في ممر المدرسة الرابعة عدد ٢ </t>
  </si>
  <si>
    <t>2026/07/09 - 06:56 ص</t>
  </si>
  <si>
    <t>(طابق (1)) ، (ZONE A) ، (السادس أ)</t>
  </si>
  <si>
    <t>2026/07/09 - 06:57 ص</t>
  </si>
  <si>
    <t>(طابق (1)) ، (ZONE A) ، (المرسم والمكتبه)</t>
  </si>
  <si>
    <t xml:space="preserve">تثبيت بردات عدد ٤ في المرسم والمكتبة البنايه الرابعه </t>
  </si>
  <si>
    <t>2026/07/09 - 06:58 ص</t>
  </si>
  <si>
    <t>(طابق (1)) ، (ZONE A) ، (سادس ب)</t>
  </si>
  <si>
    <t xml:space="preserve">تثبيت بردات عدد ٢ </t>
  </si>
  <si>
    <t>2026/07/09 - 06:59 ص</t>
  </si>
  <si>
    <t>تثبيت بردات عدد ٢ في المدرسة الثالثة</t>
  </si>
  <si>
    <t>2026/07/09 - 07:00 ص</t>
  </si>
  <si>
    <t xml:space="preserve">تثبيت بردات عدد ٥ في المدرسة الثانيه </t>
  </si>
  <si>
    <t>2026/07/09 - 07:01 ص</t>
  </si>
  <si>
    <t>تثبيت بردات ممر الطابق الارضي عدد٢</t>
  </si>
  <si>
    <t xml:space="preserve">تثبيت ٢ بردات في الطابق الارضي </t>
  </si>
  <si>
    <t>2026/07/09 - 07:02 ص</t>
  </si>
  <si>
    <t>(طابق ارضي) ، (ZONE A) ، (غرفه المعلمين)</t>
  </si>
  <si>
    <t>2026/07/09 - 07:03 ص</t>
  </si>
  <si>
    <t>(طابق (1)) ، (ZONE A) ، (مختبر الأحياء )</t>
  </si>
  <si>
    <t>2026/07/09 - 12:26 م</t>
  </si>
  <si>
    <t>تعديل إعدادات إنفيرتر الطاقة الشمسية لتفادي مشكلة الانطفاء المؤقت أثناء التحويل حيث تم ضبط المنظومة لتعطي أمر تشغيل المولد عند 40% مع تفعيل إنذار مبكر للشفت عند 35%  وتحديد حد shutdown 30%
هذا الفارق يضمن دخول المولد واستقراره بالخدمة بسلاسة ودون أي انقطاع في المجمع</t>
  </si>
  <si>
    <t>2026/07/09 - 12:27 م</t>
  </si>
  <si>
    <t>2026/07/09 - 12:28 م</t>
  </si>
  <si>
    <t>(طابق ارضي) ، (ZONE A) ، (تسجيل قرءات الشبكة الوطنية)</t>
  </si>
  <si>
    <t>دوري</t>
  </si>
  <si>
    <t>2026/07/09 - 01:39 م</t>
  </si>
  <si>
    <t>(طابق (1)) ، (ZONE A) ، (مختبر الاحياء)</t>
  </si>
  <si>
    <t>اعمال فك وازالة الاقفال القديمة واستبدالها باقفال جديد مختبرات القسم العلمي عدد 26 قفل</t>
  </si>
  <si>
    <t>تثبيت ساعة جدارية</t>
  </si>
  <si>
    <t>2026/07/10 - 08:57 م</t>
  </si>
  <si>
    <t>2026/07/10 - 09:07 م</t>
  </si>
  <si>
    <t>2026/07/10 - 08:59 م</t>
  </si>
  <si>
    <t xml:space="preserve">متابعة عمل التايمر بصورة منتظمة في تشغيل وإطفاء منظومة التبريد (DX) حسب التوقيت المثبت </t>
  </si>
  <si>
    <t>2026/07/10 - 09:02 م</t>
  </si>
  <si>
    <t>تسليك واير فلكس حجم (2.5*2) (1.5*2) لمسافات مختلفة تقريبا (100M)</t>
  </si>
  <si>
    <t>2026/07/10 - 09:04 م</t>
  </si>
  <si>
    <t>تثبيت مجموعة من بوكس بلاستك احادي / بوكس بلاستك استراحة / تري بلاستك (16ملم)</t>
  </si>
  <si>
    <t>2026/07/10 - 09:06 م</t>
  </si>
  <si>
    <t>تغذية مجموعة من مأخذ القدرة (13A) ايضاً تم ربط جوزة احادية (10A) من منظومة الألواح الشمسية للسيطرة على مأخذ القدرة .</t>
  </si>
  <si>
    <t>2026/07/10 - 09:16 م</t>
  </si>
  <si>
    <t>مساعدة وحدة الميكانيك في اعادة ربط وتثبيت القطع الداخلية لمنظومة التبريد (VRF)</t>
  </si>
  <si>
    <t>2026/07/10 - 09:18 م</t>
  </si>
  <si>
    <t>2026/07/10 - 09:19 م</t>
  </si>
  <si>
    <t>2026/07/10 - 09:25 م</t>
  </si>
  <si>
    <t>تسليك واير فلكس حجم
(2*1.5) (2*2.5) لمسافات
مختلفة تقريبا (100M)</t>
  </si>
  <si>
    <t>2026/07/10 - 09:26 م</t>
  </si>
  <si>
    <t>تثبيت مجموعة من بوكس
بلاستك احادي / بوكس
بلاستك استراحة / تري
بلاستك (16ملم)</t>
  </si>
  <si>
    <t>2026/07/10 - 09:27 م</t>
  </si>
  <si>
    <t>تغذية مجموعة من مأخذ
القدرة (13A) ايضاً تم ربط
جوزة احادية (10A) من منظومة
الألواح الشمسية للسيطرة على مأخذ القدرة .</t>
  </si>
  <si>
    <t>2026/07/11 - 03:37 ص</t>
  </si>
  <si>
    <t>2026/07/11 - 03:38 ص</t>
  </si>
  <si>
    <t xml:space="preserve">تم تثبيت صندوق شكاوي الطلبه </t>
  </si>
  <si>
    <t xml:space="preserve">تم صيانه تور شباك عدد ٤ </t>
  </si>
  <si>
    <t>2026/07/11 - 03:39 ص</t>
  </si>
  <si>
    <t xml:space="preserve">تم صيانه رحلات. عدد ٣ </t>
  </si>
  <si>
    <t>2026/07/11 - 03:40 ص</t>
  </si>
  <si>
    <t>(طابق (1)) ، (ZONE B) ، (الرابع د)</t>
  </si>
  <si>
    <t xml:space="preserve">تم صيانه رحله في البنايه الرابعه </t>
  </si>
  <si>
    <t>2026/07/11 - 03:41 ص</t>
  </si>
  <si>
    <t>(طابق (2)) ، (ZONE B) ، (الخامس ج)</t>
  </si>
  <si>
    <t xml:space="preserve">صيانه رحلات عدد ٦ </t>
  </si>
  <si>
    <t>2026/07/11 - 03:42 ص</t>
  </si>
  <si>
    <t>(طابق (2)) ، (ZONE B) ، (الرابع ج )</t>
  </si>
  <si>
    <t>صيانه رحلات عدد ٣</t>
  </si>
  <si>
    <t>2026/07/11 - 03:43 ص</t>
  </si>
  <si>
    <t>2026/07/11 - 03:44 ص</t>
  </si>
  <si>
    <t>(طابق (2)) ، (ZONE B) ، (الرابع أ)</t>
  </si>
  <si>
    <t>صيانه رحلات عدد ٢</t>
  </si>
  <si>
    <t>2026/07/11 - 03:45 ص</t>
  </si>
  <si>
    <t>(طابق ارضي) ، (ZONE A) ، (غرفه المرسم)</t>
  </si>
  <si>
    <t>صيانه رحله عد٢</t>
  </si>
  <si>
    <t>2026/07/11 - 03:46 ص</t>
  </si>
  <si>
    <t>(طابق ارضي) ، (ZONE A) ، (مختبر الحاسوب )</t>
  </si>
  <si>
    <t>صيانه كرسي هايدروليك</t>
  </si>
  <si>
    <t>صيانه كرسي  هايدروليك</t>
  </si>
  <si>
    <t>2026/07/11 - 03:47 ص</t>
  </si>
  <si>
    <t xml:space="preserve">تبديل يده شباك </t>
  </si>
  <si>
    <t>2026/07/11 - 03:48 ص</t>
  </si>
  <si>
    <t>(طابق (1)) ، (ZONE A) ، (الصف السادس )</t>
  </si>
  <si>
    <t>تبديل مصد باب</t>
  </si>
  <si>
    <t>2026/07/11 - 01:14 م</t>
  </si>
  <si>
    <t xml:space="preserve">يرجى صيانة أنبوب ماطور الماء </t>
  </si>
  <si>
    <t>2026/07/11 - 01:15 م</t>
  </si>
  <si>
    <t>2026/07/11 - 01:18 م</t>
  </si>
  <si>
    <t>2026/07/11 - 01:16 م</t>
  </si>
  <si>
    <t>مساعدة وحدة الميكانيك في فتح منظومة التبريد (VRF)</t>
  </si>
  <si>
    <t>2026/07/11 - 01:19 م</t>
  </si>
  <si>
    <t>صيانة وإعادة تثبيت مأخذ قدرة (13A)</t>
  </si>
  <si>
    <t>2026/07/11 - 07:53 م</t>
  </si>
  <si>
    <t>(طابق ارضي) ، (طابق (1)) ، (طابق (2))</t>
  </si>
  <si>
    <t>تنفيذ أعمال تسليك وإضافة (3) مآخذ قدرة في البناية الثانية، بواقع مأخذ قدرة واحد في كل طابق، وتم ربطها بمنظومة الطاقة الشمسية لضمان استمرارية التغذية الكهربائية</t>
  </si>
  <si>
    <t>2026/07/12 - 06:52 ص</t>
  </si>
  <si>
    <t>تثبيت لوكو لوحه تعرفيه الصحيات</t>
  </si>
  <si>
    <t>2026/07/12 - 06:53 ص</t>
  </si>
  <si>
    <t>(طابق (2)) ، (ZONE A) ، (المصلى )</t>
  </si>
  <si>
    <t xml:space="preserve">تثبيت مصد باب </t>
  </si>
  <si>
    <t>صيانه رفوف الترب</t>
  </si>
  <si>
    <t>2026/07/12 - 06:54 ص</t>
  </si>
  <si>
    <t>(طابق (1)) ، (ZONE A) ، (السادس و)</t>
  </si>
  <si>
    <t xml:space="preserve">صيانه بيم باب </t>
  </si>
  <si>
    <t>2026/07/12 - 06:55 ص</t>
  </si>
  <si>
    <t>(طابق (1)) ، (ZONE A) ، (السادس و )</t>
  </si>
  <si>
    <t xml:space="preserve">صيانه مصد باب </t>
  </si>
  <si>
    <t>2026/07/12 - 06:56 ص</t>
  </si>
  <si>
    <t>(طابق (1)) ، (ZONE A) ، (السادس ه )</t>
  </si>
  <si>
    <t>2026/07/12 - 06:57 ص</t>
  </si>
  <si>
    <t>(طابق ارضي) ، (ممر البنايه )</t>
  </si>
  <si>
    <t xml:space="preserve">ارجاع برد شبابك عدد ٢ </t>
  </si>
  <si>
    <t>2026/07/12 - 06:58 ص</t>
  </si>
  <si>
    <t>(طابق ارضي) ، (ZONE A) ، (السادس أ)</t>
  </si>
  <si>
    <t xml:space="preserve">ارجاع برد شباك عدد ٢ </t>
  </si>
  <si>
    <t>2026/07/12 - 06:59 ص</t>
  </si>
  <si>
    <t>(طابق ارضي) ، (السادس ب)</t>
  </si>
  <si>
    <t xml:space="preserve">ارجاع برد شباك عدد ٥ </t>
  </si>
  <si>
    <t>(طابق ارضي) ، (صحيات )</t>
  </si>
  <si>
    <t>2026/07/12 - 09:32 ص</t>
  </si>
  <si>
    <t>2026/07/12 - 09:33 ص</t>
  </si>
  <si>
    <t xml:space="preserve">تثبيت مجموعة بوكس بلاستك / بوكس استراحة / تري بلاستك </t>
  </si>
  <si>
    <t>تسجيل قراءات منظومة(UPS)</t>
  </si>
  <si>
    <t>2026/07/12 - 09:36 ص</t>
  </si>
  <si>
    <t xml:space="preserve">اضافة بوتلس حلقي لمجموعة وايرات إشارةً خاصة بمنظومة التبريد (VRF) </t>
  </si>
  <si>
    <t>2026/07/12 - 09:38 ص</t>
  </si>
  <si>
    <t xml:space="preserve">مساعدةً وحدةً الميكانيكً بربط وتغذية القطع الداخلية لمنظومة التبريد (VRF) </t>
  </si>
  <si>
    <t>2026/07/12 - 09:50 ص</t>
  </si>
  <si>
    <t>(طابق ارضي) ، (ZONE A) ، (غرفه المدير )</t>
  </si>
  <si>
    <t xml:space="preserve">صيانه طبله خشب </t>
  </si>
  <si>
    <t>2026/07/12 - 09:51 ص</t>
  </si>
  <si>
    <t>(طابق (2)) ، (ZONE B) ، (الخامس د)</t>
  </si>
  <si>
    <t>2026/07/12 - 09:52 ص</t>
  </si>
  <si>
    <t>(طابق (2)) ، (ZONE B) ، (الخامس و )</t>
  </si>
  <si>
    <t xml:space="preserve">صيانه تور شباك </t>
  </si>
  <si>
    <t>2026/07/12 - 09:53 ص</t>
  </si>
  <si>
    <t>صيانه تاير  حاويه ممر البنايه</t>
  </si>
  <si>
    <t>2026/07/12 - 09:54 ص</t>
  </si>
  <si>
    <t>(طابق (1)) ، (ZONE A) ، (الخامس ط)</t>
  </si>
  <si>
    <t>صيانه وأدامه بين باب خشب</t>
  </si>
  <si>
    <t>(طابق (1)) ، (ZONE B) ، (الرابع ط)</t>
  </si>
  <si>
    <t xml:space="preserve">صيانه خشب جدار الصف </t>
  </si>
  <si>
    <t>2026/07/12 - 09:55 ص</t>
  </si>
  <si>
    <t>(طابق ارضي) ، (ZONE B) ، (الرابع د)</t>
  </si>
  <si>
    <t xml:space="preserve">صيانه رحلات عدد ٢ </t>
  </si>
  <si>
    <t>2026/07/12 - 09:56 ص</t>
  </si>
  <si>
    <t>(طابق ارضي) ، (ZONE B) ، (الرابع و)</t>
  </si>
  <si>
    <t>صيانه رحلات عدد 3</t>
  </si>
  <si>
    <t>2026/07/12 - 09:57 ص</t>
  </si>
  <si>
    <t xml:space="preserve">صيانه وتبديل يده شباك </t>
  </si>
  <si>
    <t>(طابق (1)) ، (ZONE A) ، (الصحيات)</t>
  </si>
  <si>
    <t>تبديل يده باب المنيوم</t>
  </si>
  <si>
    <t>2026/07/12 - 10:55 ص</t>
  </si>
  <si>
    <t>2026/07/12 - 10:56 ص</t>
  </si>
  <si>
    <t xml:space="preserve">صيانة مروحة سقف </t>
  </si>
  <si>
    <t>2026/07/12 - 01:46 م</t>
  </si>
  <si>
    <t>2026/07/12 - 01:47 م</t>
  </si>
  <si>
    <t>(طابق ارضي) ، (ZONE A) ، (غرفة المدير)</t>
  </si>
  <si>
    <t xml:space="preserve">تم فتح قطع داخلية لمنظومة تبريد (VRF) عدد (1) </t>
  </si>
  <si>
    <t>(1_A  الابتدائية الاولى) ، (غرفة المرقاب الآلي)</t>
  </si>
  <si>
    <t>2026/07/12 - 01:49 م</t>
  </si>
  <si>
    <t>(طابق ارضي) ، (ZONE A) ، (الغرفة الخدمية)</t>
  </si>
  <si>
    <t>تم فتح قطع داخلية لمنظومة تبريد (VRF) عدد (1)</t>
  </si>
  <si>
    <t>2026/07/12 - 01:48 م</t>
  </si>
  <si>
    <t>(طابق ارضي) ، (ZONE A) ، (غرفة معاون شؤون المتعلمين)</t>
  </si>
  <si>
    <t xml:space="preserve">تم فتح قطع داخلية لمنظومة تبريد (VRF) عدد (2) </t>
  </si>
  <si>
    <t>2026/07/12 - 01:50 م</t>
  </si>
  <si>
    <t>(طابق ارضي) ، (ZONE A) ، (غرفة المعاون التعليمي)</t>
  </si>
  <si>
    <t>(طابق ارضي) ، (ZONE A) ، (غرفة معاون شؤون التلاميذ)</t>
  </si>
  <si>
    <t>2026/07/12 - 01:52 م</t>
  </si>
  <si>
    <t>(طابق ارضي) ، (ZONE A) ، (غرفة الإرشاد)</t>
  </si>
  <si>
    <t>(طابق ارضي) ، (ZONE A) ، (غرفة المعاون الإداري)</t>
  </si>
  <si>
    <t>(طابق ارضي) ، (ZONE A) ، (غرفة المعلمين)</t>
  </si>
  <si>
    <t>2026/07/12 - 01:51 م</t>
  </si>
  <si>
    <t>2026/07/12 - 01:53 م</t>
  </si>
  <si>
    <t>(طابق ارضي) ، (ZONE A) ، (غرفة المرسم)</t>
  </si>
  <si>
    <t>(طابق ارضي) ، (ZONE A) ، (الاستعلامات)</t>
  </si>
  <si>
    <t>2026/07/12 - 01:54 م</t>
  </si>
  <si>
    <t>(طابق ارضي) ، (ZONE A) ، (قرب غرفة المدير)</t>
  </si>
  <si>
    <t>2026/07/12 - 03:00 م</t>
  </si>
  <si>
    <t>(طابق ارضي) ، (ZONE A) ، (قرب غرفة المعاون)</t>
  </si>
  <si>
    <t>(طابق (1)) ، (ZONE A) ، (غرفة تجهيز ملابس الطلبة)</t>
  </si>
  <si>
    <t>بمساعدة قسم التربية، تم غسل قطع داخلية لمنظومة تبريد (VRF) عدد (1)</t>
  </si>
  <si>
    <t>(طابق (1)) ، (ZONE A) ، (غرفة تلاوة القرآن الكريم)</t>
  </si>
  <si>
    <t>(طابق (1)) ، (ZONE A) ، (غرفة المدير)</t>
  </si>
  <si>
    <t>2026/07/12 - 03:01 م</t>
  </si>
  <si>
    <t>(طابق (1)) ، (ZONE A) ، (غرفة المرقاب الآلي)</t>
  </si>
  <si>
    <t>2026/07/12 - 01:55 م</t>
  </si>
  <si>
    <t>(طابق (1)) ، (ZONE A) ، (غرفة الحانوت)</t>
  </si>
  <si>
    <t>بمساعدة قسم التربية، تم غسل قطع داخلية لمنظومة تبريد (VRF) عدد (2)</t>
  </si>
  <si>
    <t>(طابق (1)) ، (ZONE A) ، (غرفة الإعلام)</t>
  </si>
  <si>
    <t xml:space="preserve">بمساعدة قسم التربية، تم غسل قطع داخلية لمنظومة تبريد (VRF) عدد (2) </t>
  </si>
  <si>
    <t>2026/07/12 - 02:00 م</t>
  </si>
  <si>
    <t>2026/07/12 - 03:02 م</t>
  </si>
  <si>
    <t>(طابق (1)) ، (ZONE A) ، (غرفة المكتبة)</t>
  </si>
  <si>
    <t>2026/07/12 - 02:03 م</t>
  </si>
  <si>
    <t>(طابق (1)) ، (ZONE A) ، (غرفة معاون شؤون المتعلمين)</t>
  </si>
  <si>
    <t>2026/07/12 - 02:04 م</t>
  </si>
  <si>
    <t>(طابق ارضي) ، (ZONE A) ، (في غرفة المعاون التعليمي)</t>
  </si>
  <si>
    <t>2026/07/12 - 02:05 م</t>
  </si>
  <si>
    <t>2026/07/12 - 02:06 م</t>
  </si>
  <si>
    <t>2026/07/12 - 03:03 م</t>
  </si>
  <si>
    <t>2026/07/12 - 02:07 م</t>
  </si>
  <si>
    <t>(طابق ارضي) ، (ZONE A) ، (غرفة الخدمية)</t>
  </si>
  <si>
    <t>2026/07/12 - 02:08 م</t>
  </si>
  <si>
    <t>2026/07/12 - 03:04 م</t>
  </si>
  <si>
    <t>(طابق ارضي) ، (طابق (1)) ، (الممر قرب غرفة الميكانيك)</t>
  </si>
  <si>
    <t>(طابق (1)) ، (ZONE A) ، (الممر قرب غرفة الإعلام)</t>
  </si>
  <si>
    <t>2026/07/12 - 02:09 م</t>
  </si>
  <si>
    <t>(طابق (1)) ، (ZONE A) ، ( قرب المصعد)</t>
  </si>
  <si>
    <t>2026/07/12 - 02:10 م</t>
  </si>
  <si>
    <t>بمساعدة قسم التربية، تم غسل قطع داخلية لمنظومة تبريد (VRF) عدد (3)</t>
  </si>
  <si>
    <t>2026/07/12 - 02:11 م</t>
  </si>
  <si>
    <t>تم ربط قطع داخلية لمنظومة تبريد (VRF) عدد (1)</t>
  </si>
  <si>
    <t>(طابق (1)) ، (ZONE A) ، (صف تلاوة القرآن الكريم)</t>
  </si>
  <si>
    <t xml:space="preserve">تم ربط قطع داخلية لمنظومة تبريد (VRF) عدد (1) </t>
  </si>
  <si>
    <t>2026/07/12 - 02:12 م</t>
  </si>
  <si>
    <t>2026/07/12 - 03:05 م</t>
  </si>
  <si>
    <t xml:space="preserve">تم ربط قطع داخلية لمنظومة تبريد (VRF) </t>
  </si>
  <si>
    <t>2026/07/12 - 02:15 م</t>
  </si>
  <si>
    <t>2026/07/12 - 02:16 م</t>
  </si>
  <si>
    <t>(طابق ارضي) ، (طابق (1)) ، (غرفة الإعلام)</t>
  </si>
  <si>
    <t>2026/07/12 - 02:25 م</t>
  </si>
  <si>
    <t>2026/07/12 - 02:27 م</t>
  </si>
  <si>
    <t>(1_A  الابتدائية الاولى) ، (مختبر الحاسوب)</t>
  </si>
  <si>
    <t>(طابق (1)) ، (ZONE A) ، (مختبر العلوم)</t>
  </si>
  <si>
    <t>2026/07/12 - 02:28 م</t>
  </si>
  <si>
    <t>2026/07/12 - 02:29 م</t>
  </si>
  <si>
    <t>2026/07/12 - 03:06 م</t>
  </si>
  <si>
    <t>2026/07/12 - 02:30 م</t>
  </si>
  <si>
    <t>2026/07/12 - 02:31 م</t>
  </si>
  <si>
    <t>2026/07/12 - 02:32 م</t>
  </si>
  <si>
    <t>تم ربط قطع داخلية لمنظومة تبريد (VRF)</t>
  </si>
  <si>
    <t>2026/07/12 - 02:33 م</t>
  </si>
  <si>
    <t>(طابق (1)) ، (ZONE A) ، ( الممر قرب الغرفة الخدمية)</t>
  </si>
  <si>
    <t>2026/07/12 - 03:07 م</t>
  </si>
  <si>
    <t>(طابق ارضي) ، (ZONE A) ، (الممر قرب غرفة المعاون)</t>
  </si>
  <si>
    <t>2026/07/12 - 02:34 م</t>
  </si>
  <si>
    <t>(طابق ارضي) ، (ZONE A) ، (الممر قرب الاستعلامات)</t>
  </si>
  <si>
    <t>2026/07/12 - 02:35 م</t>
  </si>
  <si>
    <t>(طابق ارضي) ، (طابق (1)) ، (ZONE A) ، ( المكتبة)</t>
  </si>
  <si>
    <t xml:space="preserve">تم ربط قطع داخلية لمنظومة تبريد (VRF) عدد (3) </t>
  </si>
  <si>
    <t>2026/07/12 - 02:36 م</t>
  </si>
  <si>
    <t>(طابق ارضي) ، ( الأول متوسط (أ))</t>
  </si>
  <si>
    <t>(طابق ارضي) ، (ZONE B) ، (الأول متوسط (ب))</t>
  </si>
  <si>
    <t>2026/07/12 - 02:37 م</t>
  </si>
  <si>
    <t>(طابق ارضي) ، (ZONE B) ، (الأول متوسط (ج))</t>
  </si>
  <si>
    <t>2026/07/12 - 02:38 م</t>
  </si>
  <si>
    <t>2026/07/12 - 03:08 م</t>
  </si>
  <si>
    <t>(طابق ارضي) ، (ZONE B) ، (الأول متوسط (د))</t>
  </si>
  <si>
    <t>2026/07/12 - 02:39 م</t>
  </si>
  <si>
    <t>(طابق ارضي) ، (ZONE B) ، (الثاني متوسط (أ))</t>
  </si>
  <si>
    <t>(طابق ارضي) ، (ZONE B) ، (الثاني متوسط (ب))</t>
  </si>
  <si>
    <t>2026/07/12 - 02:40 م</t>
  </si>
  <si>
    <t>(طابق ارضي) ، (ZONE B) ، ( الثاني متوسط (ج))</t>
  </si>
  <si>
    <t>(طابق ارضي) ، (ZONE B) ، (الثاني متوسط (د))</t>
  </si>
  <si>
    <t>(طابق ارضي) ، (ZONE B) ، (الثاني متوسط (هـ))</t>
  </si>
  <si>
    <t>2026/07/12 - 02:41 م</t>
  </si>
  <si>
    <t>(طابق ارضي) ، (ZONE B) ، (الثاني متوسط (و))</t>
  </si>
  <si>
    <t>2026/07/12 - 03:09 م</t>
  </si>
  <si>
    <t>(طابق ارضي) ، (ZONE B) ، (الثاني متوسط (ز))</t>
  </si>
  <si>
    <t>2026/07/12 - 02:42 م</t>
  </si>
  <si>
    <t>(طابق ارضي) ، (ZONE B) ، (الثاني متوسط (ح))</t>
  </si>
  <si>
    <t>2026/07/12 - 02:45 م</t>
  </si>
  <si>
    <t>(طابق ارضي) ، (ZONE B) ، (الأول متوسط (أ))</t>
  </si>
  <si>
    <t>2026/07/12 - 02:46 م</t>
  </si>
  <si>
    <t>2026/07/12 - 02:48 م</t>
  </si>
  <si>
    <t>2026/07/12 - 03:10 م</t>
  </si>
  <si>
    <t>2026/07/12 - 02:50 م</t>
  </si>
  <si>
    <t>(طابق ارضي) ، (ZONE B) ، (الثاني متوسط (ج))</t>
  </si>
  <si>
    <t>2026/07/12 - 02:51 م</t>
  </si>
  <si>
    <t>(طابق ارضي) ، (ZONE B) ، ( الثاني متوسط (هـ))</t>
  </si>
  <si>
    <t>2026/07/12 - 02:52 م</t>
  </si>
  <si>
    <t>2026/07/12 - 03:11 م</t>
  </si>
  <si>
    <t>2026/07/12 - 02:53 م</t>
  </si>
  <si>
    <t>2026/07/12 - 08:04 م</t>
  </si>
  <si>
    <t>2026/07/12 - 08:05 م</t>
  </si>
  <si>
    <t>إجراء فحص على لوحة السيطرة الخاصة بالمضخات للتأكد من سلامة التوصيلات الكهربائية</t>
  </si>
  <si>
    <t>2026/07/12 - 09:52 م</t>
  </si>
  <si>
    <t xml:space="preserve">صيانه الباب الحديد </t>
  </si>
  <si>
    <t>2026/07/12 - 09:53 م</t>
  </si>
  <si>
    <t xml:space="preserve">صيانه كراسي عدد ٣ </t>
  </si>
  <si>
    <t>2026/07/12 - 09:54 م</t>
  </si>
  <si>
    <t>صيانه رحلات عدد ٥</t>
  </si>
  <si>
    <t>2026/07/12 - 09:55 م</t>
  </si>
  <si>
    <t>2026/07/12 - 09:58 م</t>
  </si>
  <si>
    <t>(طابق ارضي) ، (ZONE A) ، (المرسم)</t>
  </si>
  <si>
    <t>2026/07/12 - 09:57 م</t>
  </si>
  <si>
    <t xml:space="preserve">المرسم </t>
  </si>
  <si>
    <t xml:space="preserve">صيانه رحلات عدد ٧ </t>
  </si>
  <si>
    <t>2026/07/13 - 07:38 ص</t>
  </si>
  <si>
    <t>2026/07/13 - 07:44 ص</t>
  </si>
  <si>
    <t>اصلاح حنفيه</t>
  </si>
  <si>
    <t>تسرب ماء داخل الصحيات الخارجيه</t>
  </si>
  <si>
    <t>2026/07/13 - 07:49 ص</t>
  </si>
  <si>
    <t>2026/07/13 - 10:08 ص</t>
  </si>
  <si>
    <t>الضيافه و غرفه المرقاب الجوزه مال كهرباء طافره لا يوجد كهرباء في النقاط</t>
  </si>
  <si>
    <t>2026/07/13 - 09:20 ص</t>
  </si>
  <si>
    <t>استبدال براد</t>
  </si>
  <si>
    <t>2026/07/14 - 11:17 ص</t>
  </si>
  <si>
    <t>براد الاداره جميع منافذ الماء تنضح و هناك تقطير و الماء الحار لا يعمل</t>
  </si>
  <si>
    <t>2026/07/13 - 01:10 م</t>
  </si>
  <si>
    <t xml:space="preserve">تسجيل قراءات منظومة UPS </t>
  </si>
  <si>
    <t>2026/07/13 - 01:12 م</t>
  </si>
  <si>
    <t>2026/07/13 - 01:14 م</t>
  </si>
  <si>
    <t xml:space="preserve">استبدال محولة سبوت لايت 24W </t>
  </si>
  <si>
    <t>2026/07/13 - 01:13 م</t>
  </si>
  <si>
    <t>استبدال محولة انارة (60*60) (50W)</t>
  </si>
  <si>
    <t>2026/07/13 - 05:21 م</t>
  </si>
  <si>
    <t>2026/07/13 - 05:22 م</t>
  </si>
  <si>
    <t xml:space="preserve">تشغيل جميع القطع الداخلية لمنظومة التبريد بعد إتمام عملية الغسل الموقعي لغرض الفحص </t>
  </si>
  <si>
    <t>2026/07/13 - 05:23 م</t>
  </si>
  <si>
    <t xml:space="preserve">تشغيل جميع القطع الداخلية لمنظومة التبريد بعد إتمام عملية الغسل ولغرض الفحص </t>
  </si>
  <si>
    <t>2026/07/13 - 05:33 م</t>
  </si>
  <si>
    <t>2026/07/13 - 05:34 م</t>
  </si>
  <si>
    <t>تشغيل جميع القطع منظومة التبريد بعد إتمام عملية الغسل ولغرض الفحص</t>
  </si>
  <si>
    <t>2026/07/13 - 05:38 م</t>
  </si>
  <si>
    <t>(كل الطوابق) ، (ZONE A)</t>
  </si>
  <si>
    <t xml:space="preserve">تم حل مشكلة ظهور كودCH05لمنظومه التبريد الVRF </t>
  </si>
  <si>
    <t>2026/07/13 - 06:49 م</t>
  </si>
  <si>
    <t>2026/07/13 - 06:50 م</t>
  </si>
  <si>
    <t>استبدال الفيز فلر الخاص بقاطع VRF في البناية الثالثة وذلك بسبب وجود خلل في القطعة القديمة</t>
  </si>
  <si>
    <t>2026/07/13 - 06:51 م</t>
  </si>
  <si>
    <t>2026/07/13 - 06:52 م</t>
  </si>
  <si>
    <t>تم استبدال تايمر (24H) الخاص ببورد المضخات بسبب وجود خلل في عمله مع إضافة ريلي (220V) وإجراء التوصيلات اللازمة</t>
  </si>
  <si>
    <t>2026/07/14 - 07:55 ص</t>
  </si>
  <si>
    <t xml:space="preserve">الجك المسئول عن حركة  باب الاستعلامات يعاني من مشكله </t>
  </si>
  <si>
    <t>بداية دخول البناية باب الاستعلامات</t>
  </si>
  <si>
    <t>2026/07/14 - 08:36 ص</t>
  </si>
  <si>
    <t>2026/07/14 - 08:37 ص</t>
  </si>
  <si>
    <t>2026/07/14 - 08:38 ص</t>
  </si>
  <si>
    <t>صيانه رحلات عدد 4</t>
  </si>
  <si>
    <t>2026/07/14 - 08:39 ص</t>
  </si>
  <si>
    <t xml:space="preserve">صيانه وادامه باب خشب </t>
  </si>
  <si>
    <t>2026/07/14 - 08:40 ص</t>
  </si>
  <si>
    <t xml:space="preserve">تبديل يده شباك قلاب </t>
  </si>
  <si>
    <t>2026/07/14 - 08:41 ص</t>
  </si>
  <si>
    <t>2026/07/14 - 08:42 ص</t>
  </si>
  <si>
    <t>2026/07/14 - 08:43 ص</t>
  </si>
  <si>
    <t xml:space="preserve">تبديل يده باب صحيات المنيوم </t>
  </si>
  <si>
    <t>2026/07/14 - 08:44 ص</t>
  </si>
  <si>
    <t>(طابق (1)) ، (طابق (2)) ، (ZONE B)</t>
  </si>
  <si>
    <t xml:space="preserve">تزيت الباب الفاصل بين الزونين </t>
  </si>
  <si>
    <t>2026/07/14 - 08:46 ص</t>
  </si>
  <si>
    <t>2026/07/14 - 08:47 ص</t>
  </si>
  <si>
    <t xml:space="preserve">تزييت وصيانه باب خشب </t>
  </si>
  <si>
    <t>2026/07/14 - 09:01 ص</t>
  </si>
  <si>
    <t>(طابق (1)) ، (ZONE A) ، (صصحيات جانب المصعد )</t>
  </si>
  <si>
    <t xml:space="preserve">اعمال وضع التيب اللاصق لاغراض الصبغ </t>
  </si>
  <si>
    <t>2026/07/14 - 09:02 ص</t>
  </si>
  <si>
    <t>(طابق (1)) ، (ZONE A) ، (صحيات جانب المصعد )</t>
  </si>
  <si>
    <t xml:space="preserve">اعمال صبغ الباب بماده الدملوك </t>
  </si>
  <si>
    <t>2026/07/14 - 09:04 ص</t>
  </si>
  <si>
    <t xml:space="preserve">اعمال تختيم الصبغ النهائيه للباب بماده الوورنيش </t>
  </si>
  <si>
    <t>2026/07/14 - 09:05 ص</t>
  </si>
  <si>
    <t xml:space="preserve">ازاله التيب اللاصق </t>
  </si>
  <si>
    <t>2026/07/14 - 09:06 ص</t>
  </si>
  <si>
    <t>(طابق (1)) ، (ZONE A) ، (مختبر الاحياء )</t>
  </si>
  <si>
    <t xml:space="preserve">اعمالوضع التيب اللاصق لاغراض الصبغ </t>
  </si>
  <si>
    <t>2026/07/14 - 09:07 ص</t>
  </si>
  <si>
    <t>2026/07/14 - 09:08 ص</t>
  </si>
  <si>
    <t xml:space="preserve">اعمال الصبغ النهائيه بماده الوورنيش </t>
  </si>
  <si>
    <t xml:space="preserve">ازاله التيب اللاصق بعد اكمال اعمال الصبغ </t>
  </si>
  <si>
    <t>2026/07/14 - 09:10 ص</t>
  </si>
  <si>
    <t>(طابق (1)) ، (ZONE A) ، (مختبر الحاسوب )</t>
  </si>
  <si>
    <t xml:space="preserve">اعمال وضع التيب اللاصف لاغراض الصبغ </t>
  </si>
  <si>
    <t>2026/07/14 - 09:11 ص</t>
  </si>
  <si>
    <t xml:space="preserve">اعمال تختيم الصبغ بماده الوورنيش </t>
  </si>
  <si>
    <t>2026/07/14 - 09:12 ص</t>
  </si>
  <si>
    <t xml:space="preserve">اعمال ازاله اللواصق بعد الانتهاء من اعمال الصبغ </t>
  </si>
  <si>
    <t>2026/07/14 - 09:13 ص</t>
  </si>
  <si>
    <t>2026/07/14 - 09:14 ص</t>
  </si>
  <si>
    <t>(4_D  الاعدادية) ، (قاعة رياضية__2)</t>
  </si>
  <si>
    <t>(طابق (1)) ، (ZONE A) ، (صحيات جانب غرفه الصيانه)</t>
  </si>
  <si>
    <t>2026/07/14 - 09:15 ص</t>
  </si>
  <si>
    <t>2026/07/14 - 09:16 ص</t>
  </si>
  <si>
    <t xml:space="preserve">اعمال الصبغ النهائيع بماده الوورنيش </t>
  </si>
  <si>
    <t xml:space="preserve">اعمال ازاله اللواصق بعد اكمال الصبغ </t>
  </si>
  <si>
    <t>2026/07/14 - 09:57 ص</t>
  </si>
  <si>
    <t>2026/07/14 - 09:58 ص</t>
  </si>
  <si>
    <t>(طابق (1)) ، (ZONE A) ، (السادس ا)</t>
  </si>
  <si>
    <t xml:space="preserve">اعمال صبغ الباب الخشب بماده الدملوك </t>
  </si>
  <si>
    <t>2026/07/14 - 09:59 ص</t>
  </si>
  <si>
    <t xml:space="preserve">اعمال الصبغ النهائيه للباب بماده الوورنيش </t>
  </si>
  <si>
    <t>2026/07/14 - 10:00 ص</t>
  </si>
  <si>
    <t>(طابق (1)) ، (ZONE A) ، (السادس ب )</t>
  </si>
  <si>
    <t>2026/07/14 - 10:01 ص</t>
  </si>
  <si>
    <t xml:space="preserve">اعمال الصبغ للباب الخشبي بماده الدملوك </t>
  </si>
  <si>
    <t>2026/07/14 - 10:02 ص</t>
  </si>
  <si>
    <t xml:space="preserve">اعمال الصبغ النهائيه بماده الورنيش </t>
  </si>
  <si>
    <t>2026/07/14 - 10:04 ص</t>
  </si>
  <si>
    <t>(طابق (1)) ، (ZONE A) ، (غرفه  الارشاد )</t>
  </si>
  <si>
    <t xml:space="preserve">اعمال وضع واضافه التيب اللاصق للباب لاغراض الصبغ </t>
  </si>
  <si>
    <t>2026/07/14 - 10:05 ص</t>
  </si>
  <si>
    <t xml:space="preserve">اعمال الصغ  بماده الدملوك </t>
  </si>
  <si>
    <t>2026/07/14 - 10:06 ص</t>
  </si>
  <si>
    <t xml:space="preserve">اعممال الصبغ النهائيه بماده الوورنيش </t>
  </si>
  <si>
    <t>(طابق (1)) ، (ZONE A) ، (المرسم )</t>
  </si>
  <si>
    <t xml:space="preserve">اعمال التيب اللاصق لاغراض الصبغ </t>
  </si>
  <si>
    <t>2026/07/14 - 10:07 ص</t>
  </si>
  <si>
    <t xml:space="preserve">اعمال الصبغ بماده الدملوك </t>
  </si>
  <si>
    <t>2026/07/14 - 10:08 ص</t>
  </si>
  <si>
    <t xml:space="preserve"> اعمال الصبغ النهائيه بماده الوورنيش </t>
  </si>
  <si>
    <t>2026/07/14 - 10:09 ص</t>
  </si>
  <si>
    <t>(طابق (1)) ، (ZONE A) ، (المرسم  الارشاد السادس الحاسوب )</t>
  </si>
  <si>
    <t xml:space="preserve">اعمال ازاله التيب اللاصق بعد اكمال اعمال الصبغ </t>
  </si>
  <si>
    <t>2026/07/14 - 12:02 م</t>
  </si>
  <si>
    <t>تشغيل جميع قطع التبريد الداخلية بعد اتمام عملية الغسل منظومة التبريد الموقعي ولغرض الفحص</t>
  </si>
  <si>
    <t>2026/07/14 - 12:07 م</t>
  </si>
  <si>
    <t xml:space="preserve">تم غسل قطع التبريد داخليه لمنظومة الVRF عدد12بمساعده قسم التربية </t>
  </si>
  <si>
    <t>2026/07/14 - 01:51 م</t>
  </si>
  <si>
    <t>2026/07/14 - 01:52 م</t>
  </si>
  <si>
    <t>تم متابعة منظومة التبريد VRF</t>
  </si>
  <si>
    <t>تم متابعة منظومة التبريد الVRF</t>
  </si>
  <si>
    <t>2026/07/14 - 07:23 م</t>
  </si>
  <si>
    <t>2026/07/14 - 07:29 م</t>
  </si>
  <si>
    <t>2026/07/14 - 07:24 م</t>
  </si>
  <si>
    <t>مساعدة وحدة الميكانيك في ربط مجموعة من القطع الداخليه لمنظومة التبريد VRF</t>
  </si>
  <si>
    <t>2026/07/14 - 07:26 م</t>
  </si>
  <si>
    <t>2026/07/14 - 07:28 م</t>
  </si>
  <si>
    <t>(طابق ارضي) ، (ZONE A) ، (ZONE B)</t>
  </si>
  <si>
    <t>اضافة حساس حركة خاص في انارة المجاميع الصحية (1200W)</t>
  </si>
  <si>
    <t>استبدال محولة انارة سبوت لايت 18W</t>
  </si>
  <si>
    <t>2026/07/14 - 07:32 م</t>
  </si>
  <si>
    <t>2026/07/14 - 07:34 م</t>
  </si>
  <si>
    <t>تغذية مجموعة من مأخذ
القدرة (13A) ايضاً تم ربط
جوزة احادية (10A) من منظومة
الألواح الشمسية للسيطرة على مأخذ القدرة</t>
  </si>
  <si>
    <t>2026/07/14 - 07:33 م</t>
  </si>
  <si>
    <t>تثبيت مجموعة بوكس
بلاستك / بوكس استراحة /
تري بلاستك</t>
  </si>
  <si>
    <t>2026/07/15 - 07:12 ص</t>
  </si>
  <si>
    <t>2026/07/15 - 07:13 ص</t>
  </si>
  <si>
    <t>اضافة مأخذ قدرة 13A عدد 1</t>
  </si>
  <si>
    <t>2026/07/15 - 09:12 ص</t>
  </si>
  <si>
    <t>2026/07/15 - 09:13 ص</t>
  </si>
  <si>
    <t xml:space="preserve">اعمال وضع التيب اللاصق للطابق بالكامل </t>
  </si>
  <si>
    <t>2026/07/15 - 09:14 ص</t>
  </si>
  <si>
    <t xml:space="preserve">اعمال صبغ الابواب الخشب للطايق الكامل بماده الدملوك </t>
  </si>
  <si>
    <t>2026/07/15 - 09:15 ص</t>
  </si>
  <si>
    <t>2026/07/15 - 09:16 ص</t>
  </si>
  <si>
    <t>اعمال الصبغ النهائيه للابواب الخشبيه للطابق بالكامل بماده الوورنيش</t>
  </si>
  <si>
    <t>2026/07/15 - 01:57 م</t>
  </si>
  <si>
    <t>2026/07/16 - 07:19 ص</t>
  </si>
  <si>
    <t>تنظيف مخزن المولدات</t>
  </si>
  <si>
    <t>2026/07/16 - 07:34 ص</t>
  </si>
  <si>
    <t>2026/07/16 - 12:35 م</t>
  </si>
  <si>
    <t>(طابق ارضي) ، (الصحيات)</t>
  </si>
  <si>
    <t>شافطة المياه لا تعمل</t>
  </si>
  <si>
    <t>2026/07/16 - 08:02 ص</t>
  </si>
  <si>
    <t xml:space="preserve">تم توقف التبريد في الطابق الارضي </t>
  </si>
  <si>
    <t>2026/07/16 - 11:47 ص</t>
  </si>
  <si>
    <t>2026/07/16 - 11:53 ص</t>
  </si>
  <si>
    <t>2026/07/16 - 11:49 ص</t>
  </si>
  <si>
    <t>اضافة حساس حركة خاص في انارةً المجاميع الصحية (1200W)</t>
  </si>
  <si>
    <t>2026/07/16 - 11:50 ص</t>
  </si>
  <si>
    <t>(طابق (2)) ، (ZONE A) ، (ZONE B)</t>
  </si>
  <si>
    <t>إضافه حساس حركة خاص في انارة المجاميع الصحية (1200W)</t>
  </si>
  <si>
    <t>2026/07/16 - 11:52 ص</t>
  </si>
  <si>
    <t>اضافه حساس حركة خاص في انارة المجاميع الصحية (1200W)</t>
  </si>
  <si>
    <t xml:space="preserve">تنظيفً سكك المصاعدً </t>
  </si>
  <si>
    <t>2026/07/18 - 05:11 م</t>
  </si>
  <si>
    <t>2026/07/18 - 05:25 م</t>
  </si>
  <si>
    <t>تم فتح قطع داخلية لمنظومة تبريد (VRF) عدد (21) في البناية الثالثة - الطابق الأرضي (Zone A).</t>
  </si>
  <si>
    <t>2026/07/18 - 05:12 م</t>
  </si>
  <si>
    <t>تم فتح قطع داخلية لمنظومة تبريد (VRF) عدد (16) في البناية الثالثة - الطابق الثاني (Zone A).</t>
  </si>
  <si>
    <t>2026/07/18 - 05:26 م</t>
  </si>
  <si>
    <t>تم فتح قطع داخلية لمنظومة تبريد (VRF) عدد (4) في البناية الثالثة - الطابق الأول.</t>
  </si>
  <si>
    <t>2026/07/18 - 05:16 م</t>
  </si>
  <si>
    <t>(مواقع متفرقة)</t>
  </si>
  <si>
    <t>تم فتح قطع داخلية لمنظومة تبريد (VRF) عدد (14) في مواقع أخرى متفرقة.</t>
  </si>
  <si>
    <t>2026/07/18 - 05:19 م</t>
  </si>
  <si>
    <t>تمت متابعة وتوجيه كادر قسم التربية لفتح قطع داخلية لمنظومة (VRF) في البناية الثالثة - الطابق الثاني (Zone B)، كما تم تدريب أحد منتسبي التربية على عملية الفتح.</t>
  </si>
  <si>
    <t>بمساعدة قسم التربية، تم غسل قطع داخلية لمنظومة تبريد (VRF) عدد (24) في البناية الثالثة - الطابق الأرضي (Zone A).</t>
  </si>
  <si>
    <t>تم ربط قطع داخلية لمنظومة تبريد (VRF) عدد (10) في البناية الثالثة - الطابق الأرضي (Zone A).</t>
  </si>
  <si>
    <t>2026/07/18 - 05:20 م</t>
  </si>
  <si>
    <t>تم ربط قطع داخلية لمنظومة تبريد (VRF) عدد (10) في البناية الثالثة - الطابق الأرضي (Zone B).</t>
  </si>
  <si>
    <t>2026/07/18 - 05:21 م</t>
  </si>
  <si>
    <t xml:space="preserve">بمساعدة وحدة الكهرباء، تم ربط قطع داخلية لمنظومة تبريد (VRF) عدد (6) </t>
  </si>
  <si>
    <t>(طابق ارضي) ، (طابق (1)) ، (ZONE A)</t>
  </si>
  <si>
    <t xml:space="preserve">تمت متابعة كفاءة عمل منظومات التبريد في البناية الأولى </t>
  </si>
  <si>
    <t>2026/07/18 - 05:22 م</t>
  </si>
  <si>
    <t>تم تعبئة الخزان الرئيسي بـ (28,000) لتر من المياه.</t>
  </si>
  <si>
    <t>2026/07/18 - 05:23 م</t>
  </si>
  <si>
    <t>2026/07/18 - 05:27 م</t>
  </si>
  <si>
    <t>(طابق ارضي) ، (الكراج) ، (غرفة المضخات الرئيسية)</t>
  </si>
  <si>
    <t>إجراء صيانة طارئة لمضخات الإطفاء الرئيسية (مضخة الديزل).</t>
  </si>
  <si>
    <t>2026/07/18 - 05:24 م</t>
  </si>
  <si>
    <t>(الكراج) ، (غرفة السنكرو)</t>
  </si>
  <si>
    <t>تم تأسيس وتمديد أنبوب ماء خاص بماطور المولدات في غرفة (السنكرو).</t>
  </si>
  <si>
    <t>ربط حنفية ماء في الكراج.</t>
  </si>
  <si>
    <t>تم استبدال (شطاف ماء) تالف في المجموعات الصحية</t>
  </si>
  <si>
    <t>2026/07/18 - 06:41 م</t>
  </si>
  <si>
    <t xml:space="preserve">نصب (4) حساسات حركة بسعة 1200 واط لإنارة المجاميع الصحية في البناية الثانية بواقع حساسين للمجاميع الصحية الداخلية وحساسين للمجاميع الصحية الخارجية وذلك لضمان التشغيل التلقائي للإنارة عند الحاجة والحد من التشغيل غير الضروري
</t>
  </si>
  <si>
    <t>2026/07/18 - 06:42 م</t>
  </si>
  <si>
    <t xml:space="preserve">استبدال محولة إنارة (18W) داخل إحدى المجاميع الصحية في البناية الثانية </t>
  </si>
  <si>
    <t>2026/07/18 - 07:37 م</t>
  </si>
  <si>
    <t>تم ربط قطع داخلية لمنظومة تبريد (VRF) عدد (10).</t>
  </si>
  <si>
    <t>2026/07/19 - 07:49 ص</t>
  </si>
  <si>
    <t>2026/07/19 - 08:12 ص</t>
  </si>
  <si>
    <t>عدم تشغيل سبالت جناح اداري</t>
  </si>
  <si>
    <t>2026/07/19 - 09:22 ص</t>
  </si>
  <si>
    <t>2026/07/19 - 09:23 ص</t>
  </si>
  <si>
    <t>استبدال منجر رباعي (MCB)  32A</t>
  </si>
  <si>
    <t>2026/07/19 - 09:26 ص</t>
  </si>
  <si>
    <t>2026/07/19 - 09:36 ص</t>
  </si>
  <si>
    <t>إضافه حساس حركة انارة (1200W) المجاميع الصحيةً</t>
  </si>
  <si>
    <t>2026/07/19 - 09:28 ص</t>
  </si>
  <si>
    <t xml:space="preserve">اضافة حساس حركة انارة (1200W) للمجاميع  الصحية </t>
  </si>
  <si>
    <t>2026/07/19 - 09:29 ص</t>
  </si>
  <si>
    <t xml:space="preserve">اضافة حساس حركة انارة (1200W) المجاميع الصحية </t>
  </si>
  <si>
    <t>2026/07/19 - 09:31 ص</t>
  </si>
  <si>
    <t>مساعدة وحدة الميكانيك في اعادة ربط وتثبيت القطع الداخلية لمنظومة التبريد VRF</t>
  </si>
  <si>
    <t>2026/07/19 - 09:32 ص</t>
  </si>
  <si>
    <t>2026/07/19 - 09:33 ص</t>
  </si>
  <si>
    <t>استبدال ماشه كهربائية حجري (13A)</t>
  </si>
  <si>
    <t>2026/07/19 - 09:35 ص</t>
  </si>
  <si>
    <t xml:space="preserve">اضافة حساس حركة انارة (1200W) للمجاميع الصحية </t>
  </si>
  <si>
    <t>2026/07/19 - 12:32 م</t>
  </si>
  <si>
    <t>2026/07/19 - 12:47 م</t>
  </si>
  <si>
    <t xml:space="preserve">غرفة الإدارة يسار الاستعلامات لا يوجد تبريد </t>
  </si>
  <si>
    <t>2026/07/19 - 12:41 م</t>
  </si>
  <si>
    <t>ميكانيك حر</t>
  </si>
  <si>
    <t>2026/07/20 - 01:58 م</t>
  </si>
  <si>
    <t>(طابق ارضي) ، (غرفة المدرسين)</t>
  </si>
  <si>
    <t>اضافة قابس كهربائي الى سلك تبريد (VRF)</t>
  </si>
  <si>
    <t>2026/07/19 - 12:45 م</t>
  </si>
  <si>
    <t>تم إكمال أعمال الربط والمتابعة للقطع الداخلية الخاصة بمنظومة تبريد (VRF).</t>
  </si>
  <si>
    <t>2026/07/19 - 12:46 م</t>
  </si>
  <si>
    <t>2026/07/19 - 12:53 م</t>
  </si>
  <si>
    <t>(طابق ارضي) ، (ZONE A) ، (غرفة المعاون الاداري)</t>
  </si>
  <si>
    <t>تم ربط قطعة داخلية لمنظومة تبريد (VRF) عدد (1)</t>
  </si>
  <si>
    <t>2026/07/19 - 08:01 م</t>
  </si>
  <si>
    <t>2026/07/19 - 08:02 م</t>
  </si>
  <si>
    <t xml:space="preserve">اضافة ماشة 13A لاحد اجهزة التبريد vrf البناية الثالثة الطابق الارضي </t>
  </si>
  <si>
    <t>(طابق (1)) ، (طابق (2)) ، (ZONE A) ، (ZONE B)</t>
  </si>
  <si>
    <t>تثبيت حساس إنارة عدد (4)</t>
  </si>
  <si>
    <t>2026/07/20 - 07:08 ص</t>
  </si>
  <si>
    <t>2026/07/20 - 09:25 ص</t>
  </si>
  <si>
    <t xml:space="preserve"> التبريد لا يعمل</t>
  </si>
  <si>
    <t>2026/07/20 - 09:28 ص</t>
  </si>
  <si>
    <t>2026/07/20 - 12:39 م</t>
  </si>
  <si>
    <t xml:space="preserve">البلك سويج الخاص بالانارة لا يعمل </t>
  </si>
  <si>
    <t>2026/07/20 - 09:47 ص</t>
  </si>
  <si>
    <t>2026/07/23 - 08:01 ص</t>
  </si>
  <si>
    <t>(طابق ارضي) ، (ZONE A) , (غرفة السيطرة)</t>
  </si>
  <si>
    <t>2026/07/20 - 07:35 م</t>
  </si>
  <si>
    <t>2026/07/20 - 07:51 م</t>
  </si>
  <si>
    <t>استبدال انارة 18w في صحيات الطابق الاول للبناية الاولى</t>
  </si>
  <si>
    <t>2026/07/20 - 07:36 م</t>
  </si>
  <si>
    <t>2026/07/20 - 07:50 م</t>
  </si>
  <si>
    <t>صيانة خط انارة للصحيات في البناية الاولى الطابق الثاني</t>
  </si>
  <si>
    <t xml:space="preserve">صيانة انارة 60*60 بأستبدال محولة </t>
  </si>
  <si>
    <t>2026/07/22 - 07:09 ص</t>
  </si>
  <si>
    <t>2026/07/22 - 07:10 ص</t>
  </si>
  <si>
    <t xml:space="preserve">متابعة وتسجيل قراءات منظومة UPS </t>
  </si>
  <si>
    <t xml:space="preserve">متابعة وتسجيل قراءات الشبكة الوطنية </t>
  </si>
  <si>
    <t>2026/07/22 - 07:12 ص</t>
  </si>
  <si>
    <t>2026/07/22 - 07:13 ص</t>
  </si>
  <si>
    <t>(الكراج) ، (كرفان الشركة الأمنية )</t>
  </si>
  <si>
    <t xml:space="preserve">تغذية سبّلت واحد طن من منظومة الألواح الشمسية </t>
  </si>
  <si>
    <t>2026/07/22 - 07:15 ص</t>
  </si>
  <si>
    <t>2026/07/22 - 07:16 ص</t>
  </si>
  <si>
    <t xml:space="preserve">إضافه جوزة ذكية للسيطرة والتحكم في الامبيرية والفولتيه لحماية السبلت الانفيرتر </t>
  </si>
  <si>
    <t>2026/07/22 - 07:18 ص</t>
  </si>
  <si>
    <t>2026/07/22 - 07:21 ص</t>
  </si>
  <si>
    <t>2026/07/22 - 07:19 ص</t>
  </si>
  <si>
    <t>2026/07/22 - 07:20 ص</t>
  </si>
  <si>
    <t xml:space="preserve">تغير التحكم في تشغيل وإطفاء انارة السطح من سويج اعتيادي إلى بوش بوتن </t>
  </si>
  <si>
    <t>متابعة وتسجيل قراءات الشبكة الوطنية</t>
  </si>
  <si>
    <t>2026/07/22 - 07:23 ص</t>
  </si>
  <si>
    <t xml:space="preserve">عمل سيار كهربائي بطول ٧ متر يحتوي على مجموعة مأخذ قدرة </t>
  </si>
  <si>
    <t>2026/07/22 - 07:27 ص</t>
  </si>
  <si>
    <t>(كل الطوابق) ، (ZONE A) ، (ZONE B)</t>
  </si>
  <si>
    <t>لا يوجد ماء في كل البنايه</t>
  </si>
  <si>
    <t>2026/07/22 - 01:17 م</t>
  </si>
  <si>
    <t>2026/07/22 - 01:30 م</t>
  </si>
  <si>
    <t>تم ربط قطع داخلية لمنظومة (VRF) عدد (10)</t>
  </si>
  <si>
    <t>2026/07/22 - 01:18 م</t>
  </si>
  <si>
    <t>2026/07/22 - 01:29 م</t>
  </si>
  <si>
    <t>(طابق (1)) ، (ZONE A) ، (ZONE B)</t>
  </si>
  <si>
    <t>تم ربط قطع داخلية لمنظومة (VRF) عدد (4)</t>
  </si>
  <si>
    <t>2026/07/22 - 01:19 م</t>
  </si>
  <si>
    <t>2026/07/22 - 01:34 م</t>
  </si>
  <si>
    <t>تم ربط قطع داخلية لمنظومة (VRF) عدد (13)</t>
  </si>
  <si>
    <t>2026/07/22 - 01:20 م</t>
  </si>
  <si>
    <t>بمساعدة قسم التربية تم غسل قطع داخلية لمنظومة (VRF) عدد (12)</t>
  </si>
  <si>
    <t>2026/07/22 - 01:33 م</t>
  </si>
  <si>
    <t>تم عمل إعادة ضبط (Reset) للقطعة الخارجية لمنظومة (VRF)</t>
  </si>
  <si>
    <t>2026/07/22 - 01:21 م</t>
  </si>
  <si>
    <t>تمت صيانة الفانات (المراوح) عدد (5) في البناية الأولى</t>
  </si>
  <si>
    <t>تم تبديل فان (مروحة) في غرفة استراحة المنتسبين في البناية الثالثة</t>
  </si>
  <si>
    <t>2026/07/22 - 01:23 م</t>
  </si>
  <si>
    <t>تم تشغيل منظومة التبريد (VRF)</t>
  </si>
  <si>
    <t>2026/07/22 - 01:32 م</t>
  </si>
  <si>
    <t>تمت متابعة عمل وكفاءة التبريد (VRF)</t>
  </si>
  <si>
    <t>2026/07/22 - 01:24 م</t>
  </si>
  <si>
    <t>2026/07/22 - 01:25 م</t>
  </si>
  <si>
    <t>(غرفة الشركة الامنية)</t>
  </si>
  <si>
    <t>تم فتح سبلت جداري اعتيادي واستبداله بجهاز جديد</t>
  </si>
  <si>
    <t>2026/07/22 - 01:26 م</t>
  </si>
  <si>
    <t>2026/07/22 - 01:31 م</t>
  </si>
  <si>
    <t>بمساعدة الوحدة المدنية تم حفر مكان تسريب أنبوب المياه</t>
  </si>
  <si>
    <t>تمت متابعة مكان تسريب مياه قرب المولدات</t>
  </si>
  <si>
    <t>2026/07/22 - 01:27 م</t>
  </si>
  <si>
    <t>تمت صيانة منظومة الإسالة والخط الرئيسي المغذي للبنايات ومتابعته</t>
  </si>
  <si>
    <t>2026/07/22 - 01:28 م</t>
  </si>
  <si>
    <t>(غرفة الامنية)</t>
  </si>
  <si>
    <t>تم استبدال صمام مياه (كاك)</t>
  </si>
  <si>
    <t>لوحظ عدم توفر مياه الإسالة في الشبكة الرئيسية طوال فترات العمل.</t>
  </si>
  <si>
    <t>2026/07/23 - 06:33 ص</t>
  </si>
  <si>
    <t>2026/07/23 - 08:02 ص</t>
  </si>
  <si>
    <t xml:space="preserve">عدم تشغيل سبالت طابق ارضي </t>
  </si>
  <si>
    <t>2026/07/23 - 01:52 م</t>
  </si>
  <si>
    <t>2026/07/23 - 01:54 م</t>
  </si>
  <si>
    <t xml:space="preserve">بين البناية الثانية والثالثة </t>
  </si>
  <si>
    <t>وجود رخوة  في قفيص جوين الماء للمولدة 
1Mالاولى</t>
  </si>
  <si>
    <t>2026/07/24 - 08:53 م</t>
  </si>
  <si>
    <t>وضع التيب للاصق للطابق بالكامل لغرض صبغ الأبواب الخشبيه</t>
  </si>
  <si>
    <t>2026/07/24 - 08:54 م</t>
  </si>
  <si>
    <t xml:space="preserve">أعمال صبغ الابواب الخشبيه بماده الدملوك للطابق بالكامل </t>
  </si>
  <si>
    <t>أعمال صبغ الابواب الخشبيه بماده الورنيش للطابق بالكامل</t>
  </si>
  <si>
    <t>2026/07/24 - 08:55 م</t>
  </si>
  <si>
    <t>أعمال وضع التيب اللاصق للأبواب الخشبيه لاغراض الصبغ للطابق بالكامل</t>
  </si>
  <si>
    <t>2026/07/24 - 08:56 م</t>
  </si>
  <si>
    <t>أعمال صبغ الابواب الخشبيه بماده الدملوك للطابق بالكامل</t>
  </si>
  <si>
    <t>2026/07/24 - 08:57 م</t>
  </si>
  <si>
    <t>أعمال الصبغ النهائيه بماده الوورنيش للأبواب الخشبيه الطابق بالكامل</t>
  </si>
  <si>
    <t>2026/07/24 - 08:58 م</t>
  </si>
  <si>
    <t>أعمال أزاله التيب اللاصق من البنايه بالكامل بعد الانتهاء من أعمال الصبغ</t>
  </si>
  <si>
    <t>2026/07/24 - 08:59 م</t>
  </si>
  <si>
    <t xml:space="preserve">أعمال صبغ محجر الدرج </t>
  </si>
  <si>
    <t>(كل الطوابق) ، (ZONE B)</t>
  </si>
  <si>
    <t xml:space="preserve">اعمال صبغ محجر الدرج </t>
  </si>
  <si>
    <t>2026/07/24 - 09:00 م</t>
  </si>
  <si>
    <t>أعمال صبغ محجر الدرج</t>
  </si>
  <si>
    <t>2026/07/24 - 09:01 م</t>
  </si>
  <si>
    <t>أعمال وضع التيب اللاصق للطابق بالكامل</t>
  </si>
  <si>
    <t>2026/07/24 - 09:02 م</t>
  </si>
  <si>
    <t>أعمال صبغ الابواب الخشبيه بماده الوورنيش للطابق بالكامل</t>
  </si>
  <si>
    <t>أعمال الصبغ النهائيه للأبواب لكل الطابق</t>
  </si>
  <si>
    <t>2026/07/24 - 09:03 م</t>
  </si>
  <si>
    <t xml:space="preserve">أعمال صبغ الابواب بماده الدملوك للطابق بالكامل </t>
  </si>
  <si>
    <t>2026/07/24 - 09:04 م</t>
  </si>
  <si>
    <t xml:space="preserve">أعمال الصبغ النهائيه للأبواب بماده الوورنيش </t>
  </si>
  <si>
    <t>2026/07/24 - 09:05 م</t>
  </si>
  <si>
    <t>أعمال وضع التيب اللاصق لاغراض صبغ الابواب للطابق بالكامل</t>
  </si>
  <si>
    <t>2026/07/24 - 09:06 م</t>
  </si>
  <si>
    <t>2026/07/28 - 08:58 ص</t>
  </si>
  <si>
    <t xml:space="preserve">أعمال الصبغ النهائيه للأبواب للطابق بالكامل </t>
  </si>
  <si>
    <t>2026/07/24 - 09:07 م</t>
  </si>
  <si>
    <t xml:space="preserve">أعمال أزاله التيب اللاصق بعد الانتهاء من أعمال صبغ الابواب للبنايه بالكامل </t>
  </si>
  <si>
    <t>2026/07/24 - 09:08 م</t>
  </si>
  <si>
    <t xml:space="preserve">أعمال وضع التيب اللاصق لاغراض الصبغ للطابق بالكامل </t>
  </si>
  <si>
    <t>2026/07/24 - 09:09 م</t>
  </si>
  <si>
    <t xml:space="preserve">أعمال صبغ الابواب بماده الدملوك </t>
  </si>
  <si>
    <t xml:space="preserve">أعمال الضبعة النهائيه للأبواب </t>
  </si>
  <si>
    <t>2026/07/24 - 09:11 م</t>
  </si>
  <si>
    <t xml:space="preserve">أعمال وضع التيب لاغراض صبغ الابواب </t>
  </si>
  <si>
    <t>2026/07/24 - 09:12 م</t>
  </si>
  <si>
    <t>أعمال الصبغ النهائيه للأبواب بماده الوورنيش</t>
  </si>
  <si>
    <t>2026/07/24 - 09:13 م</t>
  </si>
  <si>
    <t xml:space="preserve">أعمال إضافه التيب اللاصق لاغراض الصبغ للأبواب </t>
  </si>
  <si>
    <t>2026/07/24 - 09:14 م</t>
  </si>
  <si>
    <t xml:space="preserve">أعمال الصبغ النهائيه للأبواب </t>
  </si>
  <si>
    <t>2026/07/24 - 09:15 م</t>
  </si>
  <si>
    <t xml:space="preserve">أزاله التيب بعد إكمال أعمال الصبغ </t>
  </si>
  <si>
    <t>2026/07/24 - 09:16 م</t>
  </si>
  <si>
    <t>2026/07/24 - 09:17 م</t>
  </si>
  <si>
    <t xml:space="preserve">أعمال وضع التيب لاغراض الصبغ للأبواب </t>
  </si>
  <si>
    <t>أعمال صبغ الابواب بماده الدملوك</t>
  </si>
  <si>
    <t>2026/07/24 - 09:18 م</t>
  </si>
  <si>
    <t xml:space="preserve">أعمال الصبغ النهائيه بماده الوورنيش </t>
  </si>
  <si>
    <t>2026/07/24 - 09:26 م</t>
  </si>
  <si>
    <t>(2_B  الابتدائية الثانية) ، (3_C  المتوسطة)</t>
  </si>
  <si>
    <t xml:space="preserve">أعمال دفن الحفره واعاده تركيب المقرنص </t>
  </si>
  <si>
    <t>2026/07/24 - 09:27 م</t>
  </si>
  <si>
    <t xml:space="preserve">أعمال أزاله الأصباغ من على الشبابيك والهزاره وواجهات المصعد </t>
  </si>
  <si>
    <t>2026/07/24 - 09:29 م</t>
  </si>
  <si>
    <t>(الكراج) ، (جانب المولدات )</t>
  </si>
  <si>
    <t xml:space="preserve">أعمال حفر وازاله المرمر وإخراج الأنبوب المكسور </t>
  </si>
  <si>
    <t>2026/07/24 - 09:30 م</t>
  </si>
  <si>
    <t>تدرين الابواب الخشب بالكامل</t>
  </si>
  <si>
    <t>2026/07/24 - 09:31 م</t>
  </si>
  <si>
    <t xml:space="preserve">صيانه كرسي هايدروليك </t>
  </si>
  <si>
    <t>2026/07/24 - 09:32 م</t>
  </si>
  <si>
    <t xml:space="preserve">صيانه رحلات طلاب </t>
  </si>
  <si>
    <t>2026/07/24 - 09:33 م</t>
  </si>
  <si>
    <t>(طابق (1)) ، (ZONE A) ، (غرفه المعاون التعليمي )</t>
  </si>
  <si>
    <t>2026/07/24 - 09:34 م</t>
  </si>
  <si>
    <t>(طابق (1)) ، (غرفه المختبر )</t>
  </si>
  <si>
    <t xml:space="preserve">أعمال وضع التيب اللاصق لاغراض صبغ الجدران </t>
  </si>
  <si>
    <t>(طابق (1)) ، (ZONE A) ، (غرفه المختبر )</t>
  </si>
  <si>
    <t xml:space="preserve">أعمال المعالجه والسنفره </t>
  </si>
  <si>
    <t>2026/07/24 - 09:35 م</t>
  </si>
  <si>
    <t xml:space="preserve">أعمال صبغ الجدران وازاله التيب اللاصق </t>
  </si>
  <si>
    <t>2026/07/24 - 09:36 م</t>
  </si>
  <si>
    <t xml:space="preserve">أعمال صبغ السحبه </t>
  </si>
  <si>
    <t>2026/07/24 - 09:37 م</t>
  </si>
  <si>
    <t>(طابق (2)) ، (ZONE A) ، (الصحيات)</t>
  </si>
  <si>
    <t xml:space="preserve">معالجة وإغلاق الفتحات الخدمية والفنية الخاصة بمرور دكتات التكييف وأنبوب منظومة مكافحة الحرائق (بوري الإطفاء)
</t>
  </si>
  <si>
    <t>2026/07/24 - 09:38 م</t>
  </si>
  <si>
    <t>(طابق (1)) ، (ZONE A) ، (صحيات)</t>
  </si>
  <si>
    <t>سد فتحت جوين قطعة سيراميك</t>
  </si>
  <si>
    <t>2026/07/25 - 09:22 ص</t>
  </si>
  <si>
    <t>2026/07/25 - 09:23 ص</t>
  </si>
  <si>
    <t>تنظيف وضب روس الباتري للمولدة 1Mالاولى</t>
  </si>
  <si>
    <t>2026/07/25 - 09:25 ص</t>
  </si>
  <si>
    <t>2026/07/25 - 11:24 ص</t>
  </si>
  <si>
    <t>نطفاء التبريد</t>
  </si>
  <si>
    <t>ضهور كود CH</t>
  </si>
  <si>
    <t>2026/07/25 - 09:29 ص</t>
  </si>
  <si>
    <t>2026/07/25 - 09:30 ص</t>
  </si>
  <si>
    <t xml:space="preserve"> نقل البراميل الفارغة للمكان المناسب</t>
  </si>
  <si>
    <t>2026/07/25 - 11:04 ص</t>
  </si>
  <si>
    <t>2026/07/25 - 11:23 ص</t>
  </si>
  <si>
    <t>فصل التبريد المره ٢</t>
  </si>
  <si>
    <t>في الشاشه كود CH</t>
  </si>
  <si>
    <t>2026/07/25 - 11:18 ص</t>
  </si>
  <si>
    <t>تغير التحكم في تشغيل وإطفاء انارة السطح من السويج الاعتيادي إلى بوش بوتن</t>
  </si>
  <si>
    <t>2026/07/25 - 11:20 ص</t>
  </si>
  <si>
    <t xml:space="preserve">استبداله محولة 50W لنارة منشورية 60*60 </t>
  </si>
  <si>
    <t>2026/07/25 - 11:21 ص</t>
  </si>
  <si>
    <t>تسجيل قراءات الشبكة الوطنية</t>
  </si>
  <si>
    <t>2026/07/25 - 11:22 ص</t>
  </si>
  <si>
    <t>مساعدة وحدة الميكانيك في فتح مجموعة من القطع الداخلية لمنظومة التبريد VRF</t>
  </si>
  <si>
    <t>تنظيف بوردات السيطرة وبوردات التزامن في غرفة السنكرو</t>
  </si>
  <si>
    <t>2026/07/25 - 11:27 ص</t>
  </si>
  <si>
    <t>2026/07/25 - 11:34 ص</t>
  </si>
  <si>
    <t>مساعدة وحدة الميكانيك في غسل القطع الداخلية لمنظومة التبريد VRF</t>
  </si>
  <si>
    <t>2026/07/25 - 11:29 ص</t>
  </si>
  <si>
    <t>(طابق ارضي) ، (غرفة المدير )</t>
  </si>
  <si>
    <t xml:space="preserve">تحويل ربط انارة منشورية عدد 2 ومروحة سقفية عدد1 وربطهما من منظومة الألواح الشمسية </t>
  </si>
  <si>
    <t>2026/07/25 - 11:30 ص</t>
  </si>
  <si>
    <t xml:space="preserve">تغذية مكينة لحام من مصدر الكهرباء </t>
  </si>
  <si>
    <t xml:space="preserve">متابعة الأحمال الكهربائية الخاصة بمنظومة التبريد والتأكد من سلامتها </t>
  </si>
  <si>
    <t>2026/07/26 - 01:19 م</t>
  </si>
  <si>
    <t>2026/07/26 - 01:21 م</t>
  </si>
  <si>
    <t>تم فتح قطع داخلية لمنظومة تبريد (VRF) عدد (13) في البناية</t>
  </si>
  <si>
    <t>2026/07/26 - 01:20 م</t>
  </si>
  <si>
    <t>بمساعدة وحدة الكهرباء تم فتح قطع داخلية لمنظومة تبريد (VRF) عدد (3)</t>
  </si>
  <si>
    <t>2026/07/26 - 01:22 م</t>
  </si>
  <si>
    <t>تم فتح قطع داخلية لمنظومة تبريد (VRF) عدد (7)</t>
  </si>
  <si>
    <t>تم غسل قطع داخلية لمنظومة تبريد (VRF) عدد (8)</t>
  </si>
  <si>
    <t xml:space="preserve">تم ربط قطع داخلية لمنظومة تبريد (VRF) عدد (6) </t>
  </si>
  <si>
    <t>2026/07/26 - 01:23 م</t>
  </si>
  <si>
    <t>تم ربط قطع داخلية لمنظومة تبريد (VRF) عدد (4)</t>
  </si>
  <si>
    <t>2026/07/26 - 01:24 م</t>
  </si>
  <si>
    <t xml:space="preserve">تم ربط قطع داخلية لمنظومة تبريد (VRF) عدد (2)
</t>
  </si>
  <si>
    <t>تم ربط قطع داخلية لمنظومة تبريد (VRF) عدد (6)</t>
  </si>
  <si>
    <t>2026/07/26 - 01:25 م</t>
  </si>
  <si>
    <t>2026/07/26 - 01:26 م</t>
  </si>
  <si>
    <t>تم تشغيل وفحص منظومة التبريد (VRF) بالكامل</t>
  </si>
  <si>
    <t>2026/07/26 - 01:27 م</t>
  </si>
  <si>
    <t>(1_A  الابتدائية الاولى) ، (3_C  المتوسطة)</t>
  </si>
  <si>
    <t>تمت متابعة كفاءة عمل منظومات التبريد (VRF) في البناية الأولى والبناية الثالثة</t>
  </si>
  <si>
    <t>تمت تعبئة خزان المياه الرئيسي بواسطة حوضية (تنكر) بسعة (25,000) لتر</t>
  </si>
  <si>
    <t>(غرفة السنكرو)</t>
  </si>
  <si>
    <t>تمت متابعة أنبوب الماء الرئيسي المغذي للبناية الرابعة وتم رصد وجود تسريب مياه بسيط من منطقة الربط (اليونين/Union)</t>
  </si>
  <si>
    <t>2026/07/27 - 08:42 ص</t>
  </si>
  <si>
    <t>تم اضافة 5لتر زيت للمولدة 1Mالاولى</t>
  </si>
  <si>
    <t>2026/07/27 - 11:50 ص</t>
  </si>
  <si>
    <t>2026/07/27 - 11:51 ص</t>
  </si>
  <si>
    <t xml:space="preserve">اعمال الحفر وازاله المنهوله لأغراض فتح بايب الماء المتضرر </t>
  </si>
  <si>
    <t>2026/07/27 - 11:52 ص</t>
  </si>
  <si>
    <t>(طابق ارضي) ، (ZONE B) ، (الثاني د )</t>
  </si>
  <si>
    <t>2026/07/27 - 11:54 ص</t>
  </si>
  <si>
    <t>2026/07/27 - 11:55 ص</t>
  </si>
  <si>
    <t>(طابق ارضي) ، (ZONE B) ، (الثاني  ب )</t>
  </si>
  <si>
    <t xml:space="preserve">صيانه بردة شباك </t>
  </si>
  <si>
    <t>2026/07/27 - 12:12 م</t>
  </si>
  <si>
    <t>2026/07/27 - 12:13 م</t>
  </si>
  <si>
    <t>(ZONE B) ، (الثاني  ب )</t>
  </si>
  <si>
    <t xml:space="preserve">ارجاع قطع سقف ثانوي </t>
  </si>
  <si>
    <t>2026/07/27 - 12:14 م</t>
  </si>
  <si>
    <t xml:space="preserve">تكسير الصب واخراج الانقاض قرب المولدات </t>
  </si>
  <si>
    <t>2026/07/27 - 12:15 م</t>
  </si>
  <si>
    <t>صيانة رحلات عدد 12</t>
  </si>
  <si>
    <t>2026/07/27 - 12:16 م</t>
  </si>
  <si>
    <t>(طابق ارضي) ، (ZONE B) ، (الثالث ه )</t>
  </si>
  <si>
    <t>2026/07/27 - 12:17 م</t>
  </si>
  <si>
    <t xml:space="preserve">صيانة كرسي هيدروليك </t>
  </si>
  <si>
    <t>2026/07/27 - 12:18 م</t>
  </si>
  <si>
    <t>تركيب بردة شباك عدد 3</t>
  </si>
  <si>
    <t>2026/07/27 - 12:19 م</t>
  </si>
  <si>
    <t>(طابق ارضي) ، (ZONE B) ، (الثالث و )</t>
  </si>
  <si>
    <t>2026/07/27 - 12:20 م</t>
  </si>
  <si>
    <t>2026/07/27 - 12:21 م</t>
  </si>
  <si>
    <t>(1_A  الابتدائية الاولى) ، (2_B  الابتدائية الثانية)</t>
  </si>
  <si>
    <t xml:space="preserve">اكمال ملاحظات الصبغ الجدران والابواب الخشبية </t>
  </si>
  <si>
    <t>2026/07/27 - 12:25 م</t>
  </si>
  <si>
    <t>2026/07/27 - 12:40 م</t>
  </si>
  <si>
    <t>تغير طريقة تشغيل انارة السطح من التشغيل الاعتيادي إلى تشغيل بواسطة بوش بوتن</t>
  </si>
  <si>
    <t>2026/07/27 - 12:39 م</t>
  </si>
  <si>
    <t>2026/07/27 - 12:29 م</t>
  </si>
  <si>
    <t>(طابق ارضي) ، (طابق (1)) ، (طابق (2)) ، (ZONE B)</t>
  </si>
  <si>
    <t xml:space="preserve">تسليك واير فلكس (1*2) بمسافة تقريبا ٤٠ متر لتحويل الإنارة والتبريد الى تشغيل تلقائي </t>
  </si>
  <si>
    <t>2026/07/27 - 12:30 م</t>
  </si>
  <si>
    <t>2026/07/27 - 12:32 م</t>
  </si>
  <si>
    <t xml:space="preserve">تحويل تشغيل الإنارة المنشورية والمراوح السقفية ومنظومة التبريد من تشغيل اعتيادي إلى نظام المؤقت الزمني </t>
  </si>
  <si>
    <t>2026/07/27 - 12:34 م</t>
  </si>
  <si>
    <t xml:space="preserve">تحويل تشغيل الإنارة المنشورية والمراوح السقفية ومنظومة التبريد من التشغيل الاعتيادي إلى نظام المؤقت الزمني </t>
  </si>
  <si>
    <t>2026/07/27 - 12:37 م</t>
  </si>
  <si>
    <t>2026/07/27 - 12:38 م</t>
  </si>
  <si>
    <t xml:space="preserve">تسليك واير فلكس (1*2) بمسافة تقريبا ٤٠ متر لتحويل تشغيل  الإنارة والتبريد إلى تشغيل تلقائي </t>
  </si>
  <si>
    <t>2026/07/28 - 09:35 ص</t>
  </si>
  <si>
    <t>(طابق (2)) ، (ZONE A) ، (صحيات السادس ز)</t>
  </si>
  <si>
    <t xml:space="preserve">ارجاع فطع سقف ثانوي </t>
  </si>
  <si>
    <t>2026/07/28 - 09:36 ص</t>
  </si>
  <si>
    <t>(طابق (2)) ، (المصلى )</t>
  </si>
  <si>
    <t xml:space="preserve">صيانة رف ترب </t>
  </si>
  <si>
    <t>2026/07/28 - 09:37 ص</t>
  </si>
  <si>
    <t>(طابق (1)) ، (السادس و)</t>
  </si>
  <si>
    <t>صيانة رحلات عدد3</t>
  </si>
  <si>
    <t>2026/07/28 - 09:38 ص</t>
  </si>
  <si>
    <t>(طابق (1)) ، (الممر )</t>
  </si>
  <si>
    <t>2026/08/05 - 08:28 ص</t>
  </si>
  <si>
    <t xml:space="preserve">لم يتم تزويد الخزان الرئيسي بتنكر ماء </t>
  </si>
  <si>
    <t>2026/08/06 - 09:58 ص</t>
  </si>
  <si>
    <t>(طابق ارضي) ، (كل الطوابق)</t>
  </si>
  <si>
    <t xml:space="preserve">لايوجد ماء في المغاسل </t>
  </si>
  <si>
    <t>2026/08/09 - 07:19 ص</t>
  </si>
  <si>
    <t xml:space="preserve">انقطاع الطاقة الكهربائية </t>
  </si>
  <si>
    <t>2026/08/09 - 08:27 ص</t>
  </si>
  <si>
    <t>عدم عمل ماطور الماء الموقع مقابيل باب الاستعلامات مباشراً</t>
  </si>
  <si>
    <t>2026/08/09 - 10:13 ص</t>
  </si>
  <si>
    <t>2026/08/10 - 07:19 ص</t>
  </si>
  <si>
    <t>خلل في سبلت الموقع جناح الاداري طابق ارضي باب دخول زون B جهة الصفوف</t>
  </si>
  <si>
    <t>2026/08/09 - 11:21 ص</t>
  </si>
  <si>
    <t>(طابق ارضي) ، (ZONE A) ، (غرفه المعاون)</t>
  </si>
  <si>
    <t xml:space="preserve">صيانة لوكر </t>
  </si>
  <si>
    <t>2026/08/09 - 11:23 ص</t>
  </si>
  <si>
    <t>تبديل يدة شباك عدد2</t>
  </si>
  <si>
    <t>2026/08/09 - 11:24 ص</t>
  </si>
  <si>
    <t>(طابق ارضي) ، (ZONE A) ، (المعاون الاداري)</t>
  </si>
  <si>
    <t>2026/08/09 - 11:25 ص</t>
  </si>
  <si>
    <t>(طابق ارضي) ، (ZONE A) ، (الماون الاداري)</t>
  </si>
  <si>
    <t xml:space="preserve">تبديل مصد باب </t>
  </si>
  <si>
    <t>2026/08/09 - 11:26 ص</t>
  </si>
  <si>
    <t>صيانه كرسي  عدد 2</t>
  </si>
  <si>
    <t>2026/08/09 - 11:27 ص</t>
  </si>
  <si>
    <t xml:space="preserve">تبديل يدة باب المنيوم </t>
  </si>
  <si>
    <t>2026/08/09 - 11:28 ص</t>
  </si>
  <si>
    <t>2026/08/09 - 11:29 ص</t>
  </si>
  <si>
    <t>(طابق ارضي) ، (ZONE A) ، (معاون شؤن الطلبه)</t>
  </si>
  <si>
    <t xml:space="preserve">صيانة وتثبيت تعلاكه ملابس </t>
  </si>
  <si>
    <t>2026/08/09 - 11:30 ص</t>
  </si>
  <si>
    <t>تثبيت مرد ماء عدد 2</t>
  </si>
  <si>
    <t>2026/08/09 - 11:31 ص</t>
  </si>
  <si>
    <t>(طابق ارضي) ، (ZONE A) ، (الصحيات)</t>
  </si>
  <si>
    <t>تثبيت مرد ماء عدد 3</t>
  </si>
  <si>
    <t>(طابق (2)) ، (ZONE B) ، (الصحيات)</t>
  </si>
  <si>
    <t>تثبيت مرد ماء</t>
  </si>
  <si>
    <t>2026/08/09 - 11:33 ص</t>
  </si>
  <si>
    <t>(طابق ارضي) ، (ZONE B) ، (الصحيات)</t>
  </si>
  <si>
    <t xml:space="preserve">تثبيت مرد ماء </t>
  </si>
  <si>
    <t>2026/08/09 - 11:34 ص</t>
  </si>
  <si>
    <t>تثبيت مرد ماء عدد 5</t>
  </si>
  <si>
    <t>2026/08/09 - 11:35 ص</t>
  </si>
  <si>
    <t>صيانه الباب الفاصل بين الزونين</t>
  </si>
  <si>
    <t>2026/08/09 - 11:36 ص</t>
  </si>
  <si>
    <t>(قاعة رياضية__1)</t>
  </si>
  <si>
    <t xml:space="preserve">تيبديل يدة باب المنيوم </t>
  </si>
  <si>
    <t>2026/08/09 - 11:37 ص</t>
  </si>
  <si>
    <t>تثبيت بردة شباك</t>
  </si>
  <si>
    <t>2026/08/09 - 11:38 ص</t>
  </si>
  <si>
    <t xml:space="preserve">صيانة مصطبة </t>
  </si>
  <si>
    <t>2026/08/09 - 11:39 ص</t>
  </si>
  <si>
    <t>2026/08/09 - 11:40 ص</t>
  </si>
  <si>
    <t>فتح دكت تبريد (مساعده وحده الميكانيك)</t>
  </si>
  <si>
    <t>2026/08/09 - 11:41 ص</t>
  </si>
  <si>
    <t>مساعده وحدة الميكانيك في غسل قطع التبريد</t>
  </si>
  <si>
    <t>2026/08/09 - 11:42 ص</t>
  </si>
  <si>
    <t>2026/08/09 - 11:43 ص</t>
  </si>
  <si>
    <t>(الكراج) ، (المولدات)</t>
  </si>
  <si>
    <t>تعبئة الكاز ( مساعدة وحدة الكهلاباء )</t>
  </si>
  <si>
    <t>2026/08/09 - 11:44 ص</t>
  </si>
  <si>
    <t xml:space="preserve">حفر الارض لغرض تسليك بوري الاسالة </t>
  </si>
  <si>
    <t>2026/08/09 - 11:45 ص</t>
  </si>
  <si>
    <t>(ممرات البنايه)</t>
  </si>
  <si>
    <t xml:space="preserve">اعمال ملئ الفواصل لالرضيه الممرات </t>
  </si>
  <si>
    <t>2026/08/09 - 11:46 ص</t>
  </si>
  <si>
    <t>2026/08/09 - 11:47 ص</t>
  </si>
  <si>
    <t>اكمال اعمال حفر الارض لغرض تسليك بوري الاساله مع اعمال دفن البايب</t>
  </si>
  <si>
    <t>2026/08/09 - 11:48 ص</t>
  </si>
  <si>
    <t>صيانه رحلات عدد 2 الصف الرابع</t>
  </si>
  <si>
    <t>2026/08/09 - 11:49 ص</t>
  </si>
  <si>
    <t xml:space="preserve">صيانه رحلات عدد 1 الرابع ب </t>
  </si>
  <si>
    <t>2026/08/09 - 11:50 ص</t>
  </si>
  <si>
    <t xml:space="preserve">صيانه باب خشب الرابع ج </t>
  </si>
  <si>
    <t>2026/08/09 - 11:51 ص</t>
  </si>
  <si>
    <t>تثبيت اللوحة التعريفيه للصف الرابع ه</t>
  </si>
  <si>
    <t>2026/08/09 - 11:52 ص</t>
  </si>
  <si>
    <t>(طابق (1)) ، (الصحيات)</t>
  </si>
  <si>
    <t>2026/08/09 - 11:54 ص</t>
  </si>
  <si>
    <t xml:space="preserve">صيانة باب خشب الرابع و </t>
  </si>
  <si>
    <t>2026/08/11 - 12:28 م</t>
  </si>
  <si>
    <t>2026/08/13 - 07:06 ص</t>
  </si>
  <si>
    <t>متوقف سبلت عن العمل طابق ارضي جناح اداري</t>
  </si>
  <si>
    <t>2026/08/11 - 01:09 م</t>
  </si>
  <si>
    <t>2026/08/19 - 07:27 ص</t>
  </si>
  <si>
    <t xml:space="preserve">صيانة مغسلة في صحيات جهة الطلاب </t>
  </si>
  <si>
    <t xml:space="preserve">عدم توفر خلاط </t>
  </si>
  <si>
    <t>2026/08/13 - 12:11 م</t>
  </si>
  <si>
    <t>2026/08/13 - 12:42 م</t>
  </si>
  <si>
    <t xml:space="preserve">تحويل تشغيل الإنارة المنشورية والمراوح السقفية ومنظومة التبريد VRF من التشغيل الاعتيادي إلى تشغيل تلقائي </t>
  </si>
  <si>
    <t>2026/08/13 - 12:12 م</t>
  </si>
  <si>
    <t>2026/08/13 - 12:41 م</t>
  </si>
  <si>
    <t xml:space="preserve">تحويل تشغيل الإنارة المنشورية والمراوح السقفية ومنظومة التبريد من تشغيل اعتيادي إلى تلقائي </t>
  </si>
  <si>
    <t>2026/08/13 - 12:13 م</t>
  </si>
  <si>
    <t>تحويل تشغيل الإنارة المنشورية والمراوح السقفية ومنظومة التبريد من التشغيل الاعتيادي إلى تلقائي</t>
  </si>
  <si>
    <t>تم تحويل تشغيل الإنارة والمراوح السقفيةومنظومة التبريد (VRF) من التشغيل الاعتيادي إلى نظام التشغيل التلقائي عبر مؤقت زمني مبرمج للعمل من الساعة 6:00 صباحًا ولغاية 3:00 ظهرًا</t>
  </si>
  <si>
    <t>2026/08/13 - 12:14 م</t>
  </si>
  <si>
    <t>متابعة وتسجيل قراءات منظومة UPS</t>
  </si>
  <si>
    <t>2026/08/13 - 12:15 م</t>
  </si>
  <si>
    <t>2026/08/13 - 12:40 م</t>
  </si>
  <si>
    <t xml:space="preserve">صيانة خط كهرباء المغذي كرفانات الشركة الأمنية </t>
  </si>
  <si>
    <t>2026/08/13 - 12:21 م</t>
  </si>
  <si>
    <t>(غرفةً المضخات )</t>
  </si>
  <si>
    <t xml:space="preserve">فصل التغذية الكهربائية لإحدى المضخات لغرض صيانتها </t>
  </si>
  <si>
    <t>2026/08/13 - 12:39 م</t>
  </si>
  <si>
    <t>2026/08/13 - 12:23 م</t>
  </si>
  <si>
    <t>2026/08/13 - 12:24 م</t>
  </si>
  <si>
    <t>2026/08/13 - 12:38 م</t>
  </si>
  <si>
    <t>2026/08/13 - 12:25 م</t>
  </si>
  <si>
    <t xml:space="preserve">تسليك فلكس (١*٢)ملم لجميع الطوابق لغرض تحويل خطوط الإنارة والتبريد </t>
  </si>
  <si>
    <t xml:space="preserve">تم معالجة خلل في انارة المصعد في الكابينه الداخلية </t>
  </si>
  <si>
    <t>2026/08/13 - 12:26 م</t>
  </si>
  <si>
    <t>2026/08/13 - 12:37 م</t>
  </si>
  <si>
    <t xml:space="preserve">تسجيل قراءات الشبكة الوطنيّة </t>
  </si>
  <si>
    <t xml:space="preserve">صيانة شورت سيركت في احدى خطوط الإنارة المنشورية </t>
  </si>
  <si>
    <t>2026/08/13 - 12:27 م</t>
  </si>
  <si>
    <t>2026/08/13 - 12:36 م</t>
  </si>
  <si>
    <t xml:space="preserve">غسل وتنظيف منظومة الألواح الشمسية </t>
  </si>
  <si>
    <t>2026/08/13 - 12:28 م</t>
  </si>
  <si>
    <t>2026/08/13 - 12:29 م</t>
  </si>
  <si>
    <t>2026/08/13 - 12:30 م</t>
  </si>
  <si>
    <t xml:space="preserve">تنظيف جميع غرف الكهرباء </t>
  </si>
  <si>
    <t>تنظيف بوردات السيطرة ومنظومة الاتصالات الراك</t>
  </si>
  <si>
    <t>2026/08/13 - 12:31 م</t>
  </si>
  <si>
    <t>2026/08/13 - 12:35 م</t>
  </si>
  <si>
    <t>2026/08/13 - 12:32 م</t>
  </si>
  <si>
    <t xml:space="preserve">تنظيف بوردات السيطرة والمحولات الكهربائية ومنظومة الاتصالات الراك </t>
  </si>
  <si>
    <t>2026/08/13 - 12:33 م</t>
  </si>
  <si>
    <t>غسل وتنظيف بلاجكتورات الطاقة الشمسية</t>
  </si>
  <si>
    <t>2026/08/13 - 12:34 م</t>
  </si>
  <si>
    <t xml:space="preserve">ازالة الأغطية العلوية لمجموعة براميل زيت بطلب من قسم التربيه </t>
  </si>
  <si>
    <t>تم ترسيت منظومة VRFنتيجة ظهور كود CH150</t>
  </si>
  <si>
    <t>2026/08/13 - 12:51 م</t>
  </si>
  <si>
    <t>تم غسل سبلت الاعتيادي لغرفة استراحة الكهرباء والمدني</t>
  </si>
  <si>
    <t>2026/08/13 - 12:54 م</t>
  </si>
  <si>
    <t>2026/08/13 - 12:58 م</t>
  </si>
  <si>
    <t>تم غسل فلاتر السبالت الاعتياديه للبنايه بالكامل عدد9</t>
  </si>
  <si>
    <t>2026/08/13 - 12:57 م</t>
  </si>
  <si>
    <t xml:space="preserve">تم غسل فلاتر السبالت الاعتياديه لغرف الكهرباء </t>
  </si>
  <si>
    <t>2026/08/13 - 12:55 م</t>
  </si>
  <si>
    <t>تم غسل فلاتر سبلت غرفه المصعد</t>
  </si>
  <si>
    <t>2026/08/13 - 12:56 م</t>
  </si>
  <si>
    <t xml:space="preserve">تم غسل فلاتر سبالت الاعتيادية لغرف الكهرباء </t>
  </si>
  <si>
    <t>تم غسل فلاتر سبلت الاعتيادي لغرفة المصعد</t>
  </si>
  <si>
    <t>2026/08/13 - 12:59 م</t>
  </si>
  <si>
    <t>2026/08/13 - 01:11 م</t>
  </si>
  <si>
    <t>(الكراج) ، (ملعب (1))</t>
  </si>
  <si>
    <t>تم تثبيت انبوب سقي قرب الملعب الاول</t>
  </si>
  <si>
    <t>2026/08/13 - 01:00 م</t>
  </si>
  <si>
    <t>تم ربط قطع داخليه لمنظومة الVRF عدد8</t>
  </si>
  <si>
    <t xml:space="preserve">تم متابعة مضخة الاطفاء الثانوية </t>
  </si>
  <si>
    <t>2026/08/13 - 01:01 م</t>
  </si>
  <si>
    <t>(طابق ارضي) ، (ZONE A) ، (السطح)</t>
  </si>
  <si>
    <t>تم ترسيت منظومة التبريد الVRFنتيجة ظهور كود CH150</t>
  </si>
  <si>
    <t>2026/08/13 - 01:02 م</t>
  </si>
  <si>
    <t>تم تشغيل جميع قطع منظومة التبريد الVRF</t>
  </si>
  <si>
    <t>2026/08/13 - 01:03 م</t>
  </si>
  <si>
    <t>2026/08/13 - 01:10 م</t>
  </si>
  <si>
    <t>تم متابعة جميع قطع الخارجية لمنظومة التبريد الVRF</t>
  </si>
  <si>
    <t xml:space="preserve">تم فحص ومتابعة مضخه الإطفاء الثانوية </t>
  </si>
  <si>
    <t>2026/08/13 - 01:04 م</t>
  </si>
  <si>
    <t>(طابق (1)) ، (ZONE A) ، (السطح)</t>
  </si>
  <si>
    <t xml:space="preserve">تم متابعة سبلت الاعتيادي لغرفة الكهرباء </t>
  </si>
  <si>
    <t>2026/08/13 - 01:05 م</t>
  </si>
  <si>
    <t>تم متابعة مضخة الاطفاء الثانوية من حيث الفحص والادامه</t>
  </si>
  <si>
    <t>2026/08/13 - 01:06 م</t>
  </si>
  <si>
    <t>تم ربط قطع داخليه لمنظومة التبريد الVRF عدد7</t>
  </si>
  <si>
    <t>2026/08/13 - 01:07 م</t>
  </si>
  <si>
    <t xml:space="preserve">تم فحص ومتابعة مضخة الاطفاء الثانوية </t>
  </si>
  <si>
    <t>2026/08/13 - 01:08 م</t>
  </si>
  <si>
    <t>2026/08/13 - 01:09 م</t>
  </si>
  <si>
    <t xml:space="preserve">تم جرد جميع السيفونات في البنايه </t>
  </si>
  <si>
    <t>2026/08/15 - 11:40 ص</t>
  </si>
  <si>
    <t>2026/08/15 - 01:06 م</t>
  </si>
  <si>
    <t>يدة باب داخل صحيات جناح الادراي يسار الاستعلامات</t>
  </si>
  <si>
    <t>2026/08/16 - 08:46 ص</t>
  </si>
  <si>
    <t>2026/08/16 - 10:32 ص</t>
  </si>
  <si>
    <t xml:space="preserve">التبريد التكيف لا يعمل </t>
  </si>
  <si>
    <t>2026/08/16 - 10:21 ص</t>
  </si>
  <si>
    <t>2026/08/18 - 08:33 ص</t>
  </si>
  <si>
    <t>مقبض شباك في الغرفة الإدارية يسار الاستعلامات</t>
  </si>
  <si>
    <t>2026/08/16 - 11:45 ص</t>
  </si>
  <si>
    <t>شد ضاغط هايدرولكي لباب الاستعلامات لغرض غلق الباب اوتوماتيكيا</t>
  </si>
  <si>
    <t>2026/08/17 - 08:48 ص</t>
  </si>
  <si>
    <t>(طابق ارضي) ، (ZONE B) ، (الرابع ه)</t>
  </si>
  <si>
    <t xml:space="preserve">تثبيت لوحة تعريفية </t>
  </si>
  <si>
    <t>2026/08/17 - 08:49 ص</t>
  </si>
  <si>
    <t>(طابق (1)) ، (ZONE B) ، (الصحيات)</t>
  </si>
  <si>
    <t>2026/08/17 - 08:50 ص</t>
  </si>
  <si>
    <t>2026/08/17 - 08:52 ص</t>
  </si>
  <si>
    <t>صيانه باب خشب</t>
  </si>
  <si>
    <t>2026/08/17 - 08:54 ص</t>
  </si>
  <si>
    <t>صبغ الابواب الخشب للطابق  بالكامل  بمادة الدملووك</t>
  </si>
  <si>
    <t>مسند الدرج في الطابق الأرضي والثاني بحاجة إلى صيانة</t>
  </si>
  <si>
    <t>2026/08/17 - 08:55 ص</t>
  </si>
  <si>
    <t xml:space="preserve">صبغ الابواب الخشبية بمادة الوورنيش </t>
  </si>
  <si>
    <t>2026/08/17 - 08:56 ص</t>
  </si>
  <si>
    <t>صبغ الابواب الخشبيه بماده الدملوك</t>
  </si>
  <si>
    <t>2026/08/17 - 08:57 ص</t>
  </si>
  <si>
    <t>صبغ الابواب الخشبية بمادة الورنيش</t>
  </si>
  <si>
    <t>2026/08/17 - 08:58 ص</t>
  </si>
  <si>
    <t>2026/08/18 - 08:40 ص</t>
  </si>
  <si>
    <t>طفايات الحريق في الطابق الأرضي بحاجة إلى رفعها من الأرض ونصبها على الحائط</t>
  </si>
  <si>
    <t>صبغ الابواب الخشبية بمادة الدملوك</t>
  </si>
  <si>
    <t>2026/08/17 - 08:59 ص</t>
  </si>
  <si>
    <t xml:space="preserve">صبغ الابواب الخشبية بمادة الورنيش </t>
  </si>
  <si>
    <t>2026/08/17 - 09:00 ص</t>
  </si>
  <si>
    <t xml:space="preserve">صبغ الابواب الخشبية بمادة الدملوك </t>
  </si>
  <si>
    <t>2026/08/17 - 09:01 ص</t>
  </si>
  <si>
    <t>2026/08/17 - 09:02 ص</t>
  </si>
  <si>
    <t xml:space="preserve">صبغ الابواب الخشبية بماده الدملوك </t>
  </si>
  <si>
    <t>2026/08/17 - 09:03 ص</t>
  </si>
  <si>
    <t xml:space="preserve">صبغ الابواب الخشبية بماده الورنيش </t>
  </si>
  <si>
    <t>صبغ الابواب الخشبيه بمادة الدملوك</t>
  </si>
  <si>
    <t>2026/08/17 - 09:04 ص</t>
  </si>
  <si>
    <t>صبغ الابواب الاخشبية بماده الدملوك</t>
  </si>
  <si>
    <t>2026/08/17 - 09:05 ص</t>
  </si>
  <si>
    <t>2026/08/17 - 09:07 ص</t>
  </si>
  <si>
    <t>(طابق ارضي) ، (ZONE B) ، (الثاني و)</t>
  </si>
  <si>
    <t>ارجاع وتثبيت قطعة هزارة</t>
  </si>
  <si>
    <t>2026/08/17 - 09:08 ص</t>
  </si>
  <si>
    <t>2026/08/17 - 09:09 ص</t>
  </si>
  <si>
    <t>صيانة رحلات عدد  12</t>
  </si>
  <si>
    <t>2026/08/17 - 09:10 ص</t>
  </si>
  <si>
    <t>2026/08/17 - 09:11 ص</t>
  </si>
  <si>
    <t>2026/08/17 - 09:12 ص</t>
  </si>
  <si>
    <t>2026/08/17 - 09:13 ص</t>
  </si>
  <si>
    <t>صيانة باب الحديد الرئيسية</t>
  </si>
  <si>
    <t>2026/08/17 - 09:35 ص</t>
  </si>
  <si>
    <t>2026/08/17 - 09:36 ص</t>
  </si>
  <si>
    <t xml:space="preserve">صيانة وتثبيت هزارة خشب </t>
  </si>
  <si>
    <t>2026/08/17 - 09:37 ص</t>
  </si>
  <si>
    <t>صيلنة رحلات عدد 5</t>
  </si>
  <si>
    <t>2026/08/17 - 09:38 ص</t>
  </si>
  <si>
    <t xml:space="preserve">تبديل ضفدع شباك </t>
  </si>
  <si>
    <t>2026/08/17 - 09:39 ص</t>
  </si>
  <si>
    <t>اعمال دفن البوري مع اضافة طبقة صبة نضافه وتثبيت منهولات عدد2</t>
  </si>
  <si>
    <t>2026/08/17 - 09:40 ص</t>
  </si>
  <si>
    <t>اخراج الانقاض الى خارج المجمع</t>
  </si>
  <si>
    <t>2026/08/17 - 11:14 ص</t>
  </si>
  <si>
    <t>تثبيت لوحات تعريفية على الحائط في الغرف الإدارية</t>
  </si>
  <si>
    <t>2026/08/18 - 09:54 ص</t>
  </si>
  <si>
    <t xml:space="preserve">يجب استبدال براد الماء </t>
  </si>
  <si>
    <t>2026/08/18 - 09:58 ص</t>
  </si>
  <si>
    <t>براد الماء قرب الادارة هناك تسريب ماء من المنفذ البارد</t>
  </si>
  <si>
    <t>2026/08/19 - 11:05 ص</t>
  </si>
  <si>
    <t>2026/08/19 - 11:27 ص</t>
  </si>
  <si>
    <t>مقبض نافذة لا يعمل يجب تبديله</t>
  </si>
  <si>
    <t>2026/08/19 - 11:50 ص</t>
  </si>
  <si>
    <t>2026/08/19 - 12:08 م</t>
  </si>
  <si>
    <t>فتح (8) قطع داخلية في البناية الثانية (VRF)</t>
  </si>
  <si>
    <t>2026/08/19 - 11:51 ص</t>
  </si>
  <si>
    <t>فتح (5) قطع داخلية في البناية الثانية (VRF)</t>
  </si>
  <si>
    <t>2026/08/19 - 11:53 ص</t>
  </si>
  <si>
    <t>2026/08/19 - 12:09 م</t>
  </si>
  <si>
    <t>فتح (19) قطعة داخلية (VRF) في البناية الرابعة بمساعدة وحدة الكهرباء.</t>
  </si>
  <si>
    <t>2026/08/19 - 11:59 ص</t>
  </si>
  <si>
    <t>فتح (16) قطعة داخلية (VRF) في البناية الرابعة</t>
  </si>
  <si>
    <t>2026/08/19 - 12:00 م</t>
  </si>
  <si>
    <t>2026/08/19 - 12:20 م</t>
  </si>
  <si>
    <t>فتح (15) قطعة داخلية (VRF) في البناية الرابعة</t>
  </si>
  <si>
    <t>2026/08/19 - 12:07 م</t>
  </si>
  <si>
    <t>غسل (12) قطعة داخلية (VRF) بمساعدة قسم التربية.</t>
  </si>
  <si>
    <t>2026/08/19 - 12:21 م</t>
  </si>
  <si>
    <t xml:space="preserve">غسل (20) قطعة داخلية (VRF) في البناية الرابعة </t>
  </si>
  <si>
    <t>2026/08/19 - 12:10 م</t>
  </si>
  <si>
    <t>غسل (12) قطعة داخلية (VRF).</t>
  </si>
  <si>
    <t>2026/08/19 - 12:11 م</t>
  </si>
  <si>
    <t>2026/08/19 - 12:22 م</t>
  </si>
  <si>
    <t>غسل وتنظيف ملحقات القطع الداخلية (VRF) (فانات، كاسيت، فلين، فلاتر، أحواض، أغطية وشبابيك) لعدد أكثر من (43) قطعة</t>
  </si>
  <si>
    <t>توقف جزء من أعمال غسل قطع الـ VRF بسبب انقطاع المياه</t>
  </si>
  <si>
    <t>2026/08/19 - 12:12 م</t>
  </si>
  <si>
    <t>نقل جميع القطع المغسولة إلى الغرف المخصصة .</t>
  </si>
  <si>
    <t>2026/08/19 - 12:14 م</t>
  </si>
  <si>
    <t>(طابق (1)) ، (طابق (2))</t>
  </si>
  <si>
    <t>ربط وشد (21) قطعة داخلية (VRF) موزعة على جميع الطوابق</t>
  </si>
  <si>
    <t>2026/08/19 - 12:15 م</t>
  </si>
  <si>
    <t>2026/08/19 - 12:23 م</t>
  </si>
  <si>
    <t xml:space="preserve">ربط (30) قطعة داخلية (VRF) في البناية الرابعة </t>
  </si>
  <si>
    <t xml:space="preserve">ربط (26) قطعة داخلية (VRF) في البناية الرابعة . </t>
  </si>
  <si>
    <t>(طابق ارضي) ، (السطح)</t>
  </si>
  <si>
    <t>إجراء إعادة ضبط (Reset) للقطعة الخارجية وصيانة (5) فانات داخلية فيها.</t>
  </si>
  <si>
    <t>صيانة إحدى قطع الـ (VRF) الداخلية ومتابعة كفاءة التبريد .</t>
  </si>
  <si>
    <t>2026/08/19 - 12:24 م</t>
  </si>
  <si>
    <t>بعد إتمام عمليات الغسل والربط تم تشغيل المنظومة وفحص جودة التبريد بالكامل.</t>
  </si>
  <si>
    <t>2026/08/19 - 12:25 م</t>
  </si>
  <si>
    <t>2026/08/19 - 01:26 م</t>
  </si>
  <si>
    <t>(السنكرو قرب المولدات)</t>
  </si>
  <si>
    <t>صيانة خط المياه الرئيسي المغذي للبنايات.</t>
  </si>
  <si>
    <t>2026/08/19 - 12:26 م</t>
  </si>
  <si>
    <t>(3_C  المتوسطة) ، (4_D  الاعدادية)</t>
  </si>
  <si>
    <t>بمساعدة وحدة المدني تم حفر مكان تسريب في أنبوب المياه الرئيسي وتم قص الأنبوب ومعالجته.</t>
  </si>
  <si>
    <t>2026/08/19 - 12:28 م</t>
  </si>
  <si>
    <t>2026/08/19 - 01:27 م</t>
  </si>
  <si>
    <t>متابعة أنبوب الماء الرئيسي الواصل إلى البنايات وتم إحكام ربط (ضب) منطقة (اليونين) لمعالجة تسريب بسيط.</t>
  </si>
  <si>
    <t>2026/08/19 - 12:29 م</t>
  </si>
  <si>
    <t>إغلاق صمام (كاك) نتيجة حدوث تسريب مياه من أنبوب قرب المولدات.</t>
  </si>
  <si>
    <t>(غرفة المضخات الرئيسية)</t>
  </si>
  <si>
    <t>تغيير حجم أنبوب خط الطوارئ الخاص بالخزان الرئيسي وإغلاق صمام الماء الرئيسي للخزان.</t>
  </si>
  <si>
    <t>تعبئة خزان المياه الرئيسي بواسطة حوضيات (تناكر) على دفعتين (بسعة 25,000 لتر و 20,000 لتر).</t>
  </si>
  <si>
    <t>2026/08/19 - 12:31 م</t>
  </si>
  <si>
    <t>إخراج مضخة دفع المياه إلى البنايات عن العمل وإغلاق الصمام الرئيسي الواصل إليها، لوجود خلل وتسريب مياه من منطقة مانع التسرب (mechanical seal).</t>
  </si>
  <si>
    <t>2026/08/19 - 01:25 م</t>
  </si>
  <si>
    <t>تشغيل مضخة إنتاج ماء الـ (RO) وفق النسب المقبولة، وتشغيل مضخة الدفع للبنايات ثم إطفاؤها بعد إنجاز المطلوب.</t>
  </si>
  <si>
    <t>تم رصد وجود تسريب أثناء متابعة وفحص إحدى مضخات الإطفاء الرئيسية.</t>
  </si>
  <si>
    <t>2026/08/20 - 08:58 ص</t>
  </si>
  <si>
    <t>2026/08/20 - 11:04 ص</t>
  </si>
  <si>
    <t>ضاغط هيدروليكي لباب الاستعلامات لغرض فتحه وغلقه أوتوماتيكيا</t>
  </si>
  <si>
    <t>2026/08/20 - 11:43 ص</t>
  </si>
  <si>
    <t>2026/08/20 - 01:33 م</t>
  </si>
  <si>
    <t xml:space="preserve">(ZONE A) الطابق الارضي </t>
  </si>
  <si>
    <t>خرطوم سنك المطبخ صيانه</t>
  </si>
  <si>
    <t>2026/08/20 - 11:49 ص</t>
  </si>
  <si>
    <t>2026/08/20 - 01:47 م</t>
  </si>
  <si>
    <t>تريشة سقف ثانوي جهة المصلى</t>
  </si>
  <si>
    <t>2026/08/20 - 11:52 ص</t>
  </si>
  <si>
    <t>2026/08/20 - 01:22 م</t>
  </si>
  <si>
    <t xml:space="preserve"> خرطوم مغلسه بلصحيات الخارجيه الخاصه بلصفوف ط 2</t>
  </si>
  <si>
    <t>2026/08/20 - 01:38 م</t>
  </si>
  <si>
    <t>2026/08/20 - 01:42 م</t>
  </si>
  <si>
    <t xml:space="preserve">فتح (3) قطع داخلية لمنظومة التبريد (VRF) </t>
  </si>
  <si>
    <t xml:space="preserve">فتح (7) قطع داخلية لمنظومة التبريد (VRF) </t>
  </si>
  <si>
    <t>2026/08/20 - 01:39 م</t>
  </si>
  <si>
    <t>فتح (4) قطع داخلية لمنظومة التبريد (VRF)</t>
  </si>
  <si>
    <t>2026/08/20 - 01:41 م</t>
  </si>
  <si>
    <t xml:space="preserve">فتح (2) قطعة داخلية لمنظومة التبريد (VRF) </t>
  </si>
  <si>
    <t>2026/08/20 - 01:40 م</t>
  </si>
  <si>
    <t xml:space="preserve">فتح وتنزيل كارت منظومة (VRF) </t>
  </si>
  <si>
    <t xml:space="preserve">فتح وغسل جهاز تبريد اعتيادي (سبلت) في غرفة الكهرباء </t>
  </si>
  <si>
    <t xml:space="preserve">غسل (22) قطعة داخلية لمنظومة التبريد (VRF) </t>
  </si>
  <si>
    <t>(طابق ارضي) ، (طابق (1)) ، (طابق (2)) ، (ZONE A)</t>
  </si>
  <si>
    <t>غسل ملحقات القطع الداخلية لمنظومة التبريد (VRF) بمساعدة وحدة المدني والكهرباء وشملت: (22 فان، 22 شباك، 22 حوض، 22 إطار).</t>
  </si>
  <si>
    <t>2026/08/20 - 01:43 م</t>
  </si>
  <si>
    <t>غسل (10) قطع داخلية لمنظومة التبريد (VRF)</t>
  </si>
  <si>
    <t>ربط (4) قطع داخلية لمنظومة التبريد (VRF)</t>
  </si>
  <si>
    <t>2026/08/20 - 01:44 م</t>
  </si>
  <si>
    <t>ربط (9) قطع داخلية لمنظومة التبريد (VRF)</t>
  </si>
  <si>
    <t>2026/08/20 - 01:45 م</t>
  </si>
  <si>
    <t>شد (4) قطع داخلية لمنظومة التبريد (VRF)</t>
  </si>
  <si>
    <t>ربط (3) قطع داخلية لمنظومة التبريد (VRF)</t>
  </si>
  <si>
    <t>2026/08/20 - 01:46 م</t>
  </si>
  <si>
    <t xml:space="preserve">ربط (6) قطع داخلية لمنظومة التبريد (VRF) </t>
  </si>
  <si>
    <t>ربط (10) قطع داخلية لمنظومة التبريد (VRF)</t>
  </si>
  <si>
    <t>2026/08/20 - 01:49 م</t>
  </si>
  <si>
    <t>2026/08/20 - 01:51 م</t>
  </si>
  <si>
    <t xml:space="preserve">ربط (7) قطع داخلية لمنظومة التبريد (VRF) </t>
  </si>
  <si>
    <t xml:space="preserve">ربط (8) قطع داخلية لمنظومة التبريد (VRF) </t>
  </si>
  <si>
    <t>صيانة (Fan) خاص بمنظومة التبريد (VRF)</t>
  </si>
  <si>
    <t>2026/08/20 - 01:50 م</t>
  </si>
  <si>
    <t>استبدال (Fan) لقطعة داخلية لمنظومة التبريد (VRF)</t>
  </si>
  <si>
    <t>استبدال (Fan) لتبريد (VRF) في غرفة المدير</t>
  </si>
  <si>
    <t>2026/08/20 - 01:53 م</t>
  </si>
  <si>
    <t>تغيير (Fan) لتبريد (VRF) في غرفة المعاون الاداري</t>
  </si>
  <si>
    <t>2026/08/20 - 01:54 م</t>
  </si>
  <si>
    <t>استبدال كارت لمنظومة التبريد (VRF)</t>
  </si>
  <si>
    <t>2026/08/20 - 01:55 م</t>
  </si>
  <si>
    <t>تغيير كارت لمنظومة التبريد (VRF) في ممر  Z.A</t>
  </si>
  <si>
    <t>إعادة ضبط (Reset) و (Thermostat) لمنظومات التبريد (VRF)</t>
  </si>
  <si>
    <t xml:space="preserve">ربط حساس درجة حرارة لتبريد (VRF) </t>
  </si>
  <si>
    <t xml:space="preserve">تعريف وترسيت منظومة التبريد (VRF) </t>
  </si>
  <si>
    <t>2026/08/20 - 01:56 م</t>
  </si>
  <si>
    <t xml:space="preserve">تشغيل التبريد (VRF) </t>
  </si>
  <si>
    <t>2026/08/20 - 01:57 م</t>
  </si>
  <si>
    <t xml:space="preserve">إطفاء البكج </t>
  </si>
  <si>
    <t>2026/08/20 - 01:58 م</t>
  </si>
  <si>
    <t>تشغيل وإطفاء بكجات القاعة الرياضية</t>
  </si>
  <si>
    <t>2026/08/22 - 07:28 ص</t>
  </si>
  <si>
    <t>2026/08/23 - 07:07 ص</t>
  </si>
  <si>
    <t xml:space="preserve">نقطة الكهرباء الخاصة جهاز النداء  لا تعمل وكذلك البصمة </t>
  </si>
  <si>
    <t>2026/08/22 - 08:24 ص</t>
  </si>
  <si>
    <t>2026/08/22 - 10:40 ص</t>
  </si>
  <si>
    <t xml:space="preserve">باب غرفة التقنيه يحتاج الى صيانه قفل </t>
  </si>
  <si>
    <t>2026/08/22 - 10:29 ص</t>
  </si>
  <si>
    <t>2026/08/23 - 11:53 ص</t>
  </si>
  <si>
    <t xml:space="preserve">لوكر يحتاج الى تبديل اقفال عدد 3 </t>
  </si>
  <si>
    <t>2026/08/22 - 10:31 ص</t>
  </si>
  <si>
    <t xml:space="preserve">لوكر حديد يحتاج الى تبديل قفل عدد 3 غرفة التقنيه اظافه الى تبديل قفل ملحق ميز  mdf </t>
  </si>
  <si>
    <t>2026/08/22 - 11:03 ص</t>
  </si>
  <si>
    <t>2026/08/22 - 11:45 ص</t>
  </si>
  <si>
    <t>سبلت يحتاج الى صيانه في الصف مقابيل صحيات طابق ارضي</t>
  </si>
  <si>
    <t>2026/08/22 - 02:36 م</t>
  </si>
  <si>
    <t>2026/08/22 - 03:13 م</t>
  </si>
  <si>
    <t>جرد الصحيات بالكامل ومعالجة بعض المشاكل</t>
  </si>
  <si>
    <t>2026/08/22 - 02:37 م</t>
  </si>
  <si>
    <t>جرد الصحيات في البنايتين بالكامل.</t>
  </si>
  <si>
    <t>2026/08/22 - 03:14 م</t>
  </si>
  <si>
    <t>فتح انسداد في الصحيات .</t>
  </si>
  <si>
    <t>2026/08/22 - 02:38 م</t>
  </si>
  <si>
    <t>2026/08/22 - 02:39 م</t>
  </si>
  <si>
    <t>جرد وصيانة السيفونات  والمجاميع الخارجية للطابق الثاني.</t>
  </si>
  <si>
    <t>إكمال إصلاح تسريب أنبوب الماء الرئيسي للمجمع (PPR).</t>
  </si>
  <si>
    <t>صيانة صمام زاوية (كاك) عدد (2) .</t>
  </si>
  <si>
    <t>2026/08/22 - 02:40 م</t>
  </si>
  <si>
    <t>2026/08/22 - 03:19 م</t>
  </si>
  <si>
    <t>إغلاق حنفيات المياه في البناية</t>
  </si>
  <si>
    <t>صيانة طوافة خزان المياه ومعالجة تسريب في الخزان.</t>
  </si>
  <si>
    <t>2026/08/22 - 02:41 م</t>
  </si>
  <si>
    <t>(الحديفة)</t>
  </si>
  <si>
    <t>استبدال حنفية المياه الخاصة بغطاس الحديقة الخارجية.</t>
  </si>
  <si>
    <t>جرد كافة البنايات لتحديد النواقص والاحتياجات والأعطال في برادات المياه.</t>
  </si>
  <si>
    <t>2026/08/22 - 02:42 م</t>
  </si>
  <si>
    <t>2026/08/22 - 03:20 م</t>
  </si>
  <si>
    <t>تأسيس خط مياه للمختبرات .</t>
  </si>
  <si>
    <t>2026/08/22 - 02:43 م</t>
  </si>
  <si>
    <t>تأسيس خط تصريف (مجاري) وتثبيت وإجراء عمليات تثقيب للمختبرات</t>
  </si>
  <si>
    <t>إجراء كشف موقعي لتأسيس خط مياه ومجرى للمختبرات في البناية الثالثة.</t>
  </si>
  <si>
    <t>2026/08/22 - 02:47 م</t>
  </si>
  <si>
    <t>(الكراج) ، (قرب كرفان الشركة الامنية)</t>
  </si>
  <si>
    <t>تأسيس أنبوب مياه للمضخة (الماطور).</t>
  </si>
  <si>
    <t>تأسيس خط مياه من الكراج إلى الخزان الرئيسي بحجم (1 إنج).</t>
  </si>
  <si>
    <t>2026/08/22 - 02:48 م</t>
  </si>
  <si>
    <t>(الحديقة الخارجية)</t>
  </si>
  <si>
    <t>تثبيت أنابيب السقي في الحدائق الخارجية وربط صمام (كاك) فيها.</t>
  </si>
  <si>
    <t>تعبئة خزانات المياه في البناية الرابعة.</t>
  </si>
  <si>
    <t>2026/08/22 - 03:04 م</t>
  </si>
  <si>
    <t>2026/08/22 - 03:21 م</t>
  </si>
  <si>
    <t>تعبئة الخزان الرئيسي بواسطة حوضيات (تناكر) سعة (20,000 لتر) وسعة (24,000 لتر - دفعتين).</t>
  </si>
  <si>
    <t>2026/08/22 - 03:22 م</t>
  </si>
  <si>
    <t>تزيت مقياس الخزان الرئيسي للبنايات.</t>
  </si>
  <si>
    <t>فتح ونقل مضخة مياه (إسالة) إلى ورشة التصليح لوجود خلل فيها.</t>
  </si>
  <si>
    <t>2026/08/22 - 03:05 م</t>
  </si>
  <si>
    <t>تشغيل مضخة الدفع للبنايات بعد تجميع المياه من خط طوارئ الكراج.</t>
  </si>
  <si>
    <t>ربط المضخة الرئيسية في غرفة المضخات.</t>
  </si>
  <si>
    <t>تشغيل مضخة المياه الرئيسية لغرض ملء خزانات المباني ثم إطفاؤها.</t>
  </si>
  <si>
    <t>2026/08/22 - 03:06 م</t>
  </si>
  <si>
    <t>تشغيل مضخة المياه الاحتياطية لملء الخزان الرئيسي ثم إطفاؤها.</t>
  </si>
  <si>
    <t>2026/08/22 - 03:23 م</t>
  </si>
  <si>
    <t>تشغيل وإطفاء مضخة دفع مياه (RO) للبنايات.</t>
  </si>
  <si>
    <t>تشغيل وإطفاء مضخة إنتاج مياه (RO).</t>
  </si>
  <si>
    <t>2026/08/22 - 03:07 م</t>
  </si>
  <si>
    <t>تم إخراج مضخة الإطفاء الرئيسية عن الخدمة مؤقتاً بسبب وجود تسريب لحين توفر الصيانة.</t>
  </si>
  <si>
    <t>متابعة خلل (Pressure Switch) في مضخة الإطفاء بالبناية الثانية، وتم إخراج المضخة عن الخدمة.</t>
  </si>
  <si>
    <t>2026/08/22 - 03:08 م</t>
  </si>
  <si>
    <t>متابعة تسريب في صندوق حريق البناية الرابعة .</t>
  </si>
  <si>
    <t>مساعدة وحدة الكهرباء في فحص إنارة .</t>
  </si>
  <si>
    <t>2026/08/22 - 03:09 م</t>
  </si>
  <si>
    <t>2026/08/22 - 03:24 م</t>
  </si>
  <si>
    <t>(قرب كرفان الشركة الامنية)</t>
  </si>
  <si>
    <t>تأسيس بورد بلاستيك خاص لمضخة (ماطور) خط الطوارئ في الكراج.</t>
  </si>
  <si>
    <t>2026/08/23 - 08:11 ص</t>
  </si>
  <si>
    <t>يوجد برده جداريه مخلوعه من مكانها في الاستراحه قرب الحانوت بالطابق الثاني</t>
  </si>
  <si>
    <t>2026/08/23 - 09:05 ص</t>
  </si>
  <si>
    <t xml:space="preserve">تبديل مقبض باب غرفة المخزن خارج الاستعلامات </t>
  </si>
  <si>
    <t>2026/08/23 - 11:18 ص</t>
  </si>
  <si>
    <t>2026/08/24 - 11:51 ص</t>
  </si>
  <si>
    <t xml:space="preserve">السنك الخاص بغرفة ضيافه يحتاج الى تبديل خرطوم سنك </t>
  </si>
  <si>
    <t>2026/08/24 - 08:31 ص</t>
  </si>
  <si>
    <t>2026/08/24 - 09:58 ص</t>
  </si>
  <si>
    <t>(طابق ارضي) ، (باب الغرفة مقابل الاستعلامات لا يفتح )</t>
  </si>
  <si>
    <t>باب الغرفة مقابل الاستعلامات لا يفتح</t>
  </si>
  <si>
    <t>2026/08/24 - 08:59 ص</t>
  </si>
  <si>
    <t>2026/08/24 - 12:16 م</t>
  </si>
  <si>
    <t>منصة قرأن تحتاج الى صيانه</t>
  </si>
  <si>
    <t>2026/08/24 - 09:49 ص</t>
  </si>
  <si>
    <t xml:space="preserve">غرفة الارشاد تحتاج الى لاسق جام تضليل </t>
  </si>
  <si>
    <t>2026/08/25 - 08:33 ص</t>
  </si>
  <si>
    <t>2026/08/25 - 08:48 ص</t>
  </si>
  <si>
    <t>طفايات الحريق في الاستعلامات بحاجة إلى تثبيت على  الحائط</t>
  </si>
  <si>
    <t>2026/08/25 - 08:39 ص</t>
  </si>
  <si>
    <t>نرماده لحيم الموقع صف الاول ح</t>
  </si>
  <si>
    <t>2026/08/25 - 09:33 ص</t>
  </si>
  <si>
    <t>2026/08/26 - 01:43 م</t>
  </si>
  <si>
    <t>(طابق (1)) ، (الزون الداخلي ( الصحيات) )</t>
  </si>
  <si>
    <t>سبوت لايت يحتاج إلى تثبيت</t>
  </si>
  <si>
    <t>2026/08/26 - 07:26 ص</t>
  </si>
  <si>
    <t>2026/08/26 - 08:38 ص</t>
  </si>
  <si>
    <t>حساس الإنارة في الصحيات لا يعمل</t>
  </si>
  <si>
    <t>2026/08/26 - 07:57 ص</t>
  </si>
  <si>
    <t>2026/08/26 - 10:29 ص</t>
  </si>
  <si>
    <t xml:space="preserve">غرفة المدرسين القديمة احد الشبابيك يحتاج الى قفل شباك </t>
  </si>
  <si>
    <t>2026/08/26 - 08:31 ص</t>
  </si>
  <si>
    <t>2026/08/26 - 10:28 ص</t>
  </si>
  <si>
    <t xml:space="preserve">صيانة مرمر في درج باب الاستعلامات </t>
  </si>
  <si>
    <t>2026/08/26 - 08:48 ص</t>
  </si>
  <si>
    <t>2026/08/26 - 10:26 ص</t>
  </si>
  <si>
    <t xml:space="preserve">نقص قطعة سقف ثانوي </t>
  </si>
  <si>
    <t>2026/08/26 - 08:49 ص</t>
  </si>
  <si>
    <t>2026/08/26 - 10:51 ص</t>
  </si>
  <si>
    <t xml:space="preserve">غرفة المكتبه </t>
  </si>
  <si>
    <t>2026/08/26 - 09:09 ص</t>
  </si>
  <si>
    <t>خرطوم السنك يحتاج تبديل بالمطعم</t>
  </si>
  <si>
    <t>2026/08/26 - 10:24 ص</t>
  </si>
  <si>
    <t>شد فريم سبلت الموقع : (المكتبه)</t>
  </si>
  <si>
    <t>2026/08/26 - 11:03 ص</t>
  </si>
  <si>
    <t>2026/08/27 - 12:40 م</t>
  </si>
  <si>
    <t xml:space="preserve">شد بردة زيبرا عدد 3 المخزن القديم وبصف المخزن </t>
  </si>
  <si>
    <t>2026/08/26 - 11:05 ص</t>
  </si>
  <si>
    <t>تعديل سقف ثانوي المرر</t>
  </si>
  <si>
    <t>2026/08/26 - 11:18 ص</t>
  </si>
  <si>
    <t xml:space="preserve">اخراج انقاض الحفر </t>
  </si>
  <si>
    <t>2026/08/26 - 11:19 ص</t>
  </si>
  <si>
    <t>2026/08/26 - 11:21 ص</t>
  </si>
  <si>
    <t>(طابق ارضي) ، (ZONE A) ، (غرفه  الارشاد )</t>
  </si>
  <si>
    <t xml:space="preserve">معالجة تقوب في الحائط </t>
  </si>
  <si>
    <t>2026/08/26 - 11:22 ص</t>
  </si>
  <si>
    <t xml:space="preserve">تضليل شبابيك الغرفة </t>
  </si>
  <si>
    <t>2026/08/26 - 11:23 ص</t>
  </si>
  <si>
    <t xml:space="preserve">اعاده وتبديل قطع السقف الثانوي المتضررة </t>
  </si>
  <si>
    <t>2026/08/26 - 11:24 ص</t>
  </si>
  <si>
    <t xml:space="preserve">اعادة وتبديل قطع السقف الثانوي المتضررة </t>
  </si>
  <si>
    <t>2026/08/26 - 11:25 ص</t>
  </si>
  <si>
    <t xml:space="preserve">صيانة محجر درج </t>
  </si>
  <si>
    <t>2026/08/26 - 11:26 ص</t>
  </si>
  <si>
    <t>(طابق ارضي) ، (غرفه  الارشاد )</t>
  </si>
  <si>
    <t xml:space="preserve">تثبيت رف خشبي </t>
  </si>
  <si>
    <t>2026/08/26 - 11:27 ص</t>
  </si>
  <si>
    <t>(طابق ارضي) ، (غرفة المعلمين)</t>
  </si>
  <si>
    <t>تثبيت سبورة</t>
  </si>
  <si>
    <t>2026/08/26 - 11:28 ص</t>
  </si>
  <si>
    <t>2026/08/26 - 11:29 ص</t>
  </si>
  <si>
    <t>اعاده وتركيب وتبديل قطع السقف الثانوي المتضرر</t>
  </si>
  <si>
    <t>2026/08/26 - 11:30 ص</t>
  </si>
  <si>
    <t xml:space="preserve">اعدة وتبديل قطع السقف الثانوي المتضرر </t>
  </si>
  <si>
    <t>2026/08/26 - 11:31 ص</t>
  </si>
  <si>
    <t xml:space="preserve">اعمال لصق التيب لاغراض الصبغ </t>
  </si>
  <si>
    <t>2026/08/26 - 11:32 ص</t>
  </si>
  <si>
    <t xml:space="preserve">اعمال صبغ الجدران </t>
  </si>
  <si>
    <t>(طابق (1)) ، (ZONE A) ، (الحانوت )</t>
  </si>
  <si>
    <t xml:space="preserve">اعمال وضع التيب لاغراض الصبغ </t>
  </si>
  <si>
    <t>(طابق (1)) ، (ZONE A) ، (الحانوت  وغرفه الارشاد)</t>
  </si>
  <si>
    <t xml:space="preserve">اعمال تصليح الجدران لاغراض الصبغ </t>
  </si>
  <si>
    <t xml:space="preserve">تركيب بوستر </t>
  </si>
  <si>
    <t>(قاعة رياضية__2)</t>
  </si>
  <si>
    <t xml:space="preserve">تركيب جك باب </t>
  </si>
  <si>
    <t>(طابق (1)) ، (ZONE A) ، (المختبر )</t>
  </si>
  <si>
    <t xml:space="preserve">اعمال المعالجه للجدران </t>
  </si>
  <si>
    <t xml:space="preserve">تبديل يدة الباب الرئيسية </t>
  </si>
  <si>
    <t xml:space="preserve">اعمال ازالة ورفع انقاض تكسير الجدار </t>
  </si>
  <si>
    <t>(طابق ارضي) ، (ZONE A) ، (غرفة التقنية )</t>
  </si>
  <si>
    <t xml:space="preserve">تبديل لبه قفل باب </t>
  </si>
  <si>
    <t>(طابق ارضي) ، (ZONE A) ، (غرفه اللجنة الامتحانية )</t>
  </si>
  <si>
    <t xml:space="preserve">تصليح وصبغ مكان لوحة </t>
  </si>
  <si>
    <t>تثبيت قواطع خشب وانشاء غرف تبديل ملابس</t>
  </si>
  <si>
    <t>تضليل  شباك عدد 30</t>
  </si>
  <si>
    <t xml:space="preserve">تريك ولنشاء غرفة تبديل ملابي باستخدام هيكل تراس </t>
  </si>
  <si>
    <t>2026/08/26 - 12:39 م</t>
  </si>
  <si>
    <t>(ZONE A)</t>
  </si>
  <si>
    <t>تضليل شباك عدد 15</t>
  </si>
  <si>
    <t>2026/08/26 - 12:36 م</t>
  </si>
  <si>
    <t>(طابق ارضي) ، (ZONE A) ، (التفنية)</t>
  </si>
  <si>
    <t xml:space="preserve">تركيب قفل لوكر عدد 3 </t>
  </si>
  <si>
    <t>(الكراج) ، (مخزن التربية )</t>
  </si>
  <si>
    <t xml:space="preserve">تبديل قفل ويدة باب </t>
  </si>
  <si>
    <t>2026/08/26 - 12:37 م</t>
  </si>
  <si>
    <t>(طابق (2)) ، (ZONE A) ، (المطبخ)</t>
  </si>
  <si>
    <t xml:space="preserve">تثبيت بردة شباك </t>
  </si>
  <si>
    <t>2026/08/26 - 12:38 م</t>
  </si>
  <si>
    <t xml:space="preserve">تثبيت برده </t>
  </si>
  <si>
    <t xml:space="preserve">ازالة لواصق شباك </t>
  </si>
  <si>
    <t>2026/08/26 - 12:40 م</t>
  </si>
  <si>
    <t>(طابق ارضي) ، (ZONE A) ، (اللجنة الامتحانية )</t>
  </si>
  <si>
    <t>تضليل شباك عدد2</t>
  </si>
  <si>
    <t>2026/08/26 - 12:41 م</t>
  </si>
  <si>
    <t xml:space="preserve">تبديل تاير عربانة </t>
  </si>
  <si>
    <t>2026/08/26 - 12:42 م</t>
  </si>
  <si>
    <t>(ساحة خارجية) ، (رصيف الشارع)</t>
  </si>
  <si>
    <t xml:space="preserve">اعمال صبغ الرصيف الخارجي بمادة الاساس </t>
  </si>
  <si>
    <t>2026/08/26 - 12:43 م</t>
  </si>
  <si>
    <t xml:space="preserve">اعمال صبغ الرصيف الخالرجي باللون الابيض </t>
  </si>
  <si>
    <t>2026/08/26 - 12:44 م</t>
  </si>
  <si>
    <t xml:space="preserve">اعمال صبغ الرصيف باللون الاصفر </t>
  </si>
  <si>
    <t>2026/08/26 - 12:46 م</t>
  </si>
  <si>
    <t>(1_A  الابتدائية الاولى) ، (ساحة خارجية)</t>
  </si>
  <si>
    <t>(باب الكراج الخلفي )</t>
  </si>
  <si>
    <t xml:space="preserve">اعمل تكسير وتفكيك قواعد الباب والدرج بالاضافه لاعمال الرفع الكامله للباب </t>
  </si>
  <si>
    <t>2026/08/26 - 12:47 م</t>
  </si>
  <si>
    <t>(طابق (2)) ، (ZONE A) ، (الاول ح )</t>
  </si>
  <si>
    <t xml:space="preserve">لحام نرمادة شباك </t>
  </si>
  <si>
    <t>2026/08/26 - 12:50 م</t>
  </si>
  <si>
    <t xml:space="preserve">اعمال صبغ الابواب الخشبيه بماده الدملوك للطابق </t>
  </si>
  <si>
    <t>2026/08/26 - 12:48 م</t>
  </si>
  <si>
    <t xml:space="preserve">اعمال صبغ الابواب الخشبيه بماده الوورنيش للطابق </t>
  </si>
  <si>
    <t>2026/08/26 - 12:51 م</t>
  </si>
  <si>
    <t xml:space="preserve">اعمال صبغ الابواب الاخشبيه بماده الدملوك للطابق </t>
  </si>
  <si>
    <t>2026/08/26 - 12:49 م</t>
  </si>
  <si>
    <t xml:space="preserve">اعمال صبغ الابواب الخشبية بماده الورنيش </t>
  </si>
  <si>
    <t xml:space="preserve">اعمال صبغ الابواب الخشبية بمادة الورنيش </t>
  </si>
  <si>
    <t>2026/08/27 - 08:14 ص</t>
  </si>
  <si>
    <t>2026/08/27 - 09:22 ص</t>
  </si>
  <si>
    <t xml:space="preserve">صيانة المصعد </t>
  </si>
  <si>
    <t>2026/08/27 - 08:27 ص</t>
  </si>
  <si>
    <t>2026/08/27 - 09:23 ص</t>
  </si>
  <si>
    <t xml:space="preserve">صيانة براد بطل جوار مكتب ابو كميل </t>
  </si>
  <si>
    <t>2026/08/27 - 08:29 ص</t>
  </si>
  <si>
    <t>صيانة براد مجاور مكتب ابو كميل</t>
  </si>
  <si>
    <t>2026/08/27 - 08:51 ص</t>
  </si>
  <si>
    <t>(2_B  الابتدائية الثانية) ، (3_C  المتوسطة) ، (قاعة رياضية__2)</t>
  </si>
  <si>
    <t xml:space="preserve">تشغيل تبريد قاعة الرياضية بين الثانيه والثالثة </t>
  </si>
  <si>
    <t>2026/08/27 - 09:03 ص</t>
  </si>
  <si>
    <t>2026/08/27 - 09:04 ص</t>
  </si>
  <si>
    <t xml:space="preserve">ارجاع قطع السقف الثانوي بالكامل </t>
  </si>
  <si>
    <t>2026/08/27 - 09:05 ص</t>
  </si>
  <si>
    <t xml:space="preserve">اعمال حفر مكان تسريب بوري الاطفاء </t>
  </si>
  <si>
    <t>2026/08/27 - 09:26 ص</t>
  </si>
  <si>
    <t>(طابق (2)) ، (اعلى كاميرات الدرج )</t>
  </si>
  <si>
    <t xml:space="preserve">اغلاق فتحه عن عبور الطيور </t>
  </si>
  <si>
    <t>2026/08/27 - 09:43 ص</t>
  </si>
  <si>
    <t>2026/08/27 - 10:33 ص</t>
  </si>
  <si>
    <t xml:space="preserve">تنظيف غرف الكهرباء والاتصالات وغرفة المصعد </t>
  </si>
  <si>
    <t>2026/08/27 - 09:45 ص</t>
  </si>
  <si>
    <t>2026/08/27 - 10:38 ص</t>
  </si>
  <si>
    <t>(خارجي)</t>
  </si>
  <si>
    <t>تنظيف كاميرات المراقبة الخارجية</t>
  </si>
  <si>
    <t>2026/08/27 - 09:46 ص</t>
  </si>
  <si>
    <t>2026/08/27 - 10:43 ص</t>
  </si>
  <si>
    <t>تسجيل ومتابعة القراءات اليومية لاحمال البنايات</t>
  </si>
  <si>
    <t>2026/08/27 - 10:48 ص</t>
  </si>
  <si>
    <t>تسجيل قراءات منظومة ups</t>
  </si>
  <si>
    <t>2026/08/27 - 09:47 ص</t>
  </si>
  <si>
    <t>2026/08/27 - 10:49 ص</t>
  </si>
  <si>
    <t>تنظيف غرف الكهرباء والاتصالات</t>
  </si>
  <si>
    <t>2026/08/27 - 10:51 ص</t>
  </si>
  <si>
    <t>2026/08/27 - 09:48 ص</t>
  </si>
  <si>
    <t>2026/08/27 - 10:52 ص</t>
  </si>
  <si>
    <t>تسجيل القراءات اليومية لاحمال البنايات</t>
  </si>
  <si>
    <t>2026/08/27 - 09:49 ص</t>
  </si>
  <si>
    <t>2026/08/27 - 10:53 ص</t>
  </si>
  <si>
    <t xml:space="preserve">تسجيل قراءات منظومة ups </t>
  </si>
  <si>
    <t>صيانة ومعالجة مشكلة في كاميرات المراقبة</t>
  </si>
  <si>
    <t>2026/08/27 - 09:51 ص</t>
  </si>
  <si>
    <t>2026/08/27 - 10:54 ص</t>
  </si>
  <si>
    <t xml:space="preserve">تهيئة البناية الرابعة استعدادا للعام الدراسي باقيام بفحص شامل لكل المنظومة الكهربائية </t>
  </si>
  <si>
    <t>2026/08/27 - 10:55 ص</t>
  </si>
  <si>
    <t>2026/08/27 - 09:52 ص</t>
  </si>
  <si>
    <t>2026/08/27 - 10:56 ص</t>
  </si>
  <si>
    <t>فحص منظومة الحريق والتأكد من سلامتها</t>
  </si>
  <si>
    <t>2026/08/27 - 09:53 ص</t>
  </si>
  <si>
    <t>تسجيل القراءات اليومية لمتابعة احمال البنايات</t>
  </si>
  <si>
    <t>2026/08/27 - 11:11 ص</t>
  </si>
  <si>
    <t>تسليك وربط ماطور ماء ١ حصان</t>
  </si>
  <si>
    <t>2026/08/27 - 09:54 ص</t>
  </si>
  <si>
    <t>اعادة ربط مضخة ماء في غرفة المضخات</t>
  </si>
  <si>
    <t>2026/08/27 - 09:55 ص</t>
  </si>
  <si>
    <t>2026/08/27 - 11:10 ص</t>
  </si>
  <si>
    <t xml:space="preserve">تهيئة البناية الثالثة استعدادا للعام الدراسي بالقيام بفحص شامل لكل المنظومة الكهربائية </t>
  </si>
  <si>
    <t>2026/08/27 - 09:56 ص</t>
  </si>
  <si>
    <t>2026/08/27 - 09:57 ص</t>
  </si>
  <si>
    <t>2026/08/27 - 09:58 ص</t>
  </si>
  <si>
    <t>(الكراج) ، (غرفة السنكرو )</t>
  </si>
  <si>
    <t xml:space="preserve">استبدال سويج سبلت 45a </t>
  </si>
  <si>
    <t>2026/08/27 - 09:59 ص</t>
  </si>
  <si>
    <t>2026/08/27 - 11:09 ص</t>
  </si>
  <si>
    <t xml:space="preserve">ترتيب اسلاك شاشة </t>
  </si>
  <si>
    <t>اضافة مأخذ قدرة عدد ٢ في غرفة الارشاد الطابق الارضي</t>
  </si>
  <si>
    <t>2026/08/27 - 10:01 ص</t>
  </si>
  <si>
    <t>2026/08/27 - 10:08 ص</t>
  </si>
  <si>
    <t>2026/08/27 - 11:08 ص</t>
  </si>
  <si>
    <t xml:space="preserve">اضافة ماشة ثلاثية عدد ١ </t>
  </si>
  <si>
    <t>2026/08/27 - 10:09 ص</t>
  </si>
  <si>
    <t xml:space="preserve">اضافة كيبل تري لترتيب الاسلاك في غرفة المعاون الإداري </t>
  </si>
  <si>
    <t>2026/08/27 - 10:10 ص</t>
  </si>
  <si>
    <t>2026/08/27 - 11:07 ص</t>
  </si>
  <si>
    <t>2026/08/27 - 10:11 ص</t>
  </si>
  <si>
    <t xml:space="preserve">تهيئة البناية الثانية استعدادا للعام الدراسي بالقيام بفحص شامل لكل المنظومة الكهربائية </t>
  </si>
  <si>
    <t>2026/08/27 - 10:12 ص</t>
  </si>
  <si>
    <t>(غرفة السنكرو )</t>
  </si>
  <si>
    <t>ربط سيار كهربائية لمكينة لحام</t>
  </si>
  <si>
    <t>2026/08/27 - 10:13 ص</t>
  </si>
  <si>
    <t>صيانة عدد من الانارة المنشورية واعادتها للعمل</t>
  </si>
  <si>
    <t>2026/08/27 - 11:06 ص</t>
  </si>
  <si>
    <t xml:space="preserve">تهيئة البناية الاولى استعدادا للعام الدراسي بالقيام بفحص شامل لكل المنظومة الكهربائية </t>
  </si>
  <si>
    <t xml:space="preserve">تهيئة البناية الاولى استعدادا للعام الدراسي باقيام بفحص شامل لكل المنظومة الكهربائية </t>
  </si>
  <si>
    <t>2026/08/27 - 10:14 ص</t>
  </si>
  <si>
    <t>2026/08/27 - 11:05 ص</t>
  </si>
  <si>
    <t>صيانة عدد من الإنارة المنشورية واعادتها للعمل</t>
  </si>
  <si>
    <t>2026/08/27 - 10:15 ص</t>
  </si>
  <si>
    <t>تفريغ مخزن الكهرباء و اعادة ترتيبه بشكل كامل</t>
  </si>
  <si>
    <t>2026/08/27 - 10:16 ص</t>
  </si>
  <si>
    <t>فحص شامل لكافة وحدات الانارة الموجودة في مخزن الكهرباء و عزل التالف منها</t>
  </si>
  <si>
    <t>نقل كافة وحدات الانارة الى الطابق الثاني بعد فحصها بالكامل</t>
  </si>
  <si>
    <t>2026/08/27 - 10:17 ص</t>
  </si>
  <si>
    <t>2026/08/27 - 11:02 ص</t>
  </si>
  <si>
    <t>اعادة ترتيب الاسلاك في مخزن وحدة الكهرباء ونقلها الى الطابق الثاني</t>
  </si>
  <si>
    <t>2026/08/27 - 10:18 ص</t>
  </si>
  <si>
    <t>2026/08/27 - 11:03 ص</t>
  </si>
  <si>
    <t>صيانة مأخذ قدرة الخاص بالبصمة و اعادته للعمل</t>
  </si>
  <si>
    <t>2026/08/27 - 11:04 ص</t>
  </si>
  <si>
    <t xml:space="preserve">اضافة مأخذ قدرة عدد ١ في غرفة اللجنة الامتحانية </t>
  </si>
  <si>
    <t>2026/08/27 - 10:19 ص</t>
  </si>
  <si>
    <t>فحص الطوافات الخاصة بخزانات البناية الاولى</t>
  </si>
  <si>
    <t>اضافة رفوف في مخزن وحدة الكهرباء و اعادة ترتيب المواد</t>
  </si>
  <si>
    <t>2026/08/27 - 10:20 ص</t>
  </si>
  <si>
    <t xml:space="preserve">استبدال انارة منشورية </t>
  </si>
  <si>
    <t>2026/08/27 - 10:21 ص</t>
  </si>
  <si>
    <t xml:space="preserve">استبدال كونتاكتور عدد ٢ </t>
  </si>
  <si>
    <t>2026/08/27 - 11:01 ص</t>
  </si>
  <si>
    <t>اضافة مأخذ قدرة عدد ٢ في غرفة المدير</t>
  </si>
  <si>
    <t>2026/08/27 - 10:23 ص</t>
  </si>
  <si>
    <t>اجراء فحص لبلاجكتورات البناية ورفع العاطل لحين الصيانة</t>
  </si>
  <si>
    <t>2026/08/27 - 10:24 ص</t>
  </si>
  <si>
    <t>2026/08/27 - 11:00 ص</t>
  </si>
  <si>
    <t>2026/08/27 - 10:25 ص</t>
  </si>
  <si>
    <t>اعادة تثبيت سبوت لايت في الصحيات</t>
  </si>
  <si>
    <t>2026/08/27 - 10:26 ص</t>
  </si>
  <si>
    <t>صيانة انارة منشورية واعادتها للعمل</t>
  </si>
  <si>
    <t>صيانة بلاجكتورات عدد ٥ و اعادتها للعمل في البناية الاولى</t>
  </si>
  <si>
    <t>2026/08/27 - 10:27 ص</t>
  </si>
  <si>
    <t>2026/08/27 - 10:59 ص</t>
  </si>
  <si>
    <t xml:space="preserve">صيانة بلاجكتورات عدد ١ و اعادتها للعمل في البناية الثانية </t>
  </si>
  <si>
    <t xml:space="preserve">صيانة بلاجكتورات عدد ١ و اعادتها للعمل في البناية الثالثة </t>
  </si>
  <si>
    <t xml:space="preserve">صيانة بلاجكتورات عدد ١ و اعادتها للعمل في البناية الرابعة </t>
  </si>
  <si>
    <t>2026/08/27 - 10:28 ص</t>
  </si>
  <si>
    <t>تبديل قفل باب المطبخ</t>
  </si>
  <si>
    <t>2026/08/27 - 10:58 ص</t>
  </si>
  <si>
    <t>فحص وصيانة انارة السطح بأستبدال شمعة عدد ١</t>
  </si>
  <si>
    <t>2026/08/27 - 10:29 ص</t>
  </si>
  <si>
    <t>اعادة تثبيت سبوت لايت عدد ١٢ و ٤ ساحبات في صحيات الطابق الثاني</t>
  </si>
  <si>
    <t>اعادة تثبيت كاميرا مراقبة</t>
  </si>
  <si>
    <t>2026/08/27 - 10:30 ص</t>
  </si>
  <si>
    <t>2026/08/27 - 10:57 ص</t>
  </si>
  <si>
    <t>2026/08/27 - 02:53 م</t>
  </si>
  <si>
    <t>اجراء صيانة سبوت لايت صحيات الجناح الاداري</t>
  </si>
  <si>
    <t xml:space="preserve">ترتيب و تنظيم لوكر العدة الخاص بوحدة الكهرباء </t>
  </si>
  <si>
    <t>2026/08/27 - 12:41 م</t>
  </si>
  <si>
    <t>متابعة وصيانة منظومة الالواح الشمسية بعد حدوث خلل فيها</t>
  </si>
  <si>
    <t>2026/08/29 - 07:30 ص</t>
  </si>
  <si>
    <t>2026/08/29 - 08:27 ص</t>
  </si>
  <si>
    <t>باب المصلى  مايفتح الارضي</t>
  </si>
  <si>
    <t>2026/08/29 - 07:49 ص</t>
  </si>
  <si>
    <t xml:space="preserve">باب المصلى لا يفتح </t>
  </si>
  <si>
    <t>2026/08/29 - 08:01 ص</t>
  </si>
  <si>
    <t>2026/08/29 - 08:04 ص</t>
  </si>
  <si>
    <t>بحاجة إلى تشغيل التبريد</t>
  </si>
  <si>
    <t>2026/08/29 - 08:02 ص</t>
  </si>
  <si>
    <t>2026/08/29 - 08:26 ص</t>
  </si>
  <si>
    <t>لايوجد ماء في البناية الثالثة</t>
  </si>
  <si>
    <t>2026/08/29 - 01:39 م</t>
  </si>
  <si>
    <t>2026/08/29 - 01:55 م</t>
  </si>
  <si>
    <t xml:space="preserve">تشغيل تبريد المصلى  ط ثاني بسبب وجود امتحانات بلوقت الحالي </t>
  </si>
  <si>
    <t>2026/08/31 - 07:22 ص</t>
  </si>
  <si>
    <t>2026/08/31 - 09:17 ص</t>
  </si>
  <si>
    <t xml:space="preserve">براد نوع بطل لايوجد ماء في كل الجناح الاداري </t>
  </si>
  <si>
    <t>2026/08/31 - 08:01 ص</t>
  </si>
  <si>
    <t>2026/08/31 - 08:18 ص</t>
  </si>
  <si>
    <t>(1_A  الابتدائية الاولى) ، (قاعة رياضية__1)</t>
  </si>
  <si>
    <t xml:space="preserve">تشغيل تبريد القاعة الرياضية بسبب توزيع الزي </t>
  </si>
  <si>
    <t>2026/08/31 - 08:49 ص</t>
  </si>
  <si>
    <t>(طابق (2)) ، (الصحيات)</t>
  </si>
  <si>
    <t>تركيب قطعة كابون سقف الصحيات</t>
  </si>
  <si>
    <t>2026/08/31 - 03:27 م</t>
  </si>
  <si>
    <t>مكرر</t>
  </si>
  <si>
    <t>2026/09/01 - 08:35 ص</t>
  </si>
  <si>
    <t xml:space="preserve">خلل في انارة سقف ثانوي الموقع غرفة الضيافة </t>
  </si>
  <si>
    <t>2026/09/01 - 07:36 ص</t>
  </si>
  <si>
    <t>2026/09/02 - 10:50 ص</t>
  </si>
  <si>
    <t xml:space="preserve">باب الشارع الرئيسي للبناية الثانيه يحتاج الى صيانه </t>
  </si>
  <si>
    <t>2026/09/01 - 08:04 ص</t>
  </si>
  <si>
    <t>2026/09/01 - 08:36 ص</t>
  </si>
  <si>
    <t>الاناره في غرفة الضيافه لا تعمل تحتاج الى تبديل</t>
  </si>
  <si>
    <t>2026/09/01 - 08:23 ص</t>
  </si>
  <si>
    <t>(طابق (1)) ، (ZONE B) ، (الاول ب)</t>
  </si>
  <si>
    <t>2026/09/01 - 08:24 ص</t>
  </si>
  <si>
    <t>ارجاع قطع سقف ثانوي عدد 13</t>
  </si>
  <si>
    <t>2026/09/01 - 08:27 ص</t>
  </si>
  <si>
    <t>2026/09/01 - 08:28 ص</t>
  </si>
  <si>
    <t>(طابق (1)) ، (ZONE A) ، (المخزن)</t>
  </si>
  <si>
    <t>تركيب قواعد برده عدد 2</t>
  </si>
  <si>
    <t>2026/09/01 - 08:29 ص</t>
  </si>
  <si>
    <t xml:space="preserve">تركيب قطع سقف ثانوي </t>
  </si>
  <si>
    <t>2026/09/01 - 08:31 ص</t>
  </si>
  <si>
    <t>ارجاع بردة عدد 2</t>
  </si>
  <si>
    <t>2026/09/01 - 08:32 ص</t>
  </si>
  <si>
    <t>2026/09/01 - 08:33 ص</t>
  </si>
  <si>
    <t xml:space="preserve">تبديل قفل يدة شباك </t>
  </si>
  <si>
    <t>2026/09/01 - 11:45 ص</t>
  </si>
  <si>
    <t>حساس الاناره في الحمامات لا يعمل</t>
  </si>
  <si>
    <t>2026/09/01 - 08:34 ص</t>
  </si>
  <si>
    <t xml:space="preserve">تبديل جك باب هايدروليكي </t>
  </si>
  <si>
    <t xml:space="preserve">صيلنة كرسي هايدروليك </t>
  </si>
  <si>
    <t xml:space="preserve">صيانة باب حديد </t>
  </si>
  <si>
    <t>2026/09/01 - 08:37 ص</t>
  </si>
  <si>
    <t xml:space="preserve">توسعه مكان حفر تسلريب بوري الاطفاء </t>
  </si>
  <si>
    <t>2026/09/01 - 08:38 ص</t>
  </si>
  <si>
    <t>(طابق ارضي) ، (ZONE A) ، (غرفه الاداره )</t>
  </si>
  <si>
    <t xml:space="preserve">فتح وتبديل قفل لوكر </t>
  </si>
  <si>
    <t>2026/09/01 - 09:12 ص</t>
  </si>
  <si>
    <t>تشغيل تبريد القاعه الرياضيه بسبب توزيع الزي</t>
  </si>
  <si>
    <t>2026/09/01 - 08:39 ص</t>
  </si>
  <si>
    <t xml:space="preserve">اعدة تركيب قطعة مرمر </t>
  </si>
  <si>
    <t>2026/09/01 - 08:40 ص</t>
  </si>
  <si>
    <t xml:space="preserve">صيانة شامه للسقوف الثانوية بالكامل </t>
  </si>
  <si>
    <t>2026/09/01 - 08:41 ص</t>
  </si>
  <si>
    <t xml:space="preserve">تنضيف مكان العمل واخراج الانقاض مع اعمال الدفن والصب لمكان تسريب بوري الاطفاء </t>
  </si>
  <si>
    <t>2026/09/01 - 08:42 ص</t>
  </si>
  <si>
    <t>ارجاع وتثبيت بردات عدد 2</t>
  </si>
  <si>
    <t>2026/09/01 - 08:43 ص</t>
  </si>
  <si>
    <t xml:space="preserve">اعمال تنصيب وتثبيت الباب الخارجي مع اعمال اللحام </t>
  </si>
  <si>
    <t>2026/09/01 - 08:44 ص</t>
  </si>
  <si>
    <t xml:space="preserve">اعمال ارجاع المقرنص للباب الخارجي </t>
  </si>
  <si>
    <t>2026/09/01 - 10:54 ص</t>
  </si>
  <si>
    <t xml:space="preserve">سبلت في كرفان الامنية للساحه الخارجيه  ( الكراج )يحتاج الى صيانه </t>
  </si>
  <si>
    <t>2026/09/01 - 11:38 ص</t>
  </si>
  <si>
    <t xml:space="preserve">تم اطفاء الطابق الاول والثاني بناءا على طلب مدير المجمع التربوي </t>
  </si>
  <si>
    <t>2026/09/01 - 11:44 ص</t>
  </si>
  <si>
    <t>تشغيل كهرباء  الصفوف زون B الاول والثاني لوجود اعمال mdf</t>
  </si>
  <si>
    <t>2026/09/01 - 01:23 م</t>
  </si>
  <si>
    <t>2026/09/01 - 01:24 م</t>
  </si>
  <si>
    <t>تم تبديل فلتر الهواء للمولدة 450</t>
  </si>
  <si>
    <t>2026/09/05 - 09:22 ص</t>
  </si>
  <si>
    <t>باسم ميثاق عواد</t>
  </si>
  <si>
    <t>2026/09/05 - 01:07 م</t>
  </si>
  <si>
    <t xml:space="preserve">يدة باب مكسورة في الصحيات </t>
  </si>
  <si>
    <t>2026/09/05 - 09:23 ص</t>
  </si>
  <si>
    <t>يدة باب مكسورة بلصحيات + ضوء سقف عاطل السقوف الثانوية + قطعة سقف ثانوي مخلوعة</t>
  </si>
  <si>
    <t>2026/09/06 - 07:40 ص</t>
  </si>
  <si>
    <t>ميثاق عواد</t>
  </si>
  <si>
    <t>2026/09/06 - 12:02 م</t>
  </si>
  <si>
    <t>(طابق (2)) ، (الحانوت)</t>
  </si>
  <si>
    <t>البلك سويتج مايع + ماء ارو لايوجد في البناية لمدة يومين</t>
  </si>
  <si>
    <t>2026/09/06 - 08:03 ص</t>
  </si>
  <si>
    <t>2026/09/08 - 11:38 ص</t>
  </si>
  <si>
    <t xml:space="preserve">الماطور يطلع بس صوت وبدون ضخ مياه </t>
  </si>
  <si>
    <t>ماطور مياه</t>
  </si>
  <si>
    <t>2026/09/06 - 08:13 ص</t>
  </si>
  <si>
    <t>صيانة سقايات المياه في الساحة</t>
  </si>
  <si>
    <t>2026/09/06 - 08:21 ص</t>
  </si>
  <si>
    <t>2026/09/06 - 12:58 م</t>
  </si>
  <si>
    <t xml:space="preserve">قطعه سقوف ثانوية </t>
  </si>
  <si>
    <t>2026/09/06 - 08:27 ص</t>
  </si>
  <si>
    <t>2026/09/07 - 01:53 م</t>
  </si>
  <si>
    <t>المصعد  لايعمل</t>
  </si>
  <si>
    <t>المصعد متوقف لغرض الصيانة</t>
  </si>
  <si>
    <t>2026/09/06 - 08:51 ص</t>
  </si>
  <si>
    <t>تشغيل تبريد القاعة الرياضيه  الاولى</t>
  </si>
  <si>
    <t>2026/09/06 - 09:43 ص</t>
  </si>
  <si>
    <t>معالجة جدار بمادة الارضه ( لوجود النمل ) مجاور مكتب ادارة المجمع</t>
  </si>
  <si>
    <t>2026/09/06 - 09:54 ص</t>
  </si>
  <si>
    <t xml:space="preserve">غرفة الضيافة -- مشكلة في براد المياه </t>
  </si>
  <si>
    <t>2026/09/06 - 11:33 ص</t>
  </si>
  <si>
    <t>تم تبديل فلاتر الهواء للمولدة 1Mالاولى</t>
  </si>
  <si>
    <t>2026/09/06 - 11:35 ص</t>
  </si>
  <si>
    <t>2026/09/06 - 11:38 ص</t>
  </si>
  <si>
    <t xml:space="preserve">تم تبديل زيت المولدة 1Mزيت نوع ملر بسعة 160لتر مع فلاتر زيت عدد 3 و فلتر كاز </t>
  </si>
  <si>
    <t>2026/09/07 - 10:11 ص</t>
  </si>
  <si>
    <t>2026/09/07 - 10:36 ص</t>
  </si>
  <si>
    <t>تشغيل تبريد القاعة الرياضيه</t>
  </si>
  <si>
    <t>2026/09/07 - 10:56 ص</t>
  </si>
  <si>
    <t>2026/09/07 - 12:21 م</t>
  </si>
  <si>
    <t>(3_C  المتوسطة) ، (قاعة رياضية__2)</t>
  </si>
  <si>
    <t xml:space="preserve">صيانة عربانه في القاعه الرياضيه </t>
  </si>
  <si>
    <t>2026/09/07 - 12:25 م</t>
  </si>
  <si>
    <t>2026/09/07 - 12:26 م</t>
  </si>
  <si>
    <t>(الرصيف الخارجي )</t>
  </si>
  <si>
    <t xml:space="preserve">اعمال تطبيك المقرنص </t>
  </si>
  <si>
    <t>2026/09/07 - 12:40 م</t>
  </si>
  <si>
    <t xml:space="preserve">اعمال صبغ باب الكراج </t>
  </si>
  <si>
    <t>2026/09/07 - 12:27 م</t>
  </si>
  <si>
    <t>2026/09/07 - 12:39 م</t>
  </si>
  <si>
    <t xml:space="preserve">اعمال تثقيب ارضية غرفه المعاون لاغراض معالجة الارضة </t>
  </si>
  <si>
    <t>2026/09/07 - 12:28 م</t>
  </si>
  <si>
    <t xml:space="preserve">اكمال اعمال المقرنص </t>
  </si>
  <si>
    <t>2026/09/07 - 12:29 م</t>
  </si>
  <si>
    <t>(طابق (1)) ، (ZONE A) ، (السادس  الاعدادي )</t>
  </si>
  <si>
    <t xml:space="preserve">ارجاع وتبديل قطع سقف ثانوي </t>
  </si>
  <si>
    <t>2026/09/07 - 12:30 م</t>
  </si>
  <si>
    <t>2026/09/07 - 12:38 م</t>
  </si>
  <si>
    <t xml:space="preserve">تبديل يدة باب عدد 2 </t>
  </si>
  <si>
    <t xml:space="preserve">صيانه السقف الثانوي </t>
  </si>
  <si>
    <t>2026/09/07 - 12:31 م</t>
  </si>
  <si>
    <t xml:space="preserve">اخراج الانقاض الى الساحة الخارجية </t>
  </si>
  <si>
    <t>2026/09/07 - 12:32 م</t>
  </si>
  <si>
    <t xml:space="preserve">تبديل قطعة سقف ثانوي </t>
  </si>
  <si>
    <t>2026/09/07 - 12:33 م</t>
  </si>
  <si>
    <t>2026/09/07 - 12:37 م</t>
  </si>
  <si>
    <t xml:space="preserve">اغلاق فتحات الثقيب في غرفة المعاون </t>
  </si>
  <si>
    <t>(طابق ارضي) ، (ZONE A) ، (الاستعلامات )</t>
  </si>
  <si>
    <t xml:space="preserve">تثبيت قواعد بردة مع سجة دوار </t>
  </si>
  <si>
    <t>2026/09/07 - 12:34 م</t>
  </si>
  <si>
    <t>2026/09/07 - 12:36 م</t>
  </si>
  <si>
    <t xml:space="preserve">اعمال تكسير وازالة المقعد المتضرر </t>
  </si>
  <si>
    <t>2026/09/07 - 12:35 م</t>
  </si>
  <si>
    <t>(1_A  الابتدائية الاولى) ، (4_D  الاعدادية)</t>
  </si>
  <si>
    <t>(الباب الخارجي )</t>
  </si>
  <si>
    <t xml:space="preserve">اعمال صبغ الابواب الجديد الخارجية </t>
  </si>
  <si>
    <t>2026/09/07 - 01:25 م</t>
  </si>
  <si>
    <t>2026/09/15 - 01:33 م</t>
  </si>
  <si>
    <t xml:space="preserve">تركيب ساقية تصريف المياه في باب الاستعلامات الرئيسي </t>
  </si>
  <si>
    <t>2026/09/08 - 07:56 ص</t>
  </si>
  <si>
    <t>2026/09/08 - 08:28 ص</t>
  </si>
  <si>
    <t>2026/09/08 - 09:08 ص</t>
  </si>
  <si>
    <t>2026/09/08 - 11:29 ص</t>
  </si>
  <si>
    <t xml:space="preserve">صيانة سبلت ( يذب مي ) </t>
  </si>
  <si>
    <t>اجراء سريع لطفاًً</t>
  </si>
  <si>
    <t>2026/09/08 - 10:00 ص</t>
  </si>
  <si>
    <t>2026/09/08 - 10:46 ص</t>
  </si>
  <si>
    <t>تنظيف فلاتر القطع الداخلية لمنظومة التبريد (VRF)</t>
  </si>
  <si>
    <t>معالجة كود العطل (CH150) وإعادة ضبط (Reset) للقطع الخارجية لمنظومة التبريد (VRF)</t>
  </si>
  <si>
    <t>2026/09/08 - 10:01 ص</t>
  </si>
  <si>
    <t>2026/09/08 - 10:47 ص</t>
  </si>
  <si>
    <t>معالجة كود العطل (CH150) وكود (CH237) لمنظومة التبريد (VRF) .</t>
  </si>
  <si>
    <t>2026/09/08 - 10:02 ص</t>
  </si>
  <si>
    <t>إعادة ضبط وتشغيل منظومة التبريد (VRF)</t>
  </si>
  <si>
    <t>2026/09/08 - 10:48 ص</t>
  </si>
  <si>
    <t xml:space="preserve">متابعة عمل منظومة التبريد (VRF) في البناية الثالثة </t>
  </si>
  <si>
    <t>2026/09/08 - 10:03 ص</t>
  </si>
  <si>
    <t>إطفاء عدد من قطع منظومة التبريد (VRF) إثر رصد تشغيلها خارج أوقات الدوام الرسمي حفاظاً على كفاءة وديمومة النظام.</t>
  </si>
  <si>
    <t>2026/09/08 - 10:05 ص</t>
  </si>
  <si>
    <t>2026/09/08 - 10:51 ص</t>
  </si>
  <si>
    <t>استبدال جهاز التبريد (السبلت) القديم بجهاز جديد (حجم 2 طن).</t>
  </si>
  <si>
    <t>2026/09/08 - 10:06 ص</t>
  </si>
  <si>
    <t>(الكراج) ، (كرفان الشركة الامنية)</t>
  </si>
  <si>
    <t>استبدال جهاز التبريد القديم بجهاز مستخدم لغرفة استراحة الأمنية بعد فحص الأول وتشخيص عطل في الضاغط (الكمبريسور).</t>
  </si>
  <si>
    <t>2026/09/08 - 10:08 ص</t>
  </si>
  <si>
    <t>(طابق ارضي) ، (طابق (2))</t>
  </si>
  <si>
    <t>فحص ومعالجة تسريب غاز (عمل فلير جديد) وإعادة شحن الغاز لأجهزة التبريد (السبالت) في غرف السيطرة .</t>
  </si>
  <si>
    <t>2026/09/08 - 10:49 ص</t>
  </si>
  <si>
    <t>تشخيص خلل في جهاز تبريد اعتيادي (سبلت) لغرفة السيطرة .</t>
  </si>
  <si>
    <t>2026/09/08 - 10:09 ص</t>
  </si>
  <si>
    <t>فحص أجهزة التبريد الاعتيادية (السبالت) وغرف السحبات في كافة البناية.</t>
  </si>
  <si>
    <t>2026/09/08 - 10:13 ص</t>
  </si>
  <si>
    <t>غسل فلاتر أجهزة التبريد الاعتيادية (السبالت)  (8 أجهزة).</t>
  </si>
  <si>
    <t>2026/09/08 - 10:52 ص</t>
  </si>
  <si>
    <t xml:space="preserve">غسل فلاتر وفحص جهاز تبريد (سبلت) </t>
  </si>
  <si>
    <t>2026/09/08 - 10:15 ص</t>
  </si>
  <si>
    <t>(الكراج) ، (مصعد)</t>
  </si>
  <si>
    <t>نقل جهاز تبريد (سبلت) من البناية الثانية إلى الثالثة، ونقل جهاز آخر من مبنى التربية إلى غرفة الأمنية الخارجية.</t>
  </si>
  <si>
    <t>تشغيل ومتابعة التبرية</t>
  </si>
  <si>
    <t>2026/09/08 - 10:16 ص</t>
  </si>
  <si>
    <t>تشغيل أجهزة التبريد (البكجات) للقاعات الرياضية مقابل البناية الأولى والبناية الثالثة، وصيانة حساس التثليج في إحداها.</t>
  </si>
  <si>
    <t>2026/09/08 - 10:18 ص</t>
  </si>
  <si>
    <t>2026/09/08 - 10:53 ص</t>
  </si>
  <si>
    <t>تشغيل أجهزة التبريد (البكجات) في الروضة مقابل البناية الأولى ومقابل البناية الثالثة وإطفاؤها حسب الحاجة.</t>
  </si>
  <si>
    <t>2026/09/08 - 10:20 ص</t>
  </si>
  <si>
    <t>تعبئة الخزان الرئيسي بواسطة حوضيات (تناكر) على عدة دفعات (بضمنها دفعة بسعة 24,000 لتر).</t>
  </si>
  <si>
    <t>2026/09/08 - 10:21 ص</t>
  </si>
  <si>
    <t>2026/09/08 - 10:54 ص</t>
  </si>
  <si>
    <t>(الكراج) ، (الشركة الامنية)</t>
  </si>
  <si>
    <t>تشغيل مضخة مياه الشركة الأمنية للمساعدة في ملء الخزان الرئيسي للبنايات.</t>
  </si>
  <si>
    <t>2026/09/08 - 10:24 ص</t>
  </si>
  <si>
    <t>معالجة خلل في مضخة إنتاج مياه الـ (RO) بالتعاون مع وحدة الكهرباء، وتشغيل منظومة الإنتاج وضبط النسب.</t>
  </si>
  <si>
    <t>2026/09/08 - 10:28 ص</t>
  </si>
  <si>
    <t>2026/09/08 - 10:55 ص</t>
  </si>
  <si>
    <t>تغيير فلتر الأملاح ومتابعة فلتر المرحلة الأولى لمنظومة الـ (RO)، وإضافة مواد التصفية (كلور وأنتي سكيل - Anti-scale) للمنظومة.</t>
  </si>
  <si>
    <t>(غرفة المضخات الرئيسية وغرفة مياه الـ (RO).)</t>
  </si>
  <si>
    <t>غسل وتنظيف غرفة المضخات الرئيسية وغرفة مياه الـ (RO).</t>
  </si>
  <si>
    <t>2026/09/08 - 10:29 ص</t>
  </si>
  <si>
    <t>(طابق (2)) ، (ZONE A) ، (المطعم)</t>
  </si>
  <si>
    <t>ربط خلاطات مياه لمغاسل المطعم  واستبدال خرطوم مغسلة عدد (2) .</t>
  </si>
  <si>
    <t>2026/09/08 - 10:30 ص</t>
  </si>
  <si>
    <t>2026/09/08 - 10:56 ص</t>
  </si>
  <si>
    <t>متابعة وصيانة المجاميع الصحية في البناية  (وتثبيت حامل (شطاف) في إحدى المجاميع.</t>
  </si>
  <si>
    <t>2026/09/08 - 10:32 ص</t>
  </si>
  <si>
    <t>(طابق (1)) ، (السطح)</t>
  </si>
  <si>
    <t>تبديل صمام عدم رجوع (Check Valve) عدد (2) في البناية الأولى وشد صمام زاوية (كاك) عدد (2).</t>
  </si>
  <si>
    <t>2026/09/08 - 10:33 ص</t>
  </si>
  <si>
    <t>2026/09/08 - 10:57 ص</t>
  </si>
  <si>
    <t>(طابق ارضي) ، (ZONE A) ، (غرفة الضيافة)</t>
  </si>
  <si>
    <t>ربط خرطوم تصريف مياه لحوض (سنكي) .</t>
  </si>
  <si>
    <t>2026/09/08 - 10:34 ص</t>
  </si>
  <si>
    <t>(الابواب الرئيسية)</t>
  </si>
  <si>
    <t>فتح انسدادات في ساقيات الأبواب الرئيسية.</t>
  </si>
  <si>
    <t>2026/09/08 - 11:00 ص</t>
  </si>
  <si>
    <t>فحص الطوافات والصمامات الكهربائية لخزانات البناية الأولى.</t>
  </si>
  <si>
    <t>2026/09/08 - 10:35 ص</t>
  </si>
  <si>
    <t>2026/09/08 - 10:59 ص</t>
  </si>
  <si>
    <t>دفع المياه من الخزان الرئيسي ومنظومة الـ (RO) إلى كافة البنايات بصورة منتظمة.</t>
  </si>
  <si>
    <t>شد حاملات الأكواب لبرادات المياه .</t>
  </si>
  <si>
    <t>2026/09/08 - 10:39 ص</t>
  </si>
  <si>
    <t>المتابعة الميدانية مع "شركة السد" بخصوص معالجة تسريب المياه من أنبوب الإطفاء الرئيسي.</t>
  </si>
  <si>
    <t>فتح وإعادة ربط صمام (Bypass) لغرض إتمام عملية صيانة أنبوب الإطفاء الرئيسي.</t>
  </si>
  <si>
    <t>2026/09/08 - 10:40 ص</t>
  </si>
  <si>
    <t>(1_A  الابتدائية الاولى) ، (2_B  الابتدائية الثانية) ، (3_C  المتوسطة)</t>
  </si>
  <si>
    <t>تنظيف مضخات الإطفاء الثانوية في البنايات .</t>
  </si>
  <si>
    <t>استبدال (Pressure Switch) لمضخة الإطفاء الثانوية.</t>
  </si>
  <si>
    <t>2026/09/08 - 10:41 ص</t>
  </si>
  <si>
    <t>ربط (ستدات) أنبوب الإطفاء وتثبيت قاعدة طفاية حريق</t>
  </si>
  <si>
    <t>مساعدة وحدة المدني في أعمال الحفر وفي تجهيز ورفع الدرج لغرض صيانة أنبوب الإطفاء.</t>
  </si>
  <si>
    <t>2026/09/08 - 10:42 ص</t>
  </si>
  <si>
    <t>مساعدة وحدة المدني في تنصيب الدرج الخارجي للبناية الأولى.</t>
  </si>
  <si>
    <t>2026/09/08 - 10:58 ص</t>
  </si>
  <si>
    <t xml:space="preserve">تغليف أنبوب عدد (2) داخل (Cable Tray) </t>
  </si>
  <si>
    <t>2026/09/08 - 10:43 ص</t>
  </si>
  <si>
    <t>تقديم المساعدة لوحدة الكهرباء في بعض الأعمال.</t>
  </si>
  <si>
    <t>2026/09/08 - 10:44 ص</t>
  </si>
  <si>
    <t>ترتيب وتعديل السقوف الثانوية .</t>
  </si>
  <si>
    <t>2026/09/08 - 11:17 ص</t>
  </si>
  <si>
    <t>2026/09/09 - 08:23 ص</t>
  </si>
  <si>
    <t xml:space="preserve">شد وتثبيت صندوق اسعافات اولية </t>
  </si>
  <si>
    <t>2026/09/08 - 12:29 م</t>
  </si>
  <si>
    <t>2026/09/09 - 08:22 ص</t>
  </si>
  <si>
    <t>2026/09/08 - 12:37 م</t>
  </si>
  <si>
    <t>تبديل قفل في غرفة المعاونين</t>
  </si>
  <si>
    <t>2026/09/09 - 08:08 ص</t>
  </si>
  <si>
    <t>2026/09/09 - 12:52 م</t>
  </si>
  <si>
    <t>تركيب قطعة سقف ثانوي مجاور السبلت في الاستعلامات</t>
  </si>
  <si>
    <t>2026/09/09 - 08:47 ص</t>
  </si>
  <si>
    <t xml:space="preserve">صيانة تاير عربانة </t>
  </si>
  <si>
    <t>2026/09/09 - 08:56 ص</t>
  </si>
  <si>
    <t>2026/09/12 - 10:17 ص</t>
  </si>
  <si>
    <t xml:space="preserve">تركيب ستاره (برده ) في شباك الاستعلامات الداخلي طول 5 متر </t>
  </si>
  <si>
    <t xml:space="preserve">مدني </t>
  </si>
  <si>
    <t>2026/09/09 - 10:45 ص</t>
  </si>
  <si>
    <t>ملحق ميز تبديل قفل</t>
  </si>
  <si>
    <t>2026/09/09 - 11:14 ص</t>
  </si>
  <si>
    <t>2026/09/09 - 12:51 م</t>
  </si>
  <si>
    <t>(طابق ارضي) ، (ZONE A) ، (ل)</t>
  </si>
  <si>
    <t xml:space="preserve">تصليح ثقب ارضيه مقابل باب الحانوت </t>
  </si>
  <si>
    <t>2026/09/10 - 07:11 ص</t>
  </si>
  <si>
    <t>2026/09/10 - 10:19 ص</t>
  </si>
  <si>
    <t>السبلت لا يعمل بعد انطفاء الكهرباء تلقائياًً</t>
  </si>
  <si>
    <t>2026/09/10 - 07:21 ص</t>
  </si>
  <si>
    <t>تركيب بوري للغسل داخل الصحيات</t>
  </si>
  <si>
    <t>2026/09/10 - 07:30 ص</t>
  </si>
  <si>
    <t>صبغ وتعديل الجدار في الاستعلامات</t>
  </si>
  <si>
    <t>2026/09/10 - 08:43 ص</t>
  </si>
  <si>
    <t>2026/09/13 - 07:29 ص</t>
  </si>
  <si>
    <t>الباب مال ميز المدرسين بطابق الاول يحتاجلهة صيانه</t>
  </si>
  <si>
    <t>2026/09/12 - 08:40 ص</t>
  </si>
  <si>
    <t>الباب الرئيسي للبناية الثالثه</t>
  </si>
  <si>
    <t>2026/09/13 - 08:19 ص</t>
  </si>
  <si>
    <t xml:space="preserve">شد لوكر </t>
  </si>
  <si>
    <t>2026/09/14 - 07:12 ص</t>
  </si>
  <si>
    <t xml:space="preserve">غرفة المكتبة بصف المصعد </t>
  </si>
  <si>
    <t>2026/09/13 - 08:20 ص</t>
  </si>
  <si>
    <t>2026/09/13 - 12:51 م</t>
  </si>
  <si>
    <t xml:space="preserve">فتح شاشه  حجم 42 غرفه المكتبه بصف المصعد </t>
  </si>
  <si>
    <t>2026/09/13 - 09:45 ص</t>
  </si>
  <si>
    <t>تركيب قاعده مال صونده داخل صحيات</t>
  </si>
  <si>
    <t>2026/09/13 - 12:55 م</t>
  </si>
  <si>
    <t>2026/09/13 - 01:04 م</t>
  </si>
  <si>
    <t xml:space="preserve">تسليك فلكس 2.5*2 لتغذية منظومة الراك في احدى الغرف من منظومة UPS </t>
  </si>
  <si>
    <t>2026/09/13 - 12:56 م</t>
  </si>
  <si>
    <t>2026/09/13 - 12:57 م</t>
  </si>
  <si>
    <t xml:space="preserve">تغذية راك الاتصالات من بورد منظومة UPS </t>
  </si>
  <si>
    <t>2026/09/13 - 12:58 م</t>
  </si>
  <si>
    <t>2026/09/13 - 01:03 م</t>
  </si>
  <si>
    <t xml:space="preserve">تغير موقع راوتر  إنترنيت في احدى الممرات </t>
  </si>
  <si>
    <t>2026/09/13 - 12:59 م</t>
  </si>
  <si>
    <t>2026/09/13 - 01:00 م</t>
  </si>
  <si>
    <t xml:space="preserve">فحص ومتابعة جميع بطاريات المصاعد والتأكد من سلامتها وعملها بالشكل المطلوب </t>
  </si>
  <si>
    <t>2026/09/13 - 01:01 م</t>
  </si>
  <si>
    <t xml:space="preserve">اعادة ترتيب وتثبيت مجموعة من مأخذ القدرة والأسلاك وإعادة تنصيب حاسبة في المكان المناسب </t>
  </si>
  <si>
    <t>2026/09/13 - 01:05 م</t>
  </si>
  <si>
    <t>2026/09/13 - 01:06 م</t>
  </si>
  <si>
    <t>2026/09/13 - 01:14 م</t>
  </si>
  <si>
    <t xml:space="preserve">تسليك فلكس 2.5*2 لتغذية مجموعة مأخذ قدرة </t>
  </si>
  <si>
    <t>2026/09/13 - 01:07 م</t>
  </si>
  <si>
    <t xml:space="preserve">صيانة شورت سيركت في احدى خطوط الإنارة </t>
  </si>
  <si>
    <t>2026/09/13 - 01:08 م</t>
  </si>
  <si>
    <t xml:space="preserve">صيانة المصعد الكهربائي حيث تم استرجاع الباب الداخلي داخل السكه المخصص له </t>
  </si>
  <si>
    <t xml:space="preserve">تسجيل قراءات الشبكة الوطنيه </t>
  </si>
  <si>
    <t>2026/09/13 - 01:09 م</t>
  </si>
  <si>
    <t xml:space="preserve">متابعة بطاريات منظومة الألواح الشمسية والتأكد من سلامتها </t>
  </si>
  <si>
    <t>2026/09/13 - 01:10 م</t>
  </si>
  <si>
    <t xml:space="preserve">متابعة وتسجيل قراءات منظومة الاتصالات UPS </t>
  </si>
  <si>
    <t>2026/09/13 - 01:11 م</t>
  </si>
  <si>
    <t xml:space="preserve">تغذية إعلان ضوئي داخل الاستعلامات </t>
  </si>
  <si>
    <t>2026/09/13 - 01:12 م</t>
  </si>
  <si>
    <t xml:space="preserve">استبدال محولة 50W تالفة في احدى خطوط الإنارة المنشورية </t>
  </si>
  <si>
    <t>2026/09/13 - 01:13 م</t>
  </si>
  <si>
    <t xml:space="preserve">تنظيف وفحص منظومة المصاعد الكهربائية </t>
  </si>
  <si>
    <t>2026/09/13 - 01:15 م</t>
  </si>
  <si>
    <t>2026/09/13 - 01:20 م</t>
  </si>
  <si>
    <t>متابعة وتسجيل قراءات منظومة الشبكة الوطنية</t>
  </si>
  <si>
    <t xml:space="preserve">اعادة ترتيب مجموعة أسلاك تابعة إلى الشاشات الذكية </t>
  </si>
  <si>
    <t>2026/09/13 - 01:16 م</t>
  </si>
  <si>
    <t xml:space="preserve">صيانة مروحة جدارية </t>
  </si>
  <si>
    <t>2026/09/13 - 01:17 م</t>
  </si>
  <si>
    <t>2026/09/13 - 01:18 م</t>
  </si>
  <si>
    <t xml:space="preserve">تنظيف جميع فلاتر بوردات السيطرة </t>
  </si>
  <si>
    <t>2026/09/13 - 01:19 م</t>
  </si>
  <si>
    <t>(مولدات )</t>
  </si>
  <si>
    <t xml:space="preserve">اضافة مروحة جدارية </t>
  </si>
  <si>
    <t>صيانة احدى قطع منظومة التبريد VRF</t>
  </si>
  <si>
    <t>لاقطه سماعه في المصلى لاتعمل تحتاج الى صيانه فورية لوجود اجتماع خاص بلكادر التدريسي</t>
  </si>
  <si>
    <t>تبدلي كاك زاوية عدد 2 في الصحيات يمين الاستعلامات</t>
  </si>
  <si>
    <t>2026/09/14 - 09:22 ص</t>
  </si>
  <si>
    <t>تبديل بلك سويج</t>
  </si>
  <si>
    <t>2026/09/15 - 11:44 ص</t>
  </si>
  <si>
    <t>رفع انقاض داخل صحيات</t>
  </si>
  <si>
    <t>2026/09/15 - 12:44 م</t>
  </si>
  <si>
    <t xml:space="preserve">صيانة صوندة سنك ماء </t>
  </si>
  <si>
    <t xml:space="preserve">لم يذكر المشكله او نوع العمل </t>
  </si>
  <si>
    <t>2026/09/14 - 01:53 م</t>
  </si>
  <si>
    <t xml:space="preserve">غرفة المعاون التعليمي يمن الدرج ط اول </t>
  </si>
  <si>
    <t xml:space="preserve">غرفة المعاون التعليمي ط اول يمين الدرج ملحق ميز يحتاج الى تبديل قفل </t>
  </si>
  <si>
    <t>2026/09/14 - 10:47 ص</t>
  </si>
  <si>
    <t>2026/09/15 - 08:51 ص</t>
  </si>
  <si>
    <t xml:space="preserve">تبديل قطعة سقوف ثانوية </t>
  </si>
  <si>
    <t>2026/09/15 - 12:53 م</t>
  </si>
  <si>
    <t xml:space="preserve">غرفة المدرسين - تحوي سويج بلك - من عادي الى ثقيل دائري </t>
  </si>
  <si>
    <t>2026/09/14 - 12:56 م</t>
  </si>
  <si>
    <t xml:space="preserve">تثبيت وتبديل  قاعدة صابون عدد 2 </t>
  </si>
  <si>
    <t>2026/09/15 - 08:52 ص</t>
  </si>
  <si>
    <t>2026/09/15 - 10:00 ص</t>
  </si>
  <si>
    <t>صيانة مرد ماء عدد (2)</t>
  </si>
  <si>
    <t>2026/09/15 - 10:06 ص</t>
  </si>
  <si>
    <t>2026/09/15 - 10:32 ص</t>
  </si>
  <si>
    <t xml:space="preserve">تشغيل التبريد للمصلى </t>
  </si>
  <si>
    <t>امتحان للطلبة</t>
  </si>
  <si>
    <t>2026/09/15 - 10:13 ص</t>
  </si>
  <si>
    <t>(قاعة رياضية__2) ، (صحيات القاعة الرياضية )</t>
  </si>
  <si>
    <t xml:space="preserve">صيانة قاعدة صوندة </t>
  </si>
  <si>
    <t>2026/09/15 - 10:41 ص</t>
  </si>
  <si>
    <t xml:space="preserve">نحتاج النكي فقط </t>
  </si>
  <si>
    <t>تبديل قفل ميز مكتبي في غرفة المعاونين</t>
  </si>
  <si>
    <t>2026/09/16 - 07:33 ص</t>
  </si>
  <si>
    <t>2026/09/16 - 08:54 ص</t>
  </si>
  <si>
    <t xml:space="preserve">مروحه سقفيه لاتعمل بصوره صحيحه </t>
  </si>
  <si>
    <t>2026/09/16 - 08:50 ص</t>
  </si>
  <si>
    <t xml:space="preserve">تأسيس بلك سويج الى براد بطل في غرفة المدرسيين </t>
  </si>
  <si>
    <t>2026/09/16 - 09:00 ص</t>
  </si>
  <si>
    <t>تأسيس نقطة للثلاجة في غرفة المدرسين</t>
  </si>
  <si>
    <t>2026/09/16 - 10:23 ص</t>
  </si>
  <si>
    <t>2026/09/16 - 12:40 م</t>
  </si>
  <si>
    <t>فتح  وتبديل اقفال لوكر بلمكتبه بصف المصعد فوري</t>
  </si>
  <si>
    <t>2026/09/16 - 10:25 ص</t>
  </si>
  <si>
    <t xml:space="preserve">مصد باب مختبر الاحياء </t>
  </si>
  <si>
    <t xml:space="preserve">صبغ الباب الحديد </t>
  </si>
  <si>
    <t>(ZONE A) ، (الصحيات)</t>
  </si>
  <si>
    <t>تفليش مقعد متضرر مع اخراج الانقاض</t>
  </si>
  <si>
    <t>(طابق (1)) ، (ZONE A) ، (غرفه المدرسين )</t>
  </si>
  <si>
    <t>تبديل قفل لوكر عدد 6</t>
  </si>
  <si>
    <t xml:space="preserve">صيانة عربة </t>
  </si>
  <si>
    <t xml:space="preserve">تعديل قطع سقف ثلنوي </t>
  </si>
  <si>
    <t>(طابق ارضي) ، (ZONE B) ، (الثاني متوسط)</t>
  </si>
  <si>
    <t xml:space="preserve">تثبيت مقبظ شباك </t>
  </si>
  <si>
    <t>(طابق ارضي) ، (ZONE B) ، (الثاني متوسط ه)</t>
  </si>
  <si>
    <t>تثبيت الاطار واستبدال قفل الشباك</t>
  </si>
  <si>
    <t>2026/09/16 - 11:46 ص</t>
  </si>
  <si>
    <t xml:space="preserve">ادامه كاملة لكل قطع السقف التالفة </t>
  </si>
  <si>
    <t>(طابق (1)) ، (ZONE A) ، (العلوم )</t>
  </si>
  <si>
    <t xml:space="preserve">صيانة كرسي هليدروليك </t>
  </si>
  <si>
    <t>2026/09/16 - 11:48 ص</t>
  </si>
  <si>
    <t>2026/09/16 - 11:49 ص</t>
  </si>
  <si>
    <t>(طابق (1)) ، (ZONE A) ، (الممر )</t>
  </si>
  <si>
    <t>صيانة رحلة  عدد 2</t>
  </si>
  <si>
    <t>2026/09/16 - 11:50 ص</t>
  </si>
  <si>
    <t>(طابق (1)) ، (ZONE A) ، (المصلى )</t>
  </si>
  <si>
    <t xml:space="preserve">سد فتحات بين الشباك والقاطع </t>
  </si>
  <si>
    <t>2026/09/16 - 11:52 ص</t>
  </si>
  <si>
    <t xml:space="preserve">تثبيت صندوق اسعافات </t>
  </si>
  <si>
    <t xml:space="preserve">صيانة حاوية نفايات </t>
  </si>
  <si>
    <t>(طابق (1)) ، (ZONE A) ، (الدرج)</t>
  </si>
  <si>
    <t xml:space="preserve">سد وغلاق فتحة الحائط وصبغها </t>
  </si>
  <si>
    <t>(طابق ارضي) ، (ZONE A) ، (غرغة المعاون)</t>
  </si>
  <si>
    <t xml:space="preserve">صبغ مكانات متضررة </t>
  </si>
  <si>
    <t>2026/09/16 - 11:55 ص</t>
  </si>
  <si>
    <t xml:space="preserve">صبغ عربات طعام مع وضع وتثبيت الخشب </t>
  </si>
  <si>
    <t>(باب الكراج)</t>
  </si>
  <si>
    <t xml:space="preserve">صبغ الباب الخارجي </t>
  </si>
  <si>
    <t>(ZONE A) ، (ZONE B)</t>
  </si>
  <si>
    <t>صيلنة جك باب الحديد</t>
  </si>
  <si>
    <t xml:space="preserve">تبديل قطعة سقف تالفة </t>
  </si>
  <si>
    <t>(طابق (2)) ، (ZONE A) ، (الحانوت)</t>
  </si>
  <si>
    <t xml:space="preserve">حفر وتثبيت قفل كاونتر </t>
  </si>
  <si>
    <t xml:space="preserve">معالجة واغلاق ثقب في الارضية </t>
  </si>
  <si>
    <t>(طابق (1)) ، (ZONE A) ، (غرفة المدرسين )</t>
  </si>
  <si>
    <t>صيانة مفاصل  ابواب المكاتب</t>
  </si>
  <si>
    <t>(طابق (1)) ، (ZONE A) ، (غرفة المدرسين)</t>
  </si>
  <si>
    <t xml:space="preserve">تثبيت رزة دولاب </t>
  </si>
  <si>
    <t xml:space="preserve">صبغ الباب الجديد الخارجي الثاني </t>
  </si>
  <si>
    <t>2026/09/17 - 08:49 ص</t>
  </si>
  <si>
    <t>2026/09/17 - 09:32 ص</t>
  </si>
  <si>
    <t>بحاجة الى سيار طول 2 متر لغرض تشغيل الشاشه لوجود اجتماع خاص بلمدرسين في غرفة المدرسين</t>
  </si>
  <si>
    <t>2026/09/17 - 08:53 ص</t>
  </si>
  <si>
    <t>2026/09/17 - 09:57 ص</t>
  </si>
  <si>
    <t>محتبر الفيزياءتغير مصد باب بسبب قربة على الشاشه الذكيه</t>
  </si>
  <si>
    <t>2026/09/17 - 08:57 ص</t>
  </si>
  <si>
    <t>تعديل صبغ جدار جوانب الاستعلامات</t>
  </si>
  <si>
    <t>2026/09/19 - 08:24 ص</t>
  </si>
  <si>
    <t>(طابق ارضي) ، (ZONE B) ، (الرابع ج)</t>
  </si>
  <si>
    <t>2026/09/19 - 08:25 ص</t>
  </si>
  <si>
    <t>(طابق (1)) ، (ZONE B) ، (الرابع ز)</t>
  </si>
  <si>
    <t>2026/09/19 - 08:26 ص</t>
  </si>
  <si>
    <t>(طابق ارضي) ، (ZONE B) ، (الخامس  ز)</t>
  </si>
  <si>
    <t>ارجاع مصد باب</t>
  </si>
  <si>
    <t>2026/09/19 - 08:27 ص</t>
  </si>
  <si>
    <t>(طابق (1)) ، (ZONE B) ، (الخامس  ح)</t>
  </si>
  <si>
    <t>2026/09/19 - 09:43 ص</t>
  </si>
  <si>
    <t xml:space="preserve">تبديل قفل باب الحانوت </t>
  </si>
  <si>
    <t>2026/09/19 - 08:28 ص</t>
  </si>
  <si>
    <t>(طابق (1)) ، (ZONE B) ، (الخامس  ط)</t>
  </si>
  <si>
    <t xml:space="preserve">صيانة يدة باب خشب </t>
  </si>
  <si>
    <t>2026/09/19 - 08:29 ص</t>
  </si>
  <si>
    <t>(طابق (2)) ، (ZONE B) ، (الخامس ا)</t>
  </si>
  <si>
    <t xml:space="preserve">ارجاع وصيانة خشبة جدار </t>
  </si>
  <si>
    <t>2026/09/19 - 08:30 ص</t>
  </si>
  <si>
    <t xml:space="preserve">تثبيت واضافة قفل لوكر </t>
  </si>
  <si>
    <t>2026/09/19 - 08:31 ص</t>
  </si>
  <si>
    <t>(الكراج) ، (الباب الرئيسية )</t>
  </si>
  <si>
    <t xml:space="preserve">اعمال اللحام مع اعادة صب الباب </t>
  </si>
  <si>
    <t>2026/09/19 - 08:32 ص</t>
  </si>
  <si>
    <t xml:space="preserve">تجهيز مواد الخرسانة لغرض اعمال نصب مقعد شرقي </t>
  </si>
  <si>
    <t>2026/09/19 - 08:33 ص</t>
  </si>
  <si>
    <t>2026/09/19 - 08:34 ص</t>
  </si>
  <si>
    <t>صيانة ابواب عدد 2</t>
  </si>
  <si>
    <t>2026/09/19 - 08:35 ص</t>
  </si>
  <si>
    <t>(طابق (1)) ، (ZONE B) ، (الاول د)</t>
  </si>
  <si>
    <t xml:space="preserve">تبديل ديك شباك </t>
  </si>
  <si>
    <t>2026/09/19 - 08:36 ص</t>
  </si>
  <si>
    <t>(طابق (2)) ، (ZONE B) ، (الاول ح)</t>
  </si>
  <si>
    <t>تبديل ديك شباك</t>
  </si>
  <si>
    <t>2026/09/19 - 08:37 ص</t>
  </si>
  <si>
    <t xml:space="preserve">اعمال صبغ الباب الجديد قرب المولدات </t>
  </si>
  <si>
    <t>2026/09/19 - 08:38 ص</t>
  </si>
  <si>
    <t>(طابق ارضي) ، (ZONE A) ، (غرفه الادارة )</t>
  </si>
  <si>
    <t xml:space="preserve">تثبيت قفل لوكر </t>
  </si>
  <si>
    <t>2026/09/19 - 08:39 ص</t>
  </si>
  <si>
    <t>(طابق ارضي) ، (ZONE A) ، (غرفة المدرسين )</t>
  </si>
  <si>
    <t>2026/09/19 - 08:42 ص</t>
  </si>
  <si>
    <t>(طابق ارضي) ، (ZONE A) ، (المعاون التعليمي)</t>
  </si>
  <si>
    <t xml:space="preserve">اضافة قفل جرار مكتب </t>
  </si>
  <si>
    <t>2026/09/19 - 08:43 ص</t>
  </si>
  <si>
    <t xml:space="preserve">اضافة وتركيب قفل باب لوكر </t>
  </si>
  <si>
    <t xml:space="preserve">اضافه قفل عدد 2 لجرارات ميز المكتب </t>
  </si>
  <si>
    <t>2026/09/19 - 08:44 ص</t>
  </si>
  <si>
    <t>تبديل قفل لوكر حديد</t>
  </si>
  <si>
    <t>2026/09/19 - 08:45 ص</t>
  </si>
  <si>
    <t xml:space="preserve">تقل زتصعيد مواد الخرسانة </t>
  </si>
  <si>
    <t>2026/09/19 - 08:46 ص</t>
  </si>
  <si>
    <t>(الكراج) ، (الباب الخارجي)</t>
  </si>
  <si>
    <t>تثبيت وتبديل راطة قفل لا</t>
  </si>
  <si>
    <t>2026/09/19 - 08:59 ص</t>
  </si>
  <si>
    <t>رفع انقاض اعمال التكسير والصب</t>
  </si>
  <si>
    <t>2026/09/19 - 08:47 ص</t>
  </si>
  <si>
    <t xml:space="preserve">تثبيت مرد ملء ع\دد 2 </t>
  </si>
  <si>
    <t>2026/09/19 - 08:48 ص</t>
  </si>
  <si>
    <t>2026/09/19 - 09:00 ص</t>
  </si>
  <si>
    <t xml:space="preserve">صيانة رحلات عدد 2 </t>
  </si>
  <si>
    <t xml:space="preserve">صيانه كرسي </t>
  </si>
  <si>
    <t>2026/09/19 - 08:49 ص</t>
  </si>
  <si>
    <t xml:space="preserve">اعمال قص منهول عدد 2 </t>
  </si>
  <si>
    <t xml:space="preserve">اعمال صيانة محجر درج </t>
  </si>
  <si>
    <t>2026/09/19 - 08:50 ص</t>
  </si>
  <si>
    <t>2026/09/19 - 09:01 ص</t>
  </si>
  <si>
    <t xml:space="preserve">اعمال اعادة ترتيب اللوحات التعريفية  حسب طلب لدارة المجمع </t>
  </si>
  <si>
    <t>2026/09/19 - 08:51 ص</t>
  </si>
  <si>
    <t xml:space="preserve">لعمال ملى فواصل مقعد الصحيات </t>
  </si>
  <si>
    <t>2026/09/19 - 08:52 ص</t>
  </si>
  <si>
    <t>2026/09/19 - 08:53 ص</t>
  </si>
  <si>
    <t>اعمال معالجة وسمفره وصبغ حائط</t>
  </si>
  <si>
    <t>2026/09/19 - 09:02 ص</t>
  </si>
  <si>
    <t>اعمال سمفره ومعالجة وصبغ غرفة  المعاون</t>
  </si>
  <si>
    <t>2026/09/19 - 08:54 ص</t>
  </si>
  <si>
    <t xml:space="preserve">تبديل قفل لوكر عدد 2 </t>
  </si>
  <si>
    <t>2026/09/19 - 08:55 ص</t>
  </si>
  <si>
    <t>2026/09/19 - 09:03 ص</t>
  </si>
  <si>
    <t xml:space="preserve">تركب بردة شباك </t>
  </si>
  <si>
    <t>2026/09/19 - 08:56 ص</t>
  </si>
  <si>
    <t>(طابق ارضي) ، (ZONE A) ، (الحانوت )</t>
  </si>
  <si>
    <t>2026/09/19 - 09:04 ص</t>
  </si>
  <si>
    <t xml:space="preserve">صبغ الجدران المتضررة </t>
  </si>
  <si>
    <t>2026/09/19 - 08:57 ص</t>
  </si>
  <si>
    <t>2026/09/19 - 08:58 ص</t>
  </si>
  <si>
    <t xml:space="preserve">اعادة قطع سقف ثانوي </t>
  </si>
  <si>
    <t>2026/09/19 - 09:27 ص</t>
  </si>
  <si>
    <t>تحول الى شعبة الاتصالات</t>
  </si>
  <si>
    <t>2026/09/19 - 10:52 ص</t>
  </si>
  <si>
    <t xml:space="preserve">سماعه المناداة الخاصة بلمدرسه </t>
  </si>
  <si>
    <t xml:space="preserve">مع متابعة الموضوع من قبل منتسب الاستعلامات </t>
  </si>
  <si>
    <t>2026/09/19 - 01:47 م</t>
  </si>
  <si>
    <t>2026/09/20 - 08:38 ص</t>
  </si>
  <si>
    <t>(طابق ارضي) ، (مصعد)</t>
  </si>
  <si>
    <t>2026/09/19 - 01:48 م</t>
  </si>
  <si>
    <t>2026/09/19 - 03:25 م</t>
  </si>
  <si>
    <t>2026/09/19 - 03:46 م</t>
  </si>
  <si>
    <t>حملة غسل وتنظيف كاملة للقطع الخارجية لمنظومات التبريد</t>
  </si>
  <si>
    <t>2026/09/19 - 03:26 م</t>
  </si>
  <si>
    <t>صيانة وغسل الفلاتر والقطع الداخلية لمنظومات التبريد</t>
  </si>
  <si>
    <t>2026/09/19 - 03:27 م</t>
  </si>
  <si>
    <t>فحص غاز التبريد لسبلت اعتيادي في البناية الرابعة</t>
  </si>
  <si>
    <t>2026/09/19 - 03:28 م</t>
  </si>
  <si>
    <t>2026/09/19 - 03:47 م</t>
  </si>
  <si>
    <t>ربط مروحة تبريد (vrf Fan Motor)</t>
  </si>
  <si>
    <t>2026/09/19 - 03:29 م</t>
  </si>
  <si>
    <t>2026/09/19 - 03:48 م</t>
  </si>
  <si>
    <t>صيانة حساس التثليج (Defrost Sensor package)</t>
  </si>
  <si>
    <t>إضافة وتأسيس موزع هواء ساحبات (Exhaust Diffuser)</t>
  </si>
  <si>
    <t>2026/09/19 - 03:30 م</t>
  </si>
  <si>
    <t>إعادة ضبط ومبرمجة (Reset) لمنظومة (VRF)</t>
  </si>
  <si>
    <t>2026/09/19 - 03:31 م</t>
  </si>
  <si>
    <t>(قرب غرفة المضخات الرئيسية)</t>
  </si>
  <si>
    <t>صيانة وإصلاح تسريب مياه في أنبوب الإطفاء الرئيسي (Fire Fighting Pipe Leak).</t>
  </si>
  <si>
    <t>استبدال صمامات عدم الرجوع (Check Valves) عدد (2) لخزانات البنايات .</t>
  </si>
  <si>
    <t>2026/09/19 - 03:34 م</t>
  </si>
  <si>
    <t>(مضخات السقي)</t>
  </si>
  <si>
    <t>صيانة مضخة السقي واستبدال الصمامات الخاصه لها</t>
  </si>
  <si>
    <t xml:space="preserve">تأسيس وتوصيل خط مياه جديد للمختبرات </t>
  </si>
  <si>
    <t>2026/09/19 - 03:49 م</t>
  </si>
  <si>
    <t>تشغيل خط إسالة الشركة الأمنية لملء الخزانات.</t>
  </si>
  <si>
    <t>2026/09/19 - 03:35 م</t>
  </si>
  <si>
    <t>إجراء جرد ميداني شامل لجميع المجاميع الصحية وإصلاح المشاكل المكتشفة.</t>
  </si>
  <si>
    <t>2026/09/19 - 03:36 م</t>
  </si>
  <si>
    <t>(طابق ارضي) ، (طابق (1))</t>
  </si>
  <si>
    <t>قص وتجهيز أرضية الحمام وتثبيت مقاعد حمام شرقي عدد 2 .</t>
  </si>
  <si>
    <t>اضافة حنفيات مزدوجة للغسل</t>
  </si>
  <si>
    <t>2026/09/19 - 03:37 م</t>
  </si>
  <si>
    <t>(طابق (1)) ، (ZONE A) ، (المختبرات الجديدة)</t>
  </si>
  <si>
    <t xml:space="preserve">تثبيت خلاطات مياه (Mixer Taps) عدد (2) </t>
  </si>
  <si>
    <t>2026/09/19 - 03:38 م</t>
  </si>
  <si>
    <t>استبدال كاكات زاوية وخراطيم مرنة (Flexible Hoses)، شطافات وحوامل صابون .</t>
  </si>
  <si>
    <t>2026/09/19 - 03:39 م</t>
  </si>
  <si>
    <t>2026/09/19 - 03:50 م</t>
  </si>
  <si>
    <t>(طابق (1)) ، (ZONE A) ، (المختبرات)</t>
  </si>
  <si>
    <t xml:space="preserve">معالجة وقص أنابيب تصريف المياه الخاصة بالمختبرات </t>
  </si>
  <si>
    <t>2026/09/19 - 03:40 م</t>
  </si>
  <si>
    <t>ربط خراطيم ماء الى سنكي حوضين</t>
  </si>
  <si>
    <t>2026/09/19 - 03:41 م</t>
  </si>
  <si>
    <t>تعديل وتثبيت سواقي تصريف المياه (Drainage Gutters) .</t>
  </si>
  <si>
    <t>2026/09/19 - 03:51 م</t>
  </si>
  <si>
    <t>غسل وتنظيف خزانات مياه الـ (RO)</t>
  </si>
  <si>
    <t>2026/09/19 - 03:42 م</t>
  </si>
  <si>
    <t>غسل وتنظيف خزانات مياه الـ (RO).</t>
  </si>
  <si>
    <t>2026/09/19 - 03:43 م</t>
  </si>
  <si>
    <t>معالجة تسريب في خرطوم براد مياه الـ (RO).</t>
  </si>
  <si>
    <t>2026/09/19 - 03:45 م</t>
  </si>
  <si>
    <t xml:space="preserve">تثبيت حمالات/قواعد طفايات حريق (Extinguisher Brackets) </t>
  </si>
  <si>
    <t xml:space="preserve">نقل طفايات حريق عدد (2) (نوع CO2 و باودر Dry Powder) </t>
  </si>
  <si>
    <t>2026/09/20 - 08:05 ص</t>
  </si>
  <si>
    <t xml:space="preserve">تبديل لبة قفل باب </t>
  </si>
  <si>
    <t>2026/09/20 - 08:06 ص</t>
  </si>
  <si>
    <t xml:space="preserve">تنضيف اعمال الشربتة </t>
  </si>
  <si>
    <t>2026/09/20 - 08:07 ص</t>
  </si>
  <si>
    <t>2026/09/20 - 08:08 ص</t>
  </si>
  <si>
    <t>(الباب الرئيسية )</t>
  </si>
  <si>
    <t>تزييت الابواب الحديد</t>
  </si>
  <si>
    <t>2026/09/20 - 08:09 ص</t>
  </si>
  <si>
    <t xml:space="preserve">تقشير وازالة الصبغ التالف من الجبس بورد </t>
  </si>
  <si>
    <t>2026/09/20 - 08:10 ص</t>
  </si>
  <si>
    <t xml:space="preserve">اعمال معالجة الجبس بمادة الستن وسمفرتها مع تنضيف مكان العمل بالكامل </t>
  </si>
  <si>
    <t>2026/09/20 - 08:55 ص</t>
  </si>
  <si>
    <t>2026/09/20 - 09:59 ص</t>
  </si>
  <si>
    <t xml:space="preserve">تعليك برده </t>
  </si>
  <si>
    <t>2026/09/20 - 09:07 ص</t>
  </si>
  <si>
    <t>الثالث د - لا يوجد تبريد</t>
  </si>
  <si>
    <t>2026/09/20 - 09:27 ص</t>
  </si>
  <si>
    <t>تعليك لوحة اعلانات قرب الادارة</t>
  </si>
  <si>
    <t>2026/09/20 - 10:19 ص</t>
  </si>
  <si>
    <t>2026/09/20 - 11:14 ص</t>
  </si>
  <si>
    <t>ازالة مآخذ قدرة عدد 29 من مختبر الحاسوب</t>
  </si>
  <si>
    <t>2026/09/20 - 10:20 ص</t>
  </si>
  <si>
    <t xml:space="preserve">فحص وتشغيل الشاشات الذكية للأستعداد للعام الدراسي </t>
  </si>
  <si>
    <t>2026/09/20 - 10:21 ص</t>
  </si>
  <si>
    <t>2026/09/20 - 11:15 ص</t>
  </si>
  <si>
    <t>استبدال مأخذ قدرة 15A بدلا من 13A</t>
  </si>
  <si>
    <t>2026/09/20 - 10:22 ص</t>
  </si>
  <si>
    <t>2026/09/20 - 11:16 ص</t>
  </si>
  <si>
    <t xml:space="preserve">استبدال انارة عدد 3 في غرفة وحدة الكهرباء والاتصالات </t>
  </si>
  <si>
    <t>2026/09/20 - 10:23 ص</t>
  </si>
  <si>
    <t>تنظيف الالواح الشمسية  الخاصة بالمنظومة</t>
  </si>
  <si>
    <t xml:space="preserve">ربط تغذية سبلت غرفة المصعد </t>
  </si>
  <si>
    <t>2026/09/20 - 10:24 ص</t>
  </si>
  <si>
    <t>2026/09/20 - 11:17 ص</t>
  </si>
  <si>
    <t xml:space="preserve">استبدال مأخذ قدرة 13A </t>
  </si>
  <si>
    <t>استبدال ماشة ثلاجة 13A</t>
  </si>
  <si>
    <t>2026/09/20 - 10:25 ص</t>
  </si>
  <si>
    <t>2026/09/20 - 11:13 ص</t>
  </si>
  <si>
    <t>إضافة مأخذ قدرة 13A عدد 2</t>
  </si>
  <si>
    <t>استبدال محولة انارة منشورية عدد 5</t>
  </si>
  <si>
    <t>2026/09/20 - 10:26 ص</t>
  </si>
  <si>
    <t xml:space="preserve">استبدال انارة منشورية 45w </t>
  </si>
  <si>
    <t>استبدال سبوت لايت عدد 1 في الصحيات</t>
  </si>
  <si>
    <t>2026/09/20 - 10:27 ص</t>
  </si>
  <si>
    <t>اضافة مأخذ قدرة عدد 3 في بورد الكراج لغرض الاستعمال الخارجي</t>
  </si>
  <si>
    <t>2026/09/20 - 10:28 ص</t>
  </si>
  <si>
    <t>2026/09/20 - 12:59 م</t>
  </si>
  <si>
    <t>لا يوجد ماء في البرادات</t>
  </si>
  <si>
    <t>2026/09/20 - 10:29 ص</t>
  </si>
  <si>
    <t>ربط تغذية صمام كهربائي عدد 2 لصالح وحدة الميكانيك</t>
  </si>
  <si>
    <t>2026/09/20 - 10:30 ص</t>
  </si>
  <si>
    <t>استبدال بطاريات المصعد 12v-9A عدد 5</t>
  </si>
  <si>
    <t>2026/09/20 - 10:31 ص</t>
  </si>
  <si>
    <t>2026/09/20 - 10:32 ص</t>
  </si>
  <si>
    <t>2026/09/20 - 12:14 م</t>
  </si>
  <si>
    <t>تبديل قفل ميز مكتبي غرفة المعاونين</t>
  </si>
  <si>
    <t>2026/09/20 - 10:35 ص</t>
  </si>
  <si>
    <t>تسليك وربط هاتف المصعد من غرفة المصعد الى استعلامات الطابق الارضي</t>
  </si>
  <si>
    <t>2026/09/20 - 10:37 ص</t>
  </si>
  <si>
    <t>2026/09/20 - 11:46 ص</t>
  </si>
  <si>
    <t>احضار مفاتيح غرفة الصوتيات طابق ارضي</t>
  </si>
  <si>
    <t>2026/09/20 - 10:38 ص</t>
  </si>
  <si>
    <t>2026/09/20 - 11:11 ص</t>
  </si>
  <si>
    <t>2026/09/20 - 10:39 ص</t>
  </si>
  <si>
    <t xml:space="preserve">فحص البناية بالكامل  </t>
  </si>
  <si>
    <t>2026/09/20 - 10:40 ص</t>
  </si>
  <si>
    <t xml:space="preserve">- تم استبدال محولة إنارة لمنشورية LED قياس 60×60 عدد 1.
- تم استبدال إنارة منشورية LED قياس 60×60 عدد 2.
- تم إجراء صيانة لـ سبوت لايت عدد 1 في صحيات الطابق الأرضي، زون A.
- تم استبدال سبوت لايت في الصحيات نفسها.
- تم استبدال براكيت جداري تالف بآخر جديد في الطابق الأرضي والطابق الثاني، زون A.
- تم اعادة تثبيت سويچ انارة عدد 3 في صفوف الزون B. </t>
  </si>
  <si>
    <t xml:space="preserve">فحص كامل للبناية </t>
  </si>
  <si>
    <t>2026/09/20 - 10:41 ص</t>
  </si>
  <si>
    <t>- تم استبدال محولات إنارة عدد 2 خاصة بالإنارة المنشورية قياس 60×60 في الطابق الأرضي.
- تم استبدال إنارة منشورية LED قياس 60×60 عدد 1 في الطابق الأول.</t>
  </si>
  <si>
    <t>2026/09/20 - 11:12 ص</t>
  </si>
  <si>
    <t>2026/09/20 - 10:42 ص</t>
  </si>
  <si>
    <t>2026/09/20 - 10:43 ص</t>
  </si>
  <si>
    <t>استبدال عدد (2) محولة إنارة خاصة بالإنارة المنشورية 60×60، في الطابق الأرضي – زون A</t>
  </si>
  <si>
    <t>2026/09/20 - 10:44 ص</t>
  </si>
  <si>
    <t>استبدال عدد (1) سبوت لايت في الطابق الثاني – زون A.
 تثبيت عدد (1) سبوت لايت إضافي في الموقع نفسه ضمن الطابق الثاني – زون A.
إعادة تثبيت مجموعة من البلك سويچات والسويچات</t>
  </si>
  <si>
    <t>2026/09/20 - 10:45 ص</t>
  </si>
  <si>
    <t>فحص شامل للبناية بالكامل وتم استبدال محولة سبوت لايت في الطابق الاول</t>
  </si>
  <si>
    <t>2026/09/20 - 10:46 ص</t>
  </si>
  <si>
    <t xml:space="preserve">صيانة انارة منشورية 60×60 عدد 5 </t>
  </si>
  <si>
    <t>2026/09/20 - 10:47 ص</t>
  </si>
  <si>
    <t>2026/09/20 - 11:09 ص</t>
  </si>
  <si>
    <t>مساعدة وحدة الميكانيك في تنظيف vrf</t>
  </si>
  <si>
    <t>استبدال محولة إنارة منشورية عدد 1</t>
  </si>
  <si>
    <t>2026/09/20 - 10:49 ص</t>
  </si>
  <si>
    <t xml:space="preserve">براد في الطابق الارضي حنفية عطلانة </t>
  </si>
  <si>
    <t>صيانة تماس كهربائي في احدى الانارات المنشورية</t>
  </si>
  <si>
    <t>تغذية شاشة ذكية في المكتبة من منظومة ups</t>
  </si>
  <si>
    <t>2026/09/20 - 10:50 ص</t>
  </si>
  <si>
    <t xml:space="preserve">صيانة صبورة بالساحة </t>
  </si>
  <si>
    <t>اضافة تري لاصق لكيبل الطابعة</t>
  </si>
  <si>
    <t>2026/09/20 - 10:51 ص</t>
  </si>
  <si>
    <t>2026/09/20 - 11:10 ص</t>
  </si>
  <si>
    <t xml:space="preserve">اضافة تري لاصق ارضي لترتيب الكيبلات </t>
  </si>
  <si>
    <t>2026/09/20 - 10:52 ص</t>
  </si>
  <si>
    <t>استبدال مأخذ 15A ب13A</t>
  </si>
  <si>
    <t>إعادة تثبيت كاميرا غي الصحيات</t>
  </si>
  <si>
    <t>2026/09/20 - 10:53 ص</t>
  </si>
  <si>
    <t>2026/09/20 - 10:54 ص</t>
  </si>
  <si>
    <t xml:space="preserve">اعادة برمجمة </t>
  </si>
  <si>
    <t>إعادة ضبط تردد الإرسال اللاسلكي وربطه بجهاز الارسال المعتمد</t>
  </si>
  <si>
    <t>2026/09/20 - 10:56 ص</t>
  </si>
  <si>
    <t xml:space="preserve">فصل وإزالة مآخذ قدرة عدد 28 من مختبر الحاسوب </t>
  </si>
  <si>
    <t>2026/09/20 - 10:57 ص</t>
  </si>
  <si>
    <t>2026/09/20 - 11:08 ص</t>
  </si>
  <si>
    <t>نقل بورد الخارجي للكراج من داخل الهيكل الى خارجه مع اضافة منهولة عدد 2</t>
  </si>
  <si>
    <t>2026/09/20 - 10:58 ص</t>
  </si>
  <si>
    <t xml:space="preserve">اضافة مآخذ قدرة عدد 2 من منظومة ups لتغذية شاشات ذكية </t>
  </si>
  <si>
    <t>2026/09/20 - 10:59 ص</t>
  </si>
  <si>
    <t>استبدال مأخذ قدرة 13A بواحد أخر 15A لتغذية سماور</t>
  </si>
  <si>
    <t>2026/09/20 - 11:00 ص</t>
  </si>
  <si>
    <t>صيانة مروحة سقفية</t>
  </si>
  <si>
    <t>2026/09/20 - 11:02 ص</t>
  </si>
  <si>
    <t xml:space="preserve">اضافة مأخذ قدرة عدد 20 في مختبر الحاسوب </t>
  </si>
  <si>
    <t>2026/09/20 - 11:07 ص</t>
  </si>
  <si>
    <t>2026/09/20 - 11:03 ص</t>
  </si>
  <si>
    <t>اضافة مأخذ قدرة عدد 30 لتغذية الحاسبات في مختبر الحاسوب</t>
  </si>
  <si>
    <t>2026/09/20 - 11:04 ص</t>
  </si>
  <si>
    <t xml:space="preserve">اضافة تري لاصق لترتيب كيبلات الشاشة </t>
  </si>
  <si>
    <t>2026/09/20 - 11:45 ص</t>
  </si>
  <si>
    <t xml:space="preserve">صيانة بوكس نقطة كهرباء بجنب الادارة </t>
  </si>
  <si>
    <t>2026/09/20 - 12:25 م</t>
  </si>
  <si>
    <t>2026/09/20 - 01:58 م</t>
  </si>
  <si>
    <t>سبلت لا يعمل في الغرفه المقطوعه بالبي في سي</t>
  </si>
  <si>
    <t>2026/09/21 - 07:50 ص</t>
  </si>
  <si>
    <t>2026/09/21 - 12:48 م</t>
  </si>
  <si>
    <t>تركيب نقطة كهرباء في غرفة المعاون التعليمي مجاور  الحانوت</t>
  </si>
  <si>
    <t>2026/09/21 - 08:48 ص</t>
  </si>
  <si>
    <t>(طابق ارضي) ، (ZONE A) ، (الارشاد)</t>
  </si>
  <si>
    <t xml:space="preserve">تلركيب وتثبيت صندوق الاسغافات الاولية </t>
  </si>
  <si>
    <t>2026/09/21 - 08:49 ص</t>
  </si>
  <si>
    <t>(طابق ارضي) ، (ZONE A) ، (غرفه السكرتارية )</t>
  </si>
  <si>
    <t xml:space="preserve">صيانة طبلة خشب </t>
  </si>
  <si>
    <t>2026/09/21 - 08:50 ص</t>
  </si>
  <si>
    <t>(طابق ارضي) ، (الاستعلامات )</t>
  </si>
  <si>
    <t xml:space="preserve">تثبيت لوحة اعلانات </t>
  </si>
  <si>
    <t>2026/09/21 - 08:51 ص</t>
  </si>
  <si>
    <t>(طابق (2)) ، (السادس ز)</t>
  </si>
  <si>
    <t>2026/09/21 - 08:52 ص</t>
  </si>
  <si>
    <t xml:space="preserve">صيانة و تثبيت مسطرة سبورة </t>
  </si>
  <si>
    <t>2026/09/21 - 08:53 ص</t>
  </si>
  <si>
    <t>(ساحة خارجية) ، (المولدات)</t>
  </si>
  <si>
    <t>(السنكروم)</t>
  </si>
  <si>
    <t xml:space="preserve">تثبيت بورد خشب مفاتيح </t>
  </si>
  <si>
    <t>2026/09/21 - 08:54 ص</t>
  </si>
  <si>
    <t xml:space="preserve">صيانة وتثبيت اغطية السواقي لمياه الامطار </t>
  </si>
  <si>
    <t>2026/09/21 - 08:55 ص</t>
  </si>
  <si>
    <t>(طابق (1)) ، (ZONE B) ، (الخامس ا)</t>
  </si>
  <si>
    <t>2026/09/21 - 08:56 ص</t>
  </si>
  <si>
    <t xml:space="preserve">تعديل وتثبيت الربر السفلي لباب الالمنيوم </t>
  </si>
  <si>
    <t>2026/09/21 - 09:05 ص</t>
  </si>
  <si>
    <t>2026/09/22 - 07:21 ص</t>
  </si>
  <si>
    <t xml:space="preserve">شطافه تحتاج الى تبديل بالحمامات </t>
  </si>
  <si>
    <t>2026/09/21 - 09:30 ص</t>
  </si>
  <si>
    <t>2026/09/21 - 10:50 ص</t>
  </si>
  <si>
    <t xml:space="preserve">تركيب 2 سبورة في غرفة السكرتارية جنب غرفة د. عادل </t>
  </si>
  <si>
    <t>2026/09/21 - 09:34 ص</t>
  </si>
  <si>
    <t>2026/09/21 - 12:47 م</t>
  </si>
  <si>
    <t xml:space="preserve">صيانة براد ماء لايعمل وييسرب مياه - جنب المصعد </t>
  </si>
  <si>
    <t>2026/09/21 - 09:40 ص</t>
  </si>
  <si>
    <t xml:space="preserve">تثبيت صبوره اعلانات في غرفة المدرسين </t>
  </si>
  <si>
    <t>2026/09/21 - 09:47 ص</t>
  </si>
  <si>
    <t xml:space="preserve">نقص قطعة سقوف ثانوية في الصحيات المجاورة للمصعد </t>
  </si>
  <si>
    <t>اجراء سريع لطفاََ</t>
  </si>
  <si>
    <t>2026/09/21 - 09:48 ص</t>
  </si>
  <si>
    <t>2026/09/22 - 07:20 ص</t>
  </si>
  <si>
    <t xml:space="preserve">صيانة براد المياه في الساحة - تسريب مياه من الخلف </t>
  </si>
  <si>
    <t>2026/09/21 - 10:02 ص</t>
  </si>
  <si>
    <t>2026/09/21 - 10:49 ص</t>
  </si>
  <si>
    <t xml:space="preserve">صيانة يدة باب الاستعلامات البنايه الاولى </t>
  </si>
  <si>
    <t>2026/09/22 - 07:25 ص</t>
  </si>
  <si>
    <t>2026/09/22 - 08:57 ص</t>
  </si>
  <si>
    <t>اصلاح باب الاستعلامات جك الاغلاق التلقائي يوجد فيه ارتخاء</t>
  </si>
  <si>
    <t>2026/09/22 - 07:38 ص</t>
  </si>
  <si>
    <t>2026/09/22 - 08:22 ص</t>
  </si>
  <si>
    <t>استلام علبة براغي من استعلامات البناية الرابعة</t>
  </si>
  <si>
    <t>2026/09/22 - 08:25 ص</t>
  </si>
  <si>
    <t>2026/09/22 - 11:36 ص</t>
  </si>
  <si>
    <t xml:space="preserve">صيانة نقط كهرباء في غرفة الضيافة </t>
  </si>
  <si>
    <t>2026/09/22 - 08:40 ص</t>
  </si>
  <si>
    <t>حمزة نبيل</t>
  </si>
  <si>
    <t>2026/09/22 - 09:47 ص</t>
  </si>
  <si>
    <t>صيانة حنفيه وصونده غرفه خارجيه</t>
  </si>
  <si>
    <t>2026/09/22 - 09:19 ص</t>
  </si>
  <si>
    <t xml:space="preserve">اضافة بلك سويج </t>
  </si>
  <si>
    <t>2026/09/22 - 11:35 ص</t>
  </si>
  <si>
    <t>بحاجة شاحنة صوتيات الخاصة بلمدرسة</t>
  </si>
  <si>
    <t>2026/09/22 - 09:58 ص</t>
  </si>
  <si>
    <t>2026/09/22 - 10:27 ص</t>
  </si>
  <si>
    <t>الغرفة الخارجية تبديل خرطوم مغسله</t>
  </si>
  <si>
    <t>2026/09/22 - 11:41 ص</t>
  </si>
  <si>
    <t>2026/09/22 - 01:52 م</t>
  </si>
  <si>
    <t>تبديل قفل الغرفه الخارجية</t>
  </si>
  <si>
    <t>2026/09/23 - 08:02 ص</t>
  </si>
  <si>
    <t>2026/09/23 - 09:29 ص</t>
  </si>
  <si>
    <t xml:space="preserve">وضع تعلاكة بلصحيات المجاورة للمصعد </t>
  </si>
  <si>
    <t>2026/09/23 - 08:53 ص</t>
  </si>
  <si>
    <t xml:space="preserve">تعليك برده زيبرا عدد 2 في باب الجناح الاداري المؤدي الى زون B في البناية الاولى </t>
  </si>
  <si>
    <t>2026/09/23 - 09:03 ص</t>
  </si>
  <si>
    <t>2026/09/23 - 11:20 ص</t>
  </si>
  <si>
    <t xml:space="preserve">تثبيت صبوره في غرفة المعلمين بناية اولى </t>
  </si>
  <si>
    <t>2026/09/23 - 09:10 ص</t>
  </si>
  <si>
    <t xml:space="preserve">قطعة سقوف ثانية نقص في غرفة المعاون التعليمي </t>
  </si>
  <si>
    <t>2026/09/23 - 09:19 ص</t>
  </si>
  <si>
    <t>2026/09/23 - 11:19 ص</t>
  </si>
  <si>
    <t>تبديل مفاتيح غرفة الصوتيات طابق ارضي لعدم وجود نسخ المفاتيح الباقيه (بناية اولى )</t>
  </si>
  <si>
    <t>2026/09/23 - 10:04 ص</t>
  </si>
  <si>
    <t>2026/09/23 - 10:27 ص</t>
  </si>
  <si>
    <t>الشاشات العرض تحتاج صيانه لان ما بيهن كهرباء</t>
  </si>
  <si>
    <t>2026/09/24 - 08:29 ص</t>
  </si>
  <si>
    <t xml:space="preserve">الحمامات تبديل و صيانة الشطافات </t>
  </si>
  <si>
    <t>2026/09/24 - 09:24 ص</t>
  </si>
  <si>
    <t>2026/09/24 - 09:37 ص</t>
  </si>
  <si>
    <t>2026/09/24 - 09:38 ص</t>
  </si>
  <si>
    <t>تشغيل شاشات العرض</t>
  </si>
  <si>
    <t>2026/09/24 - 09:25 ص</t>
  </si>
  <si>
    <t>2026/09/24 - 09:33 ص</t>
  </si>
  <si>
    <t xml:space="preserve">ضبط تردد الصوتيات </t>
  </si>
  <si>
    <t>2026/09/24 - 09:32 ص</t>
  </si>
  <si>
    <t xml:space="preserve">اعادة تثبيت سوكت ايثرنت في غرفة الضيافة </t>
  </si>
  <si>
    <t>2026/09/24 - 09:26 ص</t>
  </si>
  <si>
    <t>2026/09/24 - 09:31 ص</t>
  </si>
  <si>
    <t>استبدال انارة المصعد من الشمسي الى الابيض</t>
  </si>
  <si>
    <t>2026/09/24 - 09:27 ص</t>
  </si>
  <si>
    <t>صيانة انارة منشورية عدد ٢ واستبدال عدد ١</t>
  </si>
  <si>
    <t>إضافة مأخذ قدرة عدد 2  سعة 13A في غرفة المعاون التعليمي</t>
  </si>
  <si>
    <t>2026/09/24 - 09:28 ص</t>
  </si>
  <si>
    <t>2026/09/24 - 09:29 ص</t>
  </si>
  <si>
    <t>تم استبدال محولة مصباح LED بقدرة 50W عدد 7 خاصة في بروجكترات القاعة الرياضية من جهة البناية الأولى</t>
  </si>
  <si>
    <t xml:space="preserve">تمت إضافة عدد (3) مآخذ قدرة 13A في غرفة المدرسين </t>
  </si>
  <si>
    <t>2026/09/24 - 09:30 ص</t>
  </si>
  <si>
    <t xml:space="preserve">اضافة سيار كهرباء بطول 1.5 متر عدد 2 في غرفة الاتصالات لهاتف الراك  </t>
  </si>
  <si>
    <t xml:space="preserve">إجراء فحص شامل وصيانة لجميع البلاجكتورات في كافة البنايات
</t>
  </si>
  <si>
    <t>(طابق (2)) ، (ZONE B) ، (ملعب (2))</t>
  </si>
  <si>
    <t xml:space="preserve">تمت إعادة تغذية  وحدة التكييف بعد إكمال أعمال الصيانة الخاصة بها من قبل وحدة الميكانيك </t>
  </si>
  <si>
    <t xml:space="preserve">استبدال محولة مصباح LED بقدرة 50W عدد 10 خاصة في بروجكترات القاعة الرياضية من جهة البناية الثالثة </t>
  </si>
  <si>
    <t>2026/09/24 - 09:34 ص</t>
  </si>
  <si>
    <t>2026/09/24 - 09:36 ص</t>
  </si>
  <si>
    <t>استبدال شمعة خطية LED عدد 1 في القاعة الرياضية جهة البناية الأولى</t>
  </si>
  <si>
    <t>2026/09/24 - 09:35 ص</t>
  </si>
  <si>
    <t>اعادة تثبيت سبوت لايت في القاعة الرياضية</t>
  </si>
  <si>
    <t>اضافة بلك سويچ عدد 2 في غرفة المرقاب الالي لتغذية الحاسبة_الطابعة</t>
  </si>
  <si>
    <t xml:space="preserve">استبدال محولة مصباح LED بقدرة 50W عدد 4 خاصة في بروجكترات القاعة الرياضية من جهة البناية الثالثة </t>
  </si>
  <si>
    <t>2026/09/24 - 09:54 ص</t>
  </si>
  <si>
    <t>2026/09/24 - 01:06 م</t>
  </si>
  <si>
    <t>فصل الاناره عن المراوح بالكهراباء غرفة الاداره</t>
  </si>
  <si>
    <t>2026/09/24 - 09:57 ص</t>
  </si>
  <si>
    <t>2026/09/26 - 07:37 ص</t>
  </si>
  <si>
    <t xml:space="preserve">السادس ه‍ سبوره تحتاج الى براغي </t>
  </si>
  <si>
    <t>2026/09/24 - 11:28 ص</t>
  </si>
  <si>
    <t>رفع بوستر من القاعات الرياضيه الاولى والثالثه</t>
  </si>
  <si>
    <t>2026/09/24 - 11:36 ص</t>
  </si>
  <si>
    <t xml:space="preserve">برادات الساحه الخاصه بلصفوف يحتاج الى صيانه </t>
  </si>
  <si>
    <t xml:space="preserve">تبديل القفل صحيات مجاور المصعد ط اول  + تبديل قفل المخزن مجاور الدرج </t>
  </si>
  <si>
    <t>تبديل قفل صحيات مجاور المصعد + تبديل قفل المخزن مجاور الدرج</t>
  </si>
  <si>
    <t>2026/09/24 - 10:53 ص</t>
  </si>
  <si>
    <t>2026/09/24 - 11:29 ص</t>
  </si>
  <si>
    <t>خلل في المصعد</t>
  </si>
  <si>
    <t>2026/09/24 - 12:05 م</t>
  </si>
  <si>
    <t>2026/09/26 - 07:36 ص</t>
  </si>
  <si>
    <t xml:space="preserve">الحمامات يرجى تبديل بوري الشطافة ببوري ذو مخرجين مخرج حنفيه لاجل وضع صونده و مخرج للشطافه </t>
  </si>
  <si>
    <t>2026/09/26 - 07:47 ص</t>
  </si>
  <si>
    <t xml:space="preserve">تم الاطفاء بناءً على طلب مسؤول المجمع (احمد ابو كميل) </t>
  </si>
  <si>
    <t>2026/09/26 - 07:52 ص</t>
  </si>
  <si>
    <t xml:space="preserve">عدم وجود كهرباء في بعض السبالت والاناره </t>
  </si>
  <si>
    <t>2026/09/26 - 12:47 م</t>
  </si>
  <si>
    <t>2026/09/26 - 01:48 م</t>
  </si>
  <si>
    <t xml:space="preserve">صحيات طلاب سيفونه مسدوده </t>
  </si>
  <si>
    <t>2026/09/27 - 07:38 ص</t>
  </si>
  <si>
    <t>تم الإطفاء لتقليل الأحمال 
تم تبليغ ابو كميل</t>
  </si>
  <si>
    <t xml:space="preserve">لاتوجد كهرباء في ممر الجناح الاداري </t>
  </si>
  <si>
    <t>2026/09/27 - 09:36 ص</t>
  </si>
  <si>
    <t xml:space="preserve">اصلاح براد المياه : صيانة القفل في الساحة الوسطية </t>
  </si>
  <si>
    <t>2026/09/27 - 08:08 ص</t>
  </si>
  <si>
    <t>2026/09/27 - 08:23 ص</t>
  </si>
  <si>
    <t xml:space="preserve">اضاءة الساحة لاتعمل </t>
  </si>
  <si>
    <t>تم الإطفاء لتقليل الأحمال 
تم تبليغ من قبل مسؤول المجمع</t>
  </si>
  <si>
    <t>2026/09/27 - 09:35 ص</t>
  </si>
  <si>
    <t xml:space="preserve">صيانة سيفونه في الصحيات </t>
  </si>
  <si>
    <t xml:space="preserve">زون B  </t>
  </si>
  <si>
    <t>2026/09/27 - 12:05 م</t>
  </si>
  <si>
    <t xml:space="preserve">مقاعد دراسية تحتاج الى صيانة </t>
  </si>
  <si>
    <t xml:space="preserve">زون b </t>
  </si>
  <si>
    <t>2026/09/27 - 10:19 ص</t>
  </si>
  <si>
    <t>2026/09/27 - 11:15 ص</t>
  </si>
  <si>
    <t>مغاسل الصحيات لايوجد فيها ماء (ضعيف ) مجاور المصعد</t>
  </si>
  <si>
    <t>2026/09/27 - 01:56 م</t>
  </si>
  <si>
    <t>2026/09/27 - 01:58 م</t>
  </si>
  <si>
    <t>صحيات الطابق الاول  لطلاب عدم وجود الماء</t>
  </si>
  <si>
    <t>2026/09/28 - 07:13 ص</t>
  </si>
  <si>
    <t>2026/09/28 - 07:43 ص</t>
  </si>
  <si>
    <t xml:space="preserve">صيانة براد المياه </t>
  </si>
  <si>
    <t xml:space="preserve">لايوجد ماء بارد </t>
  </si>
  <si>
    <t>2026/09/28 - 07:20 ص</t>
  </si>
  <si>
    <t>2026/09/28 - 08:36 ص</t>
  </si>
  <si>
    <t>براد ماء في القرب من السادس باء ينضح ماء باستمرار</t>
  </si>
  <si>
    <t>2026/09/28 - 07:32 ص</t>
  </si>
  <si>
    <t>2026/09/28 - 10:12 ص</t>
  </si>
  <si>
    <t xml:space="preserve">باب دخول الطلبه لايفتح بسهوله </t>
  </si>
  <si>
    <t>2026/09/28 - 07:45 ص</t>
  </si>
  <si>
    <t>2026/09/28 - 08:35 ص</t>
  </si>
  <si>
    <t>براد ماء عطل طوافه ام كسر في الدبه يرجى التتبع جزاكم الله خير  الطابق الارضي</t>
  </si>
  <si>
    <t>2026/09/28 - 08:17 ص</t>
  </si>
  <si>
    <t xml:space="preserve">سبلت لايعمل غرفة المعاون ط اول </t>
  </si>
  <si>
    <t>2026/09/28 - 10:26 ص</t>
  </si>
  <si>
    <t>2026/09/28 - 01:57 م</t>
  </si>
  <si>
    <t xml:space="preserve">خلل في نظام  عمل المصعد </t>
  </si>
  <si>
    <t>2026/09/28 - 10:36 ص</t>
  </si>
  <si>
    <t>2026/09/29 - 07:32 ص</t>
  </si>
  <si>
    <t xml:space="preserve">سبلت  في شعبة الاول ( ط ) لايعمل </t>
  </si>
  <si>
    <t>2026/09/28 - 11:30 ص</t>
  </si>
  <si>
    <t>2026/09/28 - 11:59 ص</t>
  </si>
  <si>
    <t>صيانة قفل باب</t>
  </si>
  <si>
    <t xml:space="preserve">غرفة المعلمين </t>
  </si>
  <si>
    <t>2026/09/28 - 01:18 م</t>
  </si>
  <si>
    <t xml:space="preserve">صيانه مصطبة جلوس </t>
  </si>
  <si>
    <t>2026/09/28 - 01:19 م</t>
  </si>
  <si>
    <t xml:space="preserve">صيانة جك هيدروليك </t>
  </si>
  <si>
    <t>2026/09/28 - 01:20 م</t>
  </si>
  <si>
    <t>(الاستعلامات )</t>
  </si>
  <si>
    <t xml:space="preserve">تزييت الباب الرئيسية </t>
  </si>
  <si>
    <t>2026/09/28 - 01:21 م</t>
  </si>
  <si>
    <t xml:space="preserve">تثبيت سبورة اعلانات </t>
  </si>
  <si>
    <t>2026/09/28 - 01:22 م</t>
  </si>
  <si>
    <t xml:space="preserve">تثبيت ساعة جدارية </t>
  </si>
  <si>
    <t>(غرفة الخدمية )</t>
  </si>
  <si>
    <t>2026/09/28 - 01:23 م</t>
  </si>
  <si>
    <t xml:space="preserve">تثبيت  سبورة  اعلانات </t>
  </si>
  <si>
    <t>2026/09/28 - 01:24 م</t>
  </si>
  <si>
    <t xml:space="preserve">تركيب قطعة سقف ثانوي </t>
  </si>
  <si>
    <t>2026/09/28 - 01:25 م</t>
  </si>
  <si>
    <t>(طابق (1)) ، (ZONE A) ، (مختبر الكيمياء )</t>
  </si>
  <si>
    <t xml:space="preserve">صيانة اطار سبورة </t>
  </si>
  <si>
    <t>2026/09/28 - 01:26 م</t>
  </si>
  <si>
    <t>2026/09/28 - 01:27 م</t>
  </si>
  <si>
    <t xml:space="preserve">صيانة ربر باب المنيوم </t>
  </si>
  <si>
    <t>2026/09/28 - 01:28 م</t>
  </si>
  <si>
    <t>(طابق (1)) ، (ZONE B) ، (الاول ز)</t>
  </si>
  <si>
    <t xml:space="preserve">تزييت باب </t>
  </si>
  <si>
    <t>2026/09/28 - 01:30 م</t>
  </si>
  <si>
    <t>(طابق ارضي) ، (ZONE B) ، (الثاني ح)</t>
  </si>
  <si>
    <t xml:space="preserve">صيانة وتثبيت سلات رحلات </t>
  </si>
  <si>
    <t>2026/09/28 - 01:31 م</t>
  </si>
  <si>
    <t>(طابق ارضي) ، (ZONE B) ، (الاول ح)</t>
  </si>
  <si>
    <t xml:space="preserve">تركيب مصد باب </t>
  </si>
  <si>
    <t>2026/09/28 - 01:32 م</t>
  </si>
  <si>
    <t>(طابق ارضي) ، (ZONE B) ، (الاول متوسط د)</t>
  </si>
  <si>
    <t>صبغ ابواب الخشب عدد 5</t>
  </si>
  <si>
    <t>2026/09/28 - 01:33 م</t>
  </si>
  <si>
    <t xml:space="preserve">صيانة جك باب </t>
  </si>
  <si>
    <t>2026/09/28 - 01:34 م</t>
  </si>
  <si>
    <t xml:space="preserve">صبغ ابواب الخشب عدد 6 </t>
  </si>
  <si>
    <t>2026/09/28 - 01:35 م</t>
  </si>
  <si>
    <t>2026/09/29 - 07:11 ص</t>
  </si>
  <si>
    <t xml:space="preserve">لوكر غرفة المعلمين بجهة صندوق الاسعاف </t>
  </si>
  <si>
    <t xml:space="preserve">تركيب قفل </t>
  </si>
  <si>
    <t xml:space="preserve">صبغ الابواب الخشب عدد 6 </t>
  </si>
  <si>
    <t>2026/09/28 - 01:36 م</t>
  </si>
  <si>
    <t>تبديل قفل لوكر عدد 2</t>
  </si>
  <si>
    <t>2026/09/28 - 01:37 م</t>
  </si>
  <si>
    <t xml:space="preserve">تثبيت بردات عدد 2 </t>
  </si>
  <si>
    <t>2026/09/28 - 01:38 م</t>
  </si>
  <si>
    <t xml:space="preserve">تثبيت سبورة </t>
  </si>
  <si>
    <t>2026/09/28 - 01:39 م</t>
  </si>
  <si>
    <t>(طابق ارضي) ، (ZONE A) ، (المرقاب )</t>
  </si>
  <si>
    <t>2026/09/28 - 01:40 م</t>
  </si>
  <si>
    <t xml:space="preserve">تبديل قفل لوكر عدد 3 </t>
  </si>
  <si>
    <t>2026/09/28 - 01:41 م</t>
  </si>
  <si>
    <t xml:space="preserve">تصليح حائط جانب المصعد </t>
  </si>
  <si>
    <t>2026/09/28 - 01:42 م</t>
  </si>
  <si>
    <t>(قاعة رياضية__1) ، (قاعة رياضية__2)</t>
  </si>
  <si>
    <t xml:space="preserve">انزال بوسترات عدد 2 </t>
  </si>
  <si>
    <t xml:space="preserve">تبديل كيلون باب خشب </t>
  </si>
  <si>
    <t>2026/09/28 - 01:43 م</t>
  </si>
  <si>
    <t>(مخزن الخدمية )</t>
  </si>
  <si>
    <t>2026/09/28 - 01:44 م</t>
  </si>
  <si>
    <t>2026/09/28 - 01:45 م</t>
  </si>
  <si>
    <t xml:space="preserve">صبغ حائط جانب المصعد </t>
  </si>
  <si>
    <t>2026/09/28 - 01:46 م</t>
  </si>
  <si>
    <t xml:space="preserve">صيانو وتركيب قطعة خشب محجر الدرج </t>
  </si>
  <si>
    <t>2026/09/28 - 01:47 م</t>
  </si>
  <si>
    <t>صيانة رحلات عدد 1</t>
  </si>
  <si>
    <t>2026/09/28 - 01:48 م</t>
  </si>
  <si>
    <t>(طابق (1)) ، (ZONE B) ، (الثاني  ا)</t>
  </si>
  <si>
    <t xml:space="preserve">صيانة تور شباك </t>
  </si>
  <si>
    <t>2026/09/28 - 01:49 م</t>
  </si>
  <si>
    <t>(طابق (1)) ، (ZONE B) ، (الثاني  د)</t>
  </si>
  <si>
    <t xml:space="preserve">صيانة خشبة جدار </t>
  </si>
  <si>
    <t>2026/09/28 - 01:50 م</t>
  </si>
  <si>
    <t xml:space="preserve">فتح التراس في القاعة </t>
  </si>
  <si>
    <t>2026/09/28 - 01:51 م</t>
  </si>
  <si>
    <t>2026/09/28 - 01:52 م</t>
  </si>
  <si>
    <t>فتح قواطع خشب عدد 2</t>
  </si>
  <si>
    <t xml:space="preserve">ارجاع وتثبيت قطع مرمر امام المصعد </t>
  </si>
  <si>
    <t>2026/09/28 - 01:53 م</t>
  </si>
  <si>
    <t xml:space="preserve">تحويل لوحة تعريفية </t>
  </si>
  <si>
    <t>2026/09/28 - 01:56 م</t>
  </si>
  <si>
    <t>قيد التنفيذ</t>
  </si>
  <si>
    <t xml:space="preserve">شد سبلت كنتوري في الحانوت </t>
  </si>
  <si>
    <t xml:space="preserve">الطابق 2 </t>
  </si>
  <si>
    <t>2026/09/29 - 08:06 ص</t>
  </si>
  <si>
    <t xml:space="preserve">برده في المصلى معرضه للسقوط تحتاج الى صيانه  براغي و جوي </t>
  </si>
  <si>
    <t>2026/09/29 - 08:22 ص</t>
  </si>
  <si>
    <t>2026/09/29 - 12:07 م</t>
  </si>
  <si>
    <t xml:space="preserve">غرفة المعلمين - صيانة لوكر بجنب صندوق السلامة </t>
  </si>
  <si>
    <t xml:space="preserve">الاستاذ عباس محمد </t>
  </si>
  <si>
    <t>2026/09/29 - 08:26 ص</t>
  </si>
  <si>
    <t>2026/09/29 - 08:28 ص</t>
  </si>
  <si>
    <t>2026/09/29 - 12:08 م</t>
  </si>
  <si>
    <t xml:space="preserve">صيانة frame شاشة غير مثبت </t>
  </si>
  <si>
    <t>صف الثالث _ج_</t>
  </si>
  <si>
    <t xml:space="preserve">قطعة سقف ثانوي نقص </t>
  </si>
  <si>
    <t xml:space="preserve">في الساحة </t>
  </si>
  <si>
    <t xml:space="preserve">صيانة قاطع خشبي اسفل الشاشة </t>
  </si>
  <si>
    <t xml:space="preserve">الثالث واو </t>
  </si>
  <si>
    <t xml:space="preserve">تثبيت قواعد دولاب </t>
  </si>
  <si>
    <t xml:space="preserve">صيانة وتثبيت بيم باب خشب </t>
  </si>
  <si>
    <t>2026/09/29 - 08:34 ص</t>
  </si>
  <si>
    <t xml:space="preserve">صيانة وتثبيت مصد باب </t>
  </si>
  <si>
    <t>2026/09/29 - 08:35 ص</t>
  </si>
  <si>
    <t>(طابق (1)) ، (ZONE B) ، (الخامس ط)</t>
  </si>
  <si>
    <t xml:space="preserve">صيانة رحله </t>
  </si>
  <si>
    <t xml:space="preserve">صيانة باب المنيوم خروج الطلاب من جهة المولدات </t>
  </si>
  <si>
    <t xml:space="preserve">صيانة مفصلات الخزائن والاثاث </t>
  </si>
  <si>
    <t xml:space="preserve">صيانة مصد باب </t>
  </si>
  <si>
    <t xml:space="preserve">صيانة عامة لجميع الرحلات </t>
  </si>
  <si>
    <t>(طابق ارضي) ، (ZONE B) ، (الثالث متوسط ب)</t>
  </si>
  <si>
    <t xml:space="preserve">اصلاح قفل الباب </t>
  </si>
  <si>
    <t>(طابق (1)) ، (ZONE B) ، (الرابع الاعدادي ج)</t>
  </si>
  <si>
    <t xml:space="preserve">صيانة وضبط مفصلات الباب </t>
  </si>
  <si>
    <t>2026/09/29 - 09:14 ص</t>
  </si>
  <si>
    <t>صيانة باب المدرسة الرئيسي</t>
  </si>
  <si>
    <t xml:space="preserve">تسليك واير لتغير موقع الجهاز الارضي في الاستعلامات </t>
  </si>
  <si>
    <t>2026/09/29 - 10:48 ص</t>
  </si>
  <si>
    <t>2026/09/30 - 12:49 م</t>
  </si>
  <si>
    <t>(تبديل خرطوم سنك + صيانه سيفونه+ في الحانوت  في البناية الاولى</t>
  </si>
  <si>
    <t>2026/09/29 - 10:53 ص</t>
  </si>
  <si>
    <t>تسليك واير ثلاجة عمودية داخل الحانوت</t>
  </si>
  <si>
    <t xml:space="preserve">كهرباء </t>
  </si>
  <si>
    <t>2026/09/29 - 10:55 ص</t>
  </si>
  <si>
    <t xml:space="preserve">استحداث وانشاء نقط كهرباء عدد 2  </t>
  </si>
  <si>
    <t xml:space="preserve">في غرفة المدرسين </t>
  </si>
  <si>
    <t>2026/09/29 - 11:10 ص</t>
  </si>
  <si>
    <t>2026/09/30 - 08:04 ص</t>
  </si>
  <si>
    <t>صحيات الطابق الارضي احد الحمامات تحتاج الى تبديل كاك شطافه</t>
  </si>
  <si>
    <t>2026/09/29 - 11:24 ص</t>
  </si>
  <si>
    <t>تبديل يدة الشباك الخاص بلحانوت</t>
  </si>
  <si>
    <t>2026/09/29 - 12:10 م</t>
  </si>
  <si>
    <t>2026/09/29 - 12:18 م</t>
  </si>
  <si>
    <t>نحتاج مفتاح شباك المنور بالطابق الارضي لغرض الغسل</t>
  </si>
  <si>
    <t>2026/09/30 - 08:23 ص</t>
  </si>
  <si>
    <t>2026/09/30 - 12:48 م</t>
  </si>
  <si>
    <t xml:space="preserve">صيانة صحيات الخارجية للطلاب </t>
  </si>
  <si>
    <t xml:space="preserve">الصحيات الخارجية ( صيانة الصوندة ) </t>
  </si>
  <si>
    <t>2026/09/30 - 08:58 ص</t>
  </si>
  <si>
    <t>2026/09/30 - 11:22 ص</t>
  </si>
  <si>
    <t xml:space="preserve">بحاجة الى سيار كهرباء مساحة من 3m الى 10m </t>
  </si>
  <si>
    <t>2026/09/30 - 08:59 ص</t>
  </si>
  <si>
    <t xml:space="preserve">بحاجة الى سيار كهرباء من 3m الى 10m في غرفة المدرسين ط اول </t>
  </si>
  <si>
    <t>2026/09/30 - 09:16 ص</t>
  </si>
  <si>
    <t>تركيب قطع سقف ثانوي في الحانوت طابق ثاني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</si>
</sst>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 hh:mm\ AM/PM"/>
  </numFmts>
  <fonts count="26">
    <font>
      <sz val="10"/>
      <color rgb="FF000000"/>
      <name val="Arial"/>
      <scheme val="minor"/>
    </font>
    <font>
      <b/>
      <sz val="14"/>
      <color rgb="FFFFFFFF"/>
      <name val="Arial"/>
      <family val="2"/>
      <scheme val="minor"/>
    </font>
    <font>
      <b/>
      <sz val="12"/>
      <color rgb="FF000000"/>
      <name val="Arial"/>
      <family val="2"/>
      <scheme val="minor"/>
    </font>
    <font>
      <b/>
      <sz val="14"/>
      <color rgb="FF000000"/>
      <name val="Arial"/>
      <family val="2"/>
      <scheme val="minor"/>
    </font>
    <font>
      <b/>
      <sz val="15"/>
      <color rgb="FF000000"/>
      <name val="Arial"/>
      <family val="2"/>
      <scheme val="minor"/>
    </font>
    <font>
      <b/>
      <sz val="12"/>
      <color theme="1"/>
      <name val="Quote-cjk-patch"/>
    </font>
    <font>
      <b/>
      <sz val="12"/>
      <color theme="1"/>
      <name val="Arial"/>
      <family val="2"/>
    </font>
    <font>
      <b/>
      <sz val="13"/>
      <color rgb="FF1B1C1D"/>
      <name val="Google Sans Text"/>
    </font>
    <font>
      <b/>
      <sz val="13"/>
      <color rgb="FF444746"/>
      <name val="Google Sans Text"/>
    </font>
    <font>
      <b/>
      <sz val="13"/>
      <color rgb="FF444746"/>
      <name val="&quot;Google Sans Text&quot;"/>
    </font>
    <font>
      <b/>
      <sz val="13"/>
      <color theme="1"/>
      <name val="Arial"/>
      <family val="2"/>
      <scheme val="minor"/>
    </font>
    <font>
      <b/>
      <sz val="13"/>
      <color rgb="FF1B1C1D"/>
      <name val="&quot;Google Sans Text&quot;"/>
    </font>
    <font>
      <b/>
      <u/>
      <sz val="13"/>
      <color rgb="FF444746"/>
      <name val="&quot;Google Sans Text&quot;"/>
    </font>
    <font>
      <b/>
      <u/>
      <sz val="13"/>
      <color rgb="FF444746"/>
      <name val="Google Sans Text"/>
    </font>
    <font>
      <b/>
      <u/>
      <sz val="13"/>
      <color rgb="FF444746"/>
      <name val="Google Sans Text"/>
    </font>
    <font>
      <b/>
      <sz val="12"/>
      <color rgb="FF000000"/>
      <name val="Arial"/>
      <family val="2"/>
      <scheme val="minor"/>
    </font>
    <font>
      <b/>
      <sz val="10"/>
      <color rgb="FF000000"/>
      <name val="Arial"/>
      <family val="2"/>
      <scheme val="minor"/>
    </font>
    <font>
      <sz val="12"/>
      <color rgb="FF000000"/>
      <name val="Arial"/>
      <family val="2"/>
      <scheme val="minor"/>
    </font>
    <font>
      <b/>
      <sz val="14"/>
      <color theme="0"/>
      <name val="Arial"/>
      <family val="2"/>
      <scheme val="minor"/>
    </font>
    <font>
      <b/>
      <sz val="12"/>
      <color theme="0"/>
      <name val="Arial"/>
      <family val="2"/>
      <scheme val="minor"/>
    </font>
    <font>
      <sz val="9"/>
      <color rgb="FF000000"/>
      <name val="Arial"/>
      <family val="2"/>
      <scheme val="minor"/>
    </font>
    <font>
      <b/>
      <sz val="9"/>
      <color theme="0"/>
      <name val="Arial"/>
      <family val="2"/>
      <scheme val="minor"/>
    </font>
    <font>
      <b/>
      <sz val="9"/>
      <color rgb="FF000000"/>
      <name val="Arial"/>
      <family val="2"/>
      <scheme val="minor"/>
    </font>
    <font>
      <b/>
      <u/>
      <sz val="12"/>
      <color rgb="FFFF0000"/>
      <name val="Arial"/>
      <family val="2"/>
      <scheme val="minor"/>
    </font>
    <font>
      <b/>
      <sz val="10"/>
      <color theme="0"/>
      <name val="Arial"/>
      <family val="2"/>
      <scheme val="minor"/>
    </font>
    <font>
      <b/>
      <sz val="11"/>
      <color rgb="FFFA7D00"/>
      <name val="Arial"/>
      <family val="2"/>
      <charset val="178"/>
      <scheme val="minor"/>
    </font>
  </fonts>
  <fills count="7">
    <fill>
      <patternFill patternType="none"/>
    </fill>
    <fill>
      <patternFill patternType="gray125"/>
    </fill>
    <fill>
      <patternFill patternType="solid">
        <fgColor rgb="FF2C3E50"/>
        <bgColor rgb="FF2C3E50"/>
      </patternFill>
    </fill>
    <fill>
      <patternFill patternType="solid">
        <fgColor theme="4"/>
        <bgColor indexed="64"/>
      </patternFill>
    </fill>
    <fill>
      <patternFill patternType="solid">
        <fgColor theme="4"/>
        <bgColor rgb="FFFF0000"/>
      </patternFill>
    </fill>
    <fill>
      <patternFill patternType="solid">
        <fgColor rgb="FFF2F2F2"/>
      </patternFill>
    </fill>
    <fill>
      <patternFill patternType="solid">
        <fgColor rgb="FF002060"/>
        <bgColor indexed="64"/>
      </patternFill>
    </fill>
  </fills>
  <borders count="9">
    <border>
      <left/>
      <right/>
      <top/>
      <bottom/>
      <diagonal/>
    </border>
    <border>
      <left style="thick">
        <color rgb="FF999999"/>
      </left>
      <right style="thick">
        <color rgb="FF999999"/>
      </right>
      <top style="thick">
        <color rgb="FF999999"/>
      </top>
      <bottom style="thick">
        <color rgb="FF999999"/>
      </bottom>
      <diagonal/>
    </border>
    <border>
      <left style="thin">
        <color rgb="FF000000"/>
      </left>
      <right style="thin">
        <color rgb="FF000000"/>
      </right>
      <top style="thin">
        <color rgb="FF000000"/>
      </top>
      <bottom style="thin">
        <color rgb="FF000000"/>
      </bottom>
      <diagonal/>
    </border>
    <border>
      <left style="thick">
        <color rgb="FF999999"/>
      </left>
      <right style="thick">
        <color rgb="FF999999"/>
      </right>
      <top/>
      <bottom style="thick">
        <color rgb="FF999999"/>
      </bottom>
      <diagonal/>
    </border>
    <border>
      <left style="thick">
        <color theme="0" tint="-0.249977111117893"/>
      </left>
      <right style="thick">
        <color theme="0" tint="-0.249977111117893"/>
      </right>
      <top style="thick">
        <color theme="0" tint="-0.249977111117893"/>
      </top>
      <bottom style="thick">
        <color theme="0" tint="-0.249977111117893"/>
      </bottom>
      <diagonal/>
    </border>
    <border>
      <left style="thick">
        <color rgb="FF999999"/>
      </left>
      <right style="thick">
        <color rgb="FF999999"/>
      </right>
      <top style="thick">
        <color rgb="FF999999"/>
      </top>
      <bottom/>
      <diagonal/>
    </border>
    <border>
      <left style="thin">
        <color rgb="FF7F7F7F"/>
      </left>
      <right style="thin">
        <color rgb="FF7F7F7F"/>
      </right>
      <top style="thin">
        <color rgb="FF7F7F7F"/>
      </top>
      <bottom style="thin">
        <color rgb="FF7F7F7F"/>
      </bottom>
      <diagonal/>
    </border>
    <border>
      <left/>
      <right/>
      <top/>
      <bottom style="double">
        <color theme="2"/>
      </bottom>
      <diagonal/>
    </border>
    <border>
      <left style="double">
        <color theme="2"/>
      </left>
      <right style="double">
        <color theme="2"/>
      </right>
      <top style="double">
        <color theme="2"/>
      </top>
      <bottom style="double">
        <color theme="2"/>
      </bottom>
      <diagonal/>
    </border>
  </borders>
  <cellStyleXfs count="2">
    <xf numFmtId="0" fontId="0" fillId="0" borderId="0"/>
    <xf numFmtId="0" fontId="25" fillId="5" borderId="6" applyNumberFormat="0" applyAlignment="0" applyProtection="0"/>
  </cellStyleXfs>
  <cellXfs count="70">
    <xf numFmtId="0" fontId="0" fillId="0" borderId="0" xfId="0"/>
    <xf numFmtId="49" fontId="1" fillId="2" borderId="0" xfId="0" applyNumberFormat="1" applyFont="1" applyFill="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textRotation="180" wrapText="1"/>
    </xf>
    <xf numFmtId="0" fontId="2" fillId="0" borderId="1" xfId="0" applyFont="1" applyBorder="1" applyAlignment="1">
      <alignment horizontal="center" vertical="center" wrapText="1"/>
    </xf>
    <xf numFmtId="0" fontId="5" fillId="0" borderId="0" xfId="0" applyFont="1" applyAlignment="1">
      <alignment horizontal="center" vertical="center"/>
    </xf>
    <xf numFmtId="0" fontId="6" fillId="0" borderId="0" xfId="0" applyFont="1" applyAlignment="1">
      <alignment horizontal="center" vertical="center"/>
    </xf>
    <xf numFmtId="49" fontId="6" fillId="0" borderId="0" xfId="0" applyNumberFormat="1" applyFont="1" applyAlignment="1">
      <alignment horizontal="center" vertical="center"/>
    </xf>
    <xf numFmtId="0" fontId="7" fillId="0" borderId="2" xfId="0" applyFont="1" applyBorder="1" applyAlignment="1">
      <alignment horizontal="center"/>
    </xf>
    <xf numFmtId="0" fontId="8" fillId="0" borderId="2" xfId="0" applyFont="1" applyBorder="1"/>
    <xf numFmtId="0" fontId="9" fillId="0" borderId="2" xfId="0" applyFont="1" applyBorder="1" applyAlignment="1">
      <alignment vertical="center"/>
    </xf>
    <xf numFmtId="0" fontId="10" fillId="0" borderId="2" xfId="0" applyFont="1" applyBorder="1" applyAlignment="1">
      <alignment horizontal="center" vertical="center"/>
    </xf>
    <xf numFmtId="0" fontId="10" fillId="0" borderId="2" xfId="0" applyFont="1" applyBorder="1" applyAlignment="1">
      <alignment vertical="center"/>
    </xf>
    <xf numFmtId="0" fontId="10" fillId="0" borderId="0" xfId="0" applyFont="1" applyAlignment="1">
      <alignment horizontal="center" vertical="center"/>
    </xf>
    <xf numFmtId="0" fontId="11" fillId="0" borderId="2" xfId="0" applyFont="1" applyBorder="1" applyAlignment="1">
      <alignment horizontal="center" vertical="center"/>
    </xf>
    <xf numFmtId="0" fontId="9" fillId="0" borderId="2" xfId="0" applyFont="1" applyBorder="1" applyAlignment="1">
      <alignment horizontal="left" vertical="center"/>
    </xf>
    <xf numFmtId="0" fontId="12" fillId="0" borderId="2" xfId="0" applyFont="1" applyBorder="1" applyAlignment="1">
      <alignment horizontal="left" vertical="center"/>
    </xf>
    <xf numFmtId="49" fontId="10" fillId="0" borderId="2" xfId="0" applyNumberFormat="1" applyFont="1" applyBorder="1" applyAlignment="1">
      <alignment horizontal="center" vertical="center"/>
    </xf>
    <xf numFmtId="0" fontId="13" fillId="0" borderId="2" xfId="0" applyFont="1" applyBorder="1" applyAlignment="1">
      <alignment horizontal="left"/>
    </xf>
    <xf numFmtId="0" fontId="14" fillId="0" borderId="2" xfId="0" applyFont="1" applyBorder="1"/>
    <xf numFmtId="0" fontId="7" fillId="0" borderId="0" xfId="0" applyFont="1" applyAlignment="1">
      <alignment horizontal="center"/>
    </xf>
    <xf numFmtId="0" fontId="8" fillId="0" borderId="0" xfId="0" applyFont="1"/>
    <xf numFmtId="0" fontId="9" fillId="0" borderId="0" xfId="0" applyFont="1" applyAlignment="1">
      <alignment vertical="center"/>
    </xf>
    <xf numFmtId="0" fontId="10" fillId="0" borderId="0" xfId="0" applyFont="1" applyAlignment="1">
      <alignment vertical="center"/>
    </xf>
    <xf numFmtId="0" fontId="15" fillId="0" borderId="1" xfId="0" applyFont="1" applyBorder="1" applyAlignment="1">
      <alignment horizontal="center" vertical="center" wrapText="1"/>
    </xf>
    <xf numFmtId="0" fontId="0" fillId="0" borderId="0" xfId="0"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7" fillId="0" borderId="0" xfId="0" applyFont="1" applyAlignment="1">
      <alignment wrapText="1"/>
    </xf>
    <xf numFmtId="0" fontId="2" fillId="0" borderId="0" xfId="0" applyFont="1" applyAlignment="1">
      <alignment horizontal="center" vertical="center" wrapText="1"/>
    </xf>
    <xf numFmtId="0" fontId="22" fillId="0" borderId="1" xfId="0" applyFont="1" applyBorder="1" applyAlignment="1">
      <alignment horizontal="center" vertical="center" wrapText="1"/>
    </xf>
    <xf numFmtId="0" fontId="2" fillId="0" borderId="3" xfId="0" applyFont="1" applyBorder="1" applyAlignment="1">
      <alignment horizontal="center" vertical="center" wrapText="1"/>
    </xf>
    <xf numFmtId="164" fontId="2" fillId="0" borderId="3" xfId="0" applyNumberFormat="1" applyFont="1" applyBorder="1" applyAlignment="1">
      <alignment horizontal="center" vertical="center" wrapText="1"/>
    </xf>
    <xf numFmtId="0" fontId="2" fillId="0" borderId="3" xfId="0" applyFont="1" applyBorder="1" applyAlignment="1">
      <alignment horizontal="center" vertical="center" textRotation="180" wrapText="1"/>
    </xf>
    <xf numFmtId="0" fontId="3" fillId="0" borderId="3" xfId="0" applyFont="1" applyBorder="1" applyAlignment="1">
      <alignment horizontal="center" vertical="center" wrapText="1"/>
    </xf>
    <xf numFmtId="0" fontId="4" fillId="0" borderId="3" xfId="0" applyFont="1" applyBorder="1" applyAlignment="1">
      <alignment horizontal="center" vertical="center" wrapText="1"/>
    </xf>
    <xf numFmtId="0" fontId="15" fillId="0" borderId="3" xfId="0" applyFont="1" applyBorder="1" applyAlignment="1">
      <alignment horizontal="center" vertical="center" wrapText="1"/>
    </xf>
    <xf numFmtId="0" fontId="18" fillId="3" borderId="4" xfId="0" applyFont="1" applyFill="1" applyBorder="1" applyAlignment="1">
      <alignment horizontal="center" vertical="center" wrapText="1"/>
    </xf>
    <xf numFmtId="0" fontId="18" fillId="3" borderId="4" xfId="0" applyFont="1" applyFill="1" applyBorder="1" applyAlignment="1">
      <alignment horizontal="center" vertical="center" textRotation="180" wrapText="1"/>
    </xf>
    <xf numFmtId="0" fontId="21" fillId="3" borderId="4" xfId="0" applyFont="1" applyFill="1" applyBorder="1" applyAlignment="1">
      <alignment horizontal="center" vertical="center" wrapText="1"/>
    </xf>
    <xf numFmtId="0" fontId="18" fillId="4" borderId="4" xfId="0" applyFont="1" applyFill="1" applyBorder="1" applyAlignment="1">
      <alignment horizontal="center" vertical="center" wrapText="1"/>
    </xf>
    <xf numFmtId="0" fontId="19" fillId="4" borderId="4" xfId="0" applyFont="1" applyFill="1" applyBorder="1" applyAlignment="1">
      <alignment horizontal="center" vertical="center" wrapText="1"/>
    </xf>
    <xf numFmtId="0" fontId="16" fillId="0" borderId="3" xfId="0" applyFont="1" applyBorder="1" applyAlignment="1">
      <alignment horizontal="center" vertical="center" wrapText="1"/>
    </xf>
    <xf numFmtId="0" fontId="16" fillId="0" borderId="1"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2" fillId="0" borderId="5" xfId="0" applyFont="1" applyBorder="1" applyAlignment="1">
      <alignment horizontal="center" vertical="center" textRotation="180" wrapText="1"/>
    </xf>
    <xf numFmtId="0" fontId="2" fillId="0" borderId="5" xfId="0" applyFont="1" applyBorder="1" applyAlignment="1">
      <alignment horizontal="center" vertical="center" wrapText="1"/>
    </xf>
    <xf numFmtId="0" fontId="16" fillId="0" borderId="5" xfId="0" applyFont="1" applyBorder="1" applyAlignment="1">
      <alignment horizontal="center"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wrapText="1"/>
    </xf>
    <xf numFmtId="0" fontId="24" fillId="3" borderId="4" xfId="0" applyFont="1" applyFill="1" applyBorder="1" applyAlignment="1">
      <alignment horizontal="center" vertical="center" wrapText="1"/>
    </xf>
    <xf numFmtId="0" fontId="16" fillId="0" borderId="0" xfId="0" applyFont="1" applyAlignment="1">
      <alignment wrapText="1"/>
    </xf>
    <xf numFmtId="164" fontId="23" fillId="0" borderId="1" xfId="0" applyNumberFormat="1" applyFont="1" applyBorder="1" applyAlignment="1">
      <alignment horizontal="center" vertical="center" wrapText="1"/>
    </xf>
    <xf numFmtId="164" fontId="3" fillId="0" borderId="3" xfId="0" applyNumberFormat="1" applyFont="1" applyBorder="1" applyAlignment="1">
      <alignment horizontal="center" vertical="center" wrapText="1"/>
    </xf>
    <xf numFmtId="0" fontId="3" fillId="0" borderId="3" xfId="0" applyFont="1" applyBorder="1" applyAlignment="1">
      <alignment horizontal="center" vertical="center" textRotation="180" wrapText="1"/>
    </xf>
    <xf numFmtId="164" fontId="3" fillId="0" borderId="1" xfId="0" applyNumberFormat="1" applyFont="1" applyBorder="1" applyAlignment="1">
      <alignment horizontal="center" vertical="center" wrapText="1"/>
    </xf>
    <xf numFmtId="0" fontId="3" fillId="0" borderId="1" xfId="0" applyFont="1" applyBorder="1" applyAlignment="1">
      <alignment horizontal="center" vertical="center" textRotation="180" wrapText="1"/>
    </xf>
    <xf numFmtId="164" fontId="3" fillId="0" borderId="5" xfId="0" applyNumberFormat="1" applyFont="1" applyBorder="1" applyAlignment="1">
      <alignment horizontal="center" vertical="center" wrapText="1"/>
    </xf>
    <xf numFmtId="0" fontId="3" fillId="0" borderId="5" xfId="0" applyFont="1" applyBorder="1" applyAlignment="1">
      <alignment horizontal="center" vertical="center" textRotation="180" wrapText="1"/>
    </xf>
    <xf numFmtId="0" fontId="20" fillId="0" borderId="0" xfId="0" applyFont="1" applyAlignment="1">
      <alignment horizontal="center" vertical="center" wrapText="1"/>
    </xf>
    <xf numFmtId="0" fontId="3" fillId="0" borderId="0" xfId="0" applyFont="1" applyAlignment="1">
      <alignment wrapText="1"/>
    </xf>
    <xf numFmtId="0" fontId="3" fillId="0" borderId="0" xfId="0" applyFont="1"/>
    <xf numFmtId="0" fontId="3" fillId="0" borderId="0" xfId="0" applyFont="1" applyAlignment="1">
      <alignment horizontal="center" vertical="center" wrapText="1"/>
    </xf>
    <xf numFmtId="20" fontId="3" fillId="0" borderId="3" xfId="0" applyNumberFormat="1" applyFont="1" applyBorder="1" applyAlignment="1">
      <alignment horizontal="center" vertical="center" wrapText="1"/>
    </xf>
    <xf numFmtId="20" fontId="3" fillId="0" borderId="1" xfId="0" applyNumberFormat="1" applyFont="1" applyBorder="1" applyAlignment="1">
      <alignment horizontal="center" vertical="center" wrapText="1"/>
    </xf>
    <xf numFmtId="0" fontId="3" fillId="0" borderId="7" xfId="0" applyFont="1" applyBorder="1" applyAlignment="1">
      <alignment wrapText="1"/>
    </xf>
    <xf numFmtId="0" fontId="19" fillId="6" borderId="8" xfId="0" applyFont="1" applyFill="1" applyBorder="1" applyAlignment="1">
      <alignment horizontal="center" vertical="center"/>
    </xf>
    <xf numFmtId="0" fontId="25" fillId="5" borderId="6" xfId="1" applyAlignment="1">
      <alignment horizontal="center" vertical="center" wrapText="1"/>
    </xf>
    <xf numFmtId="0" fontId="3" fillId="0" borderId="6" xfId="0" applyFont="1" applyBorder="1" applyAlignment="1">
      <alignment horizontal="center" vertical="center" wrapText="1"/>
    </xf>
    <xf numFmtId="0" fontId="25" fillId="5" borderId="1" xfId="1" applyBorder="1" applyAlignment="1">
      <alignment horizontal="center" vertical="center" wrapText="1"/>
    </xf>
  </cellXfs>
  <cellStyles count="2">
    <cellStyle name="Calculation" xfId="1" builtinId="22"/>
    <cellStyle name="Normal" xfId="0" builtinId="0"/>
  </cellStyles>
  <dxfs count="178">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color theme="7"/>
      </font>
    </dxf>
    <dxf>
      <font>
        <b/>
        <i val="0"/>
        <color theme="0"/>
      </font>
      <fill>
        <patternFill>
          <bgColor theme="7"/>
        </patternFill>
      </fill>
    </dxf>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strike val="0"/>
        <outline val="0"/>
        <shadow val="0"/>
        <u val="none"/>
        <vertAlign val="baseline"/>
        <sz val="10"/>
        <name val="Arial"/>
        <family val="2"/>
        <scheme val="minor"/>
      </font>
      <alignment textRotation="0" wrapText="1" indent="0" justifyLastLine="0" shrinkToFit="0" readingOrder="0"/>
    </dxf>
    <dxf>
      <alignment textRotation="0" wrapText="1" indent="0" justifyLastLine="0" shrinkToFit="0" readingOrder="0"/>
      <border outline="0">
        <left style="thick">
          <color rgb="FF999999"/>
        </left>
        <righ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font>
        <b/>
        <sz val="12"/>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strike val="0"/>
        <outline val="0"/>
        <shadow val="0"/>
        <u val="none"/>
        <vertAlign val="baseline"/>
        <sz val="12"/>
        <name val="Arial"/>
        <scheme val="minor"/>
      </font>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b/>
        <strike val="0"/>
        <outline val="0"/>
        <shadow val="0"/>
        <u val="none"/>
        <vertAlign val="baseline"/>
        <sz val="10"/>
        <name val="Arial"/>
        <family val="2"/>
        <scheme val="minor"/>
      </font>
      <alignment textRotation="0" wrapText="1" indent="0" justifyLastLine="0" shrinkToFit="0" readingOrder="0"/>
    </dxf>
    <dxf>
      <alignment textRotation="0" wrapText="1" indent="0" justifyLastLine="0" shrinkToFit="0" readingOrder="0"/>
      <border outline="0">
        <left style="thick">
          <color rgb="FF999999"/>
        </left>
        <right/>
      </border>
    </dxf>
    <dxf>
      <font>
        <strike val="0"/>
        <outline val="0"/>
        <shadow val="0"/>
        <u val="none"/>
        <vertAlign val="baseline"/>
        <sz val="10"/>
        <color rgb="FF000000"/>
        <name val="Arial"/>
        <family val="2"/>
        <scheme val="minor"/>
      </font>
      <alignment textRotation="0" wrapText="1" indent="0" justifyLastLine="0" shrinkToFit="0" readingOrder="0"/>
    </dxf>
    <dxf>
      <alignment textRotation="0" wrapText="1" indent="0" justifyLastLine="0" shrinkToFit="0" readingOrder="0"/>
      <border outline="0">
        <right style="thick">
          <color rgb="FF999999"/>
        </right>
      </border>
    </dxf>
    <dxf>
      <font>
        <b/>
        <sz val="12"/>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border outline="0">
        <left style="thick">
          <color rgb="FF999999"/>
        </lef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horizontal="center" vertical="center"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outline="0">
        <left style="thick">
          <color rgb="FF999999"/>
        </left>
        <right style="thick">
          <color rgb="FF999999"/>
        </right>
        <top style="thick">
          <color rgb="FF999999"/>
        </top>
        <bottom style="thick">
          <color rgb="FF999999"/>
        </bottom>
      </border>
    </dxf>
    <dxf>
      <font>
        <strike val="0"/>
        <outline val="0"/>
        <shadow val="0"/>
        <u val="none"/>
        <vertAlign val="baseline"/>
        <sz val="14"/>
        <color rgb="FF000000"/>
        <name val="Arial"/>
        <family val="2"/>
        <scheme val="minor"/>
      </font>
      <border outline="0">
        <left style="thick">
          <color rgb="FF999999"/>
        </left>
        <right style="thick">
          <color rgb="FF999999"/>
        </right>
      </border>
    </dxf>
    <dxf>
      <font>
        <strike val="0"/>
        <outline val="0"/>
        <shadow val="0"/>
        <u val="none"/>
        <vertAlign val="baseline"/>
        <sz val="14"/>
        <color rgb="FF000000"/>
        <name val="Arial"/>
        <family val="2"/>
        <scheme val="minor"/>
      </font>
      <border outline="0">
        <right style="thick">
          <color rgb="FF999999"/>
        </right>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horizontal="center" vertical="center"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textRotation="0" wrapText="1" indent="0" justifyLastLine="0" shrinkToFit="0" readingOrder="0"/>
    </dxf>
    <dxf>
      <font>
        <b/>
        <strike val="0"/>
        <outline val="0"/>
        <shadow val="0"/>
        <u val="none"/>
        <vertAlign val="baseline"/>
        <sz val="14"/>
        <color rgb="FF000000"/>
        <name val="Arial"/>
        <scheme val="minor"/>
      </font>
      <alignment horizontal="center" vertical="center" textRotation="180" wrapText="1" indent="0" justifyLastLine="0" shrinkToFit="0" readingOrder="0"/>
      <border diagonalUp="0" diagonalDown="0" outline="0">
        <left/>
        <right/>
        <top style="thick">
          <color rgb="FF999999"/>
        </top>
        <bottom style="thick">
          <color rgb="FF999999"/>
        </bottom>
      </border>
    </dxf>
    <dxf>
      <font>
        <b/>
        <strike val="0"/>
        <outline val="0"/>
        <shadow val="0"/>
        <u val="none"/>
        <vertAlign val="baseline"/>
        <sz val="14"/>
        <color rgb="FF000000"/>
        <name val="Arial"/>
        <scheme val="minor"/>
      </font>
    </dxf>
    <dxf>
      <font>
        <b/>
        <strike val="0"/>
        <outline val="0"/>
        <shadow val="0"/>
        <u val="none"/>
        <vertAlign val="baseline"/>
        <sz val="14"/>
        <color rgb="FF000000"/>
        <name val="Arial"/>
        <scheme val="minor"/>
      </font>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border outline="0">
        <left style="thick">
          <color rgb="FF999999"/>
        </left>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border outline="0">
        <left style="thick">
          <color rgb="FF999999"/>
        </lef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horizontal="center" vertical="center"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strike val="0"/>
        <outline val="0"/>
        <shadow val="0"/>
        <u val="none"/>
        <vertAlign val="baseline"/>
        <sz val="14"/>
        <color rgb="FF000000"/>
        <name val="Arial"/>
        <family val="2"/>
        <scheme val="minor"/>
      </font>
      <alignment textRotation="0" wrapText="1" indent="0" justifyLastLine="0" shrinkToFit="0" readingOrder="0"/>
      <border outline="0">
        <left style="thick">
          <color rgb="FF999999"/>
        </left>
        <right style="thick">
          <color rgb="FF999999"/>
        </right>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outline="0">
        <left style="thick">
          <color rgb="FF999999"/>
        </left>
        <right style="thick">
          <color rgb="FF999999"/>
        </right>
        <top style="thick">
          <color rgb="FF999999"/>
        </top>
        <bottom style="thick">
          <color rgb="FF999999"/>
        </bottom>
      </border>
    </dxf>
    <dxf>
      <font>
        <strike val="0"/>
        <outline val="0"/>
        <shadow val="0"/>
        <u val="none"/>
        <vertAlign val="baseline"/>
        <sz val="14"/>
        <color rgb="FF000000"/>
        <name val="Arial"/>
        <family val="2"/>
        <scheme val="minor"/>
      </font>
      <numFmt numFmtId="0" formatCode="General"/>
      <border>
        <left style="thick">
          <color rgb="FF999999"/>
        </left>
        <right style="thick">
          <color rgb="FF999999"/>
        </right>
      </border>
    </dxf>
    <dxf>
      <font>
        <strike val="0"/>
        <outline val="0"/>
        <shadow val="0"/>
        <u val="none"/>
        <vertAlign val="baseline"/>
        <sz val="14"/>
        <color rgb="FF000000"/>
        <name val="Arial"/>
        <family val="2"/>
        <scheme val="minor"/>
      </font>
      <border outline="0">
        <right style="thick">
          <color rgb="FF999999"/>
        </right>
      </border>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alignment horizontal="center" vertical="center" textRotation="18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vertical/>
        <horizontal/>
      </border>
    </dxf>
    <dxf>
      <font>
        <b/>
        <i val="0"/>
        <strike val="0"/>
        <condense val="0"/>
        <extend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strike val="0"/>
        <outline val="0"/>
        <shadow val="0"/>
        <u val="none"/>
        <vertAlign val="baseline"/>
        <sz val="14"/>
        <color rgb="FF000000"/>
        <name val="Arial"/>
        <family val="2"/>
        <scheme val="minor"/>
      </font>
      <numFmt numFmtId="164" formatCode="yyyy/mm/dd\ \-\ hh:mm\ AM/PM"/>
      <alignment horizontal="center" vertical="center" textRotation="0" wrapText="1" indent="0" justifyLastLine="0" shrinkToFit="0" readingOrder="0"/>
      <border diagonalUp="0" diagonalDown="0">
        <left style="thick">
          <color rgb="FF999999"/>
        </left>
        <right style="thick">
          <color rgb="FF999999"/>
        </right>
        <top style="thick">
          <color rgb="FF999999"/>
        </top>
        <bottom style="thick">
          <color rgb="FF999999"/>
        </bottom>
        <vertical/>
        <horizontal/>
      </border>
    </dxf>
    <dxf>
      <font>
        <b/>
        <i val="0"/>
        <color theme="7"/>
      </font>
    </dxf>
    <dxf>
      <font>
        <b/>
        <i val="0"/>
        <color theme="0"/>
      </font>
      <fill>
        <patternFill>
          <bgColor theme="7"/>
        </patternFill>
      </fill>
    </dxf>
    <dxf>
      <font>
        <b/>
        <i val="0"/>
        <color theme="2"/>
      </font>
      <numFmt numFmtId="3" formatCode="#,##0"/>
      <fill>
        <patternFill>
          <bgColor rgb="FF00B050"/>
        </patternFill>
      </fill>
    </dxf>
    <dxf>
      <font>
        <b/>
        <color rgb="FF0000FF"/>
      </font>
      <fill>
        <patternFill patternType="solid">
          <fgColor rgb="FFB7E1CD"/>
          <bgColor rgb="FFB7E1CD"/>
        </patternFill>
      </fill>
    </dxf>
    <dxf>
      <font>
        <b/>
        <u/>
        <color rgb="FFFF0000"/>
      </font>
      <fill>
        <patternFill patternType="none"/>
      </fill>
    </dxf>
    <dxf>
      <font>
        <b/>
        <color rgb="FF000000"/>
      </font>
      <fill>
        <patternFill patternType="solid">
          <fgColor rgb="FFF4CCCC"/>
          <bgColor rgb="FFF4CCCC"/>
        </patternFill>
      </fill>
    </dxf>
    <dxf>
      <font>
        <b/>
        <i val="0"/>
        <color theme="7"/>
      </font>
    </dxf>
    <dxf>
      <font>
        <b/>
        <i val="0"/>
        <color theme="0"/>
      </font>
      <fill>
        <patternFill>
          <bgColor theme="7"/>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4A568D"/>
          <bgColor rgb="FF4A568D"/>
        </patternFill>
      </fill>
    </dxf>
    <dxf>
      <border>
        <left style="thin">
          <color rgb="FF4A568D"/>
        </left>
        <right style="thin">
          <color rgb="FF4A568D"/>
        </right>
        <top style="thin">
          <color rgb="FF4A568D"/>
        </top>
        <bottom style="thin">
          <color rgb="FF4A568D"/>
        </bottom>
        <vertical style="thin">
          <color rgb="FFD4D4D4"/>
        </vertical>
        <horizontal style="thin">
          <color rgb="FFD4D4D4"/>
        </horizontal>
      </border>
    </dxf>
  </dxfs>
  <tableStyles count="7">
    <tableStyle name="البيانات-style" pivot="0" count="4" xr9:uid="{00000000-0011-0000-FFFF-FFFF00000000}">
      <tableStyleElement type="wholeTable" size="0" dxfId="177"/>
      <tableStyleElement type="headerRow" dxfId="176"/>
      <tableStyleElement type="firstRowStripe" dxfId="175"/>
      <tableStyleElement type="secondRowStripe" dxfId="174"/>
    </tableStyle>
    <tableStyle name="الكهرباء-style" pivot="0" count="4" xr9:uid="{00000000-0011-0000-FFFF-FFFF01000000}">
      <tableStyleElement type="wholeTable" size="0" dxfId="173"/>
      <tableStyleElement type="headerRow" dxfId="172"/>
      <tableStyleElement type="firstRowStripe" dxfId="171"/>
      <tableStyleElement type="secondRowStripe" dxfId="170"/>
    </tableStyle>
    <tableStyle name="المدني-style" pivot="0" count="4" xr9:uid="{00000000-0011-0000-FFFF-FFFF02000000}">
      <tableStyleElement type="wholeTable" size="0" dxfId="169"/>
      <tableStyleElement type="headerRow" dxfId="168"/>
      <tableStyleElement type="firstRowStripe" dxfId="167"/>
      <tableStyleElement type="secondRowStripe" dxfId="166"/>
    </tableStyle>
    <tableStyle name="الميكانيك-style" pivot="0" count="4" xr9:uid="{00000000-0011-0000-FFFF-FFFF03000000}">
      <tableStyleElement type="wholeTable" size="0" dxfId="165"/>
      <tableStyleElement type="headerRow" dxfId="164"/>
      <tableStyleElement type="firstRowStripe" dxfId="163"/>
      <tableStyleElement type="secondRowStripe" dxfId="162"/>
    </tableStyle>
    <tableStyle name="التبريد-style" pivot="0" count="4" xr9:uid="{00000000-0011-0000-FFFF-FFFF04000000}">
      <tableStyleElement type="wholeTable" size="0" dxfId="161"/>
      <tableStyleElement type="headerRow" dxfId="160"/>
      <tableStyleElement type="firstRowStripe" dxfId="159"/>
      <tableStyleElement type="secondRowStripe" dxfId="158"/>
    </tableStyle>
    <tableStyle name="الطلبات-style" pivot="0" count="4" xr9:uid="{00000000-0011-0000-FFFF-FFFF05000000}">
      <tableStyleElement type="wholeTable" size="0" dxfId="157"/>
      <tableStyleElement type="headerRow" dxfId="156"/>
      <tableStyleElement type="firstRowStripe" dxfId="155"/>
      <tableStyleElement type="secondRowStripe" dxfId="154"/>
    </tableStyle>
    <tableStyle name="الإعدادات-style" pivot="0" count="4" xr9:uid="{00000000-0011-0000-FFFF-FFFF06000000}">
      <tableStyleElement type="wholeTable" size="0" dxfId="153"/>
      <tableStyleElement type="headerRow" dxfId="152"/>
      <tableStyleElement type="firstRowStripe" dxfId="151"/>
      <tableStyleElement type="secondRowStripe" dxfId="15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1918607</xdr:colOff>
      <xdr:row>0</xdr:row>
      <xdr:rowOff>762000</xdr:rowOff>
    </xdr:from>
    <xdr:ext cx="184731" cy="254557"/>
    <xdr:sp macro="" textlink="">
      <xdr:nvSpPr>
        <xdr:cNvPr id="2" name="TextBox 1">
          <a:extLst>
            <a:ext uri="{FF2B5EF4-FFF2-40B4-BE49-F238E27FC236}">
              <a16:creationId xmlns:a16="http://schemas.microsoft.com/office/drawing/2014/main" id="{958F0793-076D-42E7-A2CC-684106AEDA02}"/>
            </a:ext>
          </a:extLst>
        </xdr:cNvPr>
        <xdr:cNvSpPr txBox="1"/>
      </xdr:nvSpPr>
      <xdr:spPr>
        <a:xfrm>
          <a:off x="850990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1918607</xdr:colOff>
      <xdr:row>0</xdr:row>
      <xdr:rowOff>762000</xdr:rowOff>
    </xdr:from>
    <xdr:ext cx="184731" cy="254557"/>
    <xdr:sp macro="" textlink="">
      <xdr:nvSpPr>
        <xdr:cNvPr id="3" name="TextBox 2">
          <a:extLst>
            <a:ext uri="{FF2B5EF4-FFF2-40B4-BE49-F238E27FC236}">
              <a16:creationId xmlns:a16="http://schemas.microsoft.com/office/drawing/2014/main" id="{7A9B6067-4026-4D94-A3A5-26D22B0C8B7F}"/>
            </a:ext>
          </a:extLst>
        </xdr:cNvPr>
        <xdr:cNvSpPr txBox="1"/>
      </xdr:nvSpPr>
      <xdr:spPr>
        <a:xfrm>
          <a:off x="850990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8</xdr:col>
      <xdr:colOff>1918607</xdr:colOff>
      <xdr:row>0</xdr:row>
      <xdr:rowOff>762000</xdr:rowOff>
    </xdr:from>
    <xdr:ext cx="184731" cy="254557"/>
    <xdr:sp macro="" textlink="">
      <xdr:nvSpPr>
        <xdr:cNvPr id="7" name="TextBox 6">
          <a:extLst>
            <a:ext uri="{FF2B5EF4-FFF2-40B4-BE49-F238E27FC236}">
              <a16:creationId xmlns:a16="http://schemas.microsoft.com/office/drawing/2014/main" id="{38B97AEB-8139-48A3-9639-56EF982ECFB3}"/>
            </a:ext>
          </a:extLst>
        </xdr:cNvPr>
        <xdr:cNvSpPr txBox="1"/>
      </xdr:nvSpPr>
      <xdr:spPr>
        <a:xfrm>
          <a:off x="982054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twoCellAnchor>
    <xdr:from>
      <xdr:col>2</xdr:col>
      <xdr:colOff>1551215</xdr:colOff>
      <xdr:row>0</xdr:row>
      <xdr:rowOff>118110</xdr:rowOff>
    </xdr:from>
    <xdr:to>
      <xdr:col>12</xdr:col>
      <xdr:colOff>40821</xdr:colOff>
      <xdr:row>0</xdr:row>
      <xdr:rowOff>1139190</xdr:rowOff>
    </xdr:to>
    <xdr:sp macro="" textlink="">
      <xdr:nvSpPr>
        <xdr:cNvPr id="8" name="مستطيل: زوايا مستديرة 1">
          <a:extLst>
            <a:ext uri="{FF2B5EF4-FFF2-40B4-BE49-F238E27FC236}">
              <a16:creationId xmlns:a16="http://schemas.microsoft.com/office/drawing/2014/main" id="{C23E99EA-2054-4A8F-A580-D69F57E0D76C}"/>
            </a:ext>
          </a:extLst>
        </xdr:cNvPr>
        <xdr:cNvSpPr/>
      </xdr:nvSpPr>
      <xdr:spPr>
        <a:xfrm>
          <a:off x="3494315" y="118110"/>
          <a:ext cx="12464686"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تشغيل</a:t>
          </a:r>
          <a:r>
            <a:rPr lang="ar-IQ" sz="2800" b="0" cap="none" spc="0" baseline="0">
              <a:ln w="0"/>
              <a:solidFill>
                <a:schemeClr val="tx1"/>
              </a:solidFill>
              <a:effectLst>
                <a:outerShdw blurRad="38100" dist="19050" dir="2700000" algn="tl" rotWithShape="0">
                  <a:schemeClr val="dk1">
                    <a:alpha val="40000"/>
                  </a:schemeClr>
                </a:outerShdw>
              </a:effectLst>
            </a:rPr>
            <a:t> وصيانة منظومات مجموعة مدارس العميد حر - الربع 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768203</xdr:colOff>
      <xdr:row>0</xdr:row>
      <xdr:rowOff>0</xdr:rowOff>
    </xdr:from>
    <xdr:to>
      <xdr:col>2</xdr:col>
      <xdr:colOff>1130073</xdr:colOff>
      <xdr:row>0</xdr:row>
      <xdr:rowOff>1196340</xdr:rowOff>
    </xdr:to>
    <xdr:pic>
      <xdr:nvPicPr>
        <xdr:cNvPr id="9" name="صورة 3">
          <a:extLst>
            <a:ext uri="{FF2B5EF4-FFF2-40B4-BE49-F238E27FC236}">
              <a16:creationId xmlns:a16="http://schemas.microsoft.com/office/drawing/2014/main" id="{354F5724-9D5A-468C-B11B-9A63EA73794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59743" y="0"/>
          <a:ext cx="1352470" cy="1196340"/>
        </a:xfrm>
        <a:prstGeom prst="rect">
          <a:avLst/>
        </a:prstGeom>
      </xdr:spPr>
    </xdr:pic>
    <xdr:clientData/>
  </xdr:twoCellAnchor>
  <xdr:twoCellAnchor editAs="oneCell">
    <xdr:from>
      <xdr:col>12</xdr:col>
      <xdr:colOff>1141032</xdr:colOff>
      <xdr:row>0</xdr:row>
      <xdr:rowOff>55899</xdr:rowOff>
    </xdr:from>
    <xdr:to>
      <xdr:col>13</xdr:col>
      <xdr:colOff>978078</xdr:colOff>
      <xdr:row>0</xdr:row>
      <xdr:rowOff>1236617</xdr:rowOff>
    </xdr:to>
    <xdr:pic>
      <xdr:nvPicPr>
        <xdr:cNvPr id="10" name="صورة 5">
          <a:extLst>
            <a:ext uri="{FF2B5EF4-FFF2-40B4-BE49-F238E27FC236}">
              <a16:creationId xmlns:a16="http://schemas.microsoft.com/office/drawing/2014/main" id="{7494ACF9-4D7E-4943-81FC-0F7DE7B394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059212" y="55899"/>
          <a:ext cx="1132446" cy="1180718"/>
        </a:xfrm>
        <a:prstGeom prst="rect">
          <a:avLst/>
        </a:prstGeom>
      </xdr:spPr>
    </xdr:pic>
    <xdr:clientData/>
  </xdr:twoCellAnchor>
  <xdr:oneCellAnchor>
    <xdr:from>
      <xdr:col>8</xdr:col>
      <xdr:colOff>1918607</xdr:colOff>
      <xdr:row>0</xdr:row>
      <xdr:rowOff>762000</xdr:rowOff>
    </xdr:from>
    <xdr:ext cx="184731" cy="254557"/>
    <xdr:sp macro="" textlink="">
      <xdr:nvSpPr>
        <xdr:cNvPr id="11" name="TextBox 10">
          <a:extLst>
            <a:ext uri="{FF2B5EF4-FFF2-40B4-BE49-F238E27FC236}">
              <a16:creationId xmlns:a16="http://schemas.microsoft.com/office/drawing/2014/main" id="{FA2B3F8E-B13C-42DE-B942-317D37BE376E}"/>
            </a:ext>
          </a:extLst>
        </xdr:cNvPr>
        <xdr:cNvSpPr txBox="1"/>
      </xdr:nvSpPr>
      <xdr:spPr>
        <a:xfrm>
          <a:off x="1104736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1918607</xdr:colOff>
      <xdr:row>0</xdr:row>
      <xdr:rowOff>762000</xdr:rowOff>
    </xdr:from>
    <xdr:ext cx="184731" cy="254557"/>
    <xdr:sp macro="" textlink="">
      <xdr:nvSpPr>
        <xdr:cNvPr id="2" name="TextBox 1">
          <a:extLst>
            <a:ext uri="{FF2B5EF4-FFF2-40B4-BE49-F238E27FC236}">
              <a16:creationId xmlns:a16="http://schemas.microsoft.com/office/drawing/2014/main" id="{8AEF740B-0C1B-472D-ADB1-0D2CEE4965B4}"/>
            </a:ext>
          </a:extLst>
        </xdr:cNvPr>
        <xdr:cNvSpPr txBox="1"/>
      </xdr:nvSpPr>
      <xdr:spPr>
        <a:xfrm>
          <a:off x="1093878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1918607</xdr:colOff>
      <xdr:row>0</xdr:row>
      <xdr:rowOff>762000</xdr:rowOff>
    </xdr:from>
    <xdr:ext cx="184731" cy="254557"/>
    <xdr:sp macro="" textlink="">
      <xdr:nvSpPr>
        <xdr:cNvPr id="6" name="TextBox 5">
          <a:extLst>
            <a:ext uri="{FF2B5EF4-FFF2-40B4-BE49-F238E27FC236}">
              <a16:creationId xmlns:a16="http://schemas.microsoft.com/office/drawing/2014/main" id="{17A429A9-F4CF-4257-99CF-3FE79EFEF3F5}"/>
            </a:ext>
          </a:extLst>
        </xdr:cNvPr>
        <xdr:cNvSpPr txBox="1"/>
      </xdr:nvSpPr>
      <xdr:spPr>
        <a:xfrm>
          <a:off x="1093878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2</xdr:col>
      <xdr:colOff>1551215</xdr:colOff>
      <xdr:row>0</xdr:row>
      <xdr:rowOff>118110</xdr:rowOff>
    </xdr:from>
    <xdr:to>
      <xdr:col>12</xdr:col>
      <xdr:colOff>40821</xdr:colOff>
      <xdr:row>0</xdr:row>
      <xdr:rowOff>1139190</xdr:rowOff>
    </xdr:to>
    <xdr:sp macro="" textlink="">
      <xdr:nvSpPr>
        <xdr:cNvPr id="7" name="مستطيل: زوايا مستديرة 1">
          <a:extLst>
            <a:ext uri="{FF2B5EF4-FFF2-40B4-BE49-F238E27FC236}">
              <a16:creationId xmlns:a16="http://schemas.microsoft.com/office/drawing/2014/main" id="{16B6360C-578F-47B4-9EFB-05962467D880}"/>
            </a:ext>
          </a:extLst>
        </xdr:cNvPr>
        <xdr:cNvSpPr/>
      </xdr:nvSpPr>
      <xdr:spPr>
        <a:xfrm>
          <a:off x="3437165" y="118110"/>
          <a:ext cx="12081781"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تشغيل</a:t>
          </a:r>
          <a:r>
            <a:rPr lang="ar-IQ" sz="2800" b="0" cap="none" spc="0" baseline="0">
              <a:ln w="0"/>
              <a:solidFill>
                <a:schemeClr val="tx1"/>
              </a:solidFill>
              <a:effectLst>
                <a:outerShdw blurRad="38100" dist="19050" dir="2700000" algn="tl" rotWithShape="0">
                  <a:schemeClr val="dk1">
                    <a:alpha val="40000"/>
                  </a:schemeClr>
                </a:outerShdw>
              </a:effectLst>
            </a:rPr>
            <a:t> وصيانة منظومات مجموعة مدارس العميد معملجي - الربع 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768203</xdr:colOff>
      <xdr:row>0</xdr:row>
      <xdr:rowOff>0</xdr:rowOff>
    </xdr:from>
    <xdr:to>
      <xdr:col>2</xdr:col>
      <xdr:colOff>1160281</xdr:colOff>
      <xdr:row>0</xdr:row>
      <xdr:rowOff>1196340</xdr:rowOff>
    </xdr:to>
    <xdr:pic>
      <xdr:nvPicPr>
        <xdr:cNvPr id="8" name="صورة 3">
          <a:extLst>
            <a:ext uri="{FF2B5EF4-FFF2-40B4-BE49-F238E27FC236}">
              <a16:creationId xmlns:a16="http://schemas.microsoft.com/office/drawing/2014/main" id="{3CF1FF37-6209-4F93-A145-DBFB7AEF7F6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634978" y="0"/>
          <a:ext cx="1320085" cy="1196340"/>
        </a:xfrm>
        <a:prstGeom prst="rect">
          <a:avLst/>
        </a:prstGeom>
      </xdr:spPr>
    </xdr:pic>
    <xdr:clientData/>
  </xdr:twoCellAnchor>
  <xdr:twoCellAnchor editAs="oneCell">
    <xdr:from>
      <xdr:col>12</xdr:col>
      <xdr:colOff>1141032</xdr:colOff>
      <xdr:row>0</xdr:row>
      <xdr:rowOff>55899</xdr:rowOff>
    </xdr:from>
    <xdr:to>
      <xdr:col>13</xdr:col>
      <xdr:colOff>1037949</xdr:colOff>
      <xdr:row>0</xdr:row>
      <xdr:rowOff>1236617</xdr:rowOff>
    </xdr:to>
    <xdr:pic>
      <xdr:nvPicPr>
        <xdr:cNvPr id="9" name="صورة 5">
          <a:extLst>
            <a:ext uri="{FF2B5EF4-FFF2-40B4-BE49-F238E27FC236}">
              <a16:creationId xmlns:a16="http://schemas.microsoft.com/office/drawing/2014/main" id="{EE827A85-59E9-47B9-A8D5-A3281231D68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619157" y="55899"/>
          <a:ext cx="1132446" cy="1180718"/>
        </a:xfrm>
        <a:prstGeom prst="rect">
          <a:avLst/>
        </a:prstGeom>
      </xdr:spPr>
    </xdr:pic>
    <xdr:clientData/>
  </xdr:twoCellAnchor>
  <xdr:oneCellAnchor>
    <xdr:from>
      <xdr:col>8</xdr:col>
      <xdr:colOff>1918607</xdr:colOff>
      <xdr:row>0</xdr:row>
      <xdr:rowOff>762000</xdr:rowOff>
    </xdr:from>
    <xdr:ext cx="184731" cy="254557"/>
    <xdr:sp macro="" textlink="">
      <xdr:nvSpPr>
        <xdr:cNvPr id="10" name="TextBox 9">
          <a:extLst>
            <a:ext uri="{FF2B5EF4-FFF2-40B4-BE49-F238E27FC236}">
              <a16:creationId xmlns:a16="http://schemas.microsoft.com/office/drawing/2014/main" id="{9DE69D94-E12E-4271-958D-DDD291B4C556}"/>
            </a:ext>
          </a:extLst>
        </xdr:cNvPr>
        <xdr:cNvSpPr txBox="1"/>
      </xdr:nvSpPr>
      <xdr:spPr>
        <a:xfrm>
          <a:off x="10795907"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1</xdr:col>
      <xdr:colOff>1366917</xdr:colOff>
      <xdr:row>0</xdr:row>
      <xdr:rowOff>57150</xdr:rowOff>
    </xdr:from>
    <xdr:to>
      <xdr:col>3</xdr:col>
      <xdr:colOff>252685</xdr:colOff>
      <xdr:row>0</xdr:row>
      <xdr:rowOff>1253490</xdr:rowOff>
    </xdr:to>
    <xdr:pic>
      <xdr:nvPicPr>
        <xdr:cNvPr id="3" name="صورة 3">
          <a:extLst>
            <a:ext uri="{FF2B5EF4-FFF2-40B4-BE49-F238E27FC236}">
              <a16:creationId xmlns:a16="http://schemas.microsoft.com/office/drawing/2014/main" id="{9473A782-55BB-4554-A4A3-83A585CA57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4168"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4" name="صورة 5">
          <a:extLst>
            <a:ext uri="{FF2B5EF4-FFF2-40B4-BE49-F238E27FC236}">
              <a16:creationId xmlns:a16="http://schemas.microsoft.com/office/drawing/2014/main" id="{1E2D0C73-6514-4886-891F-514D114007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854439" y="42292"/>
          <a:ext cx="1132446" cy="1180718"/>
        </a:xfrm>
        <a:prstGeom prst="rect">
          <a:avLst/>
        </a:prstGeom>
      </xdr:spPr>
    </xdr:pic>
    <xdr:clientData/>
  </xdr:twoCellAnchor>
  <xdr:oneCellAnchor>
    <xdr:from>
      <xdr:col>7</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96697717-74DF-4284-AA24-FB05FE6E4BAE}"/>
            </a:ext>
          </a:extLst>
        </xdr:cNvPr>
        <xdr:cNvSpPr txBox="1"/>
      </xdr:nvSpPr>
      <xdr:spPr>
        <a:xfrm>
          <a:off x="1093878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143644</xdr:colOff>
      <xdr:row>0</xdr:row>
      <xdr:rowOff>158931</xdr:rowOff>
    </xdr:from>
    <xdr:to>
      <xdr:col>8</xdr:col>
      <xdr:colOff>1150809</xdr:colOff>
      <xdr:row>0</xdr:row>
      <xdr:rowOff>1180011</xdr:rowOff>
    </xdr:to>
    <xdr:sp macro="" textlink="">
      <xdr:nvSpPr>
        <xdr:cNvPr id="6" name="مستطيل: زوايا مستديرة 1">
          <a:extLst>
            <a:ext uri="{FF2B5EF4-FFF2-40B4-BE49-F238E27FC236}">
              <a16:creationId xmlns:a16="http://schemas.microsoft.com/office/drawing/2014/main" id="{0445D20C-5837-45B4-9BD6-05DBEFE7D121}"/>
            </a:ext>
          </a:extLst>
        </xdr:cNvPr>
        <xdr:cNvSpPr/>
      </xdr:nvSpPr>
      <xdr:spPr>
        <a:xfrm>
          <a:off x="4470715" y="158931"/>
          <a:ext cx="10042308"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الصيانة المرفوعة</a:t>
          </a:r>
          <a:r>
            <a:rPr lang="ar-IQ" sz="2800" b="0" cap="none" spc="0" baseline="0">
              <a:ln w="0"/>
              <a:solidFill>
                <a:schemeClr val="tx1"/>
              </a:solidFill>
              <a:effectLst>
                <a:outerShdw blurRad="38100" dist="19050" dir="2700000" algn="tl" rotWithShape="0">
                  <a:schemeClr val="dk1">
                    <a:alpha val="40000"/>
                  </a:schemeClr>
                </a:outerShdw>
              </a:effectLst>
            </a:rPr>
            <a:t> من قسم التربية والمنجزة من قبل الشعبة مباشرة</a:t>
          </a:r>
          <a:br>
            <a:rPr lang="ar-IQ" sz="2800" b="0" cap="none" spc="0" baseline="0">
              <a:ln w="0"/>
              <a:solidFill>
                <a:schemeClr val="tx1"/>
              </a:solidFill>
              <a:effectLst>
                <a:outerShdw blurRad="38100" dist="19050" dir="2700000" algn="tl" rotWithShape="0">
                  <a:schemeClr val="dk1">
                    <a:alpha val="40000"/>
                  </a:schemeClr>
                </a:outerShdw>
              </a:effectLst>
            </a:rPr>
          </a:br>
          <a:r>
            <a:rPr lang="ar-IQ" sz="2800" b="0" cap="none" spc="0" baseline="0">
              <a:ln w="0"/>
              <a:solidFill>
                <a:schemeClr val="tx1"/>
              </a:solidFill>
              <a:effectLst>
                <a:outerShdw blurRad="38100" dist="19050" dir="2700000" algn="tl" rotWithShape="0">
                  <a:schemeClr val="dk1">
                    <a:alpha val="40000"/>
                  </a:schemeClr>
                </a:outerShdw>
              </a:effectLst>
            </a:rPr>
            <a:t>الربع الثاني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oneCellAnchor>
    <xdr:from>
      <xdr:col>7</xdr:col>
      <xdr:colOff>1918607</xdr:colOff>
      <xdr:row>0</xdr:row>
      <xdr:rowOff>762000</xdr:rowOff>
    </xdr:from>
    <xdr:ext cx="184731" cy="254557"/>
    <xdr:sp macro="" textlink="">
      <xdr:nvSpPr>
        <xdr:cNvPr id="9" name="TextBox 8">
          <a:extLst>
            <a:ext uri="{FF2B5EF4-FFF2-40B4-BE49-F238E27FC236}">
              <a16:creationId xmlns:a16="http://schemas.microsoft.com/office/drawing/2014/main" id="{C217C40D-ACB8-495F-9FE7-599C85B9F7B8}"/>
            </a:ext>
          </a:extLst>
        </xdr:cNvPr>
        <xdr:cNvSpPr txBox="1"/>
      </xdr:nvSpPr>
      <xdr:spPr>
        <a:xfrm>
          <a:off x="1103403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7</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280A5891-52E9-446C-A7AC-90BDDE4F7DE5}"/>
            </a:ext>
          </a:extLst>
        </xdr:cNvPr>
        <xdr:cNvSpPr txBox="1"/>
      </xdr:nvSpPr>
      <xdr:spPr>
        <a:xfrm>
          <a:off x="1093878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5</xdr:col>
      <xdr:colOff>225287</xdr:colOff>
      <xdr:row>0</xdr:row>
      <xdr:rowOff>118110</xdr:rowOff>
    </xdr:from>
    <xdr:to>
      <xdr:col>8</xdr:col>
      <xdr:colOff>1232452</xdr:colOff>
      <xdr:row>0</xdr:row>
      <xdr:rowOff>1139190</xdr:rowOff>
    </xdr:to>
    <xdr:sp macro="" textlink="">
      <xdr:nvSpPr>
        <xdr:cNvPr id="6" name="مستطيل: زوايا مستديرة 1">
          <a:extLst>
            <a:ext uri="{FF2B5EF4-FFF2-40B4-BE49-F238E27FC236}">
              <a16:creationId xmlns:a16="http://schemas.microsoft.com/office/drawing/2014/main" id="{5BB1E53B-05B8-4396-B653-930869B87FB1}"/>
            </a:ext>
          </a:extLst>
        </xdr:cNvPr>
        <xdr:cNvSpPr/>
      </xdr:nvSpPr>
      <xdr:spPr>
        <a:xfrm>
          <a:off x="4644887" y="118110"/>
          <a:ext cx="10036865"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الصيانة المرفوعة</a:t>
          </a:r>
          <a:r>
            <a:rPr lang="ar-IQ" sz="2800" b="0" cap="none" spc="0" baseline="0">
              <a:ln w="0"/>
              <a:solidFill>
                <a:schemeClr val="tx1"/>
              </a:solidFill>
              <a:effectLst>
                <a:outerShdw blurRad="38100" dist="19050" dir="2700000" algn="tl" rotWithShape="0">
                  <a:schemeClr val="dk1">
                    <a:alpha val="40000"/>
                  </a:schemeClr>
                </a:outerShdw>
              </a:effectLst>
            </a:rPr>
            <a:t> من قسم التربية والمنجزة من قبل الشعبة مباشرة</a:t>
          </a:r>
          <a:br>
            <a:rPr lang="ar-IQ" sz="2800" b="0" cap="none" spc="0" baseline="0">
              <a:ln w="0"/>
              <a:solidFill>
                <a:schemeClr val="tx1"/>
              </a:solidFill>
              <a:effectLst>
                <a:outerShdw blurRad="38100" dist="19050" dir="2700000" algn="tl" rotWithShape="0">
                  <a:schemeClr val="dk1">
                    <a:alpha val="40000"/>
                  </a:schemeClr>
                </a:outerShdw>
              </a:effectLst>
            </a:rPr>
          </a:br>
          <a:r>
            <a:rPr lang="ar-IQ" sz="2800" b="0" cap="none" spc="0" baseline="0">
              <a:ln w="0"/>
              <a:solidFill>
                <a:schemeClr val="tx1"/>
              </a:solidFill>
              <a:effectLst>
                <a:outerShdw blurRad="38100" dist="19050" dir="2700000" algn="tl" rotWithShape="0">
                  <a:schemeClr val="dk1">
                    <a:alpha val="40000"/>
                  </a:schemeClr>
                </a:outerShdw>
              </a:effectLst>
            </a:rPr>
            <a:t>الربع الثاني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3</xdr:col>
      <xdr:colOff>252685</xdr:colOff>
      <xdr:row>0</xdr:row>
      <xdr:rowOff>1253490</xdr:rowOff>
    </xdr:to>
    <xdr:pic>
      <xdr:nvPicPr>
        <xdr:cNvPr id="7" name="صورة 3">
          <a:extLst>
            <a:ext uri="{FF2B5EF4-FFF2-40B4-BE49-F238E27FC236}">
              <a16:creationId xmlns:a16="http://schemas.microsoft.com/office/drawing/2014/main" id="{90E7C015-FB27-4F00-BBA8-D807CE475C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4168"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8" name="صورة 5">
          <a:extLst>
            <a:ext uri="{FF2B5EF4-FFF2-40B4-BE49-F238E27FC236}">
              <a16:creationId xmlns:a16="http://schemas.microsoft.com/office/drawing/2014/main" id="{11722A5D-7CFE-4AB2-B48B-6778477E05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949689" y="42292"/>
          <a:ext cx="1132446" cy="1180718"/>
        </a:xfrm>
        <a:prstGeom prst="rect">
          <a:avLst/>
        </a:prstGeom>
      </xdr:spPr>
    </xdr:pic>
    <xdr:clientData/>
  </xdr:twoCellAnchor>
  <xdr:oneCellAnchor>
    <xdr:from>
      <xdr:col>7</xdr:col>
      <xdr:colOff>1918607</xdr:colOff>
      <xdr:row>0</xdr:row>
      <xdr:rowOff>762000</xdr:rowOff>
    </xdr:from>
    <xdr:ext cx="184731" cy="254557"/>
    <xdr:sp macro="" textlink="">
      <xdr:nvSpPr>
        <xdr:cNvPr id="9" name="TextBox 8">
          <a:extLst>
            <a:ext uri="{FF2B5EF4-FFF2-40B4-BE49-F238E27FC236}">
              <a16:creationId xmlns:a16="http://schemas.microsoft.com/office/drawing/2014/main" id="{99897BB5-9491-4324-91F7-8200A76DE8EC}"/>
            </a:ext>
          </a:extLst>
        </xdr:cNvPr>
        <xdr:cNvSpPr txBox="1"/>
      </xdr:nvSpPr>
      <xdr:spPr>
        <a:xfrm>
          <a:off x="1103403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07432428-DF35-406A-A235-1508FF465D98}"/>
            </a:ext>
          </a:extLst>
        </xdr:cNvPr>
        <xdr:cNvSpPr/>
      </xdr:nvSpPr>
      <xdr:spPr>
        <a:xfrm>
          <a:off x="4549637" y="118110"/>
          <a:ext cx="10036865"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الصيانة المرفوعة</a:t>
          </a:r>
          <a:r>
            <a:rPr lang="ar-IQ" sz="2800" b="0" cap="none" spc="0" baseline="0">
              <a:ln w="0"/>
              <a:solidFill>
                <a:schemeClr val="tx1"/>
              </a:solidFill>
              <a:effectLst>
                <a:outerShdw blurRad="38100" dist="19050" dir="2700000" algn="tl" rotWithShape="0">
                  <a:schemeClr val="dk1">
                    <a:alpha val="40000"/>
                  </a:schemeClr>
                </a:outerShdw>
              </a:effectLst>
            </a:rPr>
            <a:t> من قسم التربية والمنجزة من قبل الشعبة مباشرة</a:t>
          </a:r>
          <a:br>
            <a:rPr lang="ar-IQ" sz="2800" b="0" cap="none" spc="0" baseline="0">
              <a:ln w="0"/>
              <a:solidFill>
                <a:schemeClr val="tx1"/>
              </a:solidFill>
              <a:effectLst>
                <a:outerShdw blurRad="38100" dist="19050" dir="2700000" algn="tl" rotWithShape="0">
                  <a:schemeClr val="dk1">
                    <a:alpha val="40000"/>
                  </a:schemeClr>
                </a:outerShdw>
              </a:effectLst>
            </a:rPr>
          </a:br>
          <a:r>
            <a:rPr lang="ar-IQ" sz="2800" b="0" cap="none" spc="0" baseline="0">
              <a:ln w="0"/>
              <a:solidFill>
                <a:schemeClr val="tx1"/>
              </a:solidFill>
              <a:effectLst>
                <a:outerShdw blurRad="38100" dist="19050" dir="2700000" algn="tl" rotWithShape="0">
                  <a:schemeClr val="dk1">
                    <a:alpha val="40000"/>
                  </a:schemeClr>
                </a:outerShdw>
              </a:effectLst>
            </a:rPr>
            <a:t>للشهر الاول والثاني والثالث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3</xdr:col>
      <xdr:colOff>252685</xdr:colOff>
      <xdr:row>0</xdr:row>
      <xdr:rowOff>1253490</xdr:rowOff>
    </xdr:to>
    <xdr:pic>
      <xdr:nvPicPr>
        <xdr:cNvPr id="3" name="صورة 3">
          <a:extLst>
            <a:ext uri="{FF2B5EF4-FFF2-40B4-BE49-F238E27FC236}">
              <a16:creationId xmlns:a16="http://schemas.microsoft.com/office/drawing/2014/main" id="{20BAE7BA-8656-434E-BBCA-FD9418B56F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4168"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4" name="صورة 5">
          <a:extLst>
            <a:ext uri="{FF2B5EF4-FFF2-40B4-BE49-F238E27FC236}">
              <a16:creationId xmlns:a16="http://schemas.microsoft.com/office/drawing/2014/main" id="{DAA39A87-DE4F-4028-B7D2-4C5E76CD967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854439" y="42292"/>
          <a:ext cx="1132446" cy="1180718"/>
        </a:xfrm>
        <a:prstGeom prst="rect">
          <a:avLst/>
        </a:prstGeom>
      </xdr:spPr>
    </xdr:pic>
    <xdr:clientData/>
  </xdr:twoCellAnchor>
  <xdr:oneCellAnchor>
    <xdr:from>
      <xdr:col>7</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CF9B454D-DAE1-4F26-94C9-19AA3873F6C0}"/>
            </a:ext>
          </a:extLst>
        </xdr:cNvPr>
        <xdr:cNvSpPr txBox="1"/>
      </xdr:nvSpPr>
      <xdr:spPr>
        <a:xfrm>
          <a:off x="10938782"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F95A7CE8-98D8-4F6A-80BC-7319A5F2CDC1}"/>
            </a:ext>
          </a:extLst>
        </xdr:cNvPr>
        <xdr:cNvSpPr/>
      </xdr:nvSpPr>
      <xdr:spPr>
        <a:xfrm>
          <a:off x="4168637" y="118110"/>
          <a:ext cx="9389165" cy="1021080"/>
        </a:xfrm>
        <a:prstGeom prst="roundRect">
          <a:avLst/>
        </a:prstGeom>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ar-IQ" sz="2800" b="0" cap="none" spc="0">
              <a:ln w="0"/>
              <a:solidFill>
                <a:schemeClr val="tx1"/>
              </a:solidFill>
              <a:effectLst>
                <a:outerShdw blurRad="38100" dist="19050" dir="2700000" algn="tl" rotWithShape="0">
                  <a:schemeClr val="dk1">
                    <a:alpha val="40000"/>
                  </a:schemeClr>
                </a:outerShdw>
              </a:effectLst>
            </a:rPr>
            <a:t>اعمال شعبة الصيانة المرفوعة</a:t>
          </a:r>
          <a:r>
            <a:rPr lang="ar-IQ" sz="2800" b="0" cap="none" spc="0" baseline="0">
              <a:ln w="0"/>
              <a:solidFill>
                <a:schemeClr val="tx1"/>
              </a:solidFill>
              <a:effectLst>
                <a:outerShdw blurRad="38100" dist="19050" dir="2700000" algn="tl" rotWithShape="0">
                  <a:schemeClr val="dk1">
                    <a:alpha val="40000"/>
                  </a:schemeClr>
                </a:outerShdw>
              </a:effectLst>
            </a:rPr>
            <a:t> من قسم التربية والمنجزة من قبل الشعبة مباشرة</a:t>
          </a:r>
          <a:br>
            <a:rPr lang="ar-IQ" sz="2800" b="0" cap="none" spc="0" baseline="0">
              <a:ln w="0"/>
              <a:solidFill>
                <a:schemeClr val="tx1"/>
              </a:solidFill>
              <a:effectLst>
                <a:outerShdw blurRad="38100" dist="19050" dir="2700000" algn="tl" rotWithShape="0">
                  <a:schemeClr val="dk1">
                    <a:alpha val="40000"/>
                  </a:schemeClr>
                </a:outerShdw>
              </a:effectLst>
            </a:rPr>
          </a:br>
          <a:r>
            <a:rPr lang="ar-IQ" sz="2800" b="0" cap="none" spc="0" baseline="0">
              <a:ln w="0"/>
              <a:solidFill>
                <a:schemeClr val="tx1"/>
              </a:solidFill>
              <a:effectLst>
                <a:outerShdw blurRad="38100" dist="19050" dir="2700000" algn="tl" rotWithShape="0">
                  <a:schemeClr val="dk1">
                    <a:alpha val="40000"/>
                  </a:schemeClr>
                </a:outerShdw>
              </a:effectLst>
            </a:rPr>
            <a:t>للشهر الاول والثاني والثالث سنة 2026</a:t>
          </a:r>
          <a:endParaRPr lang="en-US" sz="28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3</xdr:col>
      <xdr:colOff>252685</xdr:colOff>
      <xdr:row>0</xdr:row>
      <xdr:rowOff>1253490</xdr:rowOff>
    </xdr:to>
    <xdr:pic>
      <xdr:nvPicPr>
        <xdr:cNvPr id="3" name="صورة 3">
          <a:extLst>
            <a:ext uri="{FF2B5EF4-FFF2-40B4-BE49-F238E27FC236}">
              <a16:creationId xmlns:a16="http://schemas.microsoft.com/office/drawing/2014/main" id="{8CBE82F2-FF25-4A17-B28D-E9AD77C005E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9611"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4" name="صورة 5">
          <a:extLst>
            <a:ext uri="{FF2B5EF4-FFF2-40B4-BE49-F238E27FC236}">
              <a16:creationId xmlns:a16="http://schemas.microsoft.com/office/drawing/2014/main" id="{10F244B7-0D41-4EC0-9AF8-67A2964A9DC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25739" y="42292"/>
          <a:ext cx="1132446" cy="1180718"/>
        </a:xfrm>
        <a:prstGeom prst="rect">
          <a:avLst/>
        </a:prstGeom>
      </xdr:spPr>
    </xdr:pic>
    <xdr:clientData/>
  </xdr:twoCellAnchor>
  <xdr:oneCellAnchor>
    <xdr:from>
      <xdr:col>7</xdr:col>
      <xdr:colOff>1918607</xdr:colOff>
      <xdr:row>0</xdr:row>
      <xdr:rowOff>762000</xdr:rowOff>
    </xdr:from>
    <xdr:ext cx="184731" cy="254557"/>
    <xdr:sp macro="" textlink="">
      <xdr:nvSpPr>
        <xdr:cNvPr id="5" name="TextBox 4">
          <a:extLst>
            <a:ext uri="{FF2B5EF4-FFF2-40B4-BE49-F238E27FC236}">
              <a16:creationId xmlns:a16="http://schemas.microsoft.com/office/drawing/2014/main" id="{B17438BB-E52C-BF0E-7A50-DA12448502A7}"/>
            </a:ext>
          </a:extLst>
        </xdr:cNvPr>
        <xdr:cNvSpPr txBox="1"/>
      </xdr:nvSpPr>
      <xdr:spPr>
        <a:xfrm>
          <a:off x="10940143" y="762000"/>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B74D0505-E3BA-4FC9-BF25-6662A071F595}"/>
            </a:ext>
          </a:extLst>
        </xdr:cNvPr>
        <xdr:cNvSpPr/>
      </xdr:nvSpPr>
      <xdr:spPr>
        <a:xfrm>
          <a:off x="4168637" y="118110"/>
          <a:ext cx="9389165"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للشهر الحادي عشر والثاني عشر سنة 2025</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4</xdr:col>
      <xdr:colOff>239078</xdr:colOff>
      <xdr:row>0</xdr:row>
      <xdr:rowOff>1253490</xdr:rowOff>
    </xdr:to>
    <xdr:pic>
      <xdr:nvPicPr>
        <xdr:cNvPr id="3" name="صورة 3">
          <a:extLst>
            <a:ext uri="{FF2B5EF4-FFF2-40B4-BE49-F238E27FC236}">
              <a16:creationId xmlns:a16="http://schemas.microsoft.com/office/drawing/2014/main" id="{E843A8E5-2549-44DD-A9B3-7EAE37CB70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9611"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4" name="صورة 5">
          <a:extLst>
            <a:ext uri="{FF2B5EF4-FFF2-40B4-BE49-F238E27FC236}">
              <a16:creationId xmlns:a16="http://schemas.microsoft.com/office/drawing/2014/main" id="{1FF404C9-6F30-44C7-9C42-5D265DC0840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25739" y="42292"/>
          <a:ext cx="1132446" cy="118071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225287</xdr:colOff>
      <xdr:row>0</xdr:row>
      <xdr:rowOff>118110</xdr:rowOff>
    </xdr:from>
    <xdr:to>
      <xdr:col>8</xdr:col>
      <xdr:colOff>1232452</xdr:colOff>
      <xdr:row>0</xdr:row>
      <xdr:rowOff>1139190</xdr:rowOff>
    </xdr:to>
    <xdr:sp macro="" textlink="">
      <xdr:nvSpPr>
        <xdr:cNvPr id="2" name="مستطيل: زوايا مستديرة 1">
          <a:extLst>
            <a:ext uri="{FF2B5EF4-FFF2-40B4-BE49-F238E27FC236}">
              <a16:creationId xmlns:a16="http://schemas.microsoft.com/office/drawing/2014/main" id="{5487D914-CEF9-41AD-9971-B388215A2B1A}"/>
            </a:ext>
          </a:extLst>
        </xdr:cNvPr>
        <xdr:cNvSpPr/>
      </xdr:nvSpPr>
      <xdr:spPr>
        <a:xfrm>
          <a:off x="4168637" y="118110"/>
          <a:ext cx="9389165" cy="1021080"/>
        </a:xfrm>
        <a:prstGeom prst="roundRect">
          <a:avLst/>
        </a:prstGeom>
        <a:effectLst>
          <a:glow rad="139700">
            <a:schemeClr val="accent1">
              <a:satMod val="175000"/>
              <a:alpha val="40000"/>
            </a:schemeClr>
          </a:glow>
          <a:innerShdw blurRad="114300">
            <a:prstClr val="black"/>
          </a:innerShdw>
        </a:effectLst>
        <a:scene3d>
          <a:camera prst="orthographicFront"/>
          <a:lightRig rig="threePt" dir="t"/>
        </a:scene3d>
        <a:sp3d>
          <a:bevelT w="165100" prst="coolSlant"/>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ar-IQ" sz="1800" b="1" cap="none" spc="0">
              <a:ln w="0"/>
              <a:solidFill>
                <a:schemeClr val="bg1"/>
              </a:solidFill>
              <a:effectLst>
                <a:outerShdw blurRad="38100" dist="19050" dir="2700000" algn="tl" rotWithShape="0">
                  <a:schemeClr val="dk1">
                    <a:alpha val="40000"/>
                  </a:schemeClr>
                </a:outerShdw>
              </a:effectLst>
            </a:rPr>
            <a:t>اعمال شعبة الصيانة المرفوعة</a:t>
          </a:r>
          <a:r>
            <a:rPr lang="ar-IQ" sz="1800" b="1" cap="none" spc="0" baseline="0">
              <a:ln w="0"/>
              <a:solidFill>
                <a:schemeClr val="bg1"/>
              </a:solidFill>
              <a:effectLst>
                <a:outerShdw blurRad="38100" dist="19050" dir="2700000" algn="tl" rotWithShape="0">
                  <a:schemeClr val="dk1">
                    <a:alpha val="40000"/>
                  </a:schemeClr>
                </a:outerShdw>
              </a:effectLst>
            </a:rPr>
            <a:t> من قسم التربية والمنجزة من قبل الشعبة مباشرة</a:t>
          </a:r>
          <a:br>
            <a:rPr lang="ar-IQ" sz="1800" b="1" cap="none" spc="0" baseline="0">
              <a:ln w="0"/>
              <a:solidFill>
                <a:schemeClr val="bg1"/>
              </a:solidFill>
              <a:effectLst>
                <a:outerShdw blurRad="38100" dist="19050" dir="2700000" algn="tl" rotWithShape="0">
                  <a:schemeClr val="dk1">
                    <a:alpha val="40000"/>
                  </a:schemeClr>
                </a:outerShdw>
              </a:effectLst>
            </a:rPr>
          </a:br>
          <a:r>
            <a:rPr lang="ar-IQ" sz="1800" b="1" cap="none" spc="0" baseline="0">
              <a:ln w="0"/>
              <a:solidFill>
                <a:schemeClr val="bg1"/>
              </a:solidFill>
              <a:effectLst>
                <a:outerShdw blurRad="38100" dist="19050" dir="2700000" algn="tl" rotWithShape="0">
                  <a:schemeClr val="dk1">
                    <a:alpha val="40000"/>
                  </a:schemeClr>
                </a:outerShdw>
              </a:effectLst>
            </a:rPr>
            <a:t>للشهر الحادي عشر والثاني عشر سنة 2025</a:t>
          </a:r>
          <a:endParaRPr lang="en-US" sz="1800" b="1" cap="none" spc="0">
            <a:ln w="0"/>
            <a:solidFill>
              <a:schemeClr val="bg1"/>
            </a:solidFill>
            <a:effectLst>
              <a:outerShdw blurRad="38100" dist="19050" dir="2700000" algn="tl" rotWithShape="0">
                <a:schemeClr val="dk1">
                  <a:alpha val="40000"/>
                </a:schemeClr>
              </a:outerShdw>
            </a:effectLst>
          </a:endParaRPr>
        </a:p>
      </xdr:txBody>
    </xdr:sp>
    <xdr:clientData/>
  </xdr:twoCellAnchor>
  <xdr:twoCellAnchor editAs="oneCell">
    <xdr:from>
      <xdr:col>1</xdr:col>
      <xdr:colOff>1366917</xdr:colOff>
      <xdr:row>0</xdr:row>
      <xdr:rowOff>57150</xdr:rowOff>
    </xdr:from>
    <xdr:to>
      <xdr:col>4</xdr:col>
      <xdr:colOff>239078</xdr:colOff>
      <xdr:row>0</xdr:row>
      <xdr:rowOff>1253490</xdr:rowOff>
    </xdr:to>
    <xdr:pic>
      <xdr:nvPicPr>
        <xdr:cNvPr id="3" name="صورة 3">
          <a:extLst>
            <a:ext uri="{FF2B5EF4-FFF2-40B4-BE49-F238E27FC236}">
              <a16:creationId xmlns:a16="http://schemas.microsoft.com/office/drawing/2014/main" id="{D55B1334-B06A-43F0-ADE8-5C0F92B2C9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86042" y="57150"/>
          <a:ext cx="1329611" cy="1196340"/>
        </a:xfrm>
        <a:prstGeom prst="rect">
          <a:avLst/>
        </a:prstGeom>
      </xdr:spPr>
    </xdr:pic>
    <xdr:clientData/>
  </xdr:twoCellAnchor>
  <xdr:twoCellAnchor editAs="oneCell">
    <xdr:from>
      <xdr:col>10</xdr:col>
      <xdr:colOff>528714</xdr:colOff>
      <xdr:row>0</xdr:row>
      <xdr:rowOff>42292</xdr:rowOff>
    </xdr:from>
    <xdr:to>
      <xdr:col>11</xdr:col>
      <xdr:colOff>994410</xdr:colOff>
      <xdr:row>0</xdr:row>
      <xdr:rowOff>1223010</xdr:rowOff>
    </xdr:to>
    <xdr:pic>
      <xdr:nvPicPr>
        <xdr:cNvPr id="4" name="صورة 5">
          <a:extLst>
            <a:ext uri="{FF2B5EF4-FFF2-40B4-BE49-F238E27FC236}">
              <a16:creationId xmlns:a16="http://schemas.microsoft.com/office/drawing/2014/main" id="{FA310EDB-F599-4013-BA45-A0DE524D99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4825739" y="42292"/>
          <a:ext cx="1132446" cy="118071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C73ECD8-F94E-45AC-8EA5-EB3F8AB125EA}" name="المعملجي32611" displayName="المعملجي32611" ref="A2:N1556">
  <autoFilter ref="A2:N1556" xr:uid="{8C73ECD8-F94E-45AC-8EA5-EB3F8AB125EA}"/>
  <sortState xmlns:xlrd2="http://schemas.microsoft.com/office/spreadsheetml/2017/richdata2" ref="A3:N1556">
    <sortCondition ref="B2:B1556"/>
  </sortState>
  <tableColumns count="14">
    <tableColumn id="1" xr3:uid="{BA995CBF-D920-415F-B0CC-B5ECA8015BD2}" name="تسلسل" dataDxfId="141"/>
    <tableColumn id="14" xr3:uid="{464CF3D4-EAAD-4990-9E56-53AC33860351}" name="رقم الطلب" dataDxfId="140"/>
    <tableColumn id="13" xr3:uid="{35E608CF-4704-4A9F-9CA3-FBF22ECAA848}" name="وقت رفع الطلب" dataDxfId="139"/>
    <tableColumn id="2" xr3:uid="{5430B26A-0790-4C26-A551-18789A6CACCF}" name="المجمع" dataDxfId="138"/>
    <tableColumn id="3" xr3:uid="{4713C578-EC93-42BC-995C-2334CB2A8C36}" name=" مقدم الطلب " dataDxfId="137"/>
    <tableColumn id="4" xr3:uid="{ED3B10BF-73D3-4469-B9A2-665DD8503775}" name="القسم" dataDxfId="136"/>
    <tableColumn id="5" xr3:uid="{4CA2F771-BCBD-4C06-886A-D5F003923500}" name="الوحدة المكلفة" dataDxfId="135"/>
    <tableColumn id="6" xr3:uid="{F6FEBA01-9B7C-48E3-B5AE-2D552750DF22}" name="الحالة" dataDxfId="134"/>
    <tableColumn id="7" xr3:uid="{26326AB5-AF1C-4889-9206-AF5CF38184B0}" name="ملاحظات الشعبة" dataDxfId="133"/>
    <tableColumn id="8" xr3:uid="{B7801759-1DEA-4ED8-A095-A58089A0A8A4}" name="تاريخ الإنجاز" dataDxfId="132"/>
    <tableColumn id="9" xr3:uid="{B39DEABB-A5D9-4124-B9F0-0E7F0CAA1219}" name="البناية" dataDxfId="131"/>
    <tableColumn id="10" xr3:uid="{59D2B98D-62F3-4D5E-946B-94ED1CE989E7}" name="موقع الصيانة" dataDxfId="130"/>
    <tableColumn id="11" xr3:uid="{9E7E15E6-F787-4447-898D-04C7B3BA283F}" name="نوع العمل" dataDxfId="129"/>
    <tableColumn id="12" xr3:uid="{2FF0989E-B29D-4357-A676-A25DA3EEF354}" name="ملاحظات المدخل" dataDxfId="128"/>
  </tableColumns>
  <tableStyleInfo name="البيانات-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BFF0BF-4F44-4C80-B915-5BF19E764DD3}" name="المعملجي323" displayName="المعملجي323" ref="B2:N1002">
  <autoFilter ref="B2:N1002" xr:uid="{00000000-0009-0000-0100-000002000000}"/>
  <sortState xmlns:xlrd2="http://schemas.microsoft.com/office/spreadsheetml/2017/richdata2" ref="B3:N590">
    <sortCondition ref="J2:J590"/>
  </sortState>
  <tableColumns count="13">
    <tableColumn id="1" xr3:uid="{FCE99946-8E59-4F33-9C1D-C83B126084FC}" name="وقت رفع الطلب" dataDxfId="117"/>
    <tableColumn id="2" xr3:uid="{57F244D5-327D-46F1-B0AB-6D0FE1FAC429}" name="المجمع" dataDxfId="116">
      <calculatedColumnFormula>IFERROR(__xludf.DUMMYFUNCTION("""COMPUTED_VALUE"""),"الحر")</calculatedColumnFormula>
    </tableColumn>
    <tableColumn id="3" xr3:uid="{6D871BB4-BE5E-4F2B-A81B-6D910793FC1E}" name=" مقدم الطلب " dataDxfId="115"/>
    <tableColumn id="4" xr3:uid="{11BB59A6-CED2-4F1A-B383-940C661E3F58}" name="القسم" dataDxfId="114"/>
    <tableColumn id="5" xr3:uid="{E8B8043B-EC03-4002-9AD8-D565696809E3}" name="البناية" dataDxfId="113"/>
    <tableColumn id="6" xr3:uid="{F8B11AF7-F72C-41EF-A8CD-98D451086FA2}" name="موقع الصيانة" dataDxfId="112"/>
    <tableColumn id="7" xr3:uid="{8E44E2A7-1123-44C0-9D9C-18FB86F8DB53}" name="العمل" dataDxfId="111"/>
    <tableColumn id="8" xr3:uid="{425568E3-ACAB-4308-B559-61A4ECDE7058}" name="ملاحظات المدخل" dataDxfId="110"/>
    <tableColumn id="9" xr3:uid="{D6DB7CD5-2159-4FC6-825C-BA8BD5596B8C}" name="الوحدة " dataDxfId="109"/>
    <tableColumn id="10" xr3:uid="{B9FD8892-E652-4009-B4A6-1765D56B4411}" name="حالة العمل" dataDxfId="108"/>
    <tableColumn id="11" xr3:uid="{60D6EDB1-4DCD-4F83-B221-3818B8DEA93E}" name="وقت الانجاز" dataDxfId="107"/>
    <tableColumn id="12" xr3:uid="{3F160CE9-0F61-430E-B09E-6D41EC2117DF}" name="ملاحظات الشعبة" dataDxfId="106"/>
    <tableColumn id="13" xr3:uid="{DE841403-D8C6-4590-8C34-C826FAD7AB4D}" name="الإرسال اليدوي" dataDxfId="105"/>
  </tableColumns>
  <tableStyleInfo name="البيانات-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D0B193-B196-4C67-8229-D12BF054859A}" name="المعملجي327" displayName="المعملجي327" ref="B2:N1002">
  <autoFilter ref="B2:N1002" xr:uid="{00000000-0009-0000-0100-000002000000}"/>
  <sortState xmlns:xlrd2="http://schemas.microsoft.com/office/spreadsheetml/2017/richdata2" ref="B3:N590">
    <sortCondition ref="J2:J590"/>
  </sortState>
  <tableColumns count="13">
    <tableColumn id="1" xr3:uid="{20F73E04-0BAF-4AFC-A5BD-AD4864B410ED}" name="وقت رفع الطلب" dataDxfId="97"/>
    <tableColumn id="2" xr3:uid="{5C56B6D6-D3E0-47DB-8068-3003069298E0}" name="المجمع" dataDxfId="96">
      <calculatedColumnFormula>IFERROR(__xludf.DUMMYFUNCTION("""COMPUTED_VALUE"""),"المعملجي")</calculatedColumnFormula>
    </tableColumn>
    <tableColumn id="3" xr3:uid="{D0970053-355D-42CE-A6F2-DB7F8DAA48DC}" name=" مقدم الطلب " dataDxfId="95"/>
    <tableColumn id="4" xr3:uid="{E0A1D0F6-3BC1-4BDB-9929-5A7FAFA167EB}" name="القسم" dataDxfId="94"/>
    <tableColumn id="5" xr3:uid="{08E812A7-A041-47A0-B2EC-D90020DEA508}" name="البناية" dataDxfId="93"/>
    <tableColumn id="6" xr3:uid="{D48B2478-DD0A-4F26-B8BB-5D1796337CE2}" name="موقع الصيانة" dataDxfId="92"/>
    <tableColumn id="7" xr3:uid="{F20485EC-9C9D-486A-A62C-4A33F37AC35D}" name="العمل" dataDxfId="91"/>
    <tableColumn id="8" xr3:uid="{DA9BA05F-4463-43EA-9838-A96727F8EE6D}" name="ملاحظات المدخل" dataDxfId="90"/>
    <tableColumn id="9" xr3:uid="{F788236D-D751-4B99-9B7F-3004D70871CC}" name="الوحدة " dataDxfId="89"/>
    <tableColumn id="10" xr3:uid="{CBE9895D-F42F-461E-BC1F-93213858D1CF}" name="حالة العمل" dataDxfId="88"/>
    <tableColumn id="11" xr3:uid="{4D9EE6AF-260E-4CD0-9325-C8FDFAD0C34B}" name="وقت الانجاز" dataDxfId="87"/>
    <tableColumn id="12" xr3:uid="{5BC6981C-6F8C-41CD-A6C6-38409960F8A7}" name="ملاحظات الشعبة" dataDxfId="86"/>
    <tableColumn id="13" xr3:uid="{005A87DF-44FB-482C-AEAA-EB023ABE8806}" name="الإرسال اليدوي" dataDxfId="85"/>
  </tableColumns>
  <tableStyleInfo name="البيانات-style"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D062EA4-72AA-43E1-8CA0-80A486FB440A}" name="المعملجي326" displayName="المعملجي326" ref="B2:N1002">
  <autoFilter ref="B2:N1002" xr:uid="{00000000-0009-0000-0100-000002000000}"/>
  <sortState xmlns:xlrd2="http://schemas.microsoft.com/office/spreadsheetml/2017/richdata2" ref="B3:N590">
    <sortCondition ref="J2:J590"/>
  </sortState>
  <tableColumns count="13">
    <tableColumn id="1" xr3:uid="{36F9A3B1-BB0E-4983-8868-CD23B340D786}" name="وقت رفع الطلب" dataDxfId="79"/>
    <tableColumn id="2" xr3:uid="{71D5EC80-D62B-46BB-A21F-EF59675207F9}" name="المجمع" dataDxfId="78"/>
    <tableColumn id="3" xr3:uid="{8C140B23-0A21-4DBF-957F-97CBFB6708E6}" name=" مقدم الطلب " dataDxfId="77"/>
    <tableColumn id="4" xr3:uid="{186B769B-7362-4F43-BB94-CC785C30F66E}" name="القسم" dataDxfId="76"/>
    <tableColumn id="5" xr3:uid="{0FE00586-5B73-4368-B218-78F03B861431}" name="البناية" dataDxfId="75"/>
    <tableColumn id="6" xr3:uid="{BE8FE52D-AC05-4CFD-BC5E-565D64AE4F90}" name="موقع الصيانة" dataDxfId="74"/>
    <tableColumn id="7" xr3:uid="{CF3EF16F-7307-4C65-9582-F4AC043DB17E}" name="العمل" dataDxfId="73"/>
    <tableColumn id="8" xr3:uid="{58C4B1F2-80B0-43A6-A9A2-225B1415CDC0}" name="ملاحظات المدخل" dataDxfId="72"/>
    <tableColumn id="9" xr3:uid="{7F6EE927-BAA0-4DD8-BCE9-5F108BFD00F0}" name="الوحدة " dataDxfId="71"/>
    <tableColumn id="10" xr3:uid="{76E49D31-D682-4081-897C-29F2F5E8FEC4}" name="حالة العمل" dataDxfId="70"/>
    <tableColumn id="11" xr3:uid="{317EBD90-D04C-4352-B681-07CAC4EA7E32}" name="وقت الانجاز" dataDxfId="69"/>
    <tableColumn id="12" xr3:uid="{42D517AE-73B2-4E06-B55F-E66A76909D38}" name="ملاحظات الشعبة" dataDxfId="68"/>
    <tableColumn id="13" xr3:uid="{BEF0D536-B91D-4B60-BC0D-17D7EEFDE5E0}" name="الإرسال اليدوي"/>
  </tableColumns>
  <tableStyleInfo name="البيانات-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D3BB84F-DDA5-49DD-9180-C18D06845DEB}" name="المعملجي32" displayName="المعملجي32" ref="B2:N1002">
  <autoFilter ref="B2:N1002" xr:uid="{00000000-0009-0000-0100-000002000000}"/>
  <sortState xmlns:xlrd2="http://schemas.microsoft.com/office/spreadsheetml/2017/richdata2" ref="B3:N590">
    <sortCondition ref="J2:J590"/>
  </sortState>
  <tableColumns count="13">
    <tableColumn id="1" xr3:uid="{B53ED002-FEBF-40EC-9E61-02FB7E38DDDC}" name="وقت رفع الطلب" dataDxfId="62"/>
    <tableColumn id="2" xr3:uid="{B7C2CB03-3AFB-4B34-89A2-60513720A819}" name="المجمع" dataDxfId="61"/>
    <tableColumn id="3" xr3:uid="{1DE4DA3A-B7C7-4AE6-97D5-6DB7E0BB5F35}" name=" مقدم الطلب " dataDxfId="60"/>
    <tableColumn id="4" xr3:uid="{545D32F3-F3B8-4900-89D3-8E69C529891E}" name="القسم" dataDxfId="59"/>
    <tableColumn id="5" xr3:uid="{7CF8D50C-5245-447C-8E95-62679767305C}" name="البناية" dataDxfId="58"/>
    <tableColumn id="6" xr3:uid="{878AF21D-8F2F-4B7E-8178-32A156A4B186}" name="موقع الصيانة" dataDxfId="57"/>
    <tableColumn id="7" xr3:uid="{897AE583-0149-41BB-BF2E-CDF1183D6CF3}" name="العمل" dataDxfId="56"/>
    <tableColumn id="8" xr3:uid="{CEA34FC1-9C73-4F84-B10E-EBA2A3A4677E}" name="ملاحظات المدخل" dataDxfId="55"/>
    <tableColumn id="9" xr3:uid="{C8944696-371E-4556-87DA-5CE6CB9AED78}" name="الوحدة " dataDxfId="54"/>
    <tableColumn id="10" xr3:uid="{DE0C3C35-4C47-4626-B374-C589D906C0AA}" name="حالة العمل" dataDxfId="53"/>
    <tableColumn id="11" xr3:uid="{D2B5A1BC-0159-4C86-B3FC-B09D1A723E85}" name="وقت الانجاز" dataDxfId="52"/>
    <tableColumn id="12" xr3:uid="{8A889718-8CD4-4ADF-8A6B-2C3BB66656E7}" name="ملاحظات الشعبة" dataDxfId="51"/>
    <tableColumn id="13" xr3:uid="{A59B350B-9743-4797-85F6-405E46F926D8}" name="الإرسال اليدوي" dataDxfId="50"/>
  </tableColumns>
  <tableStyleInfo name="البيانات-style"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DE01A65-601D-4FAA-86AF-74EC573A5F6A}" name="المعملجي324" displayName="المعملجي324" ref="B2:N1002">
  <autoFilter ref="B2:N1002" xr:uid="{00000000-0009-0000-0100-000002000000}"/>
  <sortState xmlns:xlrd2="http://schemas.microsoft.com/office/spreadsheetml/2017/richdata2" ref="B3:N590">
    <sortCondition ref="J2:J590"/>
  </sortState>
  <tableColumns count="13">
    <tableColumn id="1" xr3:uid="{47C8C780-DFF9-46BC-BE6C-594424F3DA13}" name="وقت رفع الطلب"/>
    <tableColumn id="2" xr3:uid="{CF1729B4-F0EE-487C-9DF0-5FB0EFB8AA71}" name="المجمع"/>
    <tableColumn id="3" xr3:uid="{721C2DBE-F419-4850-9346-F2CAD2093410}" name=" مقدم الطلب " dataDxfId="44"/>
    <tableColumn id="4" xr3:uid="{243B5B6D-EA63-4B4C-BC7F-2295C6A085A6}" name="القسم" dataDxfId="43"/>
    <tableColumn id="5" xr3:uid="{BA8DA519-3B04-4AB4-940E-1F318490D76C}" name="البناية" dataDxfId="42"/>
    <tableColumn id="6" xr3:uid="{3C4A6E48-5B40-4324-ACCF-9BE3CF20B2FA}" name="موقع الصيانة" dataDxfId="41"/>
    <tableColumn id="7" xr3:uid="{F6668A61-755C-4FC7-BFD0-9F4B6EE8C4AD}" name="العمل" dataDxfId="40"/>
    <tableColumn id="8" xr3:uid="{441E86AD-90A2-421A-8F38-AA92C34F73A6}" name="ملاحظات المدخل" dataDxfId="39"/>
    <tableColumn id="9" xr3:uid="{EB7095BF-83E6-4216-A4E9-AFBB72BB9EC1}" name="الوحدة " dataDxfId="38"/>
    <tableColumn id="10" xr3:uid="{9477B792-C066-4430-AA93-56E5E86B6FFA}" name="حالة العمل" dataDxfId="37"/>
    <tableColumn id="11" xr3:uid="{2F8261C9-6311-4EF5-8C3B-BAE95B7C3F05}" name="وقت الانجاز" dataDxfId="36"/>
    <tableColumn id="12" xr3:uid="{1C5B9011-66F2-4270-B593-EB339D97CE37}" name="ملاحظات الشعبة" dataDxfId="35"/>
    <tableColumn id="13" xr3:uid="{4C38D426-D3E2-44D9-BD45-7FD80AFB6A53}" name="الإرسال اليدوي"/>
  </tableColumns>
  <tableStyleInfo name="البيانات-style"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11AFB9-DA56-4B20-998F-B886A8F26BAE}" name="المعملجي3245" displayName="المعملجي3245" ref="B2:N1002">
  <autoFilter ref="B2:N1002" xr:uid="{00000000-0009-0000-0100-000002000000}"/>
  <sortState xmlns:xlrd2="http://schemas.microsoft.com/office/spreadsheetml/2017/richdata2" ref="B3:N590">
    <sortCondition ref="J2:J590"/>
  </sortState>
  <tableColumns count="13">
    <tableColumn id="1" xr3:uid="{748F9435-CD20-493A-B1E9-6768B71207E8}" name="وقت رفع الطلب"/>
    <tableColumn id="2" xr3:uid="{BDF5F3D5-AE8A-4FD4-B513-3F59A0CEDD0C}" name="المجمع"/>
    <tableColumn id="3" xr3:uid="{3641A6DC-AE8D-4854-9283-CC1449C2ABFC}" name=" مقدم الطلب " dataDxfId="29"/>
    <tableColumn id="4" xr3:uid="{49ADF54D-B1B9-4577-BC74-814FAF221FC1}" name="القسم" dataDxfId="28"/>
    <tableColumn id="5" xr3:uid="{E2428610-C49D-40E3-9B1B-04F5EB1D3CF7}" name="البناية" dataDxfId="27"/>
    <tableColumn id="6" xr3:uid="{F8A52581-9FF7-40F1-943A-FEE606DDC458}" name="موقع الصيانة" dataDxfId="26"/>
    <tableColumn id="7" xr3:uid="{3B4B1DAA-723A-4B8C-AA74-7868A0049F3B}" name="العمل" dataDxfId="25"/>
    <tableColumn id="8" xr3:uid="{9B194F41-E7B5-44E3-B9F9-B812A2230030}" name="ملاحظات المدخل" dataDxfId="24"/>
    <tableColumn id="9" xr3:uid="{37248A27-717A-4B24-976B-D846E215F2F8}" name="الوحدة " dataDxfId="23"/>
    <tableColumn id="10" xr3:uid="{6E730909-D336-4E4E-9DE9-A6278BC117E4}" name="حالة العمل" dataDxfId="22"/>
    <tableColumn id="11" xr3:uid="{F8FC9003-DA63-4015-A98E-09A4C523D0D5}" name="وقت الانجاز" dataDxfId="21"/>
    <tableColumn id="12" xr3:uid="{3A57150A-DD02-4829-94FD-4DF9C78291D8}" name="ملاحظات الشعبة" dataDxfId="20"/>
    <tableColumn id="13" xr3:uid="{E42F217E-BC0E-452E-93A5-34A75756D154}" name="الإرسال اليدوي"/>
  </tableColumns>
  <tableStyleInfo name="البيانات-style"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جدول_1" displayName="جدول_1" ref="A1:I999">
  <tableColumns count="9">
    <tableColumn id="1" xr3:uid="{00000000-0010-0000-0300-000001000000}" name="الاسم"/>
    <tableColumn id="2" xr3:uid="{00000000-0010-0000-0300-000002000000}" name="الإيميل"/>
    <tableColumn id="3" xr3:uid="{00000000-0010-0000-0300-000003000000}" name="النوع"/>
    <tableColumn id="4" xr3:uid="{00000000-0010-0000-0300-000004000000}" name="الحالة"/>
    <tableColumn id="5" xr3:uid="{00000000-0010-0000-0300-000005000000}" name="ملاحظات"/>
    <tableColumn id="6" xr3:uid="{00000000-0010-0000-0300-000006000000}" name="رقم واتساب"/>
    <tableColumn id="7" xr3:uid="{00000000-0010-0000-0300-000007000000}" name="الوحدة"/>
    <tableColumn id="8" xr3:uid="{00000000-0010-0000-0300-000008000000}" name="telegram"/>
    <tableColumn id="9" xr3:uid="{00000000-0010-0000-0300-000009000000}" name="نطاق اسماء الوحدات"/>
  </tableColumns>
  <tableStyleInfo name="الإعدادات-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school.maintenance.division@gmail.com" TargetMode="External"/><Relationship Id="rId2" Type="http://schemas.openxmlformats.org/officeDocument/2006/relationships/hyperlink" Target="mailto:school.maintenance.division@gmail.com" TargetMode="External"/><Relationship Id="rId1" Type="http://schemas.openxmlformats.org/officeDocument/2006/relationships/hyperlink" Target="mailto:fhjuj02@gmail.com" TargetMode="External"/><Relationship Id="rId6" Type="http://schemas.openxmlformats.org/officeDocument/2006/relationships/table" Target="../tables/table8.xml"/><Relationship Id="rId5" Type="http://schemas.openxmlformats.org/officeDocument/2006/relationships/hyperlink" Target="mailto:fhjuj02@gmail.com" TargetMode="External"/><Relationship Id="rId4" Type="http://schemas.openxmlformats.org/officeDocument/2006/relationships/hyperlink" Target="mailto:fhjuj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ADFB3-6F10-4478-A0B4-AA5E0212B8C4}">
  <sheetPr>
    <tabColor rgb="FF2ECC71"/>
    <outlinePr summaryBelow="0" summaryRight="0"/>
    <pageSetUpPr fitToPage="1"/>
  </sheetPr>
  <dimension ref="A1:N2028"/>
  <sheetViews>
    <sheetView showGridLines="0" tabSelected="1" zoomScale="70" zoomScaleNormal="70" workbookViewId="0">
      <pane ySplit="2" topLeftCell="A3" activePane="bottomLeft" state="frozen"/>
      <selection pane="bottomLeft" activeCell="P1" sqref="P1"/>
    </sheetView>
  </sheetViews>
  <sheetFormatPr defaultColWidth="12.5546875" defaultRowHeight="75" customHeight="1"/>
  <cols>
    <col min="1" max="1" width="12.33203125" style="25" bestFit="1" customWidth="1"/>
    <col min="2" max="2" width="14.44140625" bestFit="1" customWidth="1"/>
    <col min="3" max="3" width="19.109375" bestFit="1" customWidth="1"/>
    <col min="4" max="4" width="13.109375" bestFit="1" customWidth="1"/>
    <col min="5" max="5" width="17.44140625" style="25" bestFit="1" customWidth="1"/>
    <col min="6" max="6" width="17.6640625" style="25" bestFit="1" customWidth="1"/>
    <col min="7" max="7" width="18.6640625" style="25" bestFit="1" customWidth="1"/>
    <col min="8" max="8" width="11.33203125" style="59" bestFit="1" customWidth="1"/>
    <col min="9" max="9" width="19.109375" style="25" bestFit="1" customWidth="1"/>
    <col min="10" max="10" width="16.77734375" style="25" bestFit="1" customWidth="1"/>
    <col min="11" max="11" width="25.88671875" style="25" bestFit="1" customWidth="1"/>
    <col min="12" max="12" width="30.5546875" style="25" customWidth="1"/>
    <col min="13" max="13" width="18.88671875" style="28" customWidth="1"/>
    <col min="14" max="14" width="19.109375" customWidth="1"/>
  </cols>
  <sheetData>
    <row r="1" spans="1:14" ht="99.9" customHeight="1" thickBot="1">
      <c r="A1" s="65"/>
      <c r="B1" s="65"/>
      <c r="C1" s="65"/>
      <c r="D1" s="65"/>
      <c r="E1" s="65"/>
      <c r="F1" s="65"/>
      <c r="G1" s="65"/>
      <c r="H1" s="65"/>
      <c r="I1" s="65"/>
      <c r="J1" s="65"/>
      <c r="K1" s="65"/>
      <c r="L1" s="65"/>
      <c r="M1" s="65"/>
      <c r="N1" s="65"/>
    </row>
    <row r="2" spans="1:14" ht="50.1" customHeight="1" thickTop="1" thickBot="1">
      <c r="A2" s="66" t="s">
        <v>3916</v>
      </c>
      <c r="B2" s="66" t="s">
        <v>3917</v>
      </c>
      <c r="C2" s="66" t="s">
        <v>0</v>
      </c>
      <c r="D2" s="66" t="s">
        <v>1</v>
      </c>
      <c r="E2" s="66" t="s">
        <v>2</v>
      </c>
      <c r="F2" s="66" t="s">
        <v>3</v>
      </c>
      <c r="G2" s="66" t="s">
        <v>3918</v>
      </c>
      <c r="H2" s="66" t="s">
        <v>65</v>
      </c>
      <c r="I2" s="66" t="s">
        <v>10</v>
      </c>
      <c r="J2" s="66" t="s">
        <v>3919</v>
      </c>
      <c r="K2" s="66" t="s">
        <v>4</v>
      </c>
      <c r="L2" s="66" t="s">
        <v>18</v>
      </c>
      <c r="M2" s="66" t="s">
        <v>3920</v>
      </c>
      <c r="N2" s="66" t="s">
        <v>6</v>
      </c>
    </row>
    <row r="3" spans="1:14" ht="75" customHeight="1" thickTop="1" thickBot="1">
      <c r="A3" s="34">
        <v>1</v>
      </c>
      <c r="B3" s="34">
        <v>2</v>
      </c>
      <c r="C3" s="53" t="s">
        <v>6432</v>
      </c>
      <c r="D3" s="54" t="s">
        <v>26</v>
      </c>
      <c r="E3" s="54" t="s">
        <v>27</v>
      </c>
      <c r="F3" s="34" t="s">
        <v>3995</v>
      </c>
      <c r="G3" s="34" t="s">
        <v>16</v>
      </c>
      <c r="H3" s="34" t="s">
        <v>13</v>
      </c>
      <c r="I3" s="34" t="s">
        <v>3924</v>
      </c>
      <c r="J3" s="34" t="s">
        <v>6433</v>
      </c>
      <c r="K3" s="34" t="s">
        <v>6434</v>
      </c>
      <c r="L3" s="34" t="s">
        <v>6435</v>
      </c>
      <c r="M3" s="53" t="s">
        <v>6436</v>
      </c>
      <c r="N3" s="34" t="s">
        <v>3924</v>
      </c>
    </row>
    <row r="4" spans="1:14" ht="75" customHeight="1" thickTop="1" thickBot="1">
      <c r="A4" s="26">
        <v>2</v>
      </c>
      <c r="B4" s="26">
        <v>3</v>
      </c>
      <c r="C4" s="55" t="s">
        <v>6437</v>
      </c>
      <c r="D4" s="56" t="s">
        <v>26</v>
      </c>
      <c r="E4" s="56" t="s">
        <v>6438</v>
      </c>
      <c r="F4" s="26" t="s">
        <v>3995</v>
      </c>
      <c r="G4" s="26" t="s">
        <v>1419</v>
      </c>
      <c r="H4" s="26" t="s">
        <v>13</v>
      </c>
      <c r="I4" s="26" t="s">
        <v>3924</v>
      </c>
      <c r="J4" s="26" t="s">
        <v>6439</v>
      </c>
      <c r="K4" s="26" t="s">
        <v>6440</v>
      </c>
      <c r="L4" s="26" t="s">
        <v>6435</v>
      </c>
      <c r="M4" s="55" t="s">
        <v>6441</v>
      </c>
      <c r="N4" s="26" t="s">
        <v>3924</v>
      </c>
    </row>
    <row r="5" spans="1:14" ht="75" customHeight="1" thickTop="1" thickBot="1">
      <c r="A5" s="34">
        <v>3</v>
      </c>
      <c r="B5" s="34">
        <v>4</v>
      </c>
      <c r="C5" s="55" t="s">
        <v>6442</v>
      </c>
      <c r="D5" s="56" t="s">
        <v>26</v>
      </c>
      <c r="E5" s="56" t="s">
        <v>6443</v>
      </c>
      <c r="F5" s="26" t="s">
        <v>3995</v>
      </c>
      <c r="G5" s="26" t="s">
        <v>1419</v>
      </c>
      <c r="H5" s="26" t="s">
        <v>13</v>
      </c>
      <c r="I5" s="26" t="s">
        <v>3924</v>
      </c>
      <c r="J5" s="26" t="s">
        <v>6444</v>
      </c>
      <c r="K5" s="26" t="s">
        <v>6445</v>
      </c>
      <c r="L5" s="26" t="s">
        <v>3927</v>
      </c>
      <c r="M5" s="55" t="s">
        <v>6446</v>
      </c>
      <c r="N5" s="26" t="s">
        <v>4155</v>
      </c>
    </row>
    <row r="6" spans="1:14" ht="75" customHeight="1" thickTop="1" thickBot="1">
      <c r="A6" s="26">
        <v>4</v>
      </c>
      <c r="B6" s="26">
        <v>5</v>
      </c>
      <c r="C6" s="55" t="s">
        <v>6447</v>
      </c>
      <c r="D6" s="56" t="s">
        <v>26</v>
      </c>
      <c r="E6" s="56" t="s">
        <v>6448</v>
      </c>
      <c r="F6" s="26" t="s">
        <v>3923</v>
      </c>
      <c r="G6" s="26" t="s">
        <v>12</v>
      </c>
      <c r="H6" s="26" t="s">
        <v>13</v>
      </c>
      <c r="I6" s="26" t="s">
        <v>3924</v>
      </c>
      <c r="J6" s="26" t="s">
        <v>6449</v>
      </c>
      <c r="K6" s="26" t="s">
        <v>6450</v>
      </c>
      <c r="L6" s="26" t="s">
        <v>6451</v>
      </c>
      <c r="M6" s="55" t="s">
        <v>6452</v>
      </c>
      <c r="N6" s="26" t="s">
        <v>3924</v>
      </c>
    </row>
    <row r="7" spans="1:14" ht="75" customHeight="1" thickTop="1" thickBot="1">
      <c r="A7" s="34">
        <v>5</v>
      </c>
      <c r="B7" s="34">
        <v>6</v>
      </c>
      <c r="C7" s="55" t="s">
        <v>6453</v>
      </c>
      <c r="D7" s="56" t="s">
        <v>26</v>
      </c>
      <c r="E7" s="56" t="s">
        <v>27</v>
      </c>
      <c r="F7" s="26" t="s">
        <v>3995</v>
      </c>
      <c r="G7" s="26" t="s">
        <v>16</v>
      </c>
      <c r="H7" s="26" t="s">
        <v>13</v>
      </c>
      <c r="I7" s="26" t="s">
        <v>3924</v>
      </c>
      <c r="J7" s="26" t="s">
        <v>6454</v>
      </c>
      <c r="K7" s="68" t="s">
        <v>6434</v>
      </c>
      <c r="L7" s="26" t="s">
        <v>6455</v>
      </c>
      <c r="M7" s="55" t="s">
        <v>6456</v>
      </c>
      <c r="N7" s="26" t="s">
        <v>6457</v>
      </c>
    </row>
    <row r="8" spans="1:14" ht="75" customHeight="1" thickTop="1" thickBot="1">
      <c r="A8" s="26">
        <v>6</v>
      </c>
      <c r="B8" s="26">
        <v>7</v>
      </c>
      <c r="C8" s="55" t="s">
        <v>6449</v>
      </c>
      <c r="D8" s="56" t="s">
        <v>26</v>
      </c>
      <c r="E8" s="56" t="s">
        <v>27</v>
      </c>
      <c r="F8" s="26" t="s">
        <v>3995</v>
      </c>
      <c r="G8" s="26" t="s">
        <v>16</v>
      </c>
      <c r="H8" s="26" t="s">
        <v>13</v>
      </c>
      <c r="I8" s="26" t="s">
        <v>3924</v>
      </c>
      <c r="J8" s="26" t="s">
        <v>6458</v>
      </c>
      <c r="K8" s="26" t="s">
        <v>6434</v>
      </c>
      <c r="L8" s="26" t="s">
        <v>6455</v>
      </c>
      <c r="M8" s="55" t="s">
        <v>5442</v>
      </c>
      <c r="N8" s="26" t="s">
        <v>6459</v>
      </c>
    </row>
    <row r="9" spans="1:14" ht="75" customHeight="1" thickTop="1" thickBot="1">
      <c r="A9" s="34">
        <v>7</v>
      </c>
      <c r="B9" s="34">
        <v>8</v>
      </c>
      <c r="C9" s="55" t="s">
        <v>6460</v>
      </c>
      <c r="D9" s="56" t="s">
        <v>26</v>
      </c>
      <c r="E9" s="56" t="s">
        <v>6461</v>
      </c>
      <c r="F9" s="26" t="s">
        <v>3923</v>
      </c>
      <c r="G9" s="26" t="s">
        <v>74</v>
      </c>
      <c r="H9" s="26" t="s">
        <v>13</v>
      </c>
      <c r="I9" s="26" t="s">
        <v>3924</v>
      </c>
      <c r="J9" s="26" t="s">
        <v>6462</v>
      </c>
      <c r="K9" s="26" t="s">
        <v>6463</v>
      </c>
      <c r="L9" s="26" t="s">
        <v>6463</v>
      </c>
      <c r="M9" s="55" t="s">
        <v>6464</v>
      </c>
      <c r="N9" s="26" t="s">
        <v>3924</v>
      </c>
    </row>
    <row r="10" spans="1:14" ht="75" customHeight="1" thickTop="1" thickBot="1">
      <c r="A10" s="26">
        <v>8</v>
      </c>
      <c r="B10" s="26">
        <v>9</v>
      </c>
      <c r="C10" s="55" t="s">
        <v>6465</v>
      </c>
      <c r="D10" s="56" t="s">
        <v>26</v>
      </c>
      <c r="E10" s="56" t="s">
        <v>6461</v>
      </c>
      <c r="F10" s="26" t="s">
        <v>3923</v>
      </c>
      <c r="G10" s="26" t="s">
        <v>74</v>
      </c>
      <c r="H10" s="26" t="s">
        <v>13</v>
      </c>
      <c r="I10" s="26" t="s">
        <v>3924</v>
      </c>
      <c r="J10" s="26" t="s">
        <v>6466</v>
      </c>
      <c r="K10" s="26" t="s">
        <v>1502</v>
      </c>
      <c r="L10" s="26" t="s">
        <v>1502</v>
      </c>
      <c r="M10" s="55" t="s">
        <v>6467</v>
      </c>
      <c r="N10" s="26" t="s">
        <v>3924</v>
      </c>
    </row>
    <row r="11" spans="1:14" ht="75" customHeight="1" thickTop="1" thickBot="1">
      <c r="A11" s="34">
        <v>9</v>
      </c>
      <c r="B11" s="34">
        <v>10</v>
      </c>
      <c r="C11" s="55" t="s">
        <v>6468</v>
      </c>
      <c r="D11" s="56" t="s">
        <v>26</v>
      </c>
      <c r="E11" s="56" t="s">
        <v>6448</v>
      </c>
      <c r="F11" s="26" t="s">
        <v>3923</v>
      </c>
      <c r="G11" s="26" t="s">
        <v>12</v>
      </c>
      <c r="H11" s="26" t="s">
        <v>13</v>
      </c>
      <c r="I11" s="26" t="s">
        <v>3924</v>
      </c>
      <c r="J11" s="26" t="s">
        <v>6468</v>
      </c>
      <c r="K11" s="26" t="s">
        <v>6445</v>
      </c>
      <c r="L11" s="26" t="s">
        <v>6469</v>
      </c>
      <c r="M11" s="55" t="s">
        <v>6470</v>
      </c>
      <c r="N11" s="26" t="s">
        <v>3924</v>
      </c>
    </row>
    <row r="12" spans="1:14" ht="75" customHeight="1" thickTop="1" thickBot="1">
      <c r="A12" s="26">
        <v>10</v>
      </c>
      <c r="B12" s="26">
        <v>11</v>
      </c>
      <c r="C12" s="55" t="s">
        <v>6471</v>
      </c>
      <c r="D12" s="56" t="s">
        <v>26</v>
      </c>
      <c r="E12" s="56" t="s">
        <v>6448</v>
      </c>
      <c r="F12" s="26" t="s">
        <v>3923</v>
      </c>
      <c r="G12" s="26" t="s">
        <v>12</v>
      </c>
      <c r="H12" s="26" t="s">
        <v>13</v>
      </c>
      <c r="I12" s="26" t="s">
        <v>3924</v>
      </c>
      <c r="J12" s="26" t="s">
        <v>6472</v>
      </c>
      <c r="K12" s="26" t="s">
        <v>6434</v>
      </c>
      <c r="L12" s="26" t="s">
        <v>6473</v>
      </c>
      <c r="M12" s="55" t="s">
        <v>6474</v>
      </c>
      <c r="N12" s="26" t="s">
        <v>3924</v>
      </c>
    </row>
    <row r="13" spans="1:14" ht="75" customHeight="1" thickTop="1" thickBot="1">
      <c r="A13" s="34">
        <v>11</v>
      </c>
      <c r="B13" s="34">
        <v>12</v>
      </c>
      <c r="C13" s="55" t="s">
        <v>6475</v>
      </c>
      <c r="D13" s="56" t="s">
        <v>26</v>
      </c>
      <c r="E13" s="56" t="s">
        <v>6448</v>
      </c>
      <c r="F13" s="26" t="s">
        <v>3923</v>
      </c>
      <c r="G13" s="26" t="s">
        <v>12</v>
      </c>
      <c r="H13" s="26" t="s">
        <v>13</v>
      </c>
      <c r="I13" s="26" t="s">
        <v>3924</v>
      </c>
      <c r="J13" s="26" t="s">
        <v>6475</v>
      </c>
      <c r="K13" s="26" t="s">
        <v>6476</v>
      </c>
      <c r="L13" s="26" t="s">
        <v>3927</v>
      </c>
      <c r="M13" s="55" t="s">
        <v>6477</v>
      </c>
      <c r="N13" s="26" t="s">
        <v>6478</v>
      </c>
    </row>
    <row r="14" spans="1:14" ht="75" customHeight="1" thickTop="1" thickBot="1">
      <c r="A14" s="26">
        <v>12</v>
      </c>
      <c r="B14" s="26">
        <v>13</v>
      </c>
      <c r="C14" s="55" t="s">
        <v>6479</v>
      </c>
      <c r="D14" s="56" t="s">
        <v>26</v>
      </c>
      <c r="E14" s="56" t="s">
        <v>6480</v>
      </c>
      <c r="F14" s="26" t="s">
        <v>3923</v>
      </c>
      <c r="G14" s="26" t="s">
        <v>16</v>
      </c>
      <c r="H14" s="26" t="s">
        <v>13</v>
      </c>
      <c r="I14" s="26" t="s">
        <v>3924</v>
      </c>
      <c r="J14" s="26" t="s">
        <v>6481</v>
      </c>
      <c r="K14" s="26" t="s">
        <v>6445</v>
      </c>
      <c r="L14" s="26" t="s">
        <v>4082</v>
      </c>
      <c r="M14" s="55" t="s">
        <v>6482</v>
      </c>
      <c r="N14" s="26" t="s">
        <v>3924</v>
      </c>
    </row>
    <row r="15" spans="1:14" ht="75" customHeight="1" thickTop="1" thickBot="1">
      <c r="A15" s="34">
        <v>13</v>
      </c>
      <c r="B15" s="34">
        <v>14</v>
      </c>
      <c r="C15" s="55" t="s">
        <v>6481</v>
      </c>
      <c r="D15" s="56" t="s">
        <v>26</v>
      </c>
      <c r="E15" s="56" t="s">
        <v>6448</v>
      </c>
      <c r="F15" s="26" t="s">
        <v>3923</v>
      </c>
      <c r="G15" s="26" t="s">
        <v>12</v>
      </c>
      <c r="H15" s="26" t="s">
        <v>13</v>
      </c>
      <c r="I15" s="26" t="s">
        <v>3924</v>
      </c>
      <c r="J15" s="26" t="s">
        <v>6481</v>
      </c>
      <c r="K15" s="26" t="s">
        <v>6483</v>
      </c>
      <c r="L15" s="26" t="s">
        <v>6451</v>
      </c>
      <c r="M15" s="55" t="s">
        <v>6484</v>
      </c>
      <c r="N15" s="26" t="s">
        <v>3924</v>
      </c>
    </row>
    <row r="16" spans="1:14" ht="75" customHeight="1" thickTop="1" thickBot="1">
      <c r="A16" s="26">
        <v>14</v>
      </c>
      <c r="B16" s="26">
        <v>15</v>
      </c>
      <c r="C16" s="55" t="s">
        <v>6485</v>
      </c>
      <c r="D16" s="56" t="s">
        <v>26</v>
      </c>
      <c r="E16" s="56" t="s">
        <v>6480</v>
      </c>
      <c r="F16" s="26" t="s">
        <v>3923</v>
      </c>
      <c r="G16" s="26" t="s">
        <v>16</v>
      </c>
      <c r="H16" s="26" t="s">
        <v>13</v>
      </c>
      <c r="I16" s="26" t="s">
        <v>3924</v>
      </c>
      <c r="J16" s="26" t="s">
        <v>6485</v>
      </c>
      <c r="K16" s="26" t="s">
        <v>6445</v>
      </c>
      <c r="L16" s="26" t="s">
        <v>6469</v>
      </c>
      <c r="M16" s="55" t="s">
        <v>6486</v>
      </c>
      <c r="N16" s="26" t="s">
        <v>3924</v>
      </c>
    </row>
    <row r="17" spans="1:14" ht="75" customHeight="1" thickTop="1" thickBot="1">
      <c r="A17" s="34">
        <v>15</v>
      </c>
      <c r="B17" s="34">
        <v>16</v>
      </c>
      <c r="C17" s="55" t="s">
        <v>6485</v>
      </c>
      <c r="D17" s="56" t="s">
        <v>26</v>
      </c>
      <c r="E17" s="56" t="s">
        <v>6448</v>
      </c>
      <c r="F17" s="26" t="s">
        <v>3923</v>
      </c>
      <c r="G17" s="26" t="s">
        <v>12</v>
      </c>
      <c r="H17" s="26" t="s">
        <v>13</v>
      </c>
      <c r="I17" s="26" t="s">
        <v>3924</v>
      </c>
      <c r="J17" s="26" t="s">
        <v>6487</v>
      </c>
      <c r="K17" s="26" t="s">
        <v>6434</v>
      </c>
      <c r="L17" s="26" t="s">
        <v>6435</v>
      </c>
      <c r="M17" s="55" t="s">
        <v>6488</v>
      </c>
      <c r="N17" s="26" t="s">
        <v>3924</v>
      </c>
    </row>
    <row r="18" spans="1:14" ht="75" customHeight="1" thickTop="1" thickBot="1">
      <c r="A18" s="26">
        <v>16</v>
      </c>
      <c r="B18" s="26">
        <v>17</v>
      </c>
      <c r="C18" s="55" t="s">
        <v>6487</v>
      </c>
      <c r="D18" s="56" t="s">
        <v>26</v>
      </c>
      <c r="E18" s="56" t="s">
        <v>6480</v>
      </c>
      <c r="F18" s="26" t="s">
        <v>3923</v>
      </c>
      <c r="G18" s="26" t="s">
        <v>16</v>
      </c>
      <c r="H18" s="26" t="s">
        <v>13</v>
      </c>
      <c r="I18" s="26" t="s">
        <v>3924</v>
      </c>
      <c r="J18" s="26" t="s">
        <v>6487</v>
      </c>
      <c r="K18" s="26" t="s">
        <v>6445</v>
      </c>
      <c r="L18" s="26" t="s">
        <v>6469</v>
      </c>
      <c r="M18" s="55" t="s">
        <v>6489</v>
      </c>
      <c r="N18" s="26" t="s">
        <v>3924</v>
      </c>
    </row>
    <row r="19" spans="1:14" ht="75" customHeight="1" thickTop="1" thickBot="1">
      <c r="A19" s="34">
        <v>17</v>
      </c>
      <c r="B19" s="34">
        <v>19</v>
      </c>
      <c r="C19" s="55" t="s">
        <v>6490</v>
      </c>
      <c r="D19" s="56" t="s">
        <v>26</v>
      </c>
      <c r="E19" s="56" t="s">
        <v>6480</v>
      </c>
      <c r="F19" s="26" t="s">
        <v>3923</v>
      </c>
      <c r="G19" s="26" t="s">
        <v>16</v>
      </c>
      <c r="H19" s="26" t="s">
        <v>13</v>
      </c>
      <c r="I19" s="26" t="s">
        <v>3924</v>
      </c>
      <c r="J19" s="26" t="s">
        <v>6490</v>
      </c>
      <c r="K19" s="26" t="s">
        <v>6445</v>
      </c>
      <c r="L19" s="26" t="s">
        <v>6469</v>
      </c>
      <c r="M19" s="55" t="s">
        <v>6491</v>
      </c>
      <c r="N19" s="26" t="s">
        <v>3924</v>
      </c>
    </row>
    <row r="20" spans="1:14" ht="75" customHeight="1" thickTop="1" thickBot="1">
      <c r="A20" s="26">
        <v>18</v>
      </c>
      <c r="B20" s="26">
        <v>20</v>
      </c>
      <c r="C20" s="55" t="s">
        <v>6492</v>
      </c>
      <c r="D20" s="56" t="s">
        <v>26</v>
      </c>
      <c r="E20" s="56" t="s">
        <v>6448</v>
      </c>
      <c r="F20" s="26" t="s">
        <v>3923</v>
      </c>
      <c r="G20" s="26" t="s">
        <v>12</v>
      </c>
      <c r="H20" s="26" t="s">
        <v>13</v>
      </c>
      <c r="I20" s="26" t="s">
        <v>3924</v>
      </c>
      <c r="J20" s="26" t="s">
        <v>6492</v>
      </c>
      <c r="K20" s="26" t="s">
        <v>6476</v>
      </c>
      <c r="L20" s="26" t="s">
        <v>6493</v>
      </c>
      <c r="M20" s="55" t="s">
        <v>6494</v>
      </c>
      <c r="N20" s="26" t="s">
        <v>3924</v>
      </c>
    </row>
    <row r="21" spans="1:14" ht="75" customHeight="1" thickTop="1" thickBot="1">
      <c r="A21" s="34">
        <v>19</v>
      </c>
      <c r="B21" s="34">
        <v>21</v>
      </c>
      <c r="C21" s="55" t="s">
        <v>6495</v>
      </c>
      <c r="D21" s="56" t="s">
        <v>26</v>
      </c>
      <c r="E21" s="56" t="s">
        <v>6480</v>
      </c>
      <c r="F21" s="26" t="s">
        <v>3923</v>
      </c>
      <c r="G21" s="26" t="s">
        <v>16</v>
      </c>
      <c r="H21" s="26" t="s">
        <v>13</v>
      </c>
      <c r="I21" s="26" t="s">
        <v>3924</v>
      </c>
      <c r="J21" s="26" t="s">
        <v>6495</v>
      </c>
      <c r="K21" s="26" t="s">
        <v>6445</v>
      </c>
      <c r="L21" s="26" t="s">
        <v>6469</v>
      </c>
      <c r="M21" s="55" t="s">
        <v>6496</v>
      </c>
      <c r="N21" s="26" t="s">
        <v>3924</v>
      </c>
    </row>
    <row r="22" spans="1:14" ht="75" customHeight="1" thickTop="1" thickBot="1">
      <c r="A22" s="26">
        <v>20</v>
      </c>
      <c r="B22" s="26">
        <v>23</v>
      </c>
      <c r="C22" s="55" t="s">
        <v>6497</v>
      </c>
      <c r="D22" s="56" t="s">
        <v>26</v>
      </c>
      <c r="E22" s="56" t="s">
        <v>6480</v>
      </c>
      <c r="F22" s="26" t="s">
        <v>3923</v>
      </c>
      <c r="G22" s="26" t="s">
        <v>16</v>
      </c>
      <c r="H22" s="26" t="s">
        <v>13</v>
      </c>
      <c r="I22" s="26" t="s">
        <v>3924</v>
      </c>
      <c r="J22" s="26" t="s">
        <v>6497</v>
      </c>
      <c r="K22" s="26" t="s">
        <v>6434</v>
      </c>
      <c r="L22" s="26" t="s">
        <v>6435</v>
      </c>
      <c r="M22" s="55" t="s">
        <v>6498</v>
      </c>
      <c r="N22" s="26" t="s">
        <v>3924</v>
      </c>
    </row>
    <row r="23" spans="1:14" ht="75" customHeight="1" thickTop="1" thickBot="1">
      <c r="A23" s="34">
        <v>21</v>
      </c>
      <c r="B23" s="34">
        <v>24</v>
      </c>
      <c r="C23" s="55" t="s">
        <v>6499</v>
      </c>
      <c r="D23" s="56" t="s">
        <v>26</v>
      </c>
      <c r="E23" s="56" t="s">
        <v>6480</v>
      </c>
      <c r="F23" s="26" t="s">
        <v>3923</v>
      </c>
      <c r="G23" s="26" t="s">
        <v>16</v>
      </c>
      <c r="H23" s="26" t="s">
        <v>717</v>
      </c>
      <c r="I23" s="26" t="s">
        <v>3924</v>
      </c>
      <c r="J23" s="26" t="s">
        <v>6500</v>
      </c>
      <c r="K23" s="26" t="s">
        <v>6434</v>
      </c>
      <c r="L23" s="26" t="s">
        <v>6469</v>
      </c>
      <c r="M23" s="55" t="s">
        <v>6501</v>
      </c>
      <c r="N23" s="26" t="s">
        <v>3924</v>
      </c>
    </row>
    <row r="24" spans="1:14" ht="75" customHeight="1" thickTop="1" thickBot="1">
      <c r="A24" s="26">
        <v>22</v>
      </c>
      <c r="B24" s="26">
        <v>25</v>
      </c>
      <c r="C24" s="55" t="s">
        <v>6502</v>
      </c>
      <c r="D24" s="56" t="s">
        <v>26</v>
      </c>
      <c r="E24" s="56" t="s">
        <v>6480</v>
      </c>
      <c r="F24" s="26" t="s">
        <v>3923</v>
      </c>
      <c r="G24" s="26" t="s">
        <v>16</v>
      </c>
      <c r="H24" s="26" t="s">
        <v>13</v>
      </c>
      <c r="I24" s="26" t="s">
        <v>3924</v>
      </c>
      <c r="J24" s="26" t="s">
        <v>6502</v>
      </c>
      <c r="K24" s="26" t="s">
        <v>6434</v>
      </c>
      <c r="L24" s="26" t="s">
        <v>6469</v>
      </c>
      <c r="M24" s="55" t="s">
        <v>6503</v>
      </c>
      <c r="N24" s="26" t="s">
        <v>3924</v>
      </c>
    </row>
    <row r="25" spans="1:14" ht="75" customHeight="1" thickTop="1" thickBot="1">
      <c r="A25" s="34">
        <v>23</v>
      </c>
      <c r="B25" s="34">
        <v>26</v>
      </c>
      <c r="C25" s="55" t="s">
        <v>6504</v>
      </c>
      <c r="D25" s="56" t="s">
        <v>26</v>
      </c>
      <c r="E25" s="56" t="s">
        <v>6480</v>
      </c>
      <c r="F25" s="26" t="s">
        <v>3923</v>
      </c>
      <c r="G25" s="26" t="s">
        <v>16</v>
      </c>
      <c r="H25" s="26" t="s">
        <v>13</v>
      </c>
      <c r="I25" s="26" t="s">
        <v>3924</v>
      </c>
      <c r="J25" s="26" t="s">
        <v>6504</v>
      </c>
      <c r="K25" s="26" t="s">
        <v>6434</v>
      </c>
      <c r="L25" s="26" t="s">
        <v>6469</v>
      </c>
      <c r="M25" s="55" t="s">
        <v>6505</v>
      </c>
      <c r="N25" s="26" t="s">
        <v>3924</v>
      </c>
    </row>
    <row r="26" spans="1:14" ht="75" customHeight="1" thickTop="1" thickBot="1">
      <c r="A26" s="26">
        <v>24</v>
      </c>
      <c r="B26" s="26">
        <v>27</v>
      </c>
      <c r="C26" s="55" t="s">
        <v>6506</v>
      </c>
      <c r="D26" s="56" t="s">
        <v>26</v>
      </c>
      <c r="E26" s="56" t="s">
        <v>6480</v>
      </c>
      <c r="F26" s="26" t="s">
        <v>3923</v>
      </c>
      <c r="G26" s="26" t="s">
        <v>16</v>
      </c>
      <c r="H26" s="26" t="s">
        <v>13</v>
      </c>
      <c r="I26" s="26" t="s">
        <v>3924</v>
      </c>
      <c r="J26" s="26" t="s">
        <v>6507</v>
      </c>
      <c r="K26" s="26" t="s">
        <v>6445</v>
      </c>
      <c r="L26" s="26" t="s">
        <v>6451</v>
      </c>
      <c r="M26" s="55" t="s">
        <v>6508</v>
      </c>
      <c r="N26" s="26" t="s">
        <v>3924</v>
      </c>
    </row>
    <row r="27" spans="1:14" ht="75" customHeight="1" thickTop="1" thickBot="1">
      <c r="A27" s="34">
        <v>25</v>
      </c>
      <c r="B27" s="34">
        <v>28</v>
      </c>
      <c r="C27" s="55" t="s">
        <v>6509</v>
      </c>
      <c r="D27" s="56" t="s">
        <v>26</v>
      </c>
      <c r="E27" s="56" t="s">
        <v>6461</v>
      </c>
      <c r="F27" s="26" t="s">
        <v>3923</v>
      </c>
      <c r="G27" s="26" t="s">
        <v>74</v>
      </c>
      <c r="H27" s="26" t="s">
        <v>13</v>
      </c>
      <c r="I27" s="26" t="s">
        <v>3924</v>
      </c>
      <c r="J27" s="26" t="s">
        <v>6510</v>
      </c>
      <c r="K27" s="26" t="s">
        <v>6511</v>
      </c>
      <c r="L27" s="26" t="s">
        <v>6463</v>
      </c>
      <c r="M27" s="55" t="s">
        <v>6512</v>
      </c>
      <c r="N27" s="26" t="s">
        <v>3924</v>
      </c>
    </row>
    <row r="28" spans="1:14" ht="75" customHeight="1" thickTop="1" thickBot="1">
      <c r="A28" s="26">
        <v>26</v>
      </c>
      <c r="B28" s="26">
        <v>29</v>
      </c>
      <c r="C28" s="55" t="s">
        <v>6513</v>
      </c>
      <c r="D28" s="56" t="s">
        <v>26</v>
      </c>
      <c r="E28" s="56" t="s">
        <v>6461</v>
      </c>
      <c r="F28" s="26" t="s">
        <v>3923</v>
      </c>
      <c r="G28" s="26" t="s">
        <v>74</v>
      </c>
      <c r="H28" s="26" t="s">
        <v>13</v>
      </c>
      <c r="I28" s="26" t="s">
        <v>3924</v>
      </c>
      <c r="J28" s="26" t="s">
        <v>6514</v>
      </c>
      <c r="K28" s="26" t="s">
        <v>6511</v>
      </c>
      <c r="L28" s="26" t="s">
        <v>6463</v>
      </c>
      <c r="M28" s="55" t="s">
        <v>6515</v>
      </c>
      <c r="N28" s="26" t="s">
        <v>3924</v>
      </c>
    </row>
    <row r="29" spans="1:14" ht="75" customHeight="1" thickTop="1" thickBot="1">
      <c r="A29" s="34">
        <v>27</v>
      </c>
      <c r="B29" s="34">
        <v>31</v>
      </c>
      <c r="C29" s="55" t="s">
        <v>6516</v>
      </c>
      <c r="D29" s="56" t="s">
        <v>26</v>
      </c>
      <c r="E29" s="56" t="s">
        <v>6480</v>
      </c>
      <c r="F29" s="26" t="s">
        <v>3923</v>
      </c>
      <c r="G29" s="26" t="s">
        <v>16</v>
      </c>
      <c r="H29" s="26" t="s">
        <v>13</v>
      </c>
      <c r="I29" s="26" t="s">
        <v>3924</v>
      </c>
      <c r="J29" s="26" t="s">
        <v>6516</v>
      </c>
      <c r="K29" s="26" t="s">
        <v>6445</v>
      </c>
      <c r="L29" s="26" t="s">
        <v>6469</v>
      </c>
      <c r="M29" s="55" t="s">
        <v>6517</v>
      </c>
      <c r="N29" s="26" t="s">
        <v>3924</v>
      </c>
    </row>
    <row r="30" spans="1:14" ht="75" customHeight="1" thickTop="1" thickBot="1">
      <c r="A30" s="26">
        <v>28</v>
      </c>
      <c r="B30" s="26">
        <v>32</v>
      </c>
      <c r="C30" s="55" t="s">
        <v>6518</v>
      </c>
      <c r="D30" s="56" t="s">
        <v>26</v>
      </c>
      <c r="E30" s="56" t="s">
        <v>6480</v>
      </c>
      <c r="F30" s="26" t="s">
        <v>3923</v>
      </c>
      <c r="G30" s="26" t="s">
        <v>16</v>
      </c>
      <c r="H30" s="26" t="s">
        <v>13</v>
      </c>
      <c r="I30" s="26" t="s">
        <v>3924</v>
      </c>
      <c r="J30" s="26" t="s">
        <v>6518</v>
      </c>
      <c r="K30" s="26" t="s">
        <v>6445</v>
      </c>
      <c r="L30" s="26" t="s">
        <v>6469</v>
      </c>
      <c r="M30" s="55" t="s">
        <v>6519</v>
      </c>
      <c r="N30" s="26" t="s">
        <v>3924</v>
      </c>
    </row>
    <row r="31" spans="1:14" ht="75" customHeight="1" thickTop="1" thickBot="1">
      <c r="A31" s="34">
        <v>29</v>
      </c>
      <c r="B31" s="34">
        <v>33</v>
      </c>
      <c r="C31" s="55" t="s">
        <v>6520</v>
      </c>
      <c r="D31" s="56" t="s">
        <v>26</v>
      </c>
      <c r="E31" s="56" t="s">
        <v>6480</v>
      </c>
      <c r="F31" s="26" t="s">
        <v>3923</v>
      </c>
      <c r="G31" s="26" t="s">
        <v>16</v>
      </c>
      <c r="H31" s="26" t="s">
        <v>13</v>
      </c>
      <c r="I31" s="26" t="s">
        <v>3924</v>
      </c>
      <c r="J31" s="26" t="s">
        <v>6520</v>
      </c>
      <c r="K31" s="26" t="s">
        <v>6445</v>
      </c>
      <c r="L31" s="26" t="s">
        <v>6469</v>
      </c>
      <c r="M31" s="55" t="s">
        <v>6521</v>
      </c>
      <c r="N31" s="26" t="s">
        <v>3924</v>
      </c>
    </row>
    <row r="32" spans="1:14" ht="75" customHeight="1" thickTop="1" thickBot="1">
      <c r="A32" s="26">
        <v>30</v>
      </c>
      <c r="B32" s="26">
        <v>34</v>
      </c>
      <c r="C32" s="55" t="s">
        <v>6520</v>
      </c>
      <c r="D32" s="56" t="s">
        <v>26</v>
      </c>
      <c r="E32" s="56" t="s">
        <v>1710</v>
      </c>
      <c r="F32" s="26" t="s">
        <v>3923</v>
      </c>
      <c r="G32" s="26" t="s">
        <v>1419</v>
      </c>
      <c r="H32" s="26" t="s">
        <v>13</v>
      </c>
      <c r="I32" s="26" t="s">
        <v>3924</v>
      </c>
      <c r="J32" s="26" t="s">
        <v>6522</v>
      </c>
      <c r="K32" s="26" t="s">
        <v>6451</v>
      </c>
      <c r="L32" s="26" t="s">
        <v>6523</v>
      </c>
      <c r="M32" s="55" t="s">
        <v>6524</v>
      </c>
      <c r="N32" s="26" t="s">
        <v>3924</v>
      </c>
    </row>
    <row r="33" spans="1:14" ht="75" customHeight="1" thickTop="1" thickBot="1">
      <c r="A33" s="34">
        <v>31</v>
      </c>
      <c r="B33" s="34">
        <v>35</v>
      </c>
      <c r="C33" s="55" t="s">
        <v>6525</v>
      </c>
      <c r="D33" s="56" t="s">
        <v>26</v>
      </c>
      <c r="E33" s="56" t="s">
        <v>1710</v>
      </c>
      <c r="F33" s="26" t="s">
        <v>3923</v>
      </c>
      <c r="G33" s="26" t="s">
        <v>1419</v>
      </c>
      <c r="H33" s="26" t="s">
        <v>13</v>
      </c>
      <c r="I33" s="26" t="s">
        <v>3924</v>
      </c>
      <c r="J33" s="26" t="s">
        <v>6522</v>
      </c>
      <c r="K33" s="26" t="s">
        <v>6526</v>
      </c>
      <c r="L33" s="26" t="s">
        <v>6527</v>
      </c>
      <c r="M33" s="55" t="s">
        <v>6528</v>
      </c>
      <c r="N33" s="26" t="s">
        <v>3924</v>
      </c>
    </row>
    <row r="34" spans="1:14" ht="75" customHeight="1" thickTop="1" thickBot="1">
      <c r="A34" s="26">
        <v>32</v>
      </c>
      <c r="B34" s="26">
        <v>36</v>
      </c>
      <c r="C34" s="55" t="s">
        <v>6529</v>
      </c>
      <c r="D34" s="56" t="s">
        <v>26</v>
      </c>
      <c r="E34" s="56" t="s">
        <v>1710</v>
      </c>
      <c r="F34" s="26" t="s">
        <v>3923</v>
      </c>
      <c r="G34" s="26" t="s">
        <v>1419</v>
      </c>
      <c r="H34" s="26" t="s">
        <v>13</v>
      </c>
      <c r="I34" s="26" t="s">
        <v>3924</v>
      </c>
      <c r="J34" s="26" t="s">
        <v>6522</v>
      </c>
      <c r="K34" s="26" t="s">
        <v>6530</v>
      </c>
      <c r="L34" s="26" t="s">
        <v>6531</v>
      </c>
      <c r="M34" s="55" t="s">
        <v>6532</v>
      </c>
      <c r="N34" s="26" t="s">
        <v>3924</v>
      </c>
    </row>
    <row r="35" spans="1:14" ht="75" customHeight="1" thickTop="1" thickBot="1">
      <c r="A35" s="34">
        <v>33</v>
      </c>
      <c r="B35" s="34">
        <v>37</v>
      </c>
      <c r="C35" s="55" t="s">
        <v>6522</v>
      </c>
      <c r="D35" s="56" t="s">
        <v>26</v>
      </c>
      <c r="E35" s="56" t="s">
        <v>6480</v>
      </c>
      <c r="F35" s="26" t="s">
        <v>3923</v>
      </c>
      <c r="G35" s="26" t="s">
        <v>16</v>
      </c>
      <c r="H35" s="26" t="s">
        <v>13</v>
      </c>
      <c r="I35" s="26" t="s">
        <v>3924</v>
      </c>
      <c r="J35" s="26" t="s">
        <v>6522</v>
      </c>
      <c r="K35" s="26" t="s">
        <v>6445</v>
      </c>
      <c r="L35" s="26" t="s">
        <v>6469</v>
      </c>
      <c r="M35" s="55" t="s">
        <v>6533</v>
      </c>
      <c r="N35" s="26" t="s">
        <v>3924</v>
      </c>
    </row>
    <row r="36" spans="1:14" ht="75" customHeight="1" thickTop="1" thickBot="1">
      <c r="A36" s="26">
        <v>34</v>
      </c>
      <c r="B36" s="26">
        <v>38</v>
      </c>
      <c r="C36" s="55" t="s">
        <v>6522</v>
      </c>
      <c r="D36" s="56" t="s">
        <v>26</v>
      </c>
      <c r="E36" s="56" t="s">
        <v>1710</v>
      </c>
      <c r="F36" s="26" t="s">
        <v>3923</v>
      </c>
      <c r="G36" s="26" t="s">
        <v>1419</v>
      </c>
      <c r="H36" s="26" t="s">
        <v>13</v>
      </c>
      <c r="I36" s="26" t="s">
        <v>3924</v>
      </c>
      <c r="J36" s="26" t="s">
        <v>6534</v>
      </c>
      <c r="K36" s="26" t="s">
        <v>6451</v>
      </c>
      <c r="L36" s="26" t="s">
        <v>6535</v>
      </c>
      <c r="M36" s="55" t="s">
        <v>6536</v>
      </c>
      <c r="N36" s="26" t="s">
        <v>3924</v>
      </c>
    </row>
    <row r="37" spans="1:14" ht="75" customHeight="1" thickTop="1" thickBot="1">
      <c r="A37" s="34">
        <v>35</v>
      </c>
      <c r="B37" s="34">
        <v>39</v>
      </c>
      <c r="C37" s="55" t="s">
        <v>6537</v>
      </c>
      <c r="D37" s="56" t="s">
        <v>26</v>
      </c>
      <c r="E37" s="56" t="s">
        <v>1710</v>
      </c>
      <c r="F37" s="26" t="s">
        <v>3923</v>
      </c>
      <c r="G37" s="26" t="s">
        <v>1419</v>
      </c>
      <c r="H37" s="26" t="s">
        <v>13</v>
      </c>
      <c r="I37" s="26" t="s">
        <v>3924</v>
      </c>
      <c r="J37" s="26" t="s">
        <v>6538</v>
      </c>
      <c r="K37" s="26" t="s">
        <v>6445</v>
      </c>
      <c r="L37" s="26" t="s">
        <v>6531</v>
      </c>
      <c r="M37" s="55" t="s">
        <v>6539</v>
      </c>
      <c r="N37" s="26" t="s">
        <v>3924</v>
      </c>
    </row>
    <row r="38" spans="1:14" ht="75" customHeight="1" thickTop="1" thickBot="1">
      <c r="A38" s="26">
        <v>36</v>
      </c>
      <c r="B38" s="26">
        <v>40</v>
      </c>
      <c r="C38" s="55" t="s">
        <v>6540</v>
      </c>
      <c r="D38" s="56" t="s">
        <v>26</v>
      </c>
      <c r="E38" s="56" t="s">
        <v>1710</v>
      </c>
      <c r="F38" s="26" t="s">
        <v>3923</v>
      </c>
      <c r="G38" s="26" t="s">
        <v>1419</v>
      </c>
      <c r="H38" s="26" t="s">
        <v>13</v>
      </c>
      <c r="I38" s="26" t="s">
        <v>3924</v>
      </c>
      <c r="J38" s="26" t="s">
        <v>6540</v>
      </c>
      <c r="K38" s="26" t="s">
        <v>6445</v>
      </c>
      <c r="L38" s="26" t="s">
        <v>6493</v>
      </c>
      <c r="M38" s="55" t="s">
        <v>6541</v>
      </c>
      <c r="N38" s="26" t="s">
        <v>3924</v>
      </c>
    </row>
    <row r="39" spans="1:14" ht="75" customHeight="1" thickTop="1" thickBot="1">
      <c r="A39" s="34">
        <v>37</v>
      </c>
      <c r="B39" s="34">
        <v>41</v>
      </c>
      <c r="C39" s="55" t="s">
        <v>6542</v>
      </c>
      <c r="D39" s="56" t="s">
        <v>26</v>
      </c>
      <c r="E39" s="56" t="s">
        <v>6448</v>
      </c>
      <c r="F39" s="26" t="s">
        <v>3923</v>
      </c>
      <c r="G39" s="26" t="s">
        <v>12</v>
      </c>
      <c r="H39" s="26" t="s">
        <v>13</v>
      </c>
      <c r="I39" s="26" t="s">
        <v>3924</v>
      </c>
      <c r="J39" s="26" t="s">
        <v>6542</v>
      </c>
      <c r="K39" s="26" t="s">
        <v>6543</v>
      </c>
      <c r="L39" s="26" t="s">
        <v>3927</v>
      </c>
      <c r="M39" s="55" t="s">
        <v>6544</v>
      </c>
      <c r="N39" s="26" t="s">
        <v>3924</v>
      </c>
    </row>
    <row r="40" spans="1:14" ht="75" customHeight="1" thickTop="1" thickBot="1">
      <c r="A40" s="26">
        <v>38</v>
      </c>
      <c r="B40" s="26">
        <v>42</v>
      </c>
      <c r="C40" s="55" t="s">
        <v>6545</v>
      </c>
      <c r="D40" s="56" t="s">
        <v>26</v>
      </c>
      <c r="E40" s="56" t="s">
        <v>6480</v>
      </c>
      <c r="F40" s="26" t="s">
        <v>3923</v>
      </c>
      <c r="G40" s="26" t="s">
        <v>16</v>
      </c>
      <c r="H40" s="26" t="s">
        <v>13</v>
      </c>
      <c r="I40" s="26" t="s">
        <v>3924</v>
      </c>
      <c r="J40" s="26" t="s">
        <v>6545</v>
      </c>
      <c r="K40" s="26" t="s">
        <v>6434</v>
      </c>
      <c r="L40" s="26" t="s">
        <v>6451</v>
      </c>
      <c r="M40" s="55" t="s">
        <v>6546</v>
      </c>
      <c r="N40" s="26" t="s">
        <v>3924</v>
      </c>
    </row>
    <row r="41" spans="1:14" ht="75" customHeight="1" thickTop="1" thickBot="1">
      <c r="A41" s="34">
        <v>39</v>
      </c>
      <c r="B41" s="34">
        <v>43</v>
      </c>
      <c r="C41" s="55" t="s">
        <v>6547</v>
      </c>
      <c r="D41" s="56" t="s">
        <v>26</v>
      </c>
      <c r="E41" s="56" t="s">
        <v>6480</v>
      </c>
      <c r="F41" s="26" t="s">
        <v>3923</v>
      </c>
      <c r="G41" s="26" t="s">
        <v>16</v>
      </c>
      <c r="H41" s="26" t="s">
        <v>13</v>
      </c>
      <c r="I41" s="26" t="s">
        <v>3924</v>
      </c>
      <c r="J41" s="26" t="s">
        <v>6547</v>
      </c>
      <c r="K41" s="26" t="s">
        <v>6434</v>
      </c>
      <c r="L41" s="26" t="s">
        <v>6451</v>
      </c>
      <c r="M41" s="55" t="s">
        <v>6548</v>
      </c>
      <c r="N41" s="26" t="s">
        <v>3924</v>
      </c>
    </row>
    <row r="42" spans="1:14" ht="75" customHeight="1" thickTop="1" thickBot="1">
      <c r="A42" s="26">
        <v>40</v>
      </c>
      <c r="B42" s="26">
        <v>44</v>
      </c>
      <c r="C42" s="55" t="s">
        <v>6549</v>
      </c>
      <c r="D42" s="56" t="s">
        <v>26</v>
      </c>
      <c r="E42" s="56" t="s">
        <v>6480</v>
      </c>
      <c r="F42" s="26" t="s">
        <v>3923</v>
      </c>
      <c r="G42" s="26" t="s">
        <v>16</v>
      </c>
      <c r="H42" s="26" t="s">
        <v>13</v>
      </c>
      <c r="I42" s="26" t="s">
        <v>3924</v>
      </c>
      <c r="J42" s="26" t="s">
        <v>6549</v>
      </c>
      <c r="K42" s="26" t="s">
        <v>6434</v>
      </c>
      <c r="L42" s="26" t="s">
        <v>6451</v>
      </c>
      <c r="M42" s="55" t="s">
        <v>6550</v>
      </c>
      <c r="N42" s="26" t="s">
        <v>3924</v>
      </c>
    </row>
    <row r="43" spans="1:14" ht="75" customHeight="1" thickTop="1" thickBot="1">
      <c r="A43" s="34">
        <v>41</v>
      </c>
      <c r="B43" s="34">
        <v>45</v>
      </c>
      <c r="C43" s="55" t="s">
        <v>6551</v>
      </c>
      <c r="D43" s="56" t="s">
        <v>26</v>
      </c>
      <c r="E43" s="56" t="s">
        <v>6480</v>
      </c>
      <c r="F43" s="26" t="s">
        <v>3923</v>
      </c>
      <c r="G43" s="26" t="s">
        <v>16</v>
      </c>
      <c r="H43" s="26" t="s">
        <v>13</v>
      </c>
      <c r="I43" s="26" t="s">
        <v>3924</v>
      </c>
      <c r="J43" s="26" t="s">
        <v>6551</v>
      </c>
      <c r="K43" s="26" t="s">
        <v>6552</v>
      </c>
      <c r="L43" s="26" t="s">
        <v>6435</v>
      </c>
      <c r="M43" s="55" t="s">
        <v>6553</v>
      </c>
      <c r="N43" s="26" t="s">
        <v>3924</v>
      </c>
    </row>
    <row r="44" spans="1:14" ht="75" customHeight="1" thickTop="1" thickBot="1">
      <c r="A44" s="26">
        <v>42</v>
      </c>
      <c r="B44" s="26">
        <v>46</v>
      </c>
      <c r="C44" s="55" t="s">
        <v>6554</v>
      </c>
      <c r="D44" s="56" t="s">
        <v>26</v>
      </c>
      <c r="E44" s="56" t="s">
        <v>6480</v>
      </c>
      <c r="F44" s="26" t="s">
        <v>3923</v>
      </c>
      <c r="G44" s="26" t="s">
        <v>16</v>
      </c>
      <c r="H44" s="26" t="s">
        <v>13</v>
      </c>
      <c r="I44" s="26" t="s">
        <v>3924</v>
      </c>
      <c r="J44" s="26" t="s">
        <v>6554</v>
      </c>
      <c r="K44" s="26" t="s">
        <v>6552</v>
      </c>
      <c r="L44" s="26" t="s">
        <v>6435</v>
      </c>
      <c r="M44" s="55" t="s">
        <v>6555</v>
      </c>
      <c r="N44" s="26" t="s">
        <v>3924</v>
      </c>
    </row>
    <row r="45" spans="1:14" ht="75" customHeight="1" thickTop="1" thickBot="1">
      <c r="A45" s="34">
        <v>43</v>
      </c>
      <c r="B45" s="34">
        <v>47</v>
      </c>
      <c r="C45" s="55" t="s">
        <v>6556</v>
      </c>
      <c r="D45" s="56" t="s">
        <v>26</v>
      </c>
      <c r="E45" s="56" t="s">
        <v>6448</v>
      </c>
      <c r="F45" s="26" t="s">
        <v>3923</v>
      </c>
      <c r="G45" s="26" t="s">
        <v>12</v>
      </c>
      <c r="H45" s="26" t="s">
        <v>13</v>
      </c>
      <c r="I45" s="26" t="s">
        <v>3924</v>
      </c>
      <c r="J45" s="26" t="s">
        <v>6557</v>
      </c>
      <c r="K45" s="26" t="s">
        <v>6558</v>
      </c>
      <c r="L45" s="26" t="s">
        <v>6559</v>
      </c>
      <c r="M45" s="55" t="s">
        <v>6560</v>
      </c>
      <c r="N45" s="26" t="s">
        <v>6561</v>
      </c>
    </row>
    <row r="46" spans="1:14" ht="75" customHeight="1" thickTop="1" thickBot="1">
      <c r="A46" s="26">
        <v>44</v>
      </c>
      <c r="B46" s="26">
        <v>48</v>
      </c>
      <c r="C46" s="55" t="s">
        <v>6562</v>
      </c>
      <c r="D46" s="56" t="s">
        <v>26</v>
      </c>
      <c r="E46" s="56" t="s">
        <v>6448</v>
      </c>
      <c r="F46" s="26" t="s">
        <v>3923</v>
      </c>
      <c r="G46" s="26" t="s">
        <v>12</v>
      </c>
      <c r="H46" s="26" t="s">
        <v>13</v>
      </c>
      <c r="I46" s="26" t="s">
        <v>3924</v>
      </c>
      <c r="J46" s="26" t="s">
        <v>6557</v>
      </c>
      <c r="K46" s="26" t="s">
        <v>6558</v>
      </c>
      <c r="L46" s="26" t="s">
        <v>6559</v>
      </c>
      <c r="M46" s="55" t="s">
        <v>6563</v>
      </c>
      <c r="N46" s="26" t="s">
        <v>3924</v>
      </c>
    </row>
    <row r="47" spans="1:14" ht="75" customHeight="1" thickTop="1" thickBot="1">
      <c r="A47" s="34">
        <v>45</v>
      </c>
      <c r="B47" s="34">
        <v>49</v>
      </c>
      <c r="C47" s="55" t="s">
        <v>6557</v>
      </c>
      <c r="D47" s="56" t="s">
        <v>26</v>
      </c>
      <c r="E47" s="56" t="s">
        <v>6448</v>
      </c>
      <c r="F47" s="26" t="s">
        <v>3923</v>
      </c>
      <c r="G47" s="26" t="s">
        <v>12</v>
      </c>
      <c r="H47" s="26" t="s">
        <v>13</v>
      </c>
      <c r="I47" s="26" t="s">
        <v>3924</v>
      </c>
      <c r="J47" s="26" t="s">
        <v>6557</v>
      </c>
      <c r="K47" s="26" t="s">
        <v>6558</v>
      </c>
      <c r="L47" s="26" t="s">
        <v>6564</v>
      </c>
      <c r="M47" s="55" t="s">
        <v>6565</v>
      </c>
      <c r="N47" s="26" t="s">
        <v>6561</v>
      </c>
    </row>
    <row r="48" spans="1:14" ht="75" customHeight="1" thickTop="1" thickBot="1">
      <c r="A48" s="26">
        <v>46</v>
      </c>
      <c r="B48" s="26">
        <v>50</v>
      </c>
      <c r="C48" s="55" t="s">
        <v>6566</v>
      </c>
      <c r="D48" s="56" t="s">
        <v>26</v>
      </c>
      <c r="E48" s="56" t="s">
        <v>6480</v>
      </c>
      <c r="F48" s="26" t="s">
        <v>3923</v>
      </c>
      <c r="G48" s="26" t="s">
        <v>16</v>
      </c>
      <c r="H48" s="26" t="s">
        <v>13</v>
      </c>
      <c r="I48" s="26" t="s">
        <v>3924</v>
      </c>
      <c r="J48" s="26" t="s">
        <v>6566</v>
      </c>
      <c r="K48" s="26" t="s">
        <v>6445</v>
      </c>
      <c r="L48" s="26" t="s">
        <v>6469</v>
      </c>
      <c r="M48" s="55" t="s">
        <v>6567</v>
      </c>
      <c r="N48" s="26" t="s">
        <v>3924</v>
      </c>
    </row>
    <row r="49" spans="1:14" ht="75" customHeight="1" thickTop="1" thickBot="1">
      <c r="A49" s="34">
        <v>47</v>
      </c>
      <c r="B49" s="34">
        <v>51</v>
      </c>
      <c r="C49" s="55" t="s">
        <v>6568</v>
      </c>
      <c r="D49" s="56" t="s">
        <v>26</v>
      </c>
      <c r="E49" s="56" t="s">
        <v>6480</v>
      </c>
      <c r="F49" s="26" t="s">
        <v>3923</v>
      </c>
      <c r="G49" s="26" t="s">
        <v>16</v>
      </c>
      <c r="H49" s="26" t="s">
        <v>13</v>
      </c>
      <c r="I49" s="26" t="s">
        <v>3924</v>
      </c>
      <c r="J49" s="26" t="s">
        <v>6568</v>
      </c>
      <c r="K49" s="26" t="s">
        <v>6445</v>
      </c>
      <c r="L49" s="26" t="s">
        <v>6469</v>
      </c>
      <c r="M49" s="55" t="s">
        <v>6569</v>
      </c>
      <c r="N49" s="26" t="s">
        <v>3924</v>
      </c>
    </row>
    <row r="50" spans="1:14" ht="75" customHeight="1" thickTop="1" thickBot="1">
      <c r="A50" s="26">
        <v>48</v>
      </c>
      <c r="B50" s="26">
        <v>52</v>
      </c>
      <c r="C50" s="55" t="s">
        <v>6570</v>
      </c>
      <c r="D50" s="56" t="s">
        <v>26</v>
      </c>
      <c r="E50" s="56" t="s">
        <v>6480</v>
      </c>
      <c r="F50" s="26" t="s">
        <v>3923</v>
      </c>
      <c r="G50" s="26" t="s">
        <v>16</v>
      </c>
      <c r="H50" s="26" t="s">
        <v>13</v>
      </c>
      <c r="I50" s="26" t="s">
        <v>3924</v>
      </c>
      <c r="J50" s="26" t="s">
        <v>6570</v>
      </c>
      <c r="K50" s="26" t="s">
        <v>6445</v>
      </c>
      <c r="L50" s="26" t="s">
        <v>6469</v>
      </c>
      <c r="M50" s="55" t="s">
        <v>6571</v>
      </c>
      <c r="N50" s="26" t="s">
        <v>3924</v>
      </c>
    </row>
    <row r="51" spans="1:14" ht="75" customHeight="1" thickTop="1" thickBot="1">
      <c r="A51" s="34">
        <v>49</v>
      </c>
      <c r="B51" s="34">
        <v>53</v>
      </c>
      <c r="C51" s="55" t="s">
        <v>6572</v>
      </c>
      <c r="D51" s="56" t="s">
        <v>26</v>
      </c>
      <c r="E51" s="56" t="s">
        <v>6480</v>
      </c>
      <c r="F51" s="26" t="s">
        <v>3923</v>
      </c>
      <c r="G51" s="26" t="s">
        <v>16</v>
      </c>
      <c r="H51" s="26" t="s">
        <v>13</v>
      </c>
      <c r="I51" s="26" t="s">
        <v>3924</v>
      </c>
      <c r="J51" s="26" t="s">
        <v>6572</v>
      </c>
      <c r="K51" s="26" t="s">
        <v>6445</v>
      </c>
      <c r="L51" s="26" t="s">
        <v>6469</v>
      </c>
      <c r="M51" s="55" t="s">
        <v>6573</v>
      </c>
      <c r="N51" s="26" t="s">
        <v>3924</v>
      </c>
    </row>
    <row r="52" spans="1:14" ht="75" customHeight="1" thickTop="1" thickBot="1">
      <c r="A52" s="26">
        <v>50</v>
      </c>
      <c r="B52" s="26">
        <v>54</v>
      </c>
      <c r="C52" s="55" t="s">
        <v>6574</v>
      </c>
      <c r="D52" s="56" t="s">
        <v>26</v>
      </c>
      <c r="E52" s="56" t="s">
        <v>6480</v>
      </c>
      <c r="F52" s="26" t="s">
        <v>3923</v>
      </c>
      <c r="G52" s="26" t="s">
        <v>16</v>
      </c>
      <c r="H52" s="26" t="s">
        <v>13</v>
      </c>
      <c r="I52" s="26" t="s">
        <v>3924</v>
      </c>
      <c r="J52" s="26" t="s">
        <v>6574</v>
      </c>
      <c r="K52" s="26" t="s">
        <v>6445</v>
      </c>
      <c r="L52" s="26" t="s">
        <v>6469</v>
      </c>
      <c r="M52" s="55" t="s">
        <v>6575</v>
      </c>
      <c r="N52" s="26" t="s">
        <v>3924</v>
      </c>
    </row>
    <row r="53" spans="1:14" ht="75" customHeight="1" thickTop="1" thickBot="1">
      <c r="A53" s="34">
        <v>51</v>
      </c>
      <c r="B53" s="34">
        <v>55</v>
      </c>
      <c r="C53" s="55" t="s">
        <v>6576</v>
      </c>
      <c r="D53" s="56" t="s">
        <v>26</v>
      </c>
      <c r="E53" s="56" t="s">
        <v>6480</v>
      </c>
      <c r="F53" s="26" t="s">
        <v>3923</v>
      </c>
      <c r="G53" s="26" t="s">
        <v>16</v>
      </c>
      <c r="H53" s="26" t="s">
        <v>13</v>
      </c>
      <c r="I53" s="26" t="s">
        <v>3924</v>
      </c>
      <c r="J53" s="26" t="s">
        <v>6576</v>
      </c>
      <c r="K53" s="26" t="s">
        <v>6445</v>
      </c>
      <c r="L53" s="26" t="s">
        <v>6469</v>
      </c>
      <c r="M53" s="55" t="s">
        <v>6577</v>
      </c>
      <c r="N53" s="26" t="s">
        <v>3924</v>
      </c>
    </row>
    <row r="54" spans="1:14" ht="75" customHeight="1" thickTop="1" thickBot="1">
      <c r="A54" s="26">
        <v>52</v>
      </c>
      <c r="B54" s="26">
        <v>56</v>
      </c>
      <c r="C54" s="55" t="s">
        <v>6576</v>
      </c>
      <c r="D54" s="56" t="s">
        <v>26</v>
      </c>
      <c r="E54" s="56" t="s">
        <v>6480</v>
      </c>
      <c r="F54" s="26" t="s">
        <v>3923</v>
      </c>
      <c r="G54" s="26" t="s">
        <v>16</v>
      </c>
      <c r="H54" s="26" t="s">
        <v>13</v>
      </c>
      <c r="I54" s="26" t="s">
        <v>3924</v>
      </c>
      <c r="J54" s="26" t="s">
        <v>6578</v>
      </c>
      <c r="K54" s="26" t="s">
        <v>6445</v>
      </c>
      <c r="L54" s="26" t="s">
        <v>6579</v>
      </c>
      <c r="M54" s="55" t="s">
        <v>6580</v>
      </c>
      <c r="N54" s="26" t="s">
        <v>3924</v>
      </c>
    </row>
    <row r="55" spans="1:14" ht="75" customHeight="1" thickTop="1" thickBot="1">
      <c r="A55" s="34">
        <v>53</v>
      </c>
      <c r="B55" s="34">
        <v>57</v>
      </c>
      <c r="C55" s="55" t="s">
        <v>6581</v>
      </c>
      <c r="D55" s="56" t="s">
        <v>26</v>
      </c>
      <c r="E55" s="56" t="s">
        <v>27</v>
      </c>
      <c r="F55" s="26" t="s">
        <v>3995</v>
      </c>
      <c r="G55" s="26" t="s">
        <v>16</v>
      </c>
      <c r="H55" s="26" t="s">
        <v>13</v>
      </c>
      <c r="I55" s="26" t="s">
        <v>3924</v>
      </c>
      <c r="J55" s="26" t="s">
        <v>6582</v>
      </c>
      <c r="K55" s="26" t="s">
        <v>6434</v>
      </c>
      <c r="L55" s="26" t="s">
        <v>6583</v>
      </c>
      <c r="M55" s="55" t="s">
        <v>6584</v>
      </c>
      <c r="N55" s="26" t="s">
        <v>3924</v>
      </c>
    </row>
    <row r="56" spans="1:14" ht="75" customHeight="1" thickTop="1" thickBot="1">
      <c r="A56" s="26">
        <v>54</v>
      </c>
      <c r="B56" s="26">
        <v>58</v>
      </c>
      <c r="C56" s="55" t="s">
        <v>6585</v>
      </c>
      <c r="D56" s="56" t="s">
        <v>26</v>
      </c>
      <c r="E56" s="56" t="s">
        <v>6586</v>
      </c>
      <c r="F56" s="26" t="s">
        <v>3923</v>
      </c>
      <c r="G56" s="26" t="s">
        <v>12</v>
      </c>
      <c r="H56" s="26" t="s">
        <v>13</v>
      </c>
      <c r="I56" s="26" t="s">
        <v>3924</v>
      </c>
      <c r="J56" s="26" t="s">
        <v>6587</v>
      </c>
      <c r="K56" s="26" t="s">
        <v>6434</v>
      </c>
      <c r="L56" s="26" t="s">
        <v>6435</v>
      </c>
      <c r="M56" s="55" t="s">
        <v>6588</v>
      </c>
      <c r="N56" s="26" t="s">
        <v>3924</v>
      </c>
    </row>
    <row r="57" spans="1:14" ht="75" customHeight="1" thickTop="1" thickBot="1">
      <c r="A57" s="34">
        <v>55</v>
      </c>
      <c r="B57" s="34">
        <v>59</v>
      </c>
      <c r="C57" s="55" t="s">
        <v>6589</v>
      </c>
      <c r="D57" s="56" t="s">
        <v>26</v>
      </c>
      <c r="E57" s="56" t="s">
        <v>6586</v>
      </c>
      <c r="F57" s="26" t="s">
        <v>3923</v>
      </c>
      <c r="G57" s="26" t="s">
        <v>12</v>
      </c>
      <c r="H57" s="26" t="s">
        <v>13</v>
      </c>
      <c r="I57" s="26" t="s">
        <v>3924</v>
      </c>
      <c r="J57" s="26" t="s">
        <v>6589</v>
      </c>
      <c r="K57" s="26" t="s">
        <v>6440</v>
      </c>
      <c r="L57" s="26" t="s">
        <v>6435</v>
      </c>
      <c r="M57" s="55" t="s">
        <v>6590</v>
      </c>
      <c r="N57" s="26" t="s">
        <v>3924</v>
      </c>
    </row>
    <row r="58" spans="1:14" ht="75" customHeight="1" thickTop="1" thickBot="1">
      <c r="A58" s="26">
        <v>56</v>
      </c>
      <c r="B58" s="26">
        <v>60</v>
      </c>
      <c r="C58" s="55" t="s">
        <v>6591</v>
      </c>
      <c r="D58" s="56" t="s">
        <v>26</v>
      </c>
      <c r="E58" s="56" t="s">
        <v>6448</v>
      </c>
      <c r="F58" s="26" t="s">
        <v>3923</v>
      </c>
      <c r="G58" s="26" t="s">
        <v>12</v>
      </c>
      <c r="H58" s="26" t="s">
        <v>13</v>
      </c>
      <c r="I58" s="26" t="s">
        <v>3924</v>
      </c>
      <c r="J58" s="26" t="s">
        <v>6592</v>
      </c>
      <c r="K58" s="26" t="s">
        <v>6445</v>
      </c>
      <c r="L58" s="26" t="s">
        <v>6593</v>
      </c>
      <c r="M58" s="55" t="s">
        <v>6594</v>
      </c>
      <c r="N58" s="26" t="s">
        <v>3924</v>
      </c>
    </row>
    <row r="59" spans="1:14" ht="75" customHeight="1" thickTop="1" thickBot="1">
      <c r="A59" s="34">
        <v>57</v>
      </c>
      <c r="B59" s="34">
        <v>61</v>
      </c>
      <c r="C59" s="55" t="s">
        <v>6595</v>
      </c>
      <c r="D59" s="56" t="s">
        <v>26</v>
      </c>
      <c r="E59" s="56" t="s">
        <v>6586</v>
      </c>
      <c r="F59" s="26" t="s">
        <v>3923</v>
      </c>
      <c r="G59" s="26" t="s">
        <v>12</v>
      </c>
      <c r="H59" s="26" t="s">
        <v>13</v>
      </c>
      <c r="I59" s="26" t="s">
        <v>3924</v>
      </c>
      <c r="J59" s="26" t="s">
        <v>6595</v>
      </c>
      <c r="K59" s="26" t="s">
        <v>6476</v>
      </c>
      <c r="L59" s="26" t="s">
        <v>3927</v>
      </c>
      <c r="M59" s="55" t="s">
        <v>6596</v>
      </c>
      <c r="N59" s="26" t="s">
        <v>6597</v>
      </c>
    </row>
    <row r="60" spans="1:14" ht="75" customHeight="1" thickTop="1" thickBot="1">
      <c r="A60" s="26">
        <v>58</v>
      </c>
      <c r="B60" s="26">
        <v>62</v>
      </c>
      <c r="C60" s="55" t="s">
        <v>6598</v>
      </c>
      <c r="D60" s="56" t="s">
        <v>26</v>
      </c>
      <c r="E60" s="56" t="s">
        <v>6448</v>
      </c>
      <c r="F60" s="26" t="s">
        <v>3923</v>
      </c>
      <c r="G60" s="26" t="s">
        <v>12</v>
      </c>
      <c r="H60" s="26" t="s">
        <v>13</v>
      </c>
      <c r="I60" s="26" t="s">
        <v>3924</v>
      </c>
      <c r="J60" s="26" t="s">
        <v>6598</v>
      </c>
      <c r="K60" s="26" t="s">
        <v>6476</v>
      </c>
      <c r="L60" s="26" t="s">
        <v>6493</v>
      </c>
      <c r="M60" s="55" t="s">
        <v>6599</v>
      </c>
      <c r="N60" s="26" t="s">
        <v>6600</v>
      </c>
    </row>
    <row r="61" spans="1:14" ht="75" customHeight="1" thickTop="1" thickBot="1">
      <c r="A61" s="34">
        <v>59</v>
      </c>
      <c r="B61" s="34">
        <v>63</v>
      </c>
      <c r="C61" s="55" t="s">
        <v>6582</v>
      </c>
      <c r="D61" s="56" t="s">
        <v>26</v>
      </c>
      <c r="E61" s="56" t="s">
        <v>6480</v>
      </c>
      <c r="F61" s="26" t="s">
        <v>3923</v>
      </c>
      <c r="G61" s="26" t="s">
        <v>16</v>
      </c>
      <c r="H61" s="26" t="s">
        <v>13</v>
      </c>
      <c r="I61" s="26" t="s">
        <v>3924</v>
      </c>
      <c r="J61" s="26" t="s">
        <v>6601</v>
      </c>
      <c r="K61" s="26" t="s">
        <v>6434</v>
      </c>
      <c r="L61" s="26" t="s">
        <v>6602</v>
      </c>
      <c r="M61" s="55" t="s">
        <v>6603</v>
      </c>
      <c r="N61" s="26" t="s">
        <v>3924</v>
      </c>
    </row>
    <row r="62" spans="1:14" ht="75" customHeight="1" thickTop="1" thickBot="1">
      <c r="A62" s="26">
        <v>60</v>
      </c>
      <c r="B62" s="26">
        <v>64</v>
      </c>
      <c r="C62" s="55" t="s">
        <v>6604</v>
      </c>
      <c r="D62" s="56" t="s">
        <v>26</v>
      </c>
      <c r="E62" s="56" t="s">
        <v>6480</v>
      </c>
      <c r="F62" s="26" t="s">
        <v>3923</v>
      </c>
      <c r="G62" s="26" t="s">
        <v>16</v>
      </c>
      <c r="H62" s="26" t="s">
        <v>13</v>
      </c>
      <c r="I62" s="26" t="s">
        <v>3924</v>
      </c>
      <c r="J62" s="26" t="s">
        <v>6604</v>
      </c>
      <c r="K62" s="26" t="s">
        <v>6445</v>
      </c>
      <c r="L62" s="26" t="s">
        <v>6605</v>
      </c>
      <c r="M62" s="55" t="s">
        <v>6606</v>
      </c>
      <c r="N62" s="26" t="s">
        <v>3924</v>
      </c>
    </row>
    <row r="63" spans="1:14" ht="75" customHeight="1" thickTop="1" thickBot="1">
      <c r="A63" s="34">
        <v>61</v>
      </c>
      <c r="B63" s="34">
        <v>65</v>
      </c>
      <c r="C63" s="55" t="s">
        <v>6607</v>
      </c>
      <c r="D63" s="56" t="s">
        <v>26</v>
      </c>
      <c r="E63" s="56" t="s">
        <v>6480</v>
      </c>
      <c r="F63" s="26" t="s">
        <v>3923</v>
      </c>
      <c r="G63" s="26" t="s">
        <v>16</v>
      </c>
      <c r="H63" s="26" t="s">
        <v>13</v>
      </c>
      <c r="I63" s="26" t="s">
        <v>3924</v>
      </c>
      <c r="J63" s="26" t="s">
        <v>6607</v>
      </c>
      <c r="K63" s="26" t="s">
        <v>6445</v>
      </c>
      <c r="L63" s="26" t="s">
        <v>6608</v>
      </c>
      <c r="M63" s="55" t="s">
        <v>6609</v>
      </c>
      <c r="N63" s="26" t="s">
        <v>3924</v>
      </c>
    </row>
    <row r="64" spans="1:14" ht="75" customHeight="1" thickTop="1" thickBot="1">
      <c r="A64" s="26">
        <v>62</v>
      </c>
      <c r="B64" s="26">
        <v>66</v>
      </c>
      <c r="C64" s="55" t="s">
        <v>6610</v>
      </c>
      <c r="D64" s="56" t="s">
        <v>26</v>
      </c>
      <c r="E64" s="56" t="s">
        <v>6480</v>
      </c>
      <c r="F64" s="26" t="s">
        <v>3923</v>
      </c>
      <c r="G64" s="26" t="s">
        <v>16</v>
      </c>
      <c r="H64" s="26" t="s">
        <v>13</v>
      </c>
      <c r="I64" s="26" t="s">
        <v>3924</v>
      </c>
      <c r="J64" s="26" t="s">
        <v>6610</v>
      </c>
      <c r="K64" s="26" t="s">
        <v>6445</v>
      </c>
      <c r="L64" s="26" t="s">
        <v>6608</v>
      </c>
      <c r="M64" s="55" t="s">
        <v>6611</v>
      </c>
      <c r="N64" s="26" t="s">
        <v>3924</v>
      </c>
    </row>
    <row r="65" spans="1:14" ht="75" customHeight="1" thickTop="1" thickBot="1">
      <c r="A65" s="34">
        <v>63</v>
      </c>
      <c r="B65" s="34">
        <v>67</v>
      </c>
      <c r="C65" s="55" t="s">
        <v>6612</v>
      </c>
      <c r="D65" s="56" t="s">
        <v>26</v>
      </c>
      <c r="E65" s="56" t="s">
        <v>6480</v>
      </c>
      <c r="F65" s="26" t="s">
        <v>3923</v>
      </c>
      <c r="G65" s="26" t="s">
        <v>16</v>
      </c>
      <c r="H65" s="26" t="s">
        <v>13</v>
      </c>
      <c r="I65" s="26" t="s">
        <v>3924</v>
      </c>
      <c r="J65" s="26" t="s">
        <v>6612</v>
      </c>
      <c r="K65" s="26" t="s">
        <v>6445</v>
      </c>
      <c r="L65" s="26" t="s">
        <v>6435</v>
      </c>
      <c r="M65" s="55" t="s">
        <v>6613</v>
      </c>
      <c r="N65" s="26" t="s">
        <v>3924</v>
      </c>
    </row>
    <row r="66" spans="1:14" ht="75" customHeight="1" thickTop="1" thickBot="1">
      <c r="A66" s="26">
        <v>64</v>
      </c>
      <c r="B66" s="26">
        <v>68</v>
      </c>
      <c r="C66" s="55" t="s">
        <v>6614</v>
      </c>
      <c r="D66" s="56" t="s">
        <v>26</v>
      </c>
      <c r="E66" s="56" t="s">
        <v>6480</v>
      </c>
      <c r="F66" s="26" t="s">
        <v>3923</v>
      </c>
      <c r="G66" s="26" t="s">
        <v>16</v>
      </c>
      <c r="H66" s="26" t="s">
        <v>13</v>
      </c>
      <c r="I66" s="26" t="s">
        <v>3924</v>
      </c>
      <c r="J66" s="26" t="s">
        <v>6615</v>
      </c>
      <c r="K66" s="26" t="s">
        <v>6445</v>
      </c>
      <c r="L66" s="26" t="s">
        <v>6469</v>
      </c>
      <c r="M66" s="55" t="s">
        <v>6616</v>
      </c>
      <c r="N66" s="26" t="s">
        <v>3924</v>
      </c>
    </row>
    <row r="67" spans="1:14" ht="75" customHeight="1" thickTop="1" thickBot="1">
      <c r="A67" s="34">
        <v>65</v>
      </c>
      <c r="B67" s="34">
        <v>69</v>
      </c>
      <c r="C67" s="55" t="s">
        <v>6617</v>
      </c>
      <c r="D67" s="56" t="s">
        <v>26</v>
      </c>
      <c r="E67" s="56" t="s">
        <v>6480</v>
      </c>
      <c r="F67" s="26" t="s">
        <v>3923</v>
      </c>
      <c r="G67" s="26" t="s">
        <v>16</v>
      </c>
      <c r="H67" s="26" t="s">
        <v>13</v>
      </c>
      <c r="I67" s="26" t="s">
        <v>3924</v>
      </c>
      <c r="J67" s="26" t="s">
        <v>6617</v>
      </c>
      <c r="K67" s="26" t="s">
        <v>6445</v>
      </c>
      <c r="L67" s="26" t="s">
        <v>6435</v>
      </c>
      <c r="M67" s="55" t="s">
        <v>6618</v>
      </c>
      <c r="N67" s="26" t="s">
        <v>3924</v>
      </c>
    </row>
    <row r="68" spans="1:14" ht="75" customHeight="1" thickTop="1" thickBot="1">
      <c r="A68" s="26">
        <v>66</v>
      </c>
      <c r="B68" s="26">
        <v>70</v>
      </c>
      <c r="C68" s="55" t="s">
        <v>6619</v>
      </c>
      <c r="D68" s="56" t="s">
        <v>26</v>
      </c>
      <c r="E68" s="56" t="s">
        <v>1710</v>
      </c>
      <c r="F68" s="26" t="s">
        <v>3923</v>
      </c>
      <c r="G68" s="26" t="s">
        <v>1419</v>
      </c>
      <c r="H68" s="26" t="s">
        <v>13</v>
      </c>
      <c r="I68" s="26" t="s">
        <v>3924</v>
      </c>
      <c r="J68" s="26" t="s">
        <v>6620</v>
      </c>
      <c r="K68" s="26" t="s">
        <v>6445</v>
      </c>
      <c r="L68" s="26" t="s">
        <v>6493</v>
      </c>
      <c r="M68" s="55" t="s">
        <v>6621</v>
      </c>
      <c r="N68" s="26" t="s">
        <v>3924</v>
      </c>
    </row>
    <row r="69" spans="1:14" ht="75" customHeight="1" thickTop="1" thickBot="1">
      <c r="A69" s="34">
        <v>67</v>
      </c>
      <c r="B69" s="34">
        <v>71</v>
      </c>
      <c r="C69" s="55" t="s">
        <v>6622</v>
      </c>
      <c r="D69" s="56" t="s">
        <v>26</v>
      </c>
      <c r="E69" s="56" t="s">
        <v>1710</v>
      </c>
      <c r="F69" s="26" t="s">
        <v>3923</v>
      </c>
      <c r="G69" s="26" t="s">
        <v>1419</v>
      </c>
      <c r="H69" s="26" t="s">
        <v>13</v>
      </c>
      <c r="I69" s="26" t="s">
        <v>3924</v>
      </c>
      <c r="J69" s="26" t="s">
        <v>6620</v>
      </c>
      <c r="K69" s="26" t="s">
        <v>6445</v>
      </c>
      <c r="L69" s="26" t="s">
        <v>6493</v>
      </c>
      <c r="M69" s="55" t="s">
        <v>6623</v>
      </c>
      <c r="N69" s="26" t="s">
        <v>3924</v>
      </c>
    </row>
    <row r="70" spans="1:14" ht="75" customHeight="1" thickTop="1" thickBot="1">
      <c r="A70" s="26">
        <v>68</v>
      </c>
      <c r="B70" s="26">
        <v>72</v>
      </c>
      <c r="C70" s="55" t="s">
        <v>6624</v>
      </c>
      <c r="D70" s="56" t="s">
        <v>26</v>
      </c>
      <c r="E70" s="56" t="s">
        <v>1710</v>
      </c>
      <c r="F70" s="26" t="s">
        <v>3923</v>
      </c>
      <c r="G70" s="26" t="s">
        <v>1419</v>
      </c>
      <c r="H70" s="26" t="s">
        <v>13</v>
      </c>
      <c r="I70" s="26" t="s">
        <v>3924</v>
      </c>
      <c r="J70" s="26" t="s">
        <v>6620</v>
      </c>
      <c r="K70" s="26" t="s">
        <v>6445</v>
      </c>
      <c r="L70" s="26" t="s">
        <v>6593</v>
      </c>
      <c r="M70" s="55" t="s">
        <v>6625</v>
      </c>
      <c r="N70" s="26" t="s">
        <v>3924</v>
      </c>
    </row>
    <row r="71" spans="1:14" ht="75" customHeight="1" thickTop="1" thickBot="1">
      <c r="A71" s="34">
        <v>69</v>
      </c>
      <c r="B71" s="34">
        <v>73</v>
      </c>
      <c r="C71" s="55" t="s">
        <v>6624</v>
      </c>
      <c r="D71" s="56" t="s">
        <v>26</v>
      </c>
      <c r="E71" s="56" t="s">
        <v>1710</v>
      </c>
      <c r="F71" s="26" t="s">
        <v>3923</v>
      </c>
      <c r="G71" s="26" t="s">
        <v>12</v>
      </c>
      <c r="H71" s="26" t="s">
        <v>13</v>
      </c>
      <c r="I71" s="26" t="s">
        <v>3924</v>
      </c>
      <c r="J71" s="26" t="s">
        <v>6626</v>
      </c>
      <c r="K71" s="26" t="s">
        <v>6445</v>
      </c>
      <c r="L71" s="26" t="s">
        <v>6493</v>
      </c>
      <c r="M71" s="55" t="s">
        <v>6627</v>
      </c>
      <c r="N71" s="26" t="s">
        <v>3924</v>
      </c>
    </row>
    <row r="72" spans="1:14" ht="75" customHeight="1" thickTop="1" thickBot="1">
      <c r="A72" s="26">
        <v>70</v>
      </c>
      <c r="B72" s="26">
        <v>74</v>
      </c>
      <c r="C72" s="55" t="s">
        <v>6628</v>
      </c>
      <c r="D72" s="56" t="s">
        <v>26</v>
      </c>
      <c r="E72" s="56" t="s">
        <v>1710</v>
      </c>
      <c r="F72" s="26" t="s">
        <v>3923</v>
      </c>
      <c r="G72" s="26" t="s">
        <v>1419</v>
      </c>
      <c r="H72" s="26" t="s">
        <v>13</v>
      </c>
      <c r="I72" s="26" t="s">
        <v>3924</v>
      </c>
      <c r="J72" s="26" t="s">
        <v>6626</v>
      </c>
      <c r="K72" s="26" t="s">
        <v>6445</v>
      </c>
      <c r="L72" s="26" t="s">
        <v>6493</v>
      </c>
      <c r="M72" s="55" t="s">
        <v>6629</v>
      </c>
      <c r="N72" s="26" t="s">
        <v>3924</v>
      </c>
    </row>
    <row r="73" spans="1:14" ht="75" customHeight="1" thickTop="1" thickBot="1">
      <c r="A73" s="34">
        <v>71</v>
      </c>
      <c r="B73" s="34">
        <v>75</v>
      </c>
      <c r="C73" s="55" t="s">
        <v>6630</v>
      </c>
      <c r="D73" s="56" t="s">
        <v>26</v>
      </c>
      <c r="E73" s="56" t="s">
        <v>1710</v>
      </c>
      <c r="F73" s="26" t="s">
        <v>3923</v>
      </c>
      <c r="G73" s="26" t="s">
        <v>1419</v>
      </c>
      <c r="H73" s="26" t="s">
        <v>13</v>
      </c>
      <c r="I73" s="26" t="s">
        <v>3924</v>
      </c>
      <c r="J73" s="26" t="s">
        <v>6626</v>
      </c>
      <c r="K73" s="26" t="s">
        <v>6445</v>
      </c>
      <c r="L73" s="26" t="s">
        <v>6631</v>
      </c>
      <c r="M73" s="55" t="s">
        <v>6632</v>
      </c>
      <c r="N73" s="26" t="s">
        <v>3924</v>
      </c>
    </row>
    <row r="74" spans="1:14" ht="75" customHeight="1" thickTop="1" thickBot="1">
      <c r="A74" s="26">
        <v>72</v>
      </c>
      <c r="B74" s="26">
        <v>76</v>
      </c>
      <c r="C74" s="55" t="s">
        <v>6633</v>
      </c>
      <c r="D74" s="56" t="s">
        <v>26</v>
      </c>
      <c r="E74" s="56" t="s">
        <v>1710</v>
      </c>
      <c r="F74" s="26" t="s">
        <v>3923</v>
      </c>
      <c r="G74" s="26" t="s">
        <v>1419</v>
      </c>
      <c r="H74" s="26" t="s">
        <v>13</v>
      </c>
      <c r="I74" s="26" t="s">
        <v>3924</v>
      </c>
      <c r="J74" s="26" t="s">
        <v>6634</v>
      </c>
      <c r="K74" s="26" t="s">
        <v>6445</v>
      </c>
      <c r="L74" s="26" t="s">
        <v>6635</v>
      </c>
      <c r="M74" s="55" t="s">
        <v>6636</v>
      </c>
      <c r="N74" s="26" t="s">
        <v>3924</v>
      </c>
    </row>
    <row r="75" spans="1:14" ht="75" customHeight="1" thickTop="1" thickBot="1">
      <c r="A75" s="34">
        <v>73</v>
      </c>
      <c r="B75" s="34">
        <v>77</v>
      </c>
      <c r="C75" s="55" t="s">
        <v>6637</v>
      </c>
      <c r="D75" s="56" t="s">
        <v>26</v>
      </c>
      <c r="E75" s="56" t="s">
        <v>1710</v>
      </c>
      <c r="F75" s="26" t="s">
        <v>3923</v>
      </c>
      <c r="G75" s="26" t="s">
        <v>1419</v>
      </c>
      <c r="H75" s="26" t="s">
        <v>13</v>
      </c>
      <c r="I75" s="26" t="s">
        <v>3924</v>
      </c>
      <c r="J75" s="26" t="s">
        <v>6634</v>
      </c>
      <c r="K75" s="26" t="s">
        <v>6483</v>
      </c>
      <c r="L75" s="26" t="s">
        <v>6638</v>
      </c>
      <c r="M75" s="55" t="s">
        <v>6639</v>
      </c>
      <c r="N75" s="26" t="s">
        <v>3924</v>
      </c>
    </row>
    <row r="76" spans="1:14" ht="75" customHeight="1" thickTop="1" thickBot="1">
      <c r="A76" s="26">
        <v>74</v>
      </c>
      <c r="B76" s="26">
        <v>78</v>
      </c>
      <c r="C76" s="55" t="s">
        <v>6637</v>
      </c>
      <c r="D76" s="56" t="s">
        <v>26</v>
      </c>
      <c r="E76" s="56" t="s">
        <v>1710</v>
      </c>
      <c r="F76" s="26" t="s">
        <v>3923</v>
      </c>
      <c r="G76" s="26" t="s">
        <v>1419</v>
      </c>
      <c r="H76" s="26" t="s">
        <v>13</v>
      </c>
      <c r="I76" s="26" t="s">
        <v>3924</v>
      </c>
      <c r="J76" s="26" t="s">
        <v>6640</v>
      </c>
      <c r="K76" s="26" t="s">
        <v>6483</v>
      </c>
      <c r="L76" s="26" t="s">
        <v>6641</v>
      </c>
      <c r="M76" s="55" t="s">
        <v>6642</v>
      </c>
      <c r="N76" s="26" t="s">
        <v>3924</v>
      </c>
    </row>
    <row r="77" spans="1:14" ht="75" customHeight="1" thickTop="1" thickBot="1">
      <c r="A77" s="34">
        <v>75</v>
      </c>
      <c r="B77" s="34">
        <v>79</v>
      </c>
      <c r="C77" s="55" t="s">
        <v>6643</v>
      </c>
      <c r="D77" s="56" t="s">
        <v>26</v>
      </c>
      <c r="E77" s="56" t="s">
        <v>1710</v>
      </c>
      <c r="F77" s="26" t="s">
        <v>3923</v>
      </c>
      <c r="G77" s="26" t="s">
        <v>1419</v>
      </c>
      <c r="H77" s="26" t="s">
        <v>13</v>
      </c>
      <c r="I77" s="26" t="s">
        <v>3924</v>
      </c>
      <c r="J77" s="26" t="s">
        <v>6644</v>
      </c>
      <c r="K77" s="26" t="s">
        <v>6483</v>
      </c>
      <c r="L77" s="26" t="s">
        <v>6451</v>
      </c>
      <c r="M77" s="55" t="s">
        <v>6645</v>
      </c>
      <c r="N77" s="26" t="s">
        <v>3924</v>
      </c>
    </row>
    <row r="78" spans="1:14" ht="75" customHeight="1" thickTop="1" thickBot="1">
      <c r="A78" s="26">
        <v>76</v>
      </c>
      <c r="B78" s="26">
        <v>80</v>
      </c>
      <c r="C78" s="55" t="s">
        <v>6643</v>
      </c>
      <c r="D78" s="56" t="s">
        <v>26</v>
      </c>
      <c r="E78" s="56" t="s">
        <v>1710</v>
      </c>
      <c r="F78" s="26" t="s">
        <v>3923</v>
      </c>
      <c r="G78" s="26" t="s">
        <v>1419</v>
      </c>
      <c r="H78" s="26" t="s">
        <v>13</v>
      </c>
      <c r="I78" s="26" t="s">
        <v>3924</v>
      </c>
      <c r="J78" s="26" t="s">
        <v>6646</v>
      </c>
      <c r="K78" s="26" t="s">
        <v>6434</v>
      </c>
      <c r="L78" s="26" t="s">
        <v>6435</v>
      </c>
      <c r="M78" s="55" t="s">
        <v>6647</v>
      </c>
      <c r="N78" s="26" t="s">
        <v>3924</v>
      </c>
    </row>
    <row r="79" spans="1:14" ht="75" customHeight="1" thickTop="1" thickBot="1">
      <c r="A79" s="34">
        <v>77</v>
      </c>
      <c r="B79" s="34">
        <v>81</v>
      </c>
      <c r="C79" s="55" t="s">
        <v>6648</v>
      </c>
      <c r="D79" s="56" t="s">
        <v>26</v>
      </c>
      <c r="E79" s="56" t="s">
        <v>1710</v>
      </c>
      <c r="F79" s="26" t="s">
        <v>3923</v>
      </c>
      <c r="G79" s="26" t="s">
        <v>1419</v>
      </c>
      <c r="H79" s="26" t="s">
        <v>13</v>
      </c>
      <c r="I79" s="26" t="s">
        <v>3924</v>
      </c>
      <c r="J79" s="26" t="s">
        <v>6649</v>
      </c>
      <c r="K79" s="26" t="s">
        <v>6483</v>
      </c>
      <c r="L79" s="26" t="s">
        <v>6638</v>
      </c>
      <c r="M79" s="55" t="s">
        <v>6650</v>
      </c>
      <c r="N79" s="26" t="s">
        <v>3924</v>
      </c>
    </row>
    <row r="80" spans="1:14" ht="75" customHeight="1" thickTop="1" thickBot="1">
      <c r="A80" s="26">
        <v>78</v>
      </c>
      <c r="B80" s="26">
        <v>82</v>
      </c>
      <c r="C80" s="55" t="s">
        <v>6649</v>
      </c>
      <c r="D80" s="56" t="s">
        <v>26</v>
      </c>
      <c r="E80" s="56" t="s">
        <v>1710</v>
      </c>
      <c r="F80" s="26" t="s">
        <v>3923</v>
      </c>
      <c r="G80" s="26" t="s">
        <v>12</v>
      </c>
      <c r="H80" s="26" t="s">
        <v>13</v>
      </c>
      <c r="I80" s="26" t="s">
        <v>3924</v>
      </c>
      <c r="J80" s="26" t="s">
        <v>6651</v>
      </c>
      <c r="K80" s="26" t="s">
        <v>6445</v>
      </c>
      <c r="L80" s="26" t="s">
        <v>6652</v>
      </c>
      <c r="M80" s="55" t="s">
        <v>6653</v>
      </c>
      <c r="N80" s="26" t="s">
        <v>3924</v>
      </c>
    </row>
    <row r="81" spans="1:14" ht="75" customHeight="1" thickTop="1" thickBot="1">
      <c r="A81" s="34">
        <v>79</v>
      </c>
      <c r="B81" s="34">
        <v>83</v>
      </c>
      <c r="C81" s="55" t="s">
        <v>6654</v>
      </c>
      <c r="D81" s="56" t="s">
        <v>26</v>
      </c>
      <c r="E81" s="56" t="s">
        <v>6480</v>
      </c>
      <c r="F81" s="26" t="s">
        <v>3923</v>
      </c>
      <c r="G81" s="26" t="s">
        <v>16</v>
      </c>
      <c r="H81" s="26" t="s">
        <v>13</v>
      </c>
      <c r="I81" s="26" t="s">
        <v>3924</v>
      </c>
      <c r="J81" s="26" t="s">
        <v>6654</v>
      </c>
      <c r="K81" s="26" t="s">
        <v>6445</v>
      </c>
      <c r="L81" s="26" t="s">
        <v>6435</v>
      </c>
      <c r="M81" s="55" t="s">
        <v>6655</v>
      </c>
      <c r="N81" s="26" t="s">
        <v>3924</v>
      </c>
    </row>
    <row r="82" spans="1:14" ht="75" customHeight="1" thickTop="1" thickBot="1">
      <c r="A82" s="26">
        <v>80</v>
      </c>
      <c r="B82" s="26">
        <v>84</v>
      </c>
      <c r="C82" s="55" t="s">
        <v>6656</v>
      </c>
      <c r="D82" s="56" t="s">
        <v>26</v>
      </c>
      <c r="E82" s="56" t="s">
        <v>6480</v>
      </c>
      <c r="F82" s="26" t="s">
        <v>3923</v>
      </c>
      <c r="G82" s="26" t="s">
        <v>16</v>
      </c>
      <c r="H82" s="26" t="s">
        <v>13</v>
      </c>
      <c r="I82" s="26" t="s">
        <v>3924</v>
      </c>
      <c r="J82" s="26" t="s">
        <v>6657</v>
      </c>
      <c r="K82" s="26" t="s">
        <v>6445</v>
      </c>
      <c r="L82" s="26" t="s">
        <v>6435</v>
      </c>
      <c r="M82" s="55" t="s">
        <v>6658</v>
      </c>
      <c r="N82" s="26" t="s">
        <v>3924</v>
      </c>
    </row>
    <row r="83" spans="1:14" ht="75" customHeight="1" thickTop="1" thickBot="1">
      <c r="A83" s="34">
        <v>81</v>
      </c>
      <c r="B83" s="34">
        <v>85</v>
      </c>
      <c r="C83" s="55" t="s">
        <v>6657</v>
      </c>
      <c r="D83" s="56" t="s">
        <v>26</v>
      </c>
      <c r="E83" s="56" t="s">
        <v>6480</v>
      </c>
      <c r="F83" s="26" t="s">
        <v>3923</v>
      </c>
      <c r="G83" s="26" t="s">
        <v>16</v>
      </c>
      <c r="H83" s="26" t="s">
        <v>13</v>
      </c>
      <c r="I83" s="26" t="s">
        <v>3924</v>
      </c>
      <c r="J83" s="26" t="s">
        <v>6659</v>
      </c>
      <c r="K83" s="26" t="s">
        <v>6445</v>
      </c>
      <c r="L83" s="26" t="s">
        <v>6435</v>
      </c>
      <c r="M83" s="55" t="s">
        <v>6660</v>
      </c>
      <c r="N83" s="26" t="s">
        <v>3924</v>
      </c>
    </row>
    <row r="84" spans="1:14" ht="75" customHeight="1" thickTop="1" thickBot="1">
      <c r="A84" s="26">
        <v>82</v>
      </c>
      <c r="B84" s="26">
        <v>86</v>
      </c>
      <c r="C84" s="55" t="s">
        <v>6661</v>
      </c>
      <c r="D84" s="56" t="s">
        <v>26</v>
      </c>
      <c r="E84" s="56" t="s">
        <v>6438</v>
      </c>
      <c r="F84" s="26" t="s">
        <v>3995</v>
      </c>
      <c r="G84" s="26" t="s">
        <v>12</v>
      </c>
      <c r="H84" s="26" t="s">
        <v>13</v>
      </c>
      <c r="I84" s="26" t="s">
        <v>3924</v>
      </c>
      <c r="J84" s="26" t="s">
        <v>6662</v>
      </c>
      <c r="K84" s="26" t="s">
        <v>6440</v>
      </c>
      <c r="L84" s="26" t="s">
        <v>6435</v>
      </c>
      <c r="M84" s="55" t="s">
        <v>6663</v>
      </c>
      <c r="N84" s="26" t="s">
        <v>3924</v>
      </c>
    </row>
    <row r="85" spans="1:14" ht="75" customHeight="1" thickTop="1" thickBot="1">
      <c r="A85" s="34">
        <v>83</v>
      </c>
      <c r="B85" s="34">
        <v>87</v>
      </c>
      <c r="C85" s="55" t="s">
        <v>6664</v>
      </c>
      <c r="D85" s="56" t="s">
        <v>26</v>
      </c>
      <c r="E85" s="56" t="s">
        <v>6448</v>
      </c>
      <c r="F85" s="26" t="s">
        <v>3923</v>
      </c>
      <c r="G85" s="26" t="s">
        <v>12</v>
      </c>
      <c r="H85" s="26" t="s">
        <v>13</v>
      </c>
      <c r="I85" s="26" t="s">
        <v>3924</v>
      </c>
      <c r="J85" s="26" t="s">
        <v>6664</v>
      </c>
      <c r="K85" s="26" t="s">
        <v>3954</v>
      </c>
      <c r="L85" s="26" t="s">
        <v>3927</v>
      </c>
      <c r="M85" s="55" t="s">
        <v>6665</v>
      </c>
      <c r="N85" s="26" t="s">
        <v>3924</v>
      </c>
    </row>
    <row r="86" spans="1:14" ht="75" customHeight="1" thickTop="1" thickBot="1">
      <c r="A86" s="26">
        <v>84</v>
      </c>
      <c r="B86" s="26">
        <v>88</v>
      </c>
      <c r="C86" s="55" t="s">
        <v>6666</v>
      </c>
      <c r="D86" s="56" t="s">
        <v>26</v>
      </c>
      <c r="E86" s="56" t="s">
        <v>6448</v>
      </c>
      <c r="F86" s="26" t="s">
        <v>3923</v>
      </c>
      <c r="G86" s="26" t="s">
        <v>12</v>
      </c>
      <c r="H86" s="26" t="s">
        <v>13</v>
      </c>
      <c r="I86" s="26" t="s">
        <v>3924</v>
      </c>
      <c r="J86" s="26" t="s">
        <v>6667</v>
      </c>
      <c r="K86" s="26" t="s">
        <v>6445</v>
      </c>
      <c r="L86" s="26" t="s">
        <v>6455</v>
      </c>
      <c r="M86" s="55" t="s">
        <v>6668</v>
      </c>
      <c r="N86" s="26" t="s">
        <v>3924</v>
      </c>
    </row>
    <row r="87" spans="1:14" ht="75" customHeight="1" thickTop="1" thickBot="1">
      <c r="A87" s="34">
        <v>85</v>
      </c>
      <c r="B87" s="34">
        <v>89</v>
      </c>
      <c r="C87" s="55" t="s">
        <v>6666</v>
      </c>
      <c r="D87" s="56" t="s">
        <v>26</v>
      </c>
      <c r="E87" s="56" t="s">
        <v>6448</v>
      </c>
      <c r="F87" s="26" t="s">
        <v>3923</v>
      </c>
      <c r="G87" s="26" t="s">
        <v>12</v>
      </c>
      <c r="H87" s="26" t="s">
        <v>13</v>
      </c>
      <c r="I87" s="26" t="s">
        <v>3924</v>
      </c>
      <c r="J87" s="26" t="s">
        <v>6667</v>
      </c>
      <c r="K87" s="26" t="s">
        <v>3954</v>
      </c>
      <c r="L87" s="26" t="s">
        <v>3927</v>
      </c>
      <c r="M87" s="55" t="s">
        <v>6669</v>
      </c>
      <c r="N87" s="26" t="s">
        <v>3924</v>
      </c>
    </row>
    <row r="88" spans="1:14" ht="75" customHeight="1" thickTop="1" thickBot="1">
      <c r="A88" s="26">
        <v>86</v>
      </c>
      <c r="B88" s="26">
        <v>90</v>
      </c>
      <c r="C88" s="55" t="s">
        <v>6670</v>
      </c>
      <c r="D88" s="56" t="s">
        <v>26</v>
      </c>
      <c r="E88" s="56" t="s">
        <v>6448</v>
      </c>
      <c r="F88" s="26" t="s">
        <v>3923</v>
      </c>
      <c r="G88" s="26" t="s">
        <v>1419</v>
      </c>
      <c r="H88" s="26" t="s">
        <v>13</v>
      </c>
      <c r="I88" s="26" t="s">
        <v>3924</v>
      </c>
      <c r="J88" s="26" t="s">
        <v>6671</v>
      </c>
      <c r="K88" s="26" t="s">
        <v>6440</v>
      </c>
      <c r="L88" s="26" t="s">
        <v>6455</v>
      </c>
      <c r="M88" s="55" t="s">
        <v>6672</v>
      </c>
      <c r="N88" s="26" t="s">
        <v>6673</v>
      </c>
    </row>
    <row r="89" spans="1:14" ht="75" customHeight="1" thickTop="1" thickBot="1">
      <c r="A89" s="34">
        <v>87</v>
      </c>
      <c r="B89" s="34">
        <v>91</v>
      </c>
      <c r="C89" s="55" t="s">
        <v>6674</v>
      </c>
      <c r="D89" s="56" t="s">
        <v>26</v>
      </c>
      <c r="E89" s="56" t="s">
        <v>6443</v>
      </c>
      <c r="F89" s="26" t="s">
        <v>3995</v>
      </c>
      <c r="G89" s="26" t="s">
        <v>12</v>
      </c>
      <c r="H89" s="26" t="s">
        <v>13</v>
      </c>
      <c r="I89" s="26" t="s">
        <v>3924</v>
      </c>
      <c r="J89" s="26" t="s">
        <v>6675</v>
      </c>
      <c r="K89" s="26" t="s">
        <v>6445</v>
      </c>
      <c r="L89" s="26" t="s">
        <v>3927</v>
      </c>
      <c r="M89" s="55" t="s">
        <v>6676</v>
      </c>
      <c r="N89" s="26" t="s">
        <v>3924</v>
      </c>
    </row>
    <row r="90" spans="1:14" ht="75" customHeight="1" thickTop="1" thickBot="1">
      <c r="A90" s="26">
        <v>88</v>
      </c>
      <c r="B90" s="26">
        <v>92</v>
      </c>
      <c r="C90" s="55" t="s">
        <v>6677</v>
      </c>
      <c r="D90" s="56" t="s">
        <v>26</v>
      </c>
      <c r="E90" s="56" t="s">
        <v>6438</v>
      </c>
      <c r="F90" s="26" t="s">
        <v>3995</v>
      </c>
      <c r="G90" s="26" t="s">
        <v>16</v>
      </c>
      <c r="H90" s="26" t="s">
        <v>13</v>
      </c>
      <c r="I90" s="26" t="s">
        <v>3924</v>
      </c>
      <c r="J90" s="26" t="s">
        <v>6678</v>
      </c>
      <c r="K90" s="26" t="s">
        <v>6440</v>
      </c>
      <c r="L90" s="26" t="s">
        <v>6679</v>
      </c>
      <c r="M90" s="55" t="s">
        <v>6680</v>
      </c>
      <c r="N90" s="26" t="s">
        <v>3924</v>
      </c>
    </row>
    <row r="91" spans="1:14" ht="75" customHeight="1" thickTop="1" thickBot="1">
      <c r="A91" s="34">
        <v>89</v>
      </c>
      <c r="B91" s="34">
        <v>93</v>
      </c>
      <c r="C91" s="55" t="s">
        <v>6681</v>
      </c>
      <c r="D91" s="56" t="s">
        <v>26</v>
      </c>
      <c r="E91" s="56" t="s">
        <v>6480</v>
      </c>
      <c r="F91" s="26" t="s">
        <v>3923</v>
      </c>
      <c r="G91" s="26" t="s">
        <v>16</v>
      </c>
      <c r="H91" s="26" t="s">
        <v>13</v>
      </c>
      <c r="I91" s="26" t="s">
        <v>3924</v>
      </c>
      <c r="J91" s="26" t="s">
        <v>6681</v>
      </c>
      <c r="K91" s="26" t="s">
        <v>6440</v>
      </c>
      <c r="L91" s="26" t="s">
        <v>6682</v>
      </c>
      <c r="M91" s="55" t="s">
        <v>6683</v>
      </c>
      <c r="N91" s="26" t="s">
        <v>3924</v>
      </c>
    </row>
    <row r="92" spans="1:14" ht="75" customHeight="1" thickTop="1" thickBot="1">
      <c r="A92" s="26">
        <v>90</v>
      </c>
      <c r="B92" s="26">
        <v>94</v>
      </c>
      <c r="C92" s="55" t="s">
        <v>6684</v>
      </c>
      <c r="D92" s="56" t="s">
        <v>26</v>
      </c>
      <c r="E92" s="56" t="s">
        <v>6480</v>
      </c>
      <c r="F92" s="26" t="s">
        <v>3923</v>
      </c>
      <c r="G92" s="26" t="s">
        <v>16</v>
      </c>
      <c r="H92" s="26" t="s">
        <v>13</v>
      </c>
      <c r="I92" s="26" t="s">
        <v>3924</v>
      </c>
      <c r="J92" s="26" t="s">
        <v>6685</v>
      </c>
      <c r="K92" s="26" t="s">
        <v>6440</v>
      </c>
      <c r="L92" s="26" t="s">
        <v>6686</v>
      </c>
      <c r="M92" s="55" t="s">
        <v>6687</v>
      </c>
      <c r="N92" s="26" t="s">
        <v>3924</v>
      </c>
    </row>
    <row r="93" spans="1:14" ht="75" customHeight="1" thickTop="1" thickBot="1">
      <c r="A93" s="34">
        <v>91</v>
      </c>
      <c r="B93" s="34">
        <v>95</v>
      </c>
      <c r="C93" s="55" t="s">
        <v>6688</v>
      </c>
      <c r="D93" s="56" t="s">
        <v>26</v>
      </c>
      <c r="E93" s="56" t="s">
        <v>27</v>
      </c>
      <c r="F93" s="26" t="s">
        <v>3995</v>
      </c>
      <c r="G93" s="26" t="s">
        <v>1419</v>
      </c>
      <c r="H93" s="26" t="s">
        <v>13</v>
      </c>
      <c r="I93" s="26" t="s">
        <v>3924</v>
      </c>
      <c r="J93" s="26" t="s">
        <v>6689</v>
      </c>
      <c r="K93" s="26" t="s">
        <v>6434</v>
      </c>
      <c r="L93" s="26" t="s">
        <v>6690</v>
      </c>
      <c r="M93" s="55" t="s">
        <v>6691</v>
      </c>
      <c r="N93" s="26" t="s">
        <v>3924</v>
      </c>
    </row>
    <row r="94" spans="1:14" ht="75" customHeight="1" thickTop="1" thickBot="1">
      <c r="A94" s="26">
        <v>92</v>
      </c>
      <c r="B94" s="26">
        <v>96</v>
      </c>
      <c r="C94" s="55" t="s">
        <v>6692</v>
      </c>
      <c r="D94" s="56" t="s">
        <v>26</v>
      </c>
      <c r="E94" s="56" t="s">
        <v>6438</v>
      </c>
      <c r="F94" s="26" t="s">
        <v>3995</v>
      </c>
      <c r="G94" s="26" t="s">
        <v>16</v>
      </c>
      <c r="H94" s="26" t="s">
        <v>13</v>
      </c>
      <c r="I94" s="26" t="s">
        <v>3924</v>
      </c>
      <c r="J94" s="26" t="s">
        <v>6678</v>
      </c>
      <c r="K94" s="26" t="s">
        <v>6440</v>
      </c>
      <c r="L94" s="26" t="s">
        <v>6693</v>
      </c>
      <c r="M94" s="55" t="s">
        <v>6694</v>
      </c>
      <c r="N94" s="26" t="s">
        <v>3924</v>
      </c>
    </row>
    <row r="95" spans="1:14" ht="75" customHeight="1" thickTop="1" thickBot="1">
      <c r="A95" s="34">
        <v>93</v>
      </c>
      <c r="B95" s="34">
        <v>97</v>
      </c>
      <c r="C95" s="55" t="s">
        <v>6695</v>
      </c>
      <c r="D95" s="56" t="s">
        <v>26</v>
      </c>
      <c r="E95" s="56" t="s">
        <v>6448</v>
      </c>
      <c r="F95" s="26" t="s">
        <v>3923</v>
      </c>
      <c r="G95" s="26" t="s">
        <v>12</v>
      </c>
      <c r="H95" s="26" t="s">
        <v>13</v>
      </c>
      <c r="I95" s="26" t="s">
        <v>3924</v>
      </c>
      <c r="J95" s="26" t="s">
        <v>6696</v>
      </c>
      <c r="K95" s="26" t="s">
        <v>6440</v>
      </c>
      <c r="L95" s="26" t="s">
        <v>3927</v>
      </c>
      <c r="M95" s="55" t="s">
        <v>6697</v>
      </c>
      <c r="N95" s="26" t="s">
        <v>3924</v>
      </c>
    </row>
    <row r="96" spans="1:14" ht="75" customHeight="1" thickTop="1" thickBot="1">
      <c r="A96" s="26">
        <v>94</v>
      </c>
      <c r="B96" s="26">
        <v>98</v>
      </c>
      <c r="C96" s="55" t="s">
        <v>6698</v>
      </c>
      <c r="D96" s="56" t="s">
        <v>26</v>
      </c>
      <c r="E96" s="56" t="s">
        <v>1710</v>
      </c>
      <c r="F96" s="26" t="s">
        <v>3923</v>
      </c>
      <c r="G96" s="26" t="s">
        <v>1419</v>
      </c>
      <c r="H96" s="26" t="s">
        <v>13</v>
      </c>
      <c r="I96" s="26" t="s">
        <v>3924</v>
      </c>
      <c r="J96" s="26" t="s">
        <v>6699</v>
      </c>
      <c r="K96" s="26" t="s">
        <v>6445</v>
      </c>
      <c r="L96" s="26" t="s">
        <v>6493</v>
      </c>
      <c r="M96" s="55" t="s">
        <v>6700</v>
      </c>
      <c r="N96" s="26" t="s">
        <v>3924</v>
      </c>
    </row>
    <row r="97" spans="1:14" ht="75" customHeight="1" thickTop="1" thickBot="1">
      <c r="A97" s="34">
        <v>95</v>
      </c>
      <c r="B97" s="34">
        <v>99</v>
      </c>
      <c r="C97" s="55" t="s">
        <v>6701</v>
      </c>
      <c r="D97" s="56" t="s">
        <v>26</v>
      </c>
      <c r="E97" s="56" t="s">
        <v>1710</v>
      </c>
      <c r="F97" s="26" t="s">
        <v>3923</v>
      </c>
      <c r="G97" s="26" t="s">
        <v>1419</v>
      </c>
      <c r="H97" s="26" t="s">
        <v>13</v>
      </c>
      <c r="I97" s="26" t="s">
        <v>3924</v>
      </c>
      <c r="J97" s="26" t="s">
        <v>6699</v>
      </c>
      <c r="K97" s="26" t="s">
        <v>6445</v>
      </c>
      <c r="L97" s="26" t="s">
        <v>6493</v>
      </c>
      <c r="M97" s="55" t="s">
        <v>6702</v>
      </c>
      <c r="N97" s="26" t="s">
        <v>3924</v>
      </c>
    </row>
    <row r="98" spans="1:14" ht="75" customHeight="1" thickTop="1" thickBot="1">
      <c r="A98" s="26">
        <v>96</v>
      </c>
      <c r="B98" s="26">
        <v>100</v>
      </c>
      <c r="C98" s="55" t="s">
        <v>6703</v>
      </c>
      <c r="D98" s="56" t="s">
        <v>26</v>
      </c>
      <c r="E98" s="56" t="s">
        <v>1710</v>
      </c>
      <c r="F98" s="26" t="s">
        <v>3923</v>
      </c>
      <c r="G98" s="26" t="s">
        <v>1419</v>
      </c>
      <c r="H98" s="26" t="s">
        <v>13</v>
      </c>
      <c r="I98" s="26" t="s">
        <v>3924</v>
      </c>
      <c r="J98" s="26" t="s">
        <v>6704</v>
      </c>
      <c r="K98" s="26" t="s">
        <v>6445</v>
      </c>
      <c r="L98" s="26" t="s">
        <v>6493</v>
      </c>
      <c r="M98" s="55" t="s">
        <v>6705</v>
      </c>
      <c r="N98" s="26" t="s">
        <v>3924</v>
      </c>
    </row>
    <row r="99" spans="1:14" ht="75" customHeight="1" thickTop="1" thickBot="1">
      <c r="A99" s="34">
        <v>97</v>
      </c>
      <c r="B99" s="34">
        <v>101</v>
      </c>
      <c r="C99" s="55" t="s">
        <v>6706</v>
      </c>
      <c r="D99" s="56" t="s">
        <v>26</v>
      </c>
      <c r="E99" s="56" t="s">
        <v>1710</v>
      </c>
      <c r="F99" s="26" t="s">
        <v>3923</v>
      </c>
      <c r="G99" s="26" t="s">
        <v>1419</v>
      </c>
      <c r="H99" s="26" t="s">
        <v>13</v>
      </c>
      <c r="I99" s="26" t="s">
        <v>3924</v>
      </c>
      <c r="J99" s="26" t="s">
        <v>6704</v>
      </c>
      <c r="K99" s="26" t="s">
        <v>6445</v>
      </c>
      <c r="L99" s="26" t="s">
        <v>6493</v>
      </c>
      <c r="M99" s="55" t="s">
        <v>6707</v>
      </c>
      <c r="N99" s="26" t="s">
        <v>3924</v>
      </c>
    </row>
    <row r="100" spans="1:14" ht="75" customHeight="1" thickTop="1" thickBot="1">
      <c r="A100" s="26">
        <v>98</v>
      </c>
      <c r="B100" s="26">
        <v>102</v>
      </c>
      <c r="C100" s="55" t="s">
        <v>6706</v>
      </c>
      <c r="D100" s="56" t="s">
        <v>26</v>
      </c>
      <c r="E100" s="56" t="s">
        <v>1710</v>
      </c>
      <c r="F100" s="26" t="s">
        <v>3923</v>
      </c>
      <c r="G100" s="26" t="s">
        <v>1419</v>
      </c>
      <c r="H100" s="26" t="s">
        <v>13</v>
      </c>
      <c r="I100" s="26" t="s">
        <v>3924</v>
      </c>
      <c r="J100" s="26" t="s">
        <v>6708</v>
      </c>
      <c r="K100" s="26" t="s">
        <v>6445</v>
      </c>
      <c r="L100" s="26" t="s">
        <v>6493</v>
      </c>
      <c r="M100" s="55" t="s">
        <v>6709</v>
      </c>
      <c r="N100" s="26" t="s">
        <v>3924</v>
      </c>
    </row>
    <row r="101" spans="1:14" ht="75" customHeight="1" thickTop="1" thickBot="1">
      <c r="A101" s="34">
        <v>99</v>
      </c>
      <c r="B101" s="34">
        <v>103</v>
      </c>
      <c r="C101" s="55" t="s">
        <v>6706</v>
      </c>
      <c r="D101" s="56" t="s">
        <v>26</v>
      </c>
      <c r="E101" s="56" t="s">
        <v>1710</v>
      </c>
      <c r="F101" s="26" t="s">
        <v>3923</v>
      </c>
      <c r="G101" s="26" t="s">
        <v>1419</v>
      </c>
      <c r="H101" s="26" t="s">
        <v>13</v>
      </c>
      <c r="I101" s="26" t="s">
        <v>3924</v>
      </c>
      <c r="J101" s="26" t="s">
        <v>6708</v>
      </c>
      <c r="K101" s="26" t="s">
        <v>6445</v>
      </c>
      <c r="L101" s="26" t="s">
        <v>6493</v>
      </c>
      <c r="M101" s="55" t="s">
        <v>6710</v>
      </c>
      <c r="N101" s="26" t="s">
        <v>3924</v>
      </c>
    </row>
    <row r="102" spans="1:14" ht="75" customHeight="1" thickTop="1" thickBot="1">
      <c r="A102" s="26">
        <v>100</v>
      </c>
      <c r="B102" s="26">
        <v>104</v>
      </c>
      <c r="C102" s="55" t="s">
        <v>6711</v>
      </c>
      <c r="D102" s="56" t="s">
        <v>26</v>
      </c>
      <c r="E102" s="56" t="s">
        <v>1710</v>
      </c>
      <c r="F102" s="26" t="s">
        <v>3923</v>
      </c>
      <c r="G102" s="26" t="s">
        <v>1419</v>
      </c>
      <c r="H102" s="26" t="s">
        <v>13</v>
      </c>
      <c r="I102" s="26" t="s">
        <v>3924</v>
      </c>
      <c r="J102" s="26" t="s">
        <v>6708</v>
      </c>
      <c r="K102" s="26" t="s">
        <v>6445</v>
      </c>
      <c r="L102" s="26" t="s">
        <v>6593</v>
      </c>
      <c r="M102" s="55" t="s">
        <v>6712</v>
      </c>
      <c r="N102" s="26" t="s">
        <v>3924</v>
      </c>
    </row>
    <row r="103" spans="1:14" ht="75" customHeight="1" thickTop="1" thickBot="1">
      <c r="A103" s="34">
        <v>101</v>
      </c>
      <c r="B103" s="34">
        <v>105</v>
      </c>
      <c r="C103" s="55" t="s">
        <v>6713</v>
      </c>
      <c r="D103" s="56" t="s">
        <v>26</v>
      </c>
      <c r="E103" s="56" t="s">
        <v>1710</v>
      </c>
      <c r="F103" s="26" t="s">
        <v>3923</v>
      </c>
      <c r="G103" s="26" t="s">
        <v>1419</v>
      </c>
      <c r="H103" s="26" t="s">
        <v>13</v>
      </c>
      <c r="I103" s="26" t="s">
        <v>3924</v>
      </c>
      <c r="J103" s="26" t="s">
        <v>6714</v>
      </c>
      <c r="K103" s="26" t="s">
        <v>6445</v>
      </c>
      <c r="L103" s="26" t="s">
        <v>6593</v>
      </c>
      <c r="M103" s="55" t="s">
        <v>6715</v>
      </c>
      <c r="N103" s="26" t="s">
        <v>3924</v>
      </c>
    </row>
    <row r="104" spans="1:14" ht="75" customHeight="1" thickTop="1" thickBot="1">
      <c r="A104" s="26">
        <v>102</v>
      </c>
      <c r="B104" s="26">
        <v>106</v>
      </c>
      <c r="C104" s="55" t="s">
        <v>6716</v>
      </c>
      <c r="D104" s="56" t="s">
        <v>26</v>
      </c>
      <c r="E104" s="56" t="s">
        <v>1710</v>
      </c>
      <c r="F104" s="26" t="s">
        <v>3923</v>
      </c>
      <c r="G104" s="26" t="s">
        <v>1419</v>
      </c>
      <c r="H104" s="26" t="s">
        <v>13</v>
      </c>
      <c r="I104" s="26" t="s">
        <v>3924</v>
      </c>
      <c r="J104" s="26" t="s">
        <v>6714</v>
      </c>
      <c r="K104" s="26" t="s">
        <v>6445</v>
      </c>
      <c r="L104" s="26" t="s">
        <v>6593</v>
      </c>
      <c r="M104" s="55" t="s">
        <v>6717</v>
      </c>
      <c r="N104" s="26" t="s">
        <v>3924</v>
      </c>
    </row>
    <row r="105" spans="1:14" ht="75" customHeight="1" thickTop="1" thickBot="1">
      <c r="A105" s="34">
        <v>103</v>
      </c>
      <c r="B105" s="34">
        <v>107</v>
      </c>
      <c r="C105" s="55" t="s">
        <v>6716</v>
      </c>
      <c r="D105" s="56" t="s">
        <v>26</v>
      </c>
      <c r="E105" s="56" t="s">
        <v>1710</v>
      </c>
      <c r="F105" s="26" t="s">
        <v>3923</v>
      </c>
      <c r="G105" s="26" t="s">
        <v>1419</v>
      </c>
      <c r="H105" s="26" t="s">
        <v>13</v>
      </c>
      <c r="I105" s="26" t="s">
        <v>3924</v>
      </c>
      <c r="J105" s="26" t="s">
        <v>6671</v>
      </c>
      <c r="K105" s="26" t="s">
        <v>6445</v>
      </c>
      <c r="L105" s="26" t="s">
        <v>6593</v>
      </c>
      <c r="M105" s="55" t="s">
        <v>6718</v>
      </c>
      <c r="N105" s="26" t="s">
        <v>3924</v>
      </c>
    </row>
    <row r="106" spans="1:14" ht="75" customHeight="1" thickTop="1" thickBot="1">
      <c r="A106" s="26">
        <v>104</v>
      </c>
      <c r="B106" s="26">
        <v>108</v>
      </c>
      <c r="C106" s="55" t="s">
        <v>6719</v>
      </c>
      <c r="D106" s="56" t="s">
        <v>26</v>
      </c>
      <c r="E106" s="56" t="s">
        <v>1710</v>
      </c>
      <c r="F106" s="26" t="s">
        <v>3923</v>
      </c>
      <c r="G106" s="26" t="s">
        <v>1419</v>
      </c>
      <c r="H106" s="26" t="s">
        <v>13</v>
      </c>
      <c r="I106" s="26" t="s">
        <v>3924</v>
      </c>
      <c r="J106" s="26" t="s">
        <v>6671</v>
      </c>
      <c r="K106" s="26" t="s">
        <v>6445</v>
      </c>
      <c r="L106" s="26" t="s">
        <v>6593</v>
      </c>
      <c r="M106" s="55" t="s">
        <v>6720</v>
      </c>
      <c r="N106" s="26" t="s">
        <v>3924</v>
      </c>
    </row>
    <row r="107" spans="1:14" ht="75" customHeight="1" thickTop="1" thickBot="1">
      <c r="A107" s="34">
        <v>105</v>
      </c>
      <c r="B107" s="34">
        <v>109</v>
      </c>
      <c r="C107" s="55" t="s">
        <v>6721</v>
      </c>
      <c r="D107" s="56" t="s">
        <v>26</v>
      </c>
      <c r="E107" s="56" t="s">
        <v>1710</v>
      </c>
      <c r="F107" s="26" t="s">
        <v>3923</v>
      </c>
      <c r="G107" s="26" t="s">
        <v>1419</v>
      </c>
      <c r="H107" s="26" t="s">
        <v>13</v>
      </c>
      <c r="I107" s="26" t="s">
        <v>3924</v>
      </c>
      <c r="J107" s="26" t="s">
        <v>6722</v>
      </c>
      <c r="K107" s="26" t="s">
        <v>6445</v>
      </c>
      <c r="L107" s="26" t="s">
        <v>6723</v>
      </c>
      <c r="M107" s="55" t="s">
        <v>6720</v>
      </c>
      <c r="N107" s="26" t="s">
        <v>3924</v>
      </c>
    </row>
    <row r="108" spans="1:14" ht="75" customHeight="1" thickTop="1" thickBot="1">
      <c r="A108" s="26">
        <v>106</v>
      </c>
      <c r="B108" s="26">
        <v>110</v>
      </c>
      <c r="C108" s="55" t="s">
        <v>6721</v>
      </c>
      <c r="D108" s="56" t="s">
        <v>26</v>
      </c>
      <c r="E108" s="56" t="s">
        <v>1710</v>
      </c>
      <c r="F108" s="26" t="s">
        <v>3923</v>
      </c>
      <c r="G108" s="26" t="s">
        <v>1419</v>
      </c>
      <c r="H108" s="26" t="s">
        <v>13</v>
      </c>
      <c r="I108" s="26" t="s">
        <v>3924</v>
      </c>
      <c r="J108" s="26" t="s">
        <v>6724</v>
      </c>
      <c r="K108" s="26" t="s">
        <v>6445</v>
      </c>
      <c r="L108" s="26" t="s">
        <v>6723</v>
      </c>
      <c r="M108" s="55" t="s">
        <v>6715</v>
      </c>
      <c r="N108" s="26" t="s">
        <v>3924</v>
      </c>
    </row>
    <row r="109" spans="1:14" ht="75" customHeight="1" thickTop="1" thickBot="1">
      <c r="A109" s="34">
        <v>107</v>
      </c>
      <c r="B109" s="34">
        <v>111</v>
      </c>
      <c r="C109" s="55" t="s">
        <v>6721</v>
      </c>
      <c r="D109" s="56" t="s">
        <v>26</v>
      </c>
      <c r="E109" s="56" t="s">
        <v>1710</v>
      </c>
      <c r="F109" s="26" t="s">
        <v>3923</v>
      </c>
      <c r="G109" s="26" t="s">
        <v>1419</v>
      </c>
      <c r="H109" s="26" t="s">
        <v>13</v>
      </c>
      <c r="I109" s="26" t="s">
        <v>3924</v>
      </c>
      <c r="J109" s="26" t="s">
        <v>6724</v>
      </c>
      <c r="K109" s="26" t="s">
        <v>6445</v>
      </c>
      <c r="L109" s="26" t="s">
        <v>6723</v>
      </c>
      <c r="M109" s="55" t="s">
        <v>6717</v>
      </c>
      <c r="N109" s="26" t="s">
        <v>3924</v>
      </c>
    </row>
    <row r="110" spans="1:14" ht="75" customHeight="1" thickTop="1" thickBot="1">
      <c r="A110" s="26">
        <v>108</v>
      </c>
      <c r="B110" s="26">
        <v>112</v>
      </c>
      <c r="C110" s="55" t="s">
        <v>6725</v>
      </c>
      <c r="D110" s="56" t="s">
        <v>26</v>
      </c>
      <c r="E110" s="56" t="s">
        <v>1710</v>
      </c>
      <c r="F110" s="26" t="s">
        <v>3923</v>
      </c>
      <c r="G110" s="26" t="s">
        <v>1419</v>
      </c>
      <c r="H110" s="26" t="s">
        <v>13</v>
      </c>
      <c r="I110" s="26" t="s">
        <v>3924</v>
      </c>
      <c r="J110" s="26" t="s">
        <v>6724</v>
      </c>
      <c r="K110" s="26" t="s">
        <v>6445</v>
      </c>
      <c r="L110" s="26" t="s">
        <v>6723</v>
      </c>
      <c r="M110" s="55" t="s">
        <v>6718</v>
      </c>
      <c r="N110" s="26" t="s">
        <v>3924</v>
      </c>
    </row>
    <row r="111" spans="1:14" ht="75" customHeight="1" thickTop="1" thickBot="1">
      <c r="A111" s="34">
        <v>109</v>
      </c>
      <c r="B111" s="34">
        <v>113</v>
      </c>
      <c r="C111" s="55" t="s">
        <v>6725</v>
      </c>
      <c r="D111" s="56" t="s">
        <v>26</v>
      </c>
      <c r="E111" s="56" t="s">
        <v>1710</v>
      </c>
      <c r="F111" s="26" t="s">
        <v>3923</v>
      </c>
      <c r="G111" s="26" t="s">
        <v>1419</v>
      </c>
      <c r="H111" s="26" t="s">
        <v>13</v>
      </c>
      <c r="I111" s="26" t="s">
        <v>3924</v>
      </c>
      <c r="J111" s="26" t="s">
        <v>6726</v>
      </c>
      <c r="K111" s="26" t="s">
        <v>6434</v>
      </c>
      <c r="L111" s="26" t="s">
        <v>6435</v>
      </c>
      <c r="M111" s="55" t="s">
        <v>6727</v>
      </c>
      <c r="N111" s="26" t="s">
        <v>3924</v>
      </c>
    </row>
    <row r="112" spans="1:14" ht="75" customHeight="1" thickTop="1" thickBot="1">
      <c r="A112" s="26">
        <v>110</v>
      </c>
      <c r="B112" s="26">
        <v>114</v>
      </c>
      <c r="C112" s="55" t="s">
        <v>6728</v>
      </c>
      <c r="D112" s="56" t="s">
        <v>26</v>
      </c>
      <c r="E112" s="56" t="s">
        <v>1710</v>
      </c>
      <c r="F112" s="26" t="s">
        <v>3923</v>
      </c>
      <c r="G112" s="26" t="s">
        <v>1419</v>
      </c>
      <c r="H112" s="26" t="s">
        <v>13</v>
      </c>
      <c r="I112" s="26" t="s">
        <v>3924</v>
      </c>
      <c r="J112" s="26" t="s">
        <v>6699</v>
      </c>
      <c r="K112" s="26" t="s">
        <v>6440</v>
      </c>
      <c r="L112" s="26" t="s">
        <v>6469</v>
      </c>
      <c r="M112" s="55" t="s">
        <v>6729</v>
      </c>
      <c r="N112" s="26" t="s">
        <v>3924</v>
      </c>
    </row>
    <row r="113" spans="1:14" ht="75" customHeight="1" thickTop="1" thickBot="1">
      <c r="A113" s="34">
        <v>111</v>
      </c>
      <c r="B113" s="34">
        <v>115</v>
      </c>
      <c r="C113" s="55" t="s">
        <v>6730</v>
      </c>
      <c r="D113" s="56" t="s">
        <v>26</v>
      </c>
      <c r="E113" s="56" t="s">
        <v>6480</v>
      </c>
      <c r="F113" s="26" t="s">
        <v>3923</v>
      </c>
      <c r="G113" s="26" t="s">
        <v>16</v>
      </c>
      <c r="H113" s="26" t="s">
        <v>13</v>
      </c>
      <c r="I113" s="26" t="s">
        <v>3924</v>
      </c>
      <c r="J113" s="26" t="s">
        <v>6731</v>
      </c>
      <c r="K113" s="26" t="s">
        <v>6445</v>
      </c>
      <c r="L113" s="26" t="s">
        <v>6435</v>
      </c>
      <c r="M113" s="55" t="s">
        <v>6732</v>
      </c>
      <c r="N113" s="26" t="s">
        <v>3924</v>
      </c>
    </row>
    <row r="114" spans="1:14" ht="75" customHeight="1" thickTop="1" thickBot="1">
      <c r="A114" s="26">
        <v>112</v>
      </c>
      <c r="B114" s="26">
        <v>116</v>
      </c>
      <c r="C114" s="55" t="s">
        <v>6731</v>
      </c>
      <c r="D114" s="56" t="s">
        <v>26</v>
      </c>
      <c r="E114" s="56" t="s">
        <v>6480</v>
      </c>
      <c r="F114" s="26" t="s">
        <v>3923</v>
      </c>
      <c r="G114" s="26" t="s">
        <v>16</v>
      </c>
      <c r="H114" s="26" t="s">
        <v>13</v>
      </c>
      <c r="I114" s="26" t="s">
        <v>3924</v>
      </c>
      <c r="J114" s="26" t="s">
        <v>6731</v>
      </c>
      <c r="K114" s="26" t="s">
        <v>6445</v>
      </c>
      <c r="L114" s="26" t="s">
        <v>6435</v>
      </c>
      <c r="M114" s="55" t="s">
        <v>6733</v>
      </c>
      <c r="N114" s="26" t="s">
        <v>3924</v>
      </c>
    </row>
    <row r="115" spans="1:14" ht="75" customHeight="1" thickTop="1" thickBot="1">
      <c r="A115" s="34">
        <v>113</v>
      </c>
      <c r="B115" s="34">
        <v>117</v>
      </c>
      <c r="C115" s="55" t="s">
        <v>6734</v>
      </c>
      <c r="D115" s="56" t="s">
        <v>26</v>
      </c>
      <c r="E115" s="56" t="s">
        <v>6586</v>
      </c>
      <c r="F115" s="26" t="s">
        <v>3923</v>
      </c>
      <c r="G115" s="26" t="s">
        <v>12</v>
      </c>
      <c r="H115" s="26" t="s">
        <v>13</v>
      </c>
      <c r="I115" s="26" t="s">
        <v>3924</v>
      </c>
      <c r="J115" s="26" t="s">
        <v>6734</v>
      </c>
      <c r="K115" s="26" t="s">
        <v>6483</v>
      </c>
      <c r="L115" s="26" t="s">
        <v>6451</v>
      </c>
      <c r="M115" s="55" t="s">
        <v>6735</v>
      </c>
      <c r="N115" s="26" t="s">
        <v>3924</v>
      </c>
    </row>
    <row r="116" spans="1:14" ht="75" customHeight="1" thickTop="1" thickBot="1">
      <c r="A116" s="26">
        <v>114</v>
      </c>
      <c r="B116" s="26">
        <v>118</v>
      </c>
      <c r="C116" s="55" t="s">
        <v>6736</v>
      </c>
      <c r="D116" s="56" t="s">
        <v>26</v>
      </c>
      <c r="E116" s="56" t="s">
        <v>6480</v>
      </c>
      <c r="F116" s="26" t="s">
        <v>3923</v>
      </c>
      <c r="G116" s="26" t="s">
        <v>16</v>
      </c>
      <c r="H116" s="26" t="s">
        <v>13</v>
      </c>
      <c r="I116" s="26" t="s">
        <v>3924</v>
      </c>
      <c r="J116" s="26" t="s">
        <v>6736</v>
      </c>
      <c r="K116" s="26" t="s">
        <v>6445</v>
      </c>
      <c r="L116" s="26" t="s">
        <v>6737</v>
      </c>
      <c r="M116" s="55" t="s">
        <v>6613</v>
      </c>
      <c r="N116" s="26" t="s">
        <v>3924</v>
      </c>
    </row>
    <row r="117" spans="1:14" ht="75" customHeight="1" thickTop="1" thickBot="1">
      <c r="A117" s="34">
        <v>115</v>
      </c>
      <c r="B117" s="34">
        <v>119</v>
      </c>
      <c r="C117" s="55" t="s">
        <v>6738</v>
      </c>
      <c r="D117" s="56" t="s">
        <v>26</v>
      </c>
      <c r="E117" s="56" t="s">
        <v>6480</v>
      </c>
      <c r="F117" s="26" t="s">
        <v>3923</v>
      </c>
      <c r="G117" s="26" t="s">
        <v>16</v>
      </c>
      <c r="H117" s="26" t="s">
        <v>13</v>
      </c>
      <c r="I117" s="26" t="s">
        <v>3924</v>
      </c>
      <c r="J117" s="26" t="s">
        <v>6738</v>
      </c>
      <c r="K117" s="26" t="s">
        <v>6445</v>
      </c>
      <c r="L117" s="26" t="s">
        <v>6602</v>
      </c>
      <c r="M117" s="55" t="s">
        <v>6739</v>
      </c>
      <c r="N117" s="26" t="s">
        <v>3924</v>
      </c>
    </row>
    <row r="118" spans="1:14" ht="75" customHeight="1" thickTop="1" thickBot="1">
      <c r="A118" s="26">
        <v>116</v>
      </c>
      <c r="B118" s="26">
        <v>120</v>
      </c>
      <c r="C118" s="55" t="s">
        <v>6740</v>
      </c>
      <c r="D118" s="56" t="s">
        <v>26</v>
      </c>
      <c r="E118" s="56" t="s">
        <v>6480</v>
      </c>
      <c r="F118" s="26" t="s">
        <v>3923</v>
      </c>
      <c r="G118" s="26" t="s">
        <v>16</v>
      </c>
      <c r="H118" s="26" t="s">
        <v>13</v>
      </c>
      <c r="I118" s="26" t="s">
        <v>3924</v>
      </c>
      <c r="J118" s="26" t="s">
        <v>6740</v>
      </c>
      <c r="K118" s="26" t="s">
        <v>6445</v>
      </c>
      <c r="L118" s="26" t="s">
        <v>6602</v>
      </c>
      <c r="M118" s="55" t="s">
        <v>6741</v>
      </c>
      <c r="N118" s="26" t="s">
        <v>3924</v>
      </c>
    </row>
    <row r="119" spans="1:14" ht="75" customHeight="1" thickTop="1" thickBot="1">
      <c r="A119" s="34">
        <v>117</v>
      </c>
      <c r="B119" s="34">
        <v>121</v>
      </c>
      <c r="C119" s="55" t="s">
        <v>6742</v>
      </c>
      <c r="D119" s="56" t="s">
        <v>26</v>
      </c>
      <c r="E119" s="56" t="s">
        <v>6480</v>
      </c>
      <c r="F119" s="26" t="s">
        <v>3923</v>
      </c>
      <c r="G119" s="26" t="s">
        <v>16</v>
      </c>
      <c r="H119" s="26" t="s">
        <v>13</v>
      </c>
      <c r="I119" s="26" t="s">
        <v>3924</v>
      </c>
      <c r="J119" s="26" t="s">
        <v>6742</v>
      </c>
      <c r="K119" s="26" t="s">
        <v>6445</v>
      </c>
      <c r="L119" s="26" t="s">
        <v>6743</v>
      </c>
      <c r="M119" s="55" t="s">
        <v>6613</v>
      </c>
      <c r="N119" s="26" t="s">
        <v>3924</v>
      </c>
    </row>
    <row r="120" spans="1:14" ht="75" customHeight="1" thickTop="1" thickBot="1">
      <c r="A120" s="26">
        <v>118</v>
      </c>
      <c r="B120" s="26">
        <v>122</v>
      </c>
      <c r="C120" s="55" t="s">
        <v>6742</v>
      </c>
      <c r="D120" s="56" t="s">
        <v>26</v>
      </c>
      <c r="E120" s="56" t="s">
        <v>6480</v>
      </c>
      <c r="F120" s="26" t="s">
        <v>3923</v>
      </c>
      <c r="G120" s="26" t="s">
        <v>16</v>
      </c>
      <c r="H120" s="26" t="s">
        <v>13</v>
      </c>
      <c r="I120" s="26" t="s">
        <v>3924</v>
      </c>
      <c r="J120" s="26" t="s">
        <v>6744</v>
      </c>
      <c r="K120" s="26" t="s">
        <v>6445</v>
      </c>
      <c r="L120" s="26" t="s">
        <v>6745</v>
      </c>
      <c r="M120" s="55" t="s">
        <v>6746</v>
      </c>
      <c r="N120" s="26" t="s">
        <v>3924</v>
      </c>
    </row>
    <row r="121" spans="1:14" ht="75" customHeight="1" thickTop="1" thickBot="1">
      <c r="A121" s="34">
        <v>119</v>
      </c>
      <c r="B121" s="34">
        <v>123</v>
      </c>
      <c r="C121" s="55" t="s">
        <v>6744</v>
      </c>
      <c r="D121" s="56" t="s">
        <v>26</v>
      </c>
      <c r="E121" s="56" t="s">
        <v>6480</v>
      </c>
      <c r="F121" s="26" t="s">
        <v>3923</v>
      </c>
      <c r="G121" s="26" t="s">
        <v>16</v>
      </c>
      <c r="H121" s="26" t="s">
        <v>13</v>
      </c>
      <c r="I121" s="26" t="s">
        <v>3924</v>
      </c>
      <c r="J121" s="26" t="s">
        <v>6744</v>
      </c>
      <c r="K121" s="26" t="s">
        <v>6445</v>
      </c>
      <c r="L121" s="26" t="s">
        <v>6743</v>
      </c>
      <c r="M121" s="55" t="s">
        <v>6747</v>
      </c>
      <c r="N121" s="26" t="s">
        <v>3924</v>
      </c>
    </row>
    <row r="122" spans="1:14" ht="75" customHeight="1" thickTop="1" thickBot="1">
      <c r="A122" s="26">
        <v>120</v>
      </c>
      <c r="B122" s="26">
        <v>124</v>
      </c>
      <c r="C122" s="55" t="s">
        <v>6748</v>
      </c>
      <c r="D122" s="56" t="s">
        <v>26</v>
      </c>
      <c r="E122" s="56" t="s">
        <v>6448</v>
      </c>
      <c r="F122" s="26" t="s">
        <v>3923</v>
      </c>
      <c r="G122" s="26" t="s">
        <v>12</v>
      </c>
      <c r="H122" s="26" t="s">
        <v>13</v>
      </c>
      <c r="I122" s="26" t="s">
        <v>3924</v>
      </c>
      <c r="J122" s="26" t="s">
        <v>6749</v>
      </c>
      <c r="K122" s="26" t="s">
        <v>6445</v>
      </c>
      <c r="L122" s="26" t="s">
        <v>6593</v>
      </c>
      <c r="M122" s="55" t="s">
        <v>6750</v>
      </c>
      <c r="N122" s="26" t="s">
        <v>3924</v>
      </c>
    </row>
    <row r="123" spans="1:14" ht="75" customHeight="1" thickTop="1" thickBot="1">
      <c r="A123" s="34">
        <v>121</v>
      </c>
      <c r="B123" s="34">
        <v>125</v>
      </c>
      <c r="C123" s="55" t="s">
        <v>6751</v>
      </c>
      <c r="D123" s="56" t="s">
        <v>26</v>
      </c>
      <c r="E123" s="56" t="s">
        <v>6448</v>
      </c>
      <c r="F123" s="26" t="s">
        <v>3923</v>
      </c>
      <c r="G123" s="26" t="s">
        <v>12</v>
      </c>
      <c r="H123" s="26" t="s">
        <v>13</v>
      </c>
      <c r="I123" s="26" t="s">
        <v>3924</v>
      </c>
      <c r="J123" s="26" t="s">
        <v>6752</v>
      </c>
      <c r="K123" s="26" t="s">
        <v>3954</v>
      </c>
      <c r="L123" s="26" t="s">
        <v>3927</v>
      </c>
      <c r="M123" s="55" t="s">
        <v>6753</v>
      </c>
      <c r="N123" s="26" t="s">
        <v>3924</v>
      </c>
    </row>
    <row r="124" spans="1:14" ht="75" customHeight="1" thickTop="1" thickBot="1">
      <c r="A124" s="26">
        <v>122</v>
      </c>
      <c r="B124" s="26">
        <v>126</v>
      </c>
      <c r="C124" s="55" t="s">
        <v>6754</v>
      </c>
      <c r="D124" s="56" t="s">
        <v>26</v>
      </c>
      <c r="E124" s="56" t="s">
        <v>6448</v>
      </c>
      <c r="F124" s="26" t="s">
        <v>3923</v>
      </c>
      <c r="G124" s="26" t="s">
        <v>12</v>
      </c>
      <c r="H124" s="26" t="s">
        <v>13</v>
      </c>
      <c r="I124" s="26" t="s">
        <v>3924</v>
      </c>
      <c r="J124" s="26" t="s">
        <v>6755</v>
      </c>
      <c r="K124" s="26" t="s">
        <v>6445</v>
      </c>
      <c r="L124" s="26" t="s">
        <v>6493</v>
      </c>
      <c r="M124" s="55" t="s">
        <v>6756</v>
      </c>
      <c r="N124" s="26" t="s">
        <v>3924</v>
      </c>
    </row>
    <row r="125" spans="1:14" ht="75" customHeight="1" thickTop="1" thickBot="1">
      <c r="A125" s="34">
        <v>123</v>
      </c>
      <c r="B125" s="34">
        <v>127</v>
      </c>
      <c r="C125" s="55" t="s">
        <v>6757</v>
      </c>
      <c r="D125" s="56" t="s">
        <v>26</v>
      </c>
      <c r="E125" s="56" t="s">
        <v>6461</v>
      </c>
      <c r="F125" s="26" t="s">
        <v>3923</v>
      </c>
      <c r="G125" s="26" t="s">
        <v>74</v>
      </c>
      <c r="H125" s="26" t="s">
        <v>13</v>
      </c>
      <c r="I125" s="26" t="s">
        <v>3924</v>
      </c>
      <c r="J125" s="26" t="s">
        <v>3993</v>
      </c>
      <c r="K125" s="26" t="s">
        <v>6511</v>
      </c>
      <c r="L125" s="26" t="s">
        <v>6463</v>
      </c>
      <c r="M125" s="55" t="s">
        <v>6758</v>
      </c>
      <c r="N125" s="26" t="s">
        <v>3924</v>
      </c>
    </row>
    <row r="126" spans="1:14" ht="75" customHeight="1" thickTop="1" thickBot="1">
      <c r="A126" s="26">
        <v>124</v>
      </c>
      <c r="B126" s="26">
        <v>128</v>
      </c>
      <c r="C126" s="55" t="s">
        <v>6759</v>
      </c>
      <c r="D126" s="56" t="s">
        <v>26</v>
      </c>
      <c r="E126" s="56" t="s">
        <v>6438</v>
      </c>
      <c r="F126" s="26" t="s">
        <v>3995</v>
      </c>
      <c r="G126" s="26" t="s">
        <v>16</v>
      </c>
      <c r="H126" s="26" t="s">
        <v>13</v>
      </c>
      <c r="I126" s="26" t="s">
        <v>3924</v>
      </c>
      <c r="J126" s="26" t="s">
        <v>6760</v>
      </c>
      <c r="K126" s="26" t="s">
        <v>6440</v>
      </c>
      <c r="L126" s="26" t="s">
        <v>6469</v>
      </c>
      <c r="M126" s="55" t="s">
        <v>6761</v>
      </c>
      <c r="N126" s="26" t="s">
        <v>3924</v>
      </c>
    </row>
    <row r="127" spans="1:14" ht="75" customHeight="1" thickTop="1" thickBot="1">
      <c r="A127" s="34">
        <v>125</v>
      </c>
      <c r="B127" s="34">
        <v>129</v>
      </c>
      <c r="C127" s="55" t="s">
        <v>6762</v>
      </c>
      <c r="D127" s="56" t="s">
        <v>26</v>
      </c>
      <c r="E127" s="56" t="s">
        <v>1710</v>
      </c>
      <c r="F127" s="26" t="s">
        <v>3923</v>
      </c>
      <c r="G127" s="26" t="s">
        <v>1419</v>
      </c>
      <c r="H127" s="26" t="s">
        <v>13</v>
      </c>
      <c r="I127" s="26" t="s">
        <v>3924</v>
      </c>
      <c r="J127" s="26" t="s">
        <v>6763</v>
      </c>
      <c r="K127" s="26" t="s">
        <v>6445</v>
      </c>
      <c r="L127" s="26" t="s">
        <v>6764</v>
      </c>
      <c r="M127" s="55" t="s">
        <v>6765</v>
      </c>
      <c r="N127" s="26" t="s">
        <v>3924</v>
      </c>
    </row>
    <row r="128" spans="1:14" ht="75" customHeight="1" thickTop="1" thickBot="1">
      <c r="A128" s="26">
        <v>126</v>
      </c>
      <c r="B128" s="26">
        <v>130</v>
      </c>
      <c r="C128" s="55" t="s">
        <v>6766</v>
      </c>
      <c r="D128" s="56" t="s">
        <v>26</v>
      </c>
      <c r="E128" s="56" t="s">
        <v>1710</v>
      </c>
      <c r="F128" s="26" t="s">
        <v>3923</v>
      </c>
      <c r="G128" s="26" t="s">
        <v>1419</v>
      </c>
      <c r="H128" s="26" t="s">
        <v>13</v>
      </c>
      <c r="I128" s="26" t="s">
        <v>3924</v>
      </c>
      <c r="J128" s="26" t="s">
        <v>6767</v>
      </c>
      <c r="K128" s="26" t="s">
        <v>6445</v>
      </c>
      <c r="L128" s="26" t="s">
        <v>6768</v>
      </c>
      <c r="M128" s="55" t="s">
        <v>6765</v>
      </c>
      <c r="N128" s="26" t="s">
        <v>3924</v>
      </c>
    </row>
    <row r="129" spans="1:14" ht="75" customHeight="1" thickTop="1" thickBot="1">
      <c r="A129" s="34">
        <v>127</v>
      </c>
      <c r="B129" s="34">
        <v>131</v>
      </c>
      <c r="C129" s="55" t="s">
        <v>6769</v>
      </c>
      <c r="D129" s="56" t="s">
        <v>26</v>
      </c>
      <c r="E129" s="56" t="s">
        <v>1710</v>
      </c>
      <c r="F129" s="26" t="s">
        <v>3923</v>
      </c>
      <c r="G129" s="26" t="s">
        <v>1419</v>
      </c>
      <c r="H129" s="26" t="s">
        <v>13</v>
      </c>
      <c r="I129" s="26" t="s">
        <v>3924</v>
      </c>
      <c r="J129" s="26" t="s">
        <v>6767</v>
      </c>
      <c r="K129" s="26" t="s">
        <v>6445</v>
      </c>
      <c r="L129" s="26" t="s">
        <v>6770</v>
      </c>
      <c r="M129" s="55" t="s">
        <v>6771</v>
      </c>
      <c r="N129" s="26" t="s">
        <v>3924</v>
      </c>
    </row>
    <row r="130" spans="1:14" ht="75" customHeight="1" thickTop="1" thickBot="1">
      <c r="A130" s="26">
        <v>128</v>
      </c>
      <c r="B130" s="26">
        <v>132</v>
      </c>
      <c r="C130" s="55" t="s">
        <v>6769</v>
      </c>
      <c r="D130" s="56" t="s">
        <v>26</v>
      </c>
      <c r="E130" s="56" t="s">
        <v>1710</v>
      </c>
      <c r="F130" s="26" t="s">
        <v>3923</v>
      </c>
      <c r="G130" s="26" t="s">
        <v>1419</v>
      </c>
      <c r="H130" s="26" t="s">
        <v>13</v>
      </c>
      <c r="I130" s="26" t="s">
        <v>3924</v>
      </c>
      <c r="J130" s="26" t="s">
        <v>6767</v>
      </c>
      <c r="K130" s="26" t="s">
        <v>6445</v>
      </c>
      <c r="L130" s="26" t="s">
        <v>6772</v>
      </c>
      <c r="M130" s="55" t="s">
        <v>6773</v>
      </c>
      <c r="N130" s="26" t="s">
        <v>3924</v>
      </c>
    </row>
    <row r="131" spans="1:14" ht="75" customHeight="1" thickTop="1" thickBot="1">
      <c r="A131" s="34">
        <v>129</v>
      </c>
      <c r="B131" s="34">
        <v>133</v>
      </c>
      <c r="C131" s="55" t="s">
        <v>6774</v>
      </c>
      <c r="D131" s="56" t="s">
        <v>26</v>
      </c>
      <c r="E131" s="56" t="s">
        <v>1710</v>
      </c>
      <c r="F131" s="26" t="s">
        <v>3923</v>
      </c>
      <c r="G131" s="26" t="s">
        <v>1419</v>
      </c>
      <c r="H131" s="26" t="s">
        <v>13</v>
      </c>
      <c r="I131" s="26" t="s">
        <v>3924</v>
      </c>
      <c r="J131" s="26" t="s">
        <v>6775</v>
      </c>
      <c r="K131" s="26" t="s">
        <v>6445</v>
      </c>
      <c r="L131" s="26" t="s">
        <v>6776</v>
      </c>
      <c r="M131" s="55" t="s">
        <v>6773</v>
      </c>
      <c r="N131" s="26" t="s">
        <v>3924</v>
      </c>
    </row>
    <row r="132" spans="1:14" ht="75" customHeight="1" thickTop="1" thickBot="1">
      <c r="A132" s="26">
        <v>130</v>
      </c>
      <c r="B132" s="26">
        <v>134</v>
      </c>
      <c r="C132" s="55" t="s">
        <v>6774</v>
      </c>
      <c r="D132" s="56" t="s">
        <v>26</v>
      </c>
      <c r="E132" s="56" t="s">
        <v>1710</v>
      </c>
      <c r="F132" s="26" t="s">
        <v>3923</v>
      </c>
      <c r="G132" s="26" t="s">
        <v>1419</v>
      </c>
      <c r="H132" s="26" t="s">
        <v>13</v>
      </c>
      <c r="I132" s="26" t="s">
        <v>3924</v>
      </c>
      <c r="J132" s="26" t="s">
        <v>6775</v>
      </c>
      <c r="K132" s="26" t="s">
        <v>6445</v>
      </c>
      <c r="L132" s="26" t="s">
        <v>6777</v>
      </c>
      <c r="M132" s="55" t="s">
        <v>6773</v>
      </c>
      <c r="N132" s="26" t="s">
        <v>3924</v>
      </c>
    </row>
    <row r="133" spans="1:14" ht="75" customHeight="1" thickTop="1" thickBot="1">
      <c r="A133" s="34">
        <v>131</v>
      </c>
      <c r="B133" s="34">
        <v>135</v>
      </c>
      <c r="C133" s="55" t="s">
        <v>6778</v>
      </c>
      <c r="D133" s="56" t="s">
        <v>26</v>
      </c>
      <c r="E133" s="56" t="s">
        <v>1710</v>
      </c>
      <c r="F133" s="26" t="s">
        <v>3923</v>
      </c>
      <c r="G133" s="26" t="s">
        <v>12</v>
      </c>
      <c r="H133" s="26" t="s">
        <v>13</v>
      </c>
      <c r="I133" s="26" t="s">
        <v>3924</v>
      </c>
      <c r="J133" s="26" t="s">
        <v>6775</v>
      </c>
      <c r="K133" s="26" t="s">
        <v>6445</v>
      </c>
      <c r="L133" s="26" t="s">
        <v>6764</v>
      </c>
      <c r="M133" s="55" t="s">
        <v>6773</v>
      </c>
      <c r="N133" s="26" t="s">
        <v>3924</v>
      </c>
    </row>
    <row r="134" spans="1:14" ht="75" customHeight="1" thickTop="1" thickBot="1">
      <c r="A134" s="26">
        <v>132</v>
      </c>
      <c r="B134" s="26">
        <v>136</v>
      </c>
      <c r="C134" s="55" t="s">
        <v>6778</v>
      </c>
      <c r="D134" s="56" t="s">
        <v>26</v>
      </c>
      <c r="E134" s="56" t="s">
        <v>1710</v>
      </c>
      <c r="F134" s="26" t="s">
        <v>3923</v>
      </c>
      <c r="G134" s="26" t="s">
        <v>1419</v>
      </c>
      <c r="H134" s="26" t="s">
        <v>13</v>
      </c>
      <c r="I134" s="26" t="s">
        <v>3924</v>
      </c>
      <c r="J134" s="26" t="s">
        <v>6779</v>
      </c>
      <c r="K134" s="26" t="s">
        <v>6445</v>
      </c>
      <c r="L134" s="26" t="s">
        <v>6780</v>
      </c>
      <c r="M134" s="55" t="s">
        <v>6781</v>
      </c>
      <c r="N134" s="26" t="s">
        <v>3924</v>
      </c>
    </row>
    <row r="135" spans="1:14" ht="75" customHeight="1" thickTop="1" thickBot="1">
      <c r="A135" s="34">
        <v>133</v>
      </c>
      <c r="B135" s="34">
        <v>137</v>
      </c>
      <c r="C135" s="55" t="s">
        <v>6782</v>
      </c>
      <c r="D135" s="56" t="s">
        <v>26</v>
      </c>
      <c r="E135" s="56" t="s">
        <v>1710</v>
      </c>
      <c r="F135" s="26" t="s">
        <v>3923</v>
      </c>
      <c r="G135" s="26" t="s">
        <v>1419</v>
      </c>
      <c r="H135" s="26" t="s">
        <v>13</v>
      </c>
      <c r="I135" s="26" t="s">
        <v>3924</v>
      </c>
      <c r="J135" s="26" t="s">
        <v>6779</v>
      </c>
      <c r="K135" s="26" t="s">
        <v>6445</v>
      </c>
      <c r="L135" s="26" t="s">
        <v>6783</v>
      </c>
      <c r="M135" s="55" t="s">
        <v>6784</v>
      </c>
      <c r="N135" s="26" t="s">
        <v>3924</v>
      </c>
    </row>
    <row r="136" spans="1:14" ht="75" customHeight="1" thickTop="1" thickBot="1">
      <c r="A136" s="26">
        <v>134</v>
      </c>
      <c r="B136" s="26">
        <v>138</v>
      </c>
      <c r="C136" s="55" t="s">
        <v>6785</v>
      </c>
      <c r="D136" s="56" t="s">
        <v>26</v>
      </c>
      <c r="E136" s="56" t="s">
        <v>1710</v>
      </c>
      <c r="F136" s="26" t="s">
        <v>3923</v>
      </c>
      <c r="G136" s="26" t="s">
        <v>1419</v>
      </c>
      <c r="H136" s="26" t="s">
        <v>13</v>
      </c>
      <c r="I136" s="26" t="s">
        <v>3924</v>
      </c>
      <c r="J136" s="26" t="s">
        <v>6786</v>
      </c>
      <c r="K136" s="26" t="s">
        <v>6445</v>
      </c>
      <c r="L136" s="26" t="s">
        <v>6787</v>
      </c>
      <c r="M136" s="55" t="s">
        <v>6784</v>
      </c>
      <c r="N136" s="26" t="s">
        <v>3924</v>
      </c>
    </row>
    <row r="137" spans="1:14" ht="75" customHeight="1" thickTop="1" thickBot="1">
      <c r="A137" s="34">
        <v>135</v>
      </c>
      <c r="B137" s="34">
        <v>139</v>
      </c>
      <c r="C137" s="55" t="s">
        <v>6785</v>
      </c>
      <c r="D137" s="56" t="s">
        <v>26</v>
      </c>
      <c r="E137" s="56" t="s">
        <v>1710</v>
      </c>
      <c r="F137" s="26" t="s">
        <v>3923</v>
      </c>
      <c r="G137" s="26" t="s">
        <v>1419</v>
      </c>
      <c r="H137" s="26" t="s">
        <v>13</v>
      </c>
      <c r="I137" s="26" t="s">
        <v>3924</v>
      </c>
      <c r="J137" s="26" t="s">
        <v>6788</v>
      </c>
      <c r="K137" s="26" t="s">
        <v>6445</v>
      </c>
      <c r="L137" s="26" t="s">
        <v>6789</v>
      </c>
      <c r="M137" s="55" t="s">
        <v>6790</v>
      </c>
      <c r="N137" s="26" t="s">
        <v>3924</v>
      </c>
    </row>
    <row r="138" spans="1:14" ht="75" customHeight="1" thickTop="1" thickBot="1">
      <c r="A138" s="26">
        <v>136</v>
      </c>
      <c r="B138" s="26">
        <v>140</v>
      </c>
      <c r="C138" s="55" t="s">
        <v>6791</v>
      </c>
      <c r="D138" s="56" t="s">
        <v>26</v>
      </c>
      <c r="E138" s="56" t="s">
        <v>1710</v>
      </c>
      <c r="F138" s="26" t="s">
        <v>3923</v>
      </c>
      <c r="G138" s="26" t="s">
        <v>1419</v>
      </c>
      <c r="H138" s="26" t="s">
        <v>13</v>
      </c>
      <c r="I138" s="26" t="s">
        <v>3924</v>
      </c>
      <c r="J138" s="26" t="s">
        <v>6788</v>
      </c>
      <c r="K138" s="26" t="s">
        <v>6792</v>
      </c>
      <c r="L138" s="26" t="s">
        <v>6451</v>
      </c>
      <c r="M138" s="55" t="s">
        <v>6793</v>
      </c>
      <c r="N138" s="26" t="s">
        <v>3924</v>
      </c>
    </row>
    <row r="139" spans="1:14" ht="75" customHeight="1" thickTop="1" thickBot="1">
      <c r="A139" s="34">
        <v>137</v>
      </c>
      <c r="B139" s="34">
        <v>141</v>
      </c>
      <c r="C139" s="55" t="s">
        <v>6794</v>
      </c>
      <c r="D139" s="56" t="s">
        <v>26</v>
      </c>
      <c r="E139" s="56" t="s">
        <v>1710</v>
      </c>
      <c r="F139" s="26" t="s">
        <v>3923</v>
      </c>
      <c r="G139" s="26" t="s">
        <v>1419</v>
      </c>
      <c r="H139" s="26" t="s">
        <v>13</v>
      </c>
      <c r="I139" s="26" t="s">
        <v>3924</v>
      </c>
      <c r="J139" s="26" t="s">
        <v>6788</v>
      </c>
      <c r="K139" s="26" t="s">
        <v>6440</v>
      </c>
      <c r="L139" s="26" t="s">
        <v>6469</v>
      </c>
      <c r="M139" s="55" t="s">
        <v>6795</v>
      </c>
      <c r="N139" s="26" t="s">
        <v>3924</v>
      </c>
    </row>
    <row r="140" spans="1:14" ht="75" customHeight="1" thickTop="1" thickBot="1">
      <c r="A140" s="26">
        <v>138</v>
      </c>
      <c r="B140" s="26">
        <v>142</v>
      </c>
      <c r="C140" s="55" t="s">
        <v>6788</v>
      </c>
      <c r="D140" s="56" t="s">
        <v>26</v>
      </c>
      <c r="E140" s="56" t="s">
        <v>1710</v>
      </c>
      <c r="F140" s="26" t="s">
        <v>3923</v>
      </c>
      <c r="G140" s="26" t="s">
        <v>1419</v>
      </c>
      <c r="H140" s="26" t="s">
        <v>13</v>
      </c>
      <c r="I140" s="26" t="s">
        <v>3924</v>
      </c>
      <c r="J140" s="26" t="s">
        <v>6796</v>
      </c>
      <c r="K140" s="26" t="s">
        <v>6445</v>
      </c>
      <c r="L140" s="26" t="s">
        <v>6797</v>
      </c>
      <c r="M140" s="55" t="s">
        <v>6798</v>
      </c>
      <c r="N140" s="26" t="s">
        <v>3924</v>
      </c>
    </row>
    <row r="141" spans="1:14" ht="75" customHeight="1" thickTop="1" thickBot="1">
      <c r="A141" s="34">
        <v>139</v>
      </c>
      <c r="B141" s="34">
        <v>143</v>
      </c>
      <c r="C141" s="55" t="s">
        <v>6788</v>
      </c>
      <c r="D141" s="56" t="s">
        <v>26</v>
      </c>
      <c r="E141" s="56" t="s">
        <v>1710</v>
      </c>
      <c r="F141" s="26" t="s">
        <v>3923</v>
      </c>
      <c r="G141" s="26" t="s">
        <v>1419</v>
      </c>
      <c r="H141" s="26" t="s">
        <v>13</v>
      </c>
      <c r="I141" s="26" t="s">
        <v>3924</v>
      </c>
      <c r="J141" s="26" t="s">
        <v>6796</v>
      </c>
      <c r="K141" s="26" t="s">
        <v>6445</v>
      </c>
      <c r="L141" s="26" t="s">
        <v>6789</v>
      </c>
      <c r="M141" s="55" t="s">
        <v>6799</v>
      </c>
      <c r="N141" s="26" t="s">
        <v>3924</v>
      </c>
    </row>
    <row r="142" spans="1:14" ht="75" customHeight="1" thickTop="1" thickBot="1">
      <c r="A142" s="26">
        <v>140</v>
      </c>
      <c r="B142" s="26">
        <v>144</v>
      </c>
      <c r="C142" s="55" t="s">
        <v>6796</v>
      </c>
      <c r="D142" s="56" t="s">
        <v>26</v>
      </c>
      <c r="E142" s="56" t="s">
        <v>1710</v>
      </c>
      <c r="F142" s="26" t="s">
        <v>3923</v>
      </c>
      <c r="G142" s="26" t="s">
        <v>1419</v>
      </c>
      <c r="H142" s="26" t="s">
        <v>13</v>
      </c>
      <c r="I142" s="26" t="s">
        <v>3924</v>
      </c>
      <c r="J142" s="26" t="s">
        <v>6800</v>
      </c>
      <c r="K142" s="26" t="s">
        <v>6445</v>
      </c>
      <c r="L142" s="26" t="s">
        <v>6801</v>
      </c>
      <c r="M142" s="55" t="s">
        <v>6798</v>
      </c>
      <c r="N142" s="26" t="s">
        <v>3924</v>
      </c>
    </row>
    <row r="143" spans="1:14" ht="75" customHeight="1" thickTop="1" thickBot="1">
      <c r="A143" s="34">
        <v>141</v>
      </c>
      <c r="B143" s="34">
        <v>145</v>
      </c>
      <c r="C143" s="55" t="s">
        <v>6800</v>
      </c>
      <c r="D143" s="56" t="s">
        <v>26</v>
      </c>
      <c r="E143" s="56" t="s">
        <v>1710</v>
      </c>
      <c r="F143" s="26" t="s">
        <v>3923</v>
      </c>
      <c r="G143" s="26" t="s">
        <v>1419</v>
      </c>
      <c r="H143" s="26" t="s">
        <v>13</v>
      </c>
      <c r="I143" s="26" t="s">
        <v>3924</v>
      </c>
      <c r="J143" s="26" t="s">
        <v>6800</v>
      </c>
      <c r="K143" s="26" t="s">
        <v>6445</v>
      </c>
      <c r="L143" s="26" t="s">
        <v>6802</v>
      </c>
      <c r="M143" s="55" t="s">
        <v>6798</v>
      </c>
      <c r="N143" s="26" t="s">
        <v>3924</v>
      </c>
    </row>
    <row r="144" spans="1:14" ht="75" customHeight="1" thickTop="1" thickBot="1">
      <c r="A144" s="26">
        <v>142</v>
      </c>
      <c r="B144" s="26">
        <v>146</v>
      </c>
      <c r="C144" s="55" t="s">
        <v>6803</v>
      </c>
      <c r="D144" s="56" t="s">
        <v>26</v>
      </c>
      <c r="E144" s="56" t="s">
        <v>1710</v>
      </c>
      <c r="F144" s="26" t="s">
        <v>3923</v>
      </c>
      <c r="G144" s="26" t="s">
        <v>1419</v>
      </c>
      <c r="H144" s="26" t="s">
        <v>13</v>
      </c>
      <c r="I144" s="26" t="s">
        <v>3924</v>
      </c>
      <c r="J144" s="26" t="s">
        <v>6804</v>
      </c>
      <c r="K144" s="26" t="s">
        <v>6445</v>
      </c>
      <c r="L144" s="26" t="s">
        <v>6805</v>
      </c>
      <c r="M144" s="55" t="s">
        <v>6806</v>
      </c>
      <c r="N144" s="26" t="s">
        <v>3924</v>
      </c>
    </row>
    <row r="145" spans="1:14" ht="75" customHeight="1" thickTop="1" thickBot="1">
      <c r="A145" s="34">
        <v>143</v>
      </c>
      <c r="B145" s="34">
        <v>147</v>
      </c>
      <c r="C145" s="55" t="s">
        <v>6807</v>
      </c>
      <c r="D145" s="56" t="s">
        <v>26</v>
      </c>
      <c r="E145" s="56" t="s">
        <v>6480</v>
      </c>
      <c r="F145" s="26" t="s">
        <v>3923</v>
      </c>
      <c r="G145" s="26" t="s">
        <v>16</v>
      </c>
      <c r="H145" s="26" t="s">
        <v>13</v>
      </c>
      <c r="I145" s="26" t="s">
        <v>3924</v>
      </c>
      <c r="J145" s="26" t="s">
        <v>6807</v>
      </c>
      <c r="K145" s="26" t="s">
        <v>6434</v>
      </c>
      <c r="L145" s="26" t="s">
        <v>6808</v>
      </c>
      <c r="M145" s="55" t="s">
        <v>6809</v>
      </c>
      <c r="N145" s="26" t="s">
        <v>3924</v>
      </c>
    </row>
    <row r="146" spans="1:14" ht="75" customHeight="1" thickTop="1" thickBot="1">
      <c r="A146" s="26">
        <v>144</v>
      </c>
      <c r="B146" s="26">
        <v>148</v>
      </c>
      <c r="C146" s="55" t="s">
        <v>6810</v>
      </c>
      <c r="D146" s="56" t="s">
        <v>26</v>
      </c>
      <c r="E146" s="56" t="s">
        <v>6480</v>
      </c>
      <c r="F146" s="26" t="s">
        <v>3923</v>
      </c>
      <c r="G146" s="26" t="s">
        <v>16</v>
      </c>
      <c r="H146" s="26" t="s">
        <v>13</v>
      </c>
      <c r="I146" s="26" t="s">
        <v>3924</v>
      </c>
      <c r="J146" s="26" t="s">
        <v>6810</v>
      </c>
      <c r="K146" s="26" t="s">
        <v>6445</v>
      </c>
      <c r="L146" s="26" t="s">
        <v>6743</v>
      </c>
      <c r="M146" s="55" t="s">
        <v>6811</v>
      </c>
      <c r="N146" s="26" t="s">
        <v>3924</v>
      </c>
    </row>
    <row r="147" spans="1:14" ht="75" customHeight="1" thickTop="1" thickBot="1">
      <c r="A147" s="34">
        <v>145</v>
      </c>
      <c r="B147" s="34">
        <v>149</v>
      </c>
      <c r="C147" s="55" t="s">
        <v>6812</v>
      </c>
      <c r="D147" s="56" t="s">
        <v>26</v>
      </c>
      <c r="E147" s="56" t="s">
        <v>6480</v>
      </c>
      <c r="F147" s="26" t="s">
        <v>3923</v>
      </c>
      <c r="G147" s="26" t="s">
        <v>16</v>
      </c>
      <c r="H147" s="26" t="s">
        <v>13</v>
      </c>
      <c r="I147" s="26" t="s">
        <v>3924</v>
      </c>
      <c r="J147" s="26" t="s">
        <v>6812</v>
      </c>
      <c r="K147" s="26" t="s">
        <v>6445</v>
      </c>
      <c r="L147" s="26" t="s">
        <v>6813</v>
      </c>
      <c r="M147" s="55" t="s">
        <v>6814</v>
      </c>
      <c r="N147" s="26" t="s">
        <v>3924</v>
      </c>
    </row>
    <row r="148" spans="1:14" ht="75" customHeight="1" thickTop="1" thickBot="1">
      <c r="A148" s="26">
        <v>146</v>
      </c>
      <c r="B148" s="26">
        <v>150</v>
      </c>
      <c r="C148" s="55" t="s">
        <v>6815</v>
      </c>
      <c r="D148" s="56" t="s">
        <v>26</v>
      </c>
      <c r="E148" s="56" t="s">
        <v>6480</v>
      </c>
      <c r="F148" s="26" t="s">
        <v>3923</v>
      </c>
      <c r="G148" s="26" t="s">
        <v>16</v>
      </c>
      <c r="H148" s="26" t="s">
        <v>13</v>
      </c>
      <c r="I148" s="26" t="s">
        <v>3924</v>
      </c>
      <c r="J148" s="26" t="s">
        <v>6816</v>
      </c>
      <c r="K148" s="26" t="s">
        <v>6445</v>
      </c>
      <c r="L148" s="26" t="s">
        <v>6743</v>
      </c>
      <c r="M148" s="55" t="s">
        <v>6817</v>
      </c>
      <c r="N148" s="26" t="s">
        <v>3924</v>
      </c>
    </row>
    <row r="149" spans="1:14" ht="75" customHeight="1" thickTop="1" thickBot="1">
      <c r="A149" s="34">
        <v>147</v>
      </c>
      <c r="B149" s="34">
        <v>151</v>
      </c>
      <c r="C149" s="55" t="s">
        <v>6816</v>
      </c>
      <c r="D149" s="56" t="s">
        <v>26</v>
      </c>
      <c r="E149" s="56" t="s">
        <v>6480</v>
      </c>
      <c r="F149" s="26" t="s">
        <v>3923</v>
      </c>
      <c r="G149" s="26" t="s">
        <v>16</v>
      </c>
      <c r="H149" s="26" t="s">
        <v>13</v>
      </c>
      <c r="I149" s="26" t="s">
        <v>3924</v>
      </c>
      <c r="J149" s="26" t="s">
        <v>6818</v>
      </c>
      <c r="K149" s="26" t="s">
        <v>6445</v>
      </c>
      <c r="L149" s="26" t="s">
        <v>6819</v>
      </c>
      <c r="M149" s="55" t="s">
        <v>6820</v>
      </c>
      <c r="N149" s="26" t="s">
        <v>3924</v>
      </c>
    </row>
    <row r="150" spans="1:14" ht="75" customHeight="1" thickTop="1" thickBot="1">
      <c r="A150" s="26">
        <v>148</v>
      </c>
      <c r="B150" s="26">
        <v>152</v>
      </c>
      <c r="C150" s="55" t="s">
        <v>6818</v>
      </c>
      <c r="D150" s="56" t="s">
        <v>26</v>
      </c>
      <c r="E150" s="56" t="s">
        <v>6480</v>
      </c>
      <c r="F150" s="26" t="s">
        <v>3923</v>
      </c>
      <c r="G150" s="26" t="s">
        <v>16</v>
      </c>
      <c r="H150" s="26" t="s">
        <v>13</v>
      </c>
      <c r="I150" s="26" t="s">
        <v>3924</v>
      </c>
      <c r="J150" s="26" t="s">
        <v>6818</v>
      </c>
      <c r="K150" s="26" t="s">
        <v>6445</v>
      </c>
      <c r="L150" s="26" t="s">
        <v>6819</v>
      </c>
      <c r="M150" s="55" t="s">
        <v>6821</v>
      </c>
      <c r="N150" s="26" t="s">
        <v>3924</v>
      </c>
    </row>
    <row r="151" spans="1:14" ht="75" customHeight="1" thickTop="1" thickBot="1">
      <c r="A151" s="34">
        <v>149</v>
      </c>
      <c r="B151" s="34">
        <v>153</v>
      </c>
      <c r="C151" s="55" t="s">
        <v>6822</v>
      </c>
      <c r="D151" s="56" t="s">
        <v>26</v>
      </c>
      <c r="E151" s="56" t="s">
        <v>6480</v>
      </c>
      <c r="F151" s="26" t="s">
        <v>3923</v>
      </c>
      <c r="G151" s="26" t="s">
        <v>16</v>
      </c>
      <c r="H151" s="26" t="s">
        <v>13</v>
      </c>
      <c r="I151" s="26" t="s">
        <v>3924</v>
      </c>
      <c r="J151" s="26" t="s">
        <v>6822</v>
      </c>
      <c r="K151" s="26" t="s">
        <v>6445</v>
      </c>
      <c r="L151" s="26" t="s">
        <v>6823</v>
      </c>
      <c r="M151" s="55" t="s">
        <v>6824</v>
      </c>
      <c r="N151" s="26" t="s">
        <v>3924</v>
      </c>
    </row>
    <row r="152" spans="1:14" ht="75" customHeight="1" thickTop="1" thickBot="1">
      <c r="A152" s="26">
        <v>150</v>
      </c>
      <c r="B152" s="26">
        <v>154</v>
      </c>
      <c r="C152" s="55" t="s">
        <v>6822</v>
      </c>
      <c r="D152" s="56" t="s">
        <v>26</v>
      </c>
      <c r="E152" s="56" t="s">
        <v>6480</v>
      </c>
      <c r="F152" s="26" t="s">
        <v>3923</v>
      </c>
      <c r="G152" s="26" t="s">
        <v>16</v>
      </c>
      <c r="H152" s="26" t="s">
        <v>13</v>
      </c>
      <c r="I152" s="26" t="s">
        <v>3924</v>
      </c>
      <c r="J152" s="26" t="s">
        <v>6825</v>
      </c>
      <c r="K152" s="26" t="s">
        <v>6445</v>
      </c>
      <c r="L152" s="26" t="s">
        <v>6819</v>
      </c>
      <c r="M152" s="55" t="s">
        <v>6826</v>
      </c>
      <c r="N152" s="26" t="s">
        <v>3924</v>
      </c>
    </row>
    <row r="153" spans="1:14" ht="75" customHeight="1" thickTop="1" thickBot="1">
      <c r="A153" s="34">
        <v>151</v>
      </c>
      <c r="B153" s="34">
        <v>155</v>
      </c>
      <c r="C153" s="55" t="s">
        <v>6827</v>
      </c>
      <c r="D153" s="56" t="s">
        <v>26</v>
      </c>
      <c r="E153" s="56" t="s">
        <v>6480</v>
      </c>
      <c r="F153" s="26" t="s">
        <v>3923</v>
      </c>
      <c r="G153" s="26" t="s">
        <v>16</v>
      </c>
      <c r="H153" s="26" t="s">
        <v>13</v>
      </c>
      <c r="I153" s="26" t="s">
        <v>3924</v>
      </c>
      <c r="J153" s="26" t="s">
        <v>6828</v>
      </c>
      <c r="K153" s="26" t="s">
        <v>6445</v>
      </c>
      <c r="L153" s="26" t="s">
        <v>6745</v>
      </c>
      <c r="M153" s="55" t="s">
        <v>6829</v>
      </c>
      <c r="N153" s="26" t="s">
        <v>3924</v>
      </c>
    </row>
    <row r="154" spans="1:14" ht="75" customHeight="1" thickTop="1" thickBot="1">
      <c r="A154" s="26">
        <v>152</v>
      </c>
      <c r="B154" s="26">
        <v>156</v>
      </c>
      <c r="C154" s="55" t="s">
        <v>6828</v>
      </c>
      <c r="D154" s="56" t="s">
        <v>26</v>
      </c>
      <c r="E154" s="56" t="s">
        <v>6480</v>
      </c>
      <c r="F154" s="26" t="s">
        <v>3923</v>
      </c>
      <c r="G154" s="26" t="s">
        <v>16</v>
      </c>
      <c r="H154" s="26" t="s">
        <v>13</v>
      </c>
      <c r="I154" s="26" t="s">
        <v>3924</v>
      </c>
      <c r="J154" s="26" t="s">
        <v>6828</v>
      </c>
      <c r="K154" s="26" t="s">
        <v>6445</v>
      </c>
      <c r="L154" s="26" t="s">
        <v>6745</v>
      </c>
      <c r="M154" s="55" t="s">
        <v>6826</v>
      </c>
      <c r="N154" s="26" t="s">
        <v>3924</v>
      </c>
    </row>
    <row r="155" spans="1:14" ht="75" customHeight="1" thickTop="1" thickBot="1">
      <c r="A155" s="34">
        <v>153</v>
      </c>
      <c r="B155" s="34">
        <v>157</v>
      </c>
      <c r="C155" s="55" t="s">
        <v>6830</v>
      </c>
      <c r="D155" s="56" t="s">
        <v>26</v>
      </c>
      <c r="E155" s="56" t="s">
        <v>6480</v>
      </c>
      <c r="F155" s="26" t="s">
        <v>3923</v>
      </c>
      <c r="G155" s="26" t="s">
        <v>16</v>
      </c>
      <c r="H155" s="26" t="s">
        <v>13</v>
      </c>
      <c r="I155" s="26" t="s">
        <v>3924</v>
      </c>
      <c r="J155" s="26" t="s">
        <v>6831</v>
      </c>
      <c r="K155" s="26" t="s">
        <v>6445</v>
      </c>
      <c r="L155" s="26" t="s">
        <v>6832</v>
      </c>
      <c r="M155" s="55" t="s">
        <v>6613</v>
      </c>
      <c r="N155" s="26" t="s">
        <v>3924</v>
      </c>
    </row>
    <row r="156" spans="1:14" ht="75" customHeight="1" thickTop="1" thickBot="1">
      <c r="A156" s="26">
        <v>154</v>
      </c>
      <c r="B156" s="26">
        <v>158</v>
      </c>
      <c r="C156" s="55" t="s">
        <v>6831</v>
      </c>
      <c r="D156" s="56" t="s">
        <v>26</v>
      </c>
      <c r="E156" s="56" t="s">
        <v>6480</v>
      </c>
      <c r="F156" s="26" t="s">
        <v>3923</v>
      </c>
      <c r="G156" s="26" t="s">
        <v>16</v>
      </c>
      <c r="H156" s="26" t="s">
        <v>13</v>
      </c>
      <c r="I156" s="26" t="s">
        <v>3924</v>
      </c>
      <c r="J156" s="26" t="s">
        <v>6831</v>
      </c>
      <c r="K156" s="26" t="s">
        <v>6445</v>
      </c>
      <c r="L156" s="26" t="s">
        <v>6833</v>
      </c>
      <c r="M156" s="55" t="s">
        <v>6834</v>
      </c>
      <c r="N156" s="26" t="s">
        <v>3924</v>
      </c>
    </row>
    <row r="157" spans="1:14" ht="75" customHeight="1" thickTop="1" thickBot="1">
      <c r="A157" s="34">
        <v>155</v>
      </c>
      <c r="B157" s="34">
        <v>159</v>
      </c>
      <c r="C157" s="55" t="s">
        <v>6835</v>
      </c>
      <c r="D157" s="56" t="s">
        <v>26</v>
      </c>
      <c r="E157" s="56" t="s">
        <v>6480</v>
      </c>
      <c r="F157" s="26" t="s">
        <v>3923</v>
      </c>
      <c r="G157" s="26" t="s">
        <v>16</v>
      </c>
      <c r="H157" s="26" t="s">
        <v>13</v>
      </c>
      <c r="I157" s="26" t="s">
        <v>3924</v>
      </c>
      <c r="J157" s="26" t="s">
        <v>6836</v>
      </c>
      <c r="K157" s="26" t="s">
        <v>6445</v>
      </c>
      <c r="L157" s="26" t="s">
        <v>6833</v>
      </c>
      <c r="M157" s="55" t="s">
        <v>6826</v>
      </c>
      <c r="N157" s="26" t="s">
        <v>3924</v>
      </c>
    </row>
    <row r="158" spans="1:14" ht="75" customHeight="1" thickTop="1" thickBot="1">
      <c r="A158" s="26">
        <v>156</v>
      </c>
      <c r="B158" s="26">
        <v>160</v>
      </c>
      <c r="C158" s="55" t="s">
        <v>6836</v>
      </c>
      <c r="D158" s="56" t="s">
        <v>26</v>
      </c>
      <c r="E158" s="56" t="s">
        <v>6480</v>
      </c>
      <c r="F158" s="26" t="s">
        <v>3923</v>
      </c>
      <c r="G158" s="26" t="s">
        <v>16</v>
      </c>
      <c r="H158" s="26" t="s">
        <v>13</v>
      </c>
      <c r="I158" s="26" t="s">
        <v>3924</v>
      </c>
      <c r="J158" s="26" t="s">
        <v>6837</v>
      </c>
      <c r="K158" s="26" t="s">
        <v>6445</v>
      </c>
      <c r="L158" s="26" t="s">
        <v>6838</v>
      </c>
      <c r="M158" s="55" t="s">
        <v>6839</v>
      </c>
      <c r="N158" s="26" t="s">
        <v>3924</v>
      </c>
    </row>
    <row r="159" spans="1:14" ht="75" customHeight="1" thickTop="1" thickBot="1">
      <c r="A159" s="34">
        <v>157</v>
      </c>
      <c r="B159" s="34">
        <v>161</v>
      </c>
      <c r="C159" s="55" t="s">
        <v>6840</v>
      </c>
      <c r="D159" s="56" t="s">
        <v>26</v>
      </c>
      <c r="E159" s="56" t="s">
        <v>1710</v>
      </c>
      <c r="F159" s="26" t="s">
        <v>3923</v>
      </c>
      <c r="G159" s="26" t="s">
        <v>1419</v>
      </c>
      <c r="H159" s="26" t="s">
        <v>13</v>
      </c>
      <c r="I159" s="26" t="s">
        <v>3924</v>
      </c>
      <c r="J159" s="26" t="s">
        <v>6841</v>
      </c>
      <c r="K159" s="26" t="s">
        <v>6445</v>
      </c>
      <c r="L159" s="26" t="s">
        <v>6805</v>
      </c>
      <c r="M159" s="55" t="s">
        <v>6842</v>
      </c>
      <c r="N159" s="26" t="s">
        <v>3924</v>
      </c>
    </row>
    <row r="160" spans="1:14" ht="75" customHeight="1" thickTop="1" thickBot="1">
      <c r="A160" s="26">
        <v>158</v>
      </c>
      <c r="B160" s="26">
        <v>162</v>
      </c>
      <c r="C160" s="55" t="s">
        <v>6840</v>
      </c>
      <c r="D160" s="56" t="s">
        <v>26</v>
      </c>
      <c r="E160" s="56" t="s">
        <v>1710</v>
      </c>
      <c r="F160" s="26" t="s">
        <v>3923</v>
      </c>
      <c r="G160" s="26" t="s">
        <v>1419</v>
      </c>
      <c r="H160" s="26" t="s">
        <v>13</v>
      </c>
      <c r="I160" s="26" t="s">
        <v>3924</v>
      </c>
      <c r="J160" s="26" t="s">
        <v>6843</v>
      </c>
      <c r="K160" s="26" t="s">
        <v>6445</v>
      </c>
      <c r="L160" s="26" t="s">
        <v>6805</v>
      </c>
      <c r="M160" s="55" t="s">
        <v>6842</v>
      </c>
      <c r="N160" s="26" t="s">
        <v>3924</v>
      </c>
    </row>
    <row r="161" spans="1:14" ht="75" customHeight="1" thickTop="1" thickBot="1">
      <c r="A161" s="34">
        <v>159</v>
      </c>
      <c r="B161" s="34">
        <v>163</v>
      </c>
      <c r="C161" s="55" t="s">
        <v>6840</v>
      </c>
      <c r="D161" s="56" t="s">
        <v>26</v>
      </c>
      <c r="E161" s="56" t="s">
        <v>1710</v>
      </c>
      <c r="F161" s="26" t="s">
        <v>3923</v>
      </c>
      <c r="G161" s="26" t="s">
        <v>1419</v>
      </c>
      <c r="H161" s="26" t="s">
        <v>13</v>
      </c>
      <c r="I161" s="26" t="s">
        <v>3924</v>
      </c>
      <c r="J161" s="26" t="s">
        <v>6844</v>
      </c>
      <c r="K161" s="26" t="s">
        <v>6445</v>
      </c>
      <c r="L161" s="26" t="s">
        <v>6805</v>
      </c>
      <c r="M161" s="55" t="s">
        <v>6842</v>
      </c>
      <c r="N161" s="26" t="s">
        <v>3924</v>
      </c>
    </row>
    <row r="162" spans="1:14" ht="75" customHeight="1" thickTop="1" thickBot="1">
      <c r="A162" s="26">
        <v>160</v>
      </c>
      <c r="B162" s="26">
        <v>164</v>
      </c>
      <c r="C162" s="55" t="s">
        <v>6845</v>
      </c>
      <c r="D162" s="56" t="s">
        <v>26</v>
      </c>
      <c r="E162" s="56" t="s">
        <v>1710</v>
      </c>
      <c r="F162" s="26" t="s">
        <v>3923</v>
      </c>
      <c r="G162" s="26" t="s">
        <v>1419</v>
      </c>
      <c r="H162" s="26" t="s">
        <v>13</v>
      </c>
      <c r="I162" s="26" t="s">
        <v>3924</v>
      </c>
      <c r="J162" s="26" t="s">
        <v>6841</v>
      </c>
      <c r="K162" s="26" t="s">
        <v>6445</v>
      </c>
      <c r="L162" s="26" t="s">
        <v>6805</v>
      </c>
      <c r="M162" s="55" t="s">
        <v>6842</v>
      </c>
      <c r="N162" s="26" t="s">
        <v>3924</v>
      </c>
    </row>
    <row r="163" spans="1:14" ht="75" customHeight="1" thickTop="1" thickBot="1">
      <c r="A163" s="34">
        <v>161</v>
      </c>
      <c r="B163" s="34">
        <v>165</v>
      </c>
      <c r="C163" s="55" t="s">
        <v>6845</v>
      </c>
      <c r="D163" s="56" t="s">
        <v>26</v>
      </c>
      <c r="E163" s="56" t="s">
        <v>1710</v>
      </c>
      <c r="F163" s="26" t="s">
        <v>3923</v>
      </c>
      <c r="G163" s="26" t="s">
        <v>1419</v>
      </c>
      <c r="H163" s="26" t="s">
        <v>13</v>
      </c>
      <c r="I163" s="26" t="s">
        <v>3924</v>
      </c>
      <c r="J163" s="26" t="s">
        <v>6844</v>
      </c>
      <c r="K163" s="26" t="s">
        <v>6445</v>
      </c>
      <c r="L163" s="26" t="s">
        <v>6846</v>
      </c>
      <c r="M163" s="55" t="s">
        <v>6847</v>
      </c>
      <c r="N163" s="26" t="s">
        <v>3924</v>
      </c>
    </row>
    <row r="164" spans="1:14" ht="75" customHeight="1" thickTop="1" thickBot="1">
      <c r="A164" s="26">
        <v>162</v>
      </c>
      <c r="B164" s="26">
        <v>166</v>
      </c>
      <c r="C164" s="55" t="s">
        <v>6845</v>
      </c>
      <c r="D164" s="56" t="s">
        <v>26</v>
      </c>
      <c r="E164" s="56" t="s">
        <v>1710</v>
      </c>
      <c r="F164" s="26" t="s">
        <v>3923</v>
      </c>
      <c r="G164" s="26" t="s">
        <v>1419</v>
      </c>
      <c r="H164" s="26" t="s">
        <v>13</v>
      </c>
      <c r="I164" s="26" t="s">
        <v>3924</v>
      </c>
      <c r="J164" s="26" t="s">
        <v>6844</v>
      </c>
      <c r="K164" s="26" t="s">
        <v>6445</v>
      </c>
      <c r="L164" s="26" t="s">
        <v>6846</v>
      </c>
      <c r="M164" s="55" t="s">
        <v>6847</v>
      </c>
      <c r="N164" s="26" t="s">
        <v>3924</v>
      </c>
    </row>
    <row r="165" spans="1:14" ht="75" customHeight="1" thickTop="1" thickBot="1">
      <c r="A165" s="34">
        <v>163</v>
      </c>
      <c r="B165" s="34">
        <v>167</v>
      </c>
      <c r="C165" s="55" t="s">
        <v>6843</v>
      </c>
      <c r="D165" s="56" t="s">
        <v>26</v>
      </c>
      <c r="E165" s="56" t="s">
        <v>1710</v>
      </c>
      <c r="F165" s="26" t="s">
        <v>3923</v>
      </c>
      <c r="G165" s="26" t="s">
        <v>1419</v>
      </c>
      <c r="H165" s="26" t="s">
        <v>13</v>
      </c>
      <c r="I165" s="26" t="s">
        <v>3924</v>
      </c>
      <c r="J165" s="26" t="s">
        <v>6848</v>
      </c>
      <c r="K165" s="26" t="s">
        <v>6445</v>
      </c>
      <c r="L165" s="26" t="s">
        <v>6846</v>
      </c>
      <c r="M165" s="55" t="s">
        <v>6847</v>
      </c>
      <c r="N165" s="26" t="s">
        <v>3924</v>
      </c>
    </row>
    <row r="166" spans="1:14" ht="75" customHeight="1" thickTop="1" thickBot="1">
      <c r="A166" s="26">
        <v>164</v>
      </c>
      <c r="B166" s="26">
        <v>168</v>
      </c>
      <c r="C166" s="55" t="s">
        <v>6843</v>
      </c>
      <c r="D166" s="56" t="s">
        <v>26</v>
      </c>
      <c r="E166" s="56" t="s">
        <v>1710</v>
      </c>
      <c r="F166" s="26" t="s">
        <v>3923</v>
      </c>
      <c r="G166" s="26" t="s">
        <v>1419</v>
      </c>
      <c r="H166" s="26" t="s">
        <v>13</v>
      </c>
      <c r="I166" s="26" t="s">
        <v>3924</v>
      </c>
      <c r="J166" s="26" t="s">
        <v>6848</v>
      </c>
      <c r="K166" s="26" t="s">
        <v>6445</v>
      </c>
      <c r="L166" s="26" t="s">
        <v>6846</v>
      </c>
      <c r="M166" s="55" t="s">
        <v>6847</v>
      </c>
      <c r="N166" s="26" t="s">
        <v>3924</v>
      </c>
    </row>
    <row r="167" spans="1:14" ht="75" customHeight="1" thickTop="1" thickBot="1">
      <c r="A167" s="34">
        <v>165</v>
      </c>
      <c r="B167" s="34">
        <v>169</v>
      </c>
      <c r="C167" s="55" t="s">
        <v>6849</v>
      </c>
      <c r="D167" s="56" t="s">
        <v>26</v>
      </c>
      <c r="E167" s="56" t="s">
        <v>6461</v>
      </c>
      <c r="F167" s="26" t="s">
        <v>3923</v>
      </c>
      <c r="G167" s="26" t="s">
        <v>74</v>
      </c>
      <c r="H167" s="26" t="s">
        <v>13</v>
      </c>
      <c r="I167" s="26" t="s">
        <v>3924</v>
      </c>
      <c r="J167" s="26" t="s">
        <v>6849</v>
      </c>
      <c r="K167" s="26" t="s">
        <v>6463</v>
      </c>
      <c r="L167" s="26" t="s">
        <v>6511</v>
      </c>
      <c r="M167" s="55" t="s">
        <v>6850</v>
      </c>
      <c r="N167" s="26" t="s">
        <v>3924</v>
      </c>
    </row>
    <row r="168" spans="1:14" ht="75" customHeight="1" thickTop="1" thickBot="1">
      <c r="A168" s="26">
        <v>166</v>
      </c>
      <c r="B168" s="26">
        <v>170</v>
      </c>
      <c r="C168" s="55" t="s">
        <v>6849</v>
      </c>
      <c r="D168" s="56" t="s">
        <v>26</v>
      </c>
      <c r="E168" s="56" t="s">
        <v>1710</v>
      </c>
      <c r="F168" s="26" t="s">
        <v>3923</v>
      </c>
      <c r="G168" s="26" t="s">
        <v>1419</v>
      </c>
      <c r="H168" s="26" t="s">
        <v>13</v>
      </c>
      <c r="I168" s="26" t="s">
        <v>3924</v>
      </c>
      <c r="J168" s="26" t="s">
        <v>6851</v>
      </c>
      <c r="K168" s="26" t="s">
        <v>6852</v>
      </c>
      <c r="L168" s="26" t="s">
        <v>6451</v>
      </c>
      <c r="M168" s="55" t="s">
        <v>6853</v>
      </c>
      <c r="N168" s="26" t="s">
        <v>3924</v>
      </c>
    </row>
    <row r="169" spans="1:14" ht="75" customHeight="1" thickTop="1" thickBot="1">
      <c r="A169" s="34">
        <v>167</v>
      </c>
      <c r="B169" s="34">
        <v>171</v>
      </c>
      <c r="C169" s="55" t="s">
        <v>6854</v>
      </c>
      <c r="D169" s="56" t="s">
        <v>26</v>
      </c>
      <c r="E169" s="56" t="s">
        <v>6448</v>
      </c>
      <c r="F169" s="26" t="s">
        <v>3923</v>
      </c>
      <c r="G169" s="26" t="s">
        <v>12</v>
      </c>
      <c r="H169" s="26" t="s">
        <v>13</v>
      </c>
      <c r="I169" s="26" t="s">
        <v>3924</v>
      </c>
      <c r="J169" s="26" t="s">
        <v>6855</v>
      </c>
      <c r="K169" s="26" t="s">
        <v>6440</v>
      </c>
      <c r="L169" s="26" t="s">
        <v>6455</v>
      </c>
      <c r="M169" s="55" t="s">
        <v>6856</v>
      </c>
      <c r="N169" s="26" t="s">
        <v>3924</v>
      </c>
    </row>
    <row r="170" spans="1:14" ht="75" customHeight="1" thickTop="1" thickBot="1">
      <c r="A170" s="26">
        <v>168</v>
      </c>
      <c r="B170" s="26">
        <v>172</v>
      </c>
      <c r="C170" s="55" t="s">
        <v>6857</v>
      </c>
      <c r="D170" s="56" t="s">
        <v>26</v>
      </c>
      <c r="E170" s="56" t="s">
        <v>6448</v>
      </c>
      <c r="F170" s="26" t="s">
        <v>3923</v>
      </c>
      <c r="G170" s="26" t="s">
        <v>12</v>
      </c>
      <c r="H170" s="26" t="s">
        <v>13</v>
      </c>
      <c r="I170" s="26" t="s">
        <v>3924</v>
      </c>
      <c r="J170" s="26" t="s">
        <v>6855</v>
      </c>
      <c r="K170" s="26" t="s">
        <v>6445</v>
      </c>
      <c r="L170" s="26" t="s">
        <v>6455</v>
      </c>
      <c r="M170" s="55" t="s">
        <v>6858</v>
      </c>
      <c r="N170" s="26" t="s">
        <v>3924</v>
      </c>
    </row>
    <row r="171" spans="1:14" ht="75" customHeight="1" thickTop="1" thickBot="1">
      <c r="A171" s="34">
        <v>169</v>
      </c>
      <c r="B171" s="34">
        <v>173</v>
      </c>
      <c r="C171" s="55" t="s">
        <v>6859</v>
      </c>
      <c r="D171" s="56" t="s">
        <v>26</v>
      </c>
      <c r="E171" s="56" t="s">
        <v>6448</v>
      </c>
      <c r="F171" s="26" t="s">
        <v>3923</v>
      </c>
      <c r="G171" s="26" t="s">
        <v>12</v>
      </c>
      <c r="H171" s="26" t="s">
        <v>13</v>
      </c>
      <c r="I171" s="26" t="s">
        <v>3924</v>
      </c>
      <c r="J171" s="26" t="s">
        <v>6860</v>
      </c>
      <c r="K171" s="26" t="s">
        <v>3954</v>
      </c>
      <c r="L171" s="26" t="s">
        <v>3927</v>
      </c>
      <c r="M171" s="55" t="s">
        <v>6669</v>
      </c>
      <c r="N171" s="26" t="s">
        <v>3924</v>
      </c>
    </row>
    <row r="172" spans="1:14" ht="75" customHeight="1" thickTop="1" thickBot="1">
      <c r="A172" s="26">
        <v>170</v>
      </c>
      <c r="B172" s="26">
        <v>174</v>
      </c>
      <c r="C172" s="55" t="s">
        <v>6860</v>
      </c>
      <c r="D172" s="56" t="s">
        <v>26</v>
      </c>
      <c r="E172" s="56" t="s">
        <v>6448</v>
      </c>
      <c r="F172" s="26" t="s">
        <v>3923</v>
      </c>
      <c r="G172" s="26" t="s">
        <v>12</v>
      </c>
      <c r="H172" s="26" t="s">
        <v>13</v>
      </c>
      <c r="I172" s="26" t="s">
        <v>3924</v>
      </c>
      <c r="J172" s="26" t="s">
        <v>6860</v>
      </c>
      <c r="K172" s="26" t="s">
        <v>3954</v>
      </c>
      <c r="L172" s="26" t="s">
        <v>3927</v>
      </c>
      <c r="M172" s="55" t="s">
        <v>6861</v>
      </c>
      <c r="N172" s="26" t="s">
        <v>3924</v>
      </c>
    </row>
    <row r="173" spans="1:14" ht="75" customHeight="1" thickTop="1" thickBot="1">
      <c r="A173" s="34">
        <v>171</v>
      </c>
      <c r="B173" s="34">
        <v>175</v>
      </c>
      <c r="C173" s="55" t="s">
        <v>6862</v>
      </c>
      <c r="D173" s="56" t="s">
        <v>26</v>
      </c>
      <c r="E173" s="56" t="s">
        <v>1710</v>
      </c>
      <c r="F173" s="26" t="s">
        <v>3923</v>
      </c>
      <c r="G173" s="26" t="s">
        <v>1419</v>
      </c>
      <c r="H173" s="26" t="s">
        <v>13</v>
      </c>
      <c r="I173" s="26" t="s">
        <v>3924</v>
      </c>
      <c r="J173" s="26" t="s">
        <v>6863</v>
      </c>
      <c r="K173" s="26" t="s">
        <v>6440</v>
      </c>
      <c r="L173" s="26" t="s">
        <v>6864</v>
      </c>
      <c r="M173" s="55" t="s">
        <v>6865</v>
      </c>
      <c r="N173" s="26" t="s">
        <v>3924</v>
      </c>
    </row>
    <row r="174" spans="1:14" ht="75" customHeight="1" thickTop="1" thickBot="1">
      <c r="A174" s="26">
        <v>172</v>
      </c>
      <c r="B174" s="26">
        <v>176</v>
      </c>
      <c r="C174" s="55" t="s">
        <v>6866</v>
      </c>
      <c r="D174" s="56" t="s">
        <v>26</v>
      </c>
      <c r="E174" s="56" t="s">
        <v>1710</v>
      </c>
      <c r="F174" s="26" t="s">
        <v>3923</v>
      </c>
      <c r="G174" s="26" t="s">
        <v>1419</v>
      </c>
      <c r="H174" s="26" t="s">
        <v>13</v>
      </c>
      <c r="I174" s="26" t="s">
        <v>3924</v>
      </c>
      <c r="J174" s="26" t="s">
        <v>6863</v>
      </c>
      <c r="K174" s="26" t="s">
        <v>6440</v>
      </c>
      <c r="L174" s="26" t="s">
        <v>6867</v>
      </c>
      <c r="M174" s="55" t="s">
        <v>6868</v>
      </c>
      <c r="N174" s="26" t="s">
        <v>3924</v>
      </c>
    </row>
    <row r="175" spans="1:14" ht="75" customHeight="1" thickTop="1" thickBot="1">
      <c r="A175" s="34">
        <v>173</v>
      </c>
      <c r="B175" s="34">
        <v>177</v>
      </c>
      <c r="C175" s="55" t="s">
        <v>6869</v>
      </c>
      <c r="D175" s="56" t="s">
        <v>26</v>
      </c>
      <c r="E175" s="56" t="s">
        <v>1710</v>
      </c>
      <c r="F175" s="26" t="s">
        <v>3923</v>
      </c>
      <c r="G175" s="26" t="s">
        <v>1419</v>
      </c>
      <c r="H175" s="26" t="s">
        <v>13</v>
      </c>
      <c r="I175" s="26" t="s">
        <v>3924</v>
      </c>
      <c r="J175" s="26" t="s">
        <v>6863</v>
      </c>
      <c r="K175" s="26" t="s">
        <v>6445</v>
      </c>
      <c r="L175" s="26" t="s">
        <v>6805</v>
      </c>
      <c r="M175" s="55" t="s">
        <v>6870</v>
      </c>
      <c r="N175" s="26" t="s">
        <v>3924</v>
      </c>
    </row>
    <row r="176" spans="1:14" ht="75" customHeight="1" thickTop="1" thickBot="1">
      <c r="A176" s="26">
        <v>174</v>
      </c>
      <c r="B176" s="26">
        <v>178</v>
      </c>
      <c r="C176" s="55" t="s">
        <v>6871</v>
      </c>
      <c r="D176" s="56" t="s">
        <v>26</v>
      </c>
      <c r="E176" s="56" t="s">
        <v>6461</v>
      </c>
      <c r="F176" s="26" t="s">
        <v>3923</v>
      </c>
      <c r="G176" s="26" t="s">
        <v>74</v>
      </c>
      <c r="H176" s="26" t="s">
        <v>13</v>
      </c>
      <c r="I176" s="26" t="s">
        <v>3924</v>
      </c>
      <c r="J176" s="26" t="s">
        <v>6872</v>
      </c>
      <c r="K176" s="26" t="s">
        <v>6873</v>
      </c>
      <c r="L176" s="26" t="s">
        <v>6463</v>
      </c>
      <c r="M176" s="55" t="s">
        <v>6874</v>
      </c>
      <c r="N176" s="26" t="s">
        <v>3924</v>
      </c>
    </row>
    <row r="177" spans="1:14" ht="75" customHeight="1" thickTop="1" thickBot="1">
      <c r="A177" s="34">
        <v>175</v>
      </c>
      <c r="B177" s="34">
        <v>179</v>
      </c>
      <c r="C177" s="55" t="s">
        <v>6875</v>
      </c>
      <c r="D177" s="56" t="s">
        <v>26</v>
      </c>
      <c r="E177" s="56" t="s">
        <v>6480</v>
      </c>
      <c r="F177" s="26" t="s">
        <v>3923</v>
      </c>
      <c r="G177" s="26" t="s">
        <v>16</v>
      </c>
      <c r="H177" s="26" t="s">
        <v>13</v>
      </c>
      <c r="I177" s="26" t="s">
        <v>3924</v>
      </c>
      <c r="J177" s="26" t="s">
        <v>6876</v>
      </c>
      <c r="K177" s="26" t="s">
        <v>6445</v>
      </c>
      <c r="L177" s="26" t="s">
        <v>6877</v>
      </c>
      <c r="M177" s="55" t="s">
        <v>6878</v>
      </c>
      <c r="N177" s="26" t="s">
        <v>3924</v>
      </c>
    </row>
    <row r="178" spans="1:14" ht="75" customHeight="1" thickTop="1" thickBot="1">
      <c r="A178" s="26">
        <v>176</v>
      </c>
      <c r="B178" s="26">
        <v>180</v>
      </c>
      <c r="C178" s="55" t="s">
        <v>6875</v>
      </c>
      <c r="D178" s="56" t="s">
        <v>26</v>
      </c>
      <c r="E178" s="56" t="s">
        <v>6480</v>
      </c>
      <c r="F178" s="26" t="s">
        <v>3923</v>
      </c>
      <c r="G178" s="26" t="s">
        <v>16</v>
      </c>
      <c r="H178" s="26" t="s">
        <v>13</v>
      </c>
      <c r="I178" s="26" t="s">
        <v>3924</v>
      </c>
      <c r="J178" s="26" t="s">
        <v>6875</v>
      </c>
      <c r="K178" s="26" t="s">
        <v>6445</v>
      </c>
      <c r="L178" s="26" t="s">
        <v>6877</v>
      </c>
      <c r="M178" s="55" t="s">
        <v>6879</v>
      </c>
      <c r="N178" s="26" t="s">
        <v>3924</v>
      </c>
    </row>
    <row r="179" spans="1:14" ht="75" customHeight="1" thickTop="1" thickBot="1">
      <c r="A179" s="34">
        <v>177</v>
      </c>
      <c r="B179" s="34">
        <v>181</v>
      </c>
      <c r="C179" s="55" t="s">
        <v>6876</v>
      </c>
      <c r="D179" s="56" t="s">
        <v>26</v>
      </c>
      <c r="E179" s="56" t="s">
        <v>6480</v>
      </c>
      <c r="F179" s="26" t="s">
        <v>3923</v>
      </c>
      <c r="G179" s="26" t="s">
        <v>16</v>
      </c>
      <c r="H179" s="26" t="s">
        <v>13</v>
      </c>
      <c r="I179" s="26" t="s">
        <v>3924</v>
      </c>
      <c r="J179" s="26" t="s">
        <v>6876</v>
      </c>
      <c r="K179" s="26" t="s">
        <v>6445</v>
      </c>
      <c r="L179" s="26" t="s">
        <v>6877</v>
      </c>
      <c r="M179" s="55" t="s">
        <v>6747</v>
      </c>
      <c r="N179" s="26" t="s">
        <v>3924</v>
      </c>
    </row>
    <row r="180" spans="1:14" ht="75" customHeight="1" thickTop="1" thickBot="1">
      <c r="A180" s="26">
        <v>178</v>
      </c>
      <c r="B180" s="26">
        <v>182</v>
      </c>
      <c r="C180" s="55" t="s">
        <v>6880</v>
      </c>
      <c r="D180" s="56" t="s">
        <v>26</v>
      </c>
      <c r="E180" s="56" t="s">
        <v>6480</v>
      </c>
      <c r="F180" s="26" t="s">
        <v>3923</v>
      </c>
      <c r="G180" s="26" t="s">
        <v>16</v>
      </c>
      <c r="H180" s="26" t="s">
        <v>13</v>
      </c>
      <c r="I180" s="26" t="s">
        <v>3924</v>
      </c>
      <c r="J180" s="26" t="s">
        <v>6880</v>
      </c>
      <c r="K180" s="26" t="s">
        <v>6445</v>
      </c>
      <c r="L180" s="26" t="s">
        <v>6455</v>
      </c>
      <c r="M180" s="55" t="s">
        <v>6820</v>
      </c>
      <c r="N180" s="26" t="s">
        <v>3924</v>
      </c>
    </row>
    <row r="181" spans="1:14" ht="75" customHeight="1" thickTop="1" thickBot="1">
      <c r="A181" s="34">
        <v>179</v>
      </c>
      <c r="B181" s="34">
        <v>183</v>
      </c>
      <c r="C181" s="55" t="s">
        <v>6880</v>
      </c>
      <c r="D181" s="56" t="s">
        <v>26</v>
      </c>
      <c r="E181" s="56" t="s">
        <v>6480</v>
      </c>
      <c r="F181" s="26" t="s">
        <v>3923</v>
      </c>
      <c r="G181" s="26" t="s">
        <v>16</v>
      </c>
      <c r="H181" s="26" t="s">
        <v>13</v>
      </c>
      <c r="I181" s="26" t="s">
        <v>3924</v>
      </c>
      <c r="J181" s="26" t="s">
        <v>6880</v>
      </c>
      <c r="K181" s="26" t="s">
        <v>6445</v>
      </c>
      <c r="L181" s="26" t="s">
        <v>6455</v>
      </c>
      <c r="M181" s="55" t="s">
        <v>6879</v>
      </c>
      <c r="N181" s="26" t="s">
        <v>3924</v>
      </c>
    </row>
    <row r="182" spans="1:14" ht="75" customHeight="1" thickTop="1" thickBot="1">
      <c r="A182" s="26">
        <v>180</v>
      </c>
      <c r="B182" s="26">
        <v>184</v>
      </c>
      <c r="C182" s="55" t="s">
        <v>6881</v>
      </c>
      <c r="D182" s="56" t="s">
        <v>26</v>
      </c>
      <c r="E182" s="56" t="s">
        <v>6480</v>
      </c>
      <c r="F182" s="26" t="s">
        <v>3923</v>
      </c>
      <c r="G182" s="26" t="s">
        <v>16</v>
      </c>
      <c r="H182" s="26" t="s">
        <v>13</v>
      </c>
      <c r="I182" s="26" t="s">
        <v>3924</v>
      </c>
      <c r="J182" s="26" t="s">
        <v>6881</v>
      </c>
      <c r="K182" s="26" t="s">
        <v>6445</v>
      </c>
      <c r="L182" s="26" t="s">
        <v>6455</v>
      </c>
      <c r="M182" s="55" t="s">
        <v>6747</v>
      </c>
      <c r="N182" s="26" t="s">
        <v>3924</v>
      </c>
    </row>
    <row r="183" spans="1:14" ht="75" customHeight="1" thickTop="1" thickBot="1">
      <c r="A183" s="34">
        <v>181</v>
      </c>
      <c r="B183" s="34">
        <v>185</v>
      </c>
      <c r="C183" s="55" t="s">
        <v>6882</v>
      </c>
      <c r="D183" s="56" t="s">
        <v>26</v>
      </c>
      <c r="E183" s="56" t="s">
        <v>6480</v>
      </c>
      <c r="F183" s="26" t="s">
        <v>3923</v>
      </c>
      <c r="G183" s="26" t="s">
        <v>16</v>
      </c>
      <c r="H183" s="26" t="s">
        <v>13</v>
      </c>
      <c r="I183" s="26" t="s">
        <v>3924</v>
      </c>
      <c r="J183" s="26" t="s">
        <v>6882</v>
      </c>
      <c r="K183" s="26" t="s">
        <v>6445</v>
      </c>
      <c r="L183" s="26" t="s">
        <v>6455</v>
      </c>
      <c r="M183" s="55" t="s">
        <v>6883</v>
      </c>
      <c r="N183" s="26" t="s">
        <v>3924</v>
      </c>
    </row>
    <row r="184" spans="1:14" ht="75" customHeight="1" thickTop="1" thickBot="1">
      <c r="A184" s="26">
        <v>182</v>
      </c>
      <c r="B184" s="26">
        <v>186</v>
      </c>
      <c r="C184" s="55" t="s">
        <v>6884</v>
      </c>
      <c r="D184" s="56" t="s">
        <v>26</v>
      </c>
      <c r="E184" s="56" t="s">
        <v>6480</v>
      </c>
      <c r="F184" s="26" t="s">
        <v>3923</v>
      </c>
      <c r="G184" s="26" t="s">
        <v>16</v>
      </c>
      <c r="H184" s="26" t="s">
        <v>13</v>
      </c>
      <c r="I184" s="26" t="s">
        <v>3924</v>
      </c>
      <c r="J184" s="26" t="s">
        <v>6884</v>
      </c>
      <c r="K184" s="26" t="s">
        <v>6445</v>
      </c>
      <c r="L184" s="26" t="s">
        <v>3927</v>
      </c>
      <c r="M184" s="55" t="s">
        <v>6613</v>
      </c>
      <c r="N184" s="26" t="s">
        <v>3924</v>
      </c>
    </row>
    <row r="185" spans="1:14" ht="75" customHeight="1" thickTop="1" thickBot="1">
      <c r="A185" s="34">
        <v>183</v>
      </c>
      <c r="B185" s="34">
        <v>187</v>
      </c>
      <c r="C185" s="55" t="s">
        <v>6884</v>
      </c>
      <c r="D185" s="56" t="s">
        <v>26</v>
      </c>
      <c r="E185" s="56" t="s">
        <v>6480</v>
      </c>
      <c r="F185" s="26" t="s">
        <v>3923</v>
      </c>
      <c r="G185" s="26" t="s">
        <v>16</v>
      </c>
      <c r="H185" s="26" t="s">
        <v>13</v>
      </c>
      <c r="I185" s="26" t="s">
        <v>3924</v>
      </c>
      <c r="J185" s="26" t="s">
        <v>6885</v>
      </c>
      <c r="K185" s="26" t="s">
        <v>6445</v>
      </c>
      <c r="L185" s="26" t="s">
        <v>3927</v>
      </c>
      <c r="M185" s="55" t="s">
        <v>6886</v>
      </c>
      <c r="N185" s="26" t="s">
        <v>3924</v>
      </c>
    </row>
    <row r="186" spans="1:14" ht="75" customHeight="1" thickTop="1" thickBot="1">
      <c r="A186" s="26">
        <v>184</v>
      </c>
      <c r="B186" s="26">
        <v>188</v>
      </c>
      <c r="C186" s="55" t="s">
        <v>6885</v>
      </c>
      <c r="D186" s="56" t="s">
        <v>26</v>
      </c>
      <c r="E186" s="56" t="s">
        <v>6480</v>
      </c>
      <c r="F186" s="26" t="s">
        <v>3923</v>
      </c>
      <c r="G186" s="26" t="s">
        <v>16</v>
      </c>
      <c r="H186" s="26" t="s">
        <v>13</v>
      </c>
      <c r="I186" s="26" t="s">
        <v>3924</v>
      </c>
      <c r="J186" s="26" t="s">
        <v>6885</v>
      </c>
      <c r="K186" s="26" t="s">
        <v>6445</v>
      </c>
      <c r="L186" s="26" t="s">
        <v>3927</v>
      </c>
      <c r="M186" s="55" t="s">
        <v>6747</v>
      </c>
      <c r="N186" s="26" t="s">
        <v>3924</v>
      </c>
    </row>
    <row r="187" spans="1:14" ht="75" customHeight="1" thickTop="1" thickBot="1">
      <c r="A187" s="34">
        <v>185</v>
      </c>
      <c r="B187" s="34">
        <v>189</v>
      </c>
      <c r="C187" s="55" t="s">
        <v>6887</v>
      </c>
      <c r="D187" s="56" t="s">
        <v>26</v>
      </c>
      <c r="E187" s="56" t="s">
        <v>6480</v>
      </c>
      <c r="F187" s="26" t="s">
        <v>3923</v>
      </c>
      <c r="G187" s="26" t="s">
        <v>16</v>
      </c>
      <c r="H187" s="26" t="s">
        <v>13</v>
      </c>
      <c r="I187" s="26" t="s">
        <v>3924</v>
      </c>
      <c r="J187" s="26" t="s">
        <v>6887</v>
      </c>
      <c r="K187" s="26" t="s">
        <v>6440</v>
      </c>
      <c r="L187" s="26" t="s">
        <v>6888</v>
      </c>
      <c r="M187" s="55" t="s">
        <v>6889</v>
      </c>
      <c r="N187" s="26" t="s">
        <v>3924</v>
      </c>
    </row>
    <row r="188" spans="1:14" ht="75" customHeight="1" thickTop="1" thickBot="1">
      <c r="A188" s="26">
        <v>186</v>
      </c>
      <c r="B188" s="26">
        <v>190</v>
      </c>
      <c r="C188" s="55" t="s">
        <v>6890</v>
      </c>
      <c r="D188" s="56" t="s">
        <v>26</v>
      </c>
      <c r="E188" s="56" t="s">
        <v>6586</v>
      </c>
      <c r="F188" s="26" t="s">
        <v>3923</v>
      </c>
      <c r="G188" s="26" t="s">
        <v>12</v>
      </c>
      <c r="H188" s="26" t="s">
        <v>13</v>
      </c>
      <c r="I188" s="26" t="s">
        <v>3924</v>
      </c>
      <c r="J188" s="26" t="s">
        <v>6890</v>
      </c>
      <c r="K188" s="26" t="s">
        <v>6552</v>
      </c>
      <c r="L188" s="26" t="s">
        <v>3927</v>
      </c>
      <c r="M188" s="55" t="s">
        <v>6891</v>
      </c>
      <c r="N188" s="26" t="s">
        <v>3924</v>
      </c>
    </row>
    <row r="189" spans="1:14" ht="75" customHeight="1" thickTop="1" thickBot="1">
      <c r="A189" s="34">
        <v>187</v>
      </c>
      <c r="B189" s="34">
        <v>191</v>
      </c>
      <c r="C189" s="55" t="s">
        <v>6892</v>
      </c>
      <c r="D189" s="56" t="s">
        <v>26</v>
      </c>
      <c r="E189" s="56" t="s">
        <v>6480</v>
      </c>
      <c r="F189" s="26" t="s">
        <v>3923</v>
      </c>
      <c r="G189" s="26" t="s">
        <v>16</v>
      </c>
      <c r="H189" s="26" t="s">
        <v>13</v>
      </c>
      <c r="I189" s="26" t="s">
        <v>3924</v>
      </c>
      <c r="J189" s="26" t="s">
        <v>6892</v>
      </c>
      <c r="K189" s="26" t="s">
        <v>6445</v>
      </c>
      <c r="L189" s="26" t="s">
        <v>6893</v>
      </c>
      <c r="M189" s="55" t="s">
        <v>6894</v>
      </c>
      <c r="N189" s="26" t="s">
        <v>3924</v>
      </c>
    </row>
    <row r="190" spans="1:14" ht="75" customHeight="1" thickTop="1" thickBot="1">
      <c r="A190" s="26">
        <v>188</v>
      </c>
      <c r="B190" s="26">
        <v>192</v>
      </c>
      <c r="C190" s="55" t="s">
        <v>6892</v>
      </c>
      <c r="D190" s="56" t="s">
        <v>26</v>
      </c>
      <c r="E190" s="56" t="s">
        <v>6448</v>
      </c>
      <c r="F190" s="26" t="s">
        <v>3923</v>
      </c>
      <c r="G190" s="26" t="s">
        <v>12</v>
      </c>
      <c r="H190" s="26" t="s">
        <v>13</v>
      </c>
      <c r="I190" s="26" t="s">
        <v>3924</v>
      </c>
      <c r="J190" s="26" t="s">
        <v>6892</v>
      </c>
      <c r="K190" s="26" t="s">
        <v>3954</v>
      </c>
      <c r="L190" s="26" t="s">
        <v>3927</v>
      </c>
      <c r="M190" s="55" t="s">
        <v>6669</v>
      </c>
      <c r="N190" s="26" t="s">
        <v>3924</v>
      </c>
    </row>
    <row r="191" spans="1:14" ht="75" customHeight="1" thickTop="1" thickBot="1">
      <c r="A191" s="34">
        <v>189</v>
      </c>
      <c r="B191" s="34">
        <v>193</v>
      </c>
      <c r="C191" s="55" t="s">
        <v>6895</v>
      </c>
      <c r="D191" s="56" t="s">
        <v>26</v>
      </c>
      <c r="E191" s="56" t="s">
        <v>6586</v>
      </c>
      <c r="F191" s="26" t="s">
        <v>3923</v>
      </c>
      <c r="G191" s="26" t="s">
        <v>12</v>
      </c>
      <c r="H191" s="26" t="s">
        <v>13</v>
      </c>
      <c r="I191" s="26" t="s">
        <v>3924</v>
      </c>
      <c r="J191" s="26" t="s">
        <v>6895</v>
      </c>
      <c r="K191" s="26" t="s">
        <v>6552</v>
      </c>
      <c r="L191" s="26" t="s">
        <v>6451</v>
      </c>
      <c r="M191" s="55" t="s">
        <v>6896</v>
      </c>
      <c r="N191" s="26" t="s">
        <v>3924</v>
      </c>
    </row>
    <row r="192" spans="1:14" ht="75" customHeight="1" thickTop="1" thickBot="1">
      <c r="A192" s="26">
        <v>190</v>
      </c>
      <c r="B192" s="26">
        <v>194</v>
      </c>
      <c r="C192" s="55" t="s">
        <v>6895</v>
      </c>
      <c r="D192" s="56" t="s">
        <v>26</v>
      </c>
      <c r="E192" s="56" t="s">
        <v>6480</v>
      </c>
      <c r="F192" s="26" t="s">
        <v>3923</v>
      </c>
      <c r="G192" s="26" t="s">
        <v>16</v>
      </c>
      <c r="H192" s="26" t="s">
        <v>13</v>
      </c>
      <c r="I192" s="26" t="s">
        <v>3924</v>
      </c>
      <c r="J192" s="26" t="s">
        <v>6895</v>
      </c>
      <c r="K192" s="26" t="s">
        <v>6440</v>
      </c>
      <c r="L192" s="26" t="s">
        <v>6888</v>
      </c>
      <c r="M192" s="55" t="s">
        <v>6747</v>
      </c>
      <c r="N192" s="26" t="s">
        <v>3924</v>
      </c>
    </row>
    <row r="193" spans="1:14" ht="75" customHeight="1" thickTop="1" thickBot="1">
      <c r="A193" s="34">
        <v>191</v>
      </c>
      <c r="B193" s="34">
        <v>195</v>
      </c>
      <c r="C193" s="55" t="s">
        <v>6897</v>
      </c>
      <c r="D193" s="56" t="s">
        <v>26</v>
      </c>
      <c r="E193" s="56" t="s">
        <v>6480</v>
      </c>
      <c r="F193" s="26" t="s">
        <v>3923</v>
      </c>
      <c r="G193" s="26" t="s">
        <v>16</v>
      </c>
      <c r="H193" s="26" t="s">
        <v>13</v>
      </c>
      <c r="I193" s="26" t="s">
        <v>3924</v>
      </c>
      <c r="J193" s="26" t="s">
        <v>6897</v>
      </c>
      <c r="K193" s="26" t="s">
        <v>6440</v>
      </c>
      <c r="L193" s="26" t="s">
        <v>6898</v>
      </c>
      <c r="M193" s="55" t="s">
        <v>6613</v>
      </c>
      <c r="N193" s="26" t="s">
        <v>3924</v>
      </c>
    </row>
    <row r="194" spans="1:14" ht="75" customHeight="1" thickTop="1" thickBot="1">
      <c r="A194" s="26">
        <v>192</v>
      </c>
      <c r="B194" s="26">
        <v>196</v>
      </c>
      <c r="C194" s="55" t="s">
        <v>6899</v>
      </c>
      <c r="D194" s="56" t="s">
        <v>26</v>
      </c>
      <c r="E194" s="56" t="s">
        <v>6480</v>
      </c>
      <c r="F194" s="26" t="s">
        <v>3923</v>
      </c>
      <c r="G194" s="26" t="s">
        <v>16</v>
      </c>
      <c r="H194" s="26" t="s">
        <v>13</v>
      </c>
      <c r="I194" s="26" t="s">
        <v>3924</v>
      </c>
      <c r="J194" s="26" t="s">
        <v>6899</v>
      </c>
      <c r="K194" s="26" t="s">
        <v>6440</v>
      </c>
      <c r="L194" s="26" t="s">
        <v>6900</v>
      </c>
      <c r="M194" s="55" t="s">
        <v>6901</v>
      </c>
      <c r="N194" s="26" t="s">
        <v>3924</v>
      </c>
    </row>
    <row r="195" spans="1:14" ht="75" customHeight="1" thickTop="1" thickBot="1">
      <c r="A195" s="34">
        <v>193</v>
      </c>
      <c r="B195" s="34">
        <v>197</v>
      </c>
      <c r="C195" s="55" t="s">
        <v>6902</v>
      </c>
      <c r="D195" s="56" t="s">
        <v>26</v>
      </c>
      <c r="E195" s="56" t="s">
        <v>6480</v>
      </c>
      <c r="F195" s="26" t="s">
        <v>3923</v>
      </c>
      <c r="G195" s="26" t="s">
        <v>16</v>
      </c>
      <c r="H195" s="26" t="s">
        <v>13</v>
      </c>
      <c r="I195" s="26" t="s">
        <v>3924</v>
      </c>
      <c r="J195" s="26" t="s">
        <v>6902</v>
      </c>
      <c r="K195" s="26" t="s">
        <v>6440</v>
      </c>
      <c r="L195" s="26" t="s">
        <v>6900</v>
      </c>
      <c r="M195" s="55" t="s">
        <v>6903</v>
      </c>
      <c r="N195" s="26" t="s">
        <v>3924</v>
      </c>
    </row>
    <row r="196" spans="1:14" ht="75" customHeight="1" thickTop="1" thickBot="1">
      <c r="A196" s="26">
        <v>194</v>
      </c>
      <c r="B196" s="26">
        <v>198</v>
      </c>
      <c r="C196" s="55" t="s">
        <v>6904</v>
      </c>
      <c r="D196" s="56" t="s">
        <v>26</v>
      </c>
      <c r="E196" s="56" t="s">
        <v>6448</v>
      </c>
      <c r="F196" s="26" t="s">
        <v>3923</v>
      </c>
      <c r="G196" s="26" t="s">
        <v>12</v>
      </c>
      <c r="H196" s="26" t="s">
        <v>13</v>
      </c>
      <c r="I196" s="26" t="s">
        <v>3924</v>
      </c>
      <c r="J196" s="26" t="s">
        <v>6904</v>
      </c>
      <c r="K196" s="26" t="s">
        <v>6440</v>
      </c>
      <c r="L196" s="26" t="s">
        <v>6455</v>
      </c>
      <c r="M196" s="55" t="s">
        <v>6905</v>
      </c>
      <c r="N196" s="26" t="s">
        <v>3924</v>
      </c>
    </row>
    <row r="197" spans="1:14" ht="75" customHeight="1" thickTop="1" thickBot="1">
      <c r="A197" s="34">
        <v>195</v>
      </c>
      <c r="B197" s="34">
        <v>199</v>
      </c>
      <c r="C197" s="55" t="s">
        <v>6906</v>
      </c>
      <c r="D197" s="56" t="s">
        <v>26</v>
      </c>
      <c r="E197" s="56" t="s">
        <v>6448</v>
      </c>
      <c r="F197" s="26" t="s">
        <v>3923</v>
      </c>
      <c r="G197" s="26" t="s">
        <v>12</v>
      </c>
      <c r="H197" s="26" t="s">
        <v>13</v>
      </c>
      <c r="I197" s="26" t="s">
        <v>3924</v>
      </c>
      <c r="J197" s="26" t="s">
        <v>6906</v>
      </c>
      <c r="K197" s="26" t="s">
        <v>3954</v>
      </c>
      <c r="L197" s="26" t="s">
        <v>3927</v>
      </c>
      <c r="M197" s="55" t="s">
        <v>6907</v>
      </c>
      <c r="N197" s="26" t="s">
        <v>3924</v>
      </c>
    </row>
    <row r="198" spans="1:14" ht="75" customHeight="1" thickTop="1" thickBot="1">
      <c r="A198" s="26">
        <v>196</v>
      </c>
      <c r="B198" s="26">
        <v>200</v>
      </c>
      <c r="C198" s="55" t="s">
        <v>6908</v>
      </c>
      <c r="D198" s="56" t="s">
        <v>26</v>
      </c>
      <c r="E198" s="56" t="s">
        <v>6586</v>
      </c>
      <c r="F198" s="26" t="s">
        <v>3923</v>
      </c>
      <c r="G198" s="26" t="s">
        <v>12</v>
      </c>
      <c r="H198" s="26" t="s">
        <v>13</v>
      </c>
      <c r="I198" s="26" t="s">
        <v>3924</v>
      </c>
      <c r="J198" s="26" t="s">
        <v>6908</v>
      </c>
      <c r="K198" s="26" t="s">
        <v>6445</v>
      </c>
      <c r="L198" s="26" t="s">
        <v>6455</v>
      </c>
      <c r="M198" s="55" t="s">
        <v>6909</v>
      </c>
      <c r="N198" s="26" t="s">
        <v>3924</v>
      </c>
    </row>
    <row r="199" spans="1:14" ht="75" customHeight="1" thickTop="1" thickBot="1">
      <c r="A199" s="34">
        <v>197</v>
      </c>
      <c r="B199" s="34">
        <v>201</v>
      </c>
      <c r="C199" s="55" t="s">
        <v>6908</v>
      </c>
      <c r="D199" s="56" t="s">
        <v>26</v>
      </c>
      <c r="E199" s="56" t="s">
        <v>6586</v>
      </c>
      <c r="F199" s="26" t="s">
        <v>3923</v>
      </c>
      <c r="G199" s="26" t="s">
        <v>12</v>
      </c>
      <c r="H199" s="26" t="s">
        <v>13</v>
      </c>
      <c r="I199" s="26" t="s">
        <v>3924</v>
      </c>
      <c r="J199" s="26" t="s">
        <v>6908</v>
      </c>
      <c r="K199" s="26" t="s">
        <v>6445</v>
      </c>
      <c r="L199" s="26" t="s">
        <v>3927</v>
      </c>
      <c r="M199" s="55" t="s">
        <v>6910</v>
      </c>
      <c r="N199" s="26" t="s">
        <v>3924</v>
      </c>
    </row>
    <row r="200" spans="1:14" ht="75" customHeight="1" thickTop="1" thickBot="1">
      <c r="A200" s="26">
        <v>198</v>
      </c>
      <c r="B200" s="26">
        <v>202</v>
      </c>
      <c r="C200" s="55" t="s">
        <v>6911</v>
      </c>
      <c r="D200" s="56" t="s">
        <v>26</v>
      </c>
      <c r="E200" s="56" t="s">
        <v>1710</v>
      </c>
      <c r="F200" s="26" t="s">
        <v>3923</v>
      </c>
      <c r="G200" s="26" t="s">
        <v>1419</v>
      </c>
      <c r="H200" s="26" t="s">
        <v>13</v>
      </c>
      <c r="I200" s="26" t="s">
        <v>3924</v>
      </c>
      <c r="J200" s="26" t="s">
        <v>6912</v>
      </c>
      <c r="K200" s="26" t="s">
        <v>6445</v>
      </c>
      <c r="L200" s="26" t="s">
        <v>6864</v>
      </c>
      <c r="M200" s="55" t="s">
        <v>6913</v>
      </c>
      <c r="N200" s="26" t="s">
        <v>3924</v>
      </c>
    </row>
    <row r="201" spans="1:14" ht="75" customHeight="1" thickTop="1" thickBot="1">
      <c r="A201" s="34">
        <v>199</v>
      </c>
      <c r="B201" s="34">
        <v>203</v>
      </c>
      <c r="C201" s="55" t="s">
        <v>6914</v>
      </c>
      <c r="D201" s="56" t="s">
        <v>26</v>
      </c>
      <c r="E201" s="56" t="s">
        <v>1710</v>
      </c>
      <c r="F201" s="26" t="s">
        <v>3923</v>
      </c>
      <c r="G201" s="26" t="s">
        <v>1419</v>
      </c>
      <c r="H201" s="26" t="s">
        <v>13</v>
      </c>
      <c r="I201" s="26" t="s">
        <v>3924</v>
      </c>
      <c r="J201" s="26" t="s">
        <v>6912</v>
      </c>
      <c r="K201" s="26" t="s">
        <v>6445</v>
      </c>
      <c r="L201" s="26" t="s">
        <v>6915</v>
      </c>
      <c r="M201" s="55" t="s">
        <v>6847</v>
      </c>
      <c r="N201" s="26" t="s">
        <v>3924</v>
      </c>
    </row>
    <row r="202" spans="1:14" ht="75" customHeight="1" thickTop="1" thickBot="1">
      <c r="A202" s="26">
        <v>200</v>
      </c>
      <c r="B202" s="26">
        <v>204</v>
      </c>
      <c r="C202" s="55" t="s">
        <v>6916</v>
      </c>
      <c r="D202" s="56" t="s">
        <v>26</v>
      </c>
      <c r="E202" s="56" t="s">
        <v>1710</v>
      </c>
      <c r="F202" s="26" t="s">
        <v>3923</v>
      </c>
      <c r="G202" s="26" t="s">
        <v>1419</v>
      </c>
      <c r="H202" s="26" t="s">
        <v>13</v>
      </c>
      <c r="I202" s="26" t="s">
        <v>3924</v>
      </c>
      <c r="J202" s="26" t="s">
        <v>6912</v>
      </c>
      <c r="K202" s="26" t="s">
        <v>6445</v>
      </c>
      <c r="L202" s="26" t="s">
        <v>6917</v>
      </c>
      <c r="M202" s="55" t="s">
        <v>6847</v>
      </c>
      <c r="N202" s="26" t="s">
        <v>3924</v>
      </c>
    </row>
    <row r="203" spans="1:14" ht="75" customHeight="1" thickTop="1" thickBot="1">
      <c r="A203" s="34">
        <v>201</v>
      </c>
      <c r="B203" s="34">
        <v>205</v>
      </c>
      <c r="C203" s="55" t="s">
        <v>6918</v>
      </c>
      <c r="D203" s="56" t="s">
        <v>26</v>
      </c>
      <c r="E203" s="56" t="s">
        <v>1710</v>
      </c>
      <c r="F203" s="26" t="s">
        <v>3923</v>
      </c>
      <c r="G203" s="26" t="s">
        <v>1419</v>
      </c>
      <c r="H203" s="26" t="s">
        <v>13</v>
      </c>
      <c r="I203" s="26" t="s">
        <v>3924</v>
      </c>
      <c r="J203" s="26" t="s">
        <v>6919</v>
      </c>
      <c r="K203" s="26" t="s">
        <v>6445</v>
      </c>
      <c r="L203" s="26" t="s">
        <v>6920</v>
      </c>
      <c r="M203" s="55" t="s">
        <v>6847</v>
      </c>
      <c r="N203" s="26" t="s">
        <v>3924</v>
      </c>
    </row>
    <row r="204" spans="1:14" ht="75" customHeight="1" thickTop="1" thickBot="1">
      <c r="A204" s="26">
        <v>202</v>
      </c>
      <c r="B204" s="26">
        <v>206</v>
      </c>
      <c r="C204" s="55" t="s">
        <v>6921</v>
      </c>
      <c r="D204" s="56" t="s">
        <v>26</v>
      </c>
      <c r="E204" s="56" t="s">
        <v>1710</v>
      </c>
      <c r="F204" s="26" t="s">
        <v>3923</v>
      </c>
      <c r="G204" s="26" t="s">
        <v>1419</v>
      </c>
      <c r="H204" s="26" t="s">
        <v>13</v>
      </c>
      <c r="I204" s="26" t="s">
        <v>3924</v>
      </c>
      <c r="J204" s="26" t="s">
        <v>6919</v>
      </c>
      <c r="K204" s="26" t="s">
        <v>6445</v>
      </c>
      <c r="L204" s="26" t="s">
        <v>6922</v>
      </c>
      <c r="M204" s="55" t="s">
        <v>6847</v>
      </c>
      <c r="N204" s="26" t="s">
        <v>3924</v>
      </c>
    </row>
    <row r="205" spans="1:14" ht="75" customHeight="1" thickTop="1" thickBot="1">
      <c r="A205" s="34">
        <v>203</v>
      </c>
      <c r="B205" s="34">
        <v>207</v>
      </c>
      <c r="C205" s="55" t="s">
        <v>6923</v>
      </c>
      <c r="D205" s="56" t="s">
        <v>26</v>
      </c>
      <c r="E205" s="56" t="s">
        <v>1710</v>
      </c>
      <c r="F205" s="26" t="s">
        <v>3923</v>
      </c>
      <c r="G205" s="26" t="s">
        <v>1419</v>
      </c>
      <c r="H205" s="26" t="s">
        <v>13</v>
      </c>
      <c r="I205" s="26" t="s">
        <v>3924</v>
      </c>
      <c r="J205" s="26" t="s">
        <v>6919</v>
      </c>
      <c r="K205" s="26" t="s">
        <v>6445</v>
      </c>
      <c r="L205" s="26" t="s">
        <v>6924</v>
      </c>
      <c r="M205" s="55" t="s">
        <v>6847</v>
      </c>
      <c r="N205" s="26" t="s">
        <v>3924</v>
      </c>
    </row>
    <row r="206" spans="1:14" ht="75" customHeight="1" thickTop="1" thickBot="1">
      <c r="A206" s="26">
        <v>204</v>
      </c>
      <c r="B206" s="26">
        <v>208</v>
      </c>
      <c r="C206" s="55" t="s">
        <v>6925</v>
      </c>
      <c r="D206" s="56" t="s">
        <v>26</v>
      </c>
      <c r="E206" s="56" t="s">
        <v>1710</v>
      </c>
      <c r="F206" s="26" t="s">
        <v>3923</v>
      </c>
      <c r="G206" s="26" t="s">
        <v>1419</v>
      </c>
      <c r="H206" s="26" t="s">
        <v>13</v>
      </c>
      <c r="I206" s="26" t="s">
        <v>3924</v>
      </c>
      <c r="J206" s="26" t="s">
        <v>6919</v>
      </c>
      <c r="K206" s="26" t="s">
        <v>6445</v>
      </c>
      <c r="L206" s="26" t="s">
        <v>6926</v>
      </c>
      <c r="M206" s="55" t="s">
        <v>6847</v>
      </c>
      <c r="N206" s="26" t="s">
        <v>3924</v>
      </c>
    </row>
    <row r="207" spans="1:14" ht="75" customHeight="1" thickTop="1" thickBot="1">
      <c r="A207" s="34">
        <v>205</v>
      </c>
      <c r="B207" s="34">
        <v>209</v>
      </c>
      <c r="C207" s="55" t="s">
        <v>6925</v>
      </c>
      <c r="D207" s="56" t="s">
        <v>26</v>
      </c>
      <c r="E207" s="56" t="s">
        <v>1710</v>
      </c>
      <c r="F207" s="26" t="s">
        <v>3923</v>
      </c>
      <c r="G207" s="26" t="s">
        <v>1419</v>
      </c>
      <c r="H207" s="26" t="s">
        <v>13</v>
      </c>
      <c r="I207" s="26" t="s">
        <v>3924</v>
      </c>
      <c r="J207" s="26" t="s">
        <v>6927</v>
      </c>
      <c r="K207" s="26" t="s">
        <v>6445</v>
      </c>
      <c r="L207" s="26" t="s">
        <v>6928</v>
      </c>
      <c r="M207" s="55" t="s">
        <v>6847</v>
      </c>
      <c r="N207" s="26" t="s">
        <v>3924</v>
      </c>
    </row>
    <row r="208" spans="1:14" ht="75" customHeight="1" thickTop="1" thickBot="1">
      <c r="A208" s="26">
        <v>206</v>
      </c>
      <c r="B208" s="26">
        <v>210</v>
      </c>
      <c r="C208" s="55" t="s">
        <v>6925</v>
      </c>
      <c r="D208" s="56" t="s">
        <v>26</v>
      </c>
      <c r="E208" s="56" t="s">
        <v>1710</v>
      </c>
      <c r="F208" s="26" t="s">
        <v>3923</v>
      </c>
      <c r="G208" s="26" t="s">
        <v>1419</v>
      </c>
      <c r="H208" s="26" t="s">
        <v>13</v>
      </c>
      <c r="I208" s="26" t="s">
        <v>3924</v>
      </c>
      <c r="J208" s="26" t="s">
        <v>6927</v>
      </c>
      <c r="K208" s="26" t="s">
        <v>6445</v>
      </c>
      <c r="L208" s="26" t="s">
        <v>6929</v>
      </c>
      <c r="M208" s="55" t="s">
        <v>6847</v>
      </c>
      <c r="N208" s="26" t="s">
        <v>3924</v>
      </c>
    </row>
    <row r="209" spans="1:14" ht="75" customHeight="1" thickTop="1" thickBot="1">
      <c r="A209" s="34">
        <v>207</v>
      </c>
      <c r="B209" s="34">
        <v>211</v>
      </c>
      <c r="C209" s="55" t="s">
        <v>6930</v>
      </c>
      <c r="D209" s="56" t="s">
        <v>26</v>
      </c>
      <c r="E209" s="56" t="s">
        <v>1710</v>
      </c>
      <c r="F209" s="26" t="s">
        <v>3923</v>
      </c>
      <c r="G209" s="26" t="s">
        <v>1419</v>
      </c>
      <c r="H209" s="26" t="s">
        <v>13</v>
      </c>
      <c r="I209" s="26" t="s">
        <v>3924</v>
      </c>
      <c r="J209" s="26" t="s">
        <v>6927</v>
      </c>
      <c r="K209" s="26" t="s">
        <v>6440</v>
      </c>
      <c r="L209" s="26" t="s">
        <v>6469</v>
      </c>
      <c r="M209" s="55" t="s">
        <v>6931</v>
      </c>
      <c r="N209" s="26" t="s">
        <v>3924</v>
      </c>
    </row>
    <row r="210" spans="1:14" ht="75" customHeight="1" thickTop="1" thickBot="1">
      <c r="A210" s="26">
        <v>208</v>
      </c>
      <c r="B210" s="26">
        <v>212</v>
      </c>
      <c r="C210" s="55" t="s">
        <v>6932</v>
      </c>
      <c r="D210" s="56" t="s">
        <v>26</v>
      </c>
      <c r="E210" s="56" t="s">
        <v>1710</v>
      </c>
      <c r="F210" s="26" t="s">
        <v>3923</v>
      </c>
      <c r="G210" s="26" t="s">
        <v>1419</v>
      </c>
      <c r="H210" s="26" t="s">
        <v>13</v>
      </c>
      <c r="I210" s="26" t="s">
        <v>3924</v>
      </c>
      <c r="J210" s="26" t="s">
        <v>6927</v>
      </c>
      <c r="K210" s="26" t="s">
        <v>6440</v>
      </c>
      <c r="L210" s="26" t="s">
        <v>6867</v>
      </c>
      <c r="M210" s="55" t="s">
        <v>6933</v>
      </c>
      <c r="N210" s="26" t="s">
        <v>3924</v>
      </c>
    </row>
    <row r="211" spans="1:14" ht="75" customHeight="1" thickTop="1" thickBot="1">
      <c r="A211" s="34">
        <v>209</v>
      </c>
      <c r="B211" s="34">
        <v>213</v>
      </c>
      <c r="C211" s="55" t="s">
        <v>6934</v>
      </c>
      <c r="D211" s="56" t="s">
        <v>26</v>
      </c>
      <c r="E211" s="56" t="s">
        <v>6480</v>
      </c>
      <c r="F211" s="26" t="s">
        <v>3923</v>
      </c>
      <c r="G211" s="26" t="s">
        <v>16</v>
      </c>
      <c r="H211" s="26" t="s">
        <v>13</v>
      </c>
      <c r="I211" s="26" t="s">
        <v>3924</v>
      </c>
      <c r="J211" s="26" t="s">
        <v>6934</v>
      </c>
      <c r="K211" s="26" t="s">
        <v>6440</v>
      </c>
      <c r="L211" s="26" t="s">
        <v>6469</v>
      </c>
      <c r="M211" s="55" t="s">
        <v>6935</v>
      </c>
      <c r="N211" s="26" t="s">
        <v>3924</v>
      </c>
    </row>
    <row r="212" spans="1:14" ht="75" customHeight="1" thickTop="1" thickBot="1">
      <c r="A212" s="26">
        <v>210</v>
      </c>
      <c r="B212" s="26">
        <v>214</v>
      </c>
      <c r="C212" s="55" t="s">
        <v>6936</v>
      </c>
      <c r="D212" s="56" t="s">
        <v>26</v>
      </c>
      <c r="E212" s="56" t="s">
        <v>6480</v>
      </c>
      <c r="F212" s="26" t="s">
        <v>3923</v>
      </c>
      <c r="G212" s="26" t="s">
        <v>16</v>
      </c>
      <c r="H212" s="26" t="s">
        <v>13</v>
      </c>
      <c r="I212" s="26" t="s">
        <v>3924</v>
      </c>
      <c r="J212" s="26" t="s">
        <v>6936</v>
      </c>
      <c r="K212" s="26" t="s">
        <v>6440</v>
      </c>
      <c r="L212" s="26" t="s">
        <v>6937</v>
      </c>
      <c r="M212" s="55" t="s">
        <v>6935</v>
      </c>
      <c r="N212" s="26" t="s">
        <v>3924</v>
      </c>
    </row>
    <row r="213" spans="1:14" ht="75" customHeight="1" thickTop="1" thickBot="1">
      <c r="A213" s="34">
        <v>211</v>
      </c>
      <c r="B213" s="34">
        <v>215</v>
      </c>
      <c r="C213" s="55" t="s">
        <v>6938</v>
      </c>
      <c r="D213" s="56" t="s">
        <v>26</v>
      </c>
      <c r="E213" s="56" t="s">
        <v>6480</v>
      </c>
      <c r="F213" s="26" t="s">
        <v>3923</v>
      </c>
      <c r="G213" s="26" t="s">
        <v>16</v>
      </c>
      <c r="H213" s="26" t="s">
        <v>13</v>
      </c>
      <c r="I213" s="26" t="s">
        <v>3924</v>
      </c>
      <c r="J213" s="26" t="s">
        <v>6938</v>
      </c>
      <c r="K213" s="26" t="s">
        <v>6440</v>
      </c>
      <c r="L213" s="26" t="s">
        <v>6939</v>
      </c>
      <c r="M213" s="55" t="s">
        <v>6940</v>
      </c>
      <c r="N213" s="26" t="s">
        <v>3924</v>
      </c>
    </row>
    <row r="214" spans="1:14" ht="75" customHeight="1" thickTop="1" thickBot="1">
      <c r="A214" s="26">
        <v>212</v>
      </c>
      <c r="B214" s="26">
        <v>216</v>
      </c>
      <c r="C214" s="55" t="s">
        <v>6941</v>
      </c>
      <c r="D214" s="56" t="s">
        <v>26</v>
      </c>
      <c r="E214" s="56" t="s">
        <v>6480</v>
      </c>
      <c r="F214" s="26" t="s">
        <v>3923</v>
      </c>
      <c r="G214" s="26" t="s">
        <v>16</v>
      </c>
      <c r="H214" s="26" t="s">
        <v>13</v>
      </c>
      <c r="I214" s="26" t="s">
        <v>3924</v>
      </c>
      <c r="J214" s="26" t="s">
        <v>6941</v>
      </c>
      <c r="K214" s="26" t="s">
        <v>6440</v>
      </c>
      <c r="L214" s="26" t="s">
        <v>6942</v>
      </c>
      <c r="M214" s="55" t="s">
        <v>6943</v>
      </c>
      <c r="N214" s="26" t="s">
        <v>3924</v>
      </c>
    </row>
    <row r="215" spans="1:14" ht="75" customHeight="1" thickTop="1" thickBot="1">
      <c r="A215" s="34">
        <v>213</v>
      </c>
      <c r="B215" s="34">
        <v>217</v>
      </c>
      <c r="C215" s="55" t="s">
        <v>6944</v>
      </c>
      <c r="D215" s="56" t="s">
        <v>26</v>
      </c>
      <c r="E215" s="56" t="s">
        <v>6480</v>
      </c>
      <c r="F215" s="26" t="s">
        <v>3923</v>
      </c>
      <c r="G215" s="26" t="s">
        <v>16</v>
      </c>
      <c r="H215" s="26" t="s">
        <v>13</v>
      </c>
      <c r="I215" s="26" t="s">
        <v>3924</v>
      </c>
      <c r="J215" s="26" t="s">
        <v>6944</v>
      </c>
      <c r="K215" s="26" t="s">
        <v>6434</v>
      </c>
      <c r="L215" s="26" t="s">
        <v>6864</v>
      </c>
      <c r="M215" s="55" t="s">
        <v>6945</v>
      </c>
      <c r="N215" s="26" t="s">
        <v>3924</v>
      </c>
    </row>
    <row r="216" spans="1:14" ht="75" customHeight="1" thickTop="1" thickBot="1">
      <c r="A216" s="26">
        <v>214</v>
      </c>
      <c r="B216" s="26">
        <v>218</v>
      </c>
      <c r="C216" s="55" t="s">
        <v>6946</v>
      </c>
      <c r="D216" s="56" t="s">
        <v>26</v>
      </c>
      <c r="E216" s="56" t="s">
        <v>6480</v>
      </c>
      <c r="F216" s="26" t="s">
        <v>3923</v>
      </c>
      <c r="G216" s="26" t="s">
        <v>16</v>
      </c>
      <c r="H216" s="26" t="s">
        <v>13</v>
      </c>
      <c r="I216" s="26" t="s">
        <v>3924</v>
      </c>
      <c r="J216" s="26" t="s">
        <v>6946</v>
      </c>
      <c r="K216" s="26" t="s">
        <v>6552</v>
      </c>
      <c r="L216" s="26" t="s">
        <v>4942</v>
      </c>
      <c r="M216" s="55" t="s">
        <v>6947</v>
      </c>
      <c r="N216" s="26" t="s">
        <v>3924</v>
      </c>
    </row>
    <row r="217" spans="1:14" ht="75" customHeight="1" thickTop="1" thickBot="1">
      <c r="A217" s="34">
        <v>215</v>
      </c>
      <c r="B217" s="34">
        <v>219</v>
      </c>
      <c r="C217" s="55" t="s">
        <v>6948</v>
      </c>
      <c r="D217" s="56" t="s">
        <v>26</v>
      </c>
      <c r="E217" s="56" t="s">
        <v>6480</v>
      </c>
      <c r="F217" s="26" t="s">
        <v>3923</v>
      </c>
      <c r="G217" s="26" t="s">
        <v>16</v>
      </c>
      <c r="H217" s="26" t="s">
        <v>13</v>
      </c>
      <c r="I217" s="26" t="s">
        <v>3924</v>
      </c>
      <c r="J217" s="26" t="s">
        <v>6948</v>
      </c>
      <c r="K217" s="26" t="s">
        <v>6445</v>
      </c>
      <c r="L217" s="26" t="s">
        <v>6435</v>
      </c>
      <c r="M217" s="55" t="s">
        <v>6949</v>
      </c>
      <c r="N217" s="26" t="s">
        <v>3924</v>
      </c>
    </row>
    <row r="218" spans="1:14" ht="75" customHeight="1" thickTop="1" thickBot="1">
      <c r="A218" s="26">
        <v>216</v>
      </c>
      <c r="B218" s="26">
        <v>220</v>
      </c>
      <c r="C218" s="55" t="s">
        <v>6948</v>
      </c>
      <c r="D218" s="56" t="s">
        <v>26</v>
      </c>
      <c r="E218" s="56" t="s">
        <v>6480</v>
      </c>
      <c r="F218" s="26" t="s">
        <v>3923</v>
      </c>
      <c r="G218" s="26" t="s">
        <v>16</v>
      </c>
      <c r="H218" s="26" t="s">
        <v>13</v>
      </c>
      <c r="I218" s="26" t="s">
        <v>3924</v>
      </c>
      <c r="J218" s="26" t="s">
        <v>6948</v>
      </c>
      <c r="K218" s="26" t="s">
        <v>6445</v>
      </c>
      <c r="L218" s="26" t="s">
        <v>6819</v>
      </c>
      <c r="M218" s="55" t="s">
        <v>6950</v>
      </c>
      <c r="N218" s="26" t="s">
        <v>3924</v>
      </c>
    </row>
    <row r="219" spans="1:14" ht="75" customHeight="1" thickTop="1" thickBot="1">
      <c r="A219" s="34">
        <v>217</v>
      </c>
      <c r="B219" s="34">
        <v>221</v>
      </c>
      <c r="C219" s="55" t="s">
        <v>6951</v>
      </c>
      <c r="D219" s="56" t="s">
        <v>26</v>
      </c>
      <c r="E219" s="56" t="s">
        <v>6480</v>
      </c>
      <c r="F219" s="26" t="s">
        <v>3923</v>
      </c>
      <c r="G219" s="26" t="s">
        <v>16</v>
      </c>
      <c r="H219" s="26" t="s">
        <v>13</v>
      </c>
      <c r="I219" s="26" t="s">
        <v>3924</v>
      </c>
      <c r="J219" s="26" t="s">
        <v>6951</v>
      </c>
      <c r="K219" s="26" t="s">
        <v>6445</v>
      </c>
      <c r="L219" s="26" t="s">
        <v>6952</v>
      </c>
      <c r="M219" s="55" t="s">
        <v>6943</v>
      </c>
      <c r="N219" s="26" t="s">
        <v>3924</v>
      </c>
    </row>
    <row r="220" spans="1:14" ht="75" customHeight="1" thickTop="1" thickBot="1">
      <c r="A220" s="26">
        <v>218</v>
      </c>
      <c r="B220" s="26">
        <v>222</v>
      </c>
      <c r="C220" s="55" t="s">
        <v>6953</v>
      </c>
      <c r="D220" s="56" t="s">
        <v>26</v>
      </c>
      <c r="E220" s="56" t="s">
        <v>6480</v>
      </c>
      <c r="F220" s="26" t="s">
        <v>3923</v>
      </c>
      <c r="G220" s="26" t="s">
        <v>16</v>
      </c>
      <c r="H220" s="26" t="s">
        <v>13</v>
      </c>
      <c r="I220" s="26" t="s">
        <v>3924</v>
      </c>
      <c r="J220" s="26" t="s">
        <v>6953</v>
      </c>
      <c r="K220" s="26" t="s">
        <v>6445</v>
      </c>
      <c r="L220" s="26" t="s">
        <v>6954</v>
      </c>
      <c r="M220" s="55" t="s">
        <v>6943</v>
      </c>
      <c r="N220" s="26" t="s">
        <v>3924</v>
      </c>
    </row>
    <row r="221" spans="1:14" ht="75" customHeight="1" thickTop="1" thickBot="1">
      <c r="A221" s="34">
        <v>219</v>
      </c>
      <c r="B221" s="34">
        <v>223</v>
      </c>
      <c r="C221" s="55" t="s">
        <v>6955</v>
      </c>
      <c r="D221" s="56" t="s">
        <v>26</v>
      </c>
      <c r="E221" s="56" t="s">
        <v>6586</v>
      </c>
      <c r="F221" s="26" t="s">
        <v>3923</v>
      </c>
      <c r="G221" s="26" t="s">
        <v>12</v>
      </c>
      <c r="H221" s="26" t="s">
        <v>13</v>
      </c>
      <c r="I221" s="26" t="s">
        <v>3924</v>
      </c>
      <c r="J221" s="26" t="s">
        <v>6955</v>
      </c>
      <c r="K221" s="26" t="s">
        <v>6552</v>
      </c>
      <c r="L221" s="26" t="s">
        <v>4082</v>
      </c>
      <c r="M221" s="55" t="s">
        <v>6956</v>
      </c>
      <c r="N221" s="26" t="s">
        <v>3924</v>
      </c>
    </row>
    <row r="222" spans="1:14" ht="75" customHeight="1" thickTop="1" thickBot="1">
      <c r="A222" s="26">
        <v>220</v>
      </c>
      <c r="B222" s="26">
        <v>224</v>
      </c>
      <c r="C222" s="55" t="s">
        <v>6957</v>
      </c>
      <c r="D222" s="56" t="s">
        <v>26</v>
      </c>
      <c r="E222" s="56" t="s">
        <v>6586</v>
      </c>
      <c r="F222" s="26" t="s">
        <v>3923</v>
      </c>
      <c r="G222" s="26" t="s">
        <v>12</v>
      </c>
      <c r="H222" s="26" t="s">
        <v>13</v>
      </c>
      <c r="I222" s="26" t="s">
        <v>3924</v>
      </c>
      <c r="J222" s="26" t="s">
        <v>6958</v>
      </c>
      <c r="K222" s="26" t="s">
        <v>6476</v>
      </c>
      <c r="L222" s="26" t="s">
        <v>6959</v>
      </c>
      <c r="M222" s="55" t="s">
        <v>6960</v>
      </c>
      <c r="N222" s="26" t="s">
        <v>3924</v>
      </c>
    </row>
    <row r="223" spans="1:14" ht="75" customHeight="1" thickTop="1" thickBot="1">
      <c r="A223" s="34">
        <v>221</v>
      </c>
      <c r="B223" s="34">
        <v>225</v>
      </c>
      <c r="C223" s="55" t="s">
        <v>6961</v>
      </c>
      <c r="D223" s="56" t="s">
        <v>26</v>
      </c>
      <c r="E223" s="56" t="s">
        <v>6480</v>
      </c>
      <c r="F223" s="26" t="s">
        <v>3923</v>
      </c>
      <c r="G223" s="26" t="s">
        <v>16</v>
      </c>
      <c r="H223" s="26" t="s">
        <v>13</v>
      </c>
      <c r="I223" s="26" t="s">
        <v>3924</v>
      </c>
      <c r="J223" s="26" t="s">
        <v>6961</v>
      </c>
      <c r="K223" s="26" t="s">
        <v>6434</v>
      </c>
      <c r="L223" s="26" t="s">
        <v>6962</v>
      </c>
      <c r="M223" s="55" t="s">
        <v>6963</v>
      </c>
      <c r="N223" s="26" t="s">
        <v>3924</v>
      </c>
    </row>
    <row r="224" spans="1:14" ht="75" customHeight="1" thickTop="1" thickBot="1">
      <c r="A224" s="26">
        <v>222</v>
      </c>
      <c r="B224" s="26">
        <v>226</v>
      </c>
      <c r="C224" s="55" t="s">
        <v>4054</v>
      </c>
      <c r="D224" s="56" t="s">
        <v>26</v>
      </c>
      <c r="E224" s="56" t="s">
        <v>6480</v>
      </c>
      <c r="F224" s="26" t="s">
        <v>3923</v>
      </c>
      <c r="G224" s="26" t="s">
        <v>16</v>
      </c>
      <c r="H224" s="26" t="s">
        <v>13</v>
      </c>
      <c r="I224" s="26" t="s">
        <v>3924</v>
      </c>
      <c r="J224" s="26" t="s">
        <v>4054</v>
      </c>
      <c r="K224" s="26" t="s">
        <v>6440</v>
      </c>
      <c r="L224" s="26" t="s">
        <v>6745</v>
      </c>
      <c r="M224" s="55" t="s">
        <v>6964</v>
      </c>
      <c r="N224" s="26" t="s">
        <v>3924</v>
      </c>
    </row>
    <row r="225" spans="1:14" ht="75" customHeight="1" thickTop="1" thickBot="1">
      <c r="A225" s="34">
        <v>223</v>
      </c>
      <c r="B225" s="34">
        <v>227</v>
      </c>
      <c r="C225" s="55" t="s">
        <v>6965</v>
      </c>
      <c r="D225" s="56" t="s">
        <v>26</v>
      </c>
      <c r="E225" s="56" t="s">
        <v>6448</v>
      </c>
      <c r="F225" s="26" t="s">
        <v>3923</v>
      </c>
      <c r="G225" s="26" t="s">
        <v>12</v>
      </c>
      <c r="H225" s="26" t="s">
        <v>13</v>
      </c>
      <c r="I225" s="26" t="s">
        <v>3924</v>
      </c>
      <c r="J225" s="26" t="s">
        <v>6966</v>
      </c>
      <c r="K225" s="26" t="s">
        <v>3954</v>
      </c>
      <c r="L225" s="26" t="s">
        <v>3927</v>
      </c>
      <c r="M225" s="55" t="s">
        <v>6753</v>
      </c>
      <c r="N225" s="26" t="s">
        <v>3924</v>
      </c>
    </row>
    <row r="226" spans="1:14" ht="75" customHeight="1" thickTop="1" thickBot="1">
      <c r="A226" s="26">
        <v>224</v>
      </c>
      <c r="B226" s="26">
        <v>228</v>
      </c>
      <c r="C226" s="55" t="s">
        <v>6967</v>
      </c>
      <c r="D226" s="56" t="s">
        <v>26</v>
      </c>
      <c r="E226" s="56" t="s">
        <v>6448</v>
      </c>
      <c r="F226" s="26" t="s">
        <v>3923</v>
      </c>
      <c r="G226" s="26" t="s">
        <v>12</v>
      </c>
      <c r="H226" s="26" t="s">
        <v>13</v>
      </c>
      <c r="I226" s="26" t="s">
        <v>3924</v>
      </c>
      <c r="J226" s="26" t="s">
        <v>6966</v>
      </c>
      <c r="K226" s="26" t="s">
        <v>3954</v>
      </c>
      <c r="L226" s="26" t="s">
        <v>4082</v>
      </c>
      <c r="M226" s="55" t="s">
        <v>6968</v>
      </c>
      <c r="N226" s="26" t="s">
        <v>3924</v>
      </c>
    </row>
    <row r="227" spans="1:14" ht="75" customHeight="1" thickTop="1" thickBot="1">
      <c r="A227" s="34">
        <v>225</v>
      </c>
      <c r="B227" s="34">
        <v>229</v>
      </c>
      <c r="C227" s="55" t="s">
        <v>6969</v>
      </c>
      <c r="D227" s="56" t="s">
        <v>26</v>
      </c>
      <c r="E227" s="56" t="s">
        <v>6448</v>
      </c>
      <c r="F227" s="26" t="s">
        <v>3923</v>
      </c>
      <c r="G227" s="26" t="s">
        <v>12</v>
      </c>
      <c r="H227" s="26" t="s">
        <v>13</v>
      </c>
      <c r="I227" s="26" t="s">
        <v>3924</v>
      </c>
      <c r="J227" s="26" t="s">
        <v>6966</v>
      </c>
      <c r="K227" s="26" t="s">
        <v>6440</v>
      </c>
      <c r="L227" s="26" t="s">
        <v>3924</v>
      </c>
      <c r="M227" s="55" t="s">
        <v>6970</v>
      </c>
      <c r="N227" s="26" t="s">
        <v>3924</v>
      </c>
    </row>
    <row r="228" spans="1:14" ht="75" customHeight="1" thickTop="1" thickBot="1">
      <c r="A228" s="26">
        <v>226</v>
      </c>
      <c r="B228" s="26">
        <v>230</v>
      </c>
      <c r="C228" s="55" t="s">
        <v>6971</v>
      </c>
      <c r="D228" s="56" t="s">
        <v>26</v>
      </c>
      <c r="E228" s="56" t="s">
        <v>6448</v>
      </c>
      <c r="F228" s="26" t="s">
        <v>3923</v>
      </c>
      <c r="G228" s="26" t="s">
        <v>12</v>
      </c>
      <c r="H228" s="26" t="s">
        <v>13</v>
      </c>
      <c r="I228" s="26" t="s">
        <v>3924</v>
      </c>
      <c r="J228" s="26" t="s">
        <v>6966</v>
      </c>
      <c r="K228" s="26" t="s">
        <v>6440</v>
      </c>
      <c r="L228" s="26" t="s">
        <v>4942</v>
      </c>
      <c r="M228" s="55" t="s">
        <v>6972</v>
      </c>
      <c r="N228" s="26" t="s">
        <v>3924</v>
      </c>
    </row>
    <row r="229" spans="1:14" ht="75" customHeight="1" thickTop="1" thickBot="1">
      <c r="A229" s="34">
        <v>227</v>
      </c>
      <c r="B229" s="34">
        <v>231</v>
      </c>
      <c r="C229" s="55" t="s">
        <v>6973</v>
      </c>
      <c r="D229" s="56" t="s">
        <v>26</v>
      </c>
      <c r="E229" s="56" t="s">
        <v>6448</v>
      </c>
      <c r="F229" s="26" t="s">
        <v>3923</v>
      </c>
      <c r="G229" s="26" t="s">
        <v>12</v>
      </c>
      <c r="H229" s="26" t="s">
        <v>13</v>
      </c>
      <c r="I229" s="26" t="s">
        <v>3924</v>
      </c>
      <c r="J229" s="26" t="s">
        <v>6966</v>
      </c>
      <c r="K229" s="26" t="s">
        <v>6440</v>
      </c>
      <c r="L229" s="26" t="s">
        <v>4942</v>
      </c>
      <c r="M229" s="55" t="s">
        <v>6974</v>
      </c>
      <c r="N229" s="26" t="s">
        <v>3924</v>
      </c>
    </row>
    <row r="230" spans="1:14" ht="75" customHeight="1" thickTop="1" thickBot="1">
      <c r="A230" s="26">
        <v>228</v>
      </c>
      <c r="B230" s="26">
        <v>232</v>
      </c>
      <c r="C230" s="55" t="s">
        <v>6975</v>
      </c>
      <c r="D230" s="56" t="s">
        <v>26</v>
      </c>
      <c r="E230" s="56" t="s">
        <v>6448</v>
      </c>
      <c r="F230" s="26" t="s">
        <v>3923</v>
      </c>
      <c r="G230" s="26" t="s">
        <v>12</v>
      </c>
      <c r="H230" s="26" t="s">
        <v>13</v>
      </c>
      <c r="I230" s="26" t="s">
        <v>3924</v>
      </c>
      <c r="J230" s="26" t="s">
        <v>6975</v>
      </c>
      <c r="K230" s="26" t="s">
        <v>6440</v>
      </c>
      <c r="L230" s="26" t="s">
        <v>6455</v>
      </c>
      <c r="M230" s="55" t="s">
        <v>6976</v>
      </c>
      <c r="N230" s="26" t="s">
        <v>3924</v>
      </c>
    </row>
    <row r="231" spans="1:14" ht="75" customHeight="1" thickTop="1" thickBot="1">
      <c r="A231" s="34">
        <v>229</v>
      </c>
      <c r="B231" s="34">
        <v>233</v>
      </c>
      <c r="C231" s="55" t="s">
        <v>6977</v>
      </c>
      <c r="D231" s="56" t="s">
        <v>26</v>
      </c>
      <c r="E231" s="56" t="s">
        <v>6448</v>
      </c>
      <c r="F231" s="26" t="s">
        <v>3923</v>
      </c>
      <c r="G231" s="26" t="s">
        <v>12</v>
      </c>
      <c r="H231" s="26" t="s">
        <v>13</v>
      </c>
      <c r="I231" s="26" t="s">
        <v>3924</v>
      </c>
      <c r="J231" s="26" t="s">
        <v>6978</v>
      </c>
      <c r="K231" s="26" t="s">
        <v>6445</v>
      </c>
      <c r="L231" s="26" t="s">
        <v>6469</v>
      </c>
      <c r="M231" s="55" t="s">
        <v>6976</v>
      </c>
      <c r="N231" s="26" t="s">
        <v>3924</v>
      </c>
    </row>
    <row r="232" spans="1:14" ht="75" customHeight="1" thickTop="1" thickBot="1">
      <c r="A232" s="26">
        <v>230</v>
      </c>
      <c r="B232" s="26">
        <v>234</v>
      </c>
      <c r="C232" s="55" t="s">
        <v>6979</v>
      </c>
      <c r="D232" s="56" t="s">
        <v>26</v>
      </c>
      <c r="E232" s="56" t="s">
        <v>6448</v>
      </c>
      <c r="F232" s="26" t="s">
        <v>3923</v>
      </c>
      <c r="G232" s="26" t="s">
        <v>12</v>
      </c>
      <c r="H232" s="26" t="s">
        <v>13</v>
      </c>
      <c r="I232" s="26" t="s">
        <v>3924</v>
      </c>
      <c r="J232" s="26" t="s">
        <v>6979</v>
      </c>
      <c r="K232" s="26" t="s">
        <v>6434</v>
      </c>
      <c r="L232" s="26" t="s">
        <v>4942</v>
      </c>
      <c r="M232" s="55" t="s">
        <v>6980</v>
      </c>
      <c r="N232" s="26" t="s">
        <v>3924</v>
      </c>
    </row>
    <row r="233" spans="1:14" ht="75" customHeight="1" thickTop="1" thickBot="1">
      <c r="A233" s="34">
        <v>231</v>
      </c>
      <c r="B233" s="34">
        <v>235</v>
      </c>
      <c r="C233" s="55" t="s">
        <v>6981</v>
      </c>
      <c r="D233" s="56" t="s">
        <v>26</v>
      </c>
      <c r="E233" s="56" t="s">
        <v>6448</v>
      </c>
      <c r="F233" s="26" t="s">
        <v>3923</v>
      </c>
      <c r="G233" s="26" t="s">
        <v>12</v>
      </c>
      <c r="H233" s="26" t="s">
        <v>13</v>
      </c>
      <c r="I233" s="26" t="s">
        <v>3924</v>
      </c>
      <c r="J233" s="26" t="s">
        <v>6981</v>
      </c>
      <c r="K233" s="26" t="s">
        <v>6434</v>
      </c>
      <c r="L233" s="26" t="s">
        <v>4942</v>
      </c>
      <c r="M233" s="55" t="s">
        <v>6982</v>
      </c>
      <c r="N233" s="26" t="s">
        <v>3924</v>
      </c>
    </row>
    <row r="234" spans="1:14" ht="75" customHeight="1" thickTop="1" thickBot="1">
      <c r="A234" s="26">
        <v>232</v>
      </c>
      <c r="B234" s="26">
        <v>236</v>
      </c>
      <c r="C234" s="55" t="s">
        <v>6983</v>
      </c>
      <c r="D234" s="56" t="s">
        <v>26</v>
      </c>
      <c r="E234" s="56" t="s">
        <v>6448</v>
      </c>
      <c r="F234" s="26" t="s">
        <v>3923</v>
      </c>
      <c r="G234" s="26" t="s">
        <v>12</v>
      </c>
      <c r="H234" s="26" t="s">
        <v>13</v>
      </c>
      <c r="I234" s="26" t="s">
        <v>3924</v>
      </c>
      <c r="J234" s="26" t="s">
        <v>6983</v>
      </c>
      <c r="K234" s="26" t="s">
        <v>6434</v>
      </c>
      <c r="L234" s="26" t="s">
        <v>4942</v>
      </c>
      <c r="M234" s="55" t="s">
        <v>6984</v>
      </c>
      <c r="N234" s="26" t="s">
        <v>3924</v>
      </c>
    </row>
    <row r="235" spans="1:14" ht="75" customHeight="1" thickTop="1" thickBot="1">
      <c r="A235" s="34">
        <v>233</v>
      </c>
      <c r="B235" s="34">
        <v>237</v>
      </c>
      <c r="C235" s="55" t="s">
        <v>6985</v>
      </c>
      <c r="D235" s="56" t="s">
        <v>26</v>
      </c>
      <c r="E235" s="56" t="s">
        <v>6480</v>
      </c>
      <c r="F235" s="26" t="s">
        <v>3923</v>
      </c>
      <c r="G235" s="26" t="s">
        <v>16</v>
      </c>
      <c r="H235" s="26" t="s">
        <v>13</v>
      </c>
      <c r="I235" s="26" t="s">
        <v>3924</v>
      </c>
      <c r="J235" s="26" t="s">
        <v>6986</v>
      </c>
      <c r="K235" s="26" t="s">
        <v>6434</v>
      </c>
      <c r="L235" s="26" t="s">
        <v>6493</v>
      </c>
      <c r="M235" s="55" t="s">
        <v>6987</v>
      </c>
      <c r="N235" s="26" t="s">
        <v>3924</v>
      </c>
    </row>
    <row r="236" spans="1:14" ht="75" customHeight="1" thickTop="1" thickBot="1">
      <c r="A236" s="26">
        <v>234</v>
      </c>
      <c r="B236" s="26">
        <v>238</v>
      </c>
      <c r="C236" s="55" t="s">
        <v>6986</v>
      </c>
      <c r="D236" s="56" t="s">
        <v>26</v>
      </c>
      <c r="E236" s="56" t="s">
        <v>6480</v>
      </c>
      <c r="F236" s="26" t="s">
        <v>3923</v>
      </c>
      <c r="G236" s="26" t="s">
        <v>16</v>
      </c>
      <c r="H236" s="26" t="s">
        <v>13</v>
      </c>
      <c r="I236" s="26" t="s">
        <v>3924</v>
      </c>
      <c r="J236" s="26" t="s">
        <v>6986</v>
      </c>
      <c r="K236" s="26" t="s">
        <v>6434</v>
      </c>
      <c r="L236" s="26" t="s">
        <v>4942</v>
      </c>
      <c r="M236" s="55" t="s">
        <v>6988</v>
      </c>
      <c r="N236" s="26" t="s">
        <v>3924</v>
      </c>
    </row>
    <row r="237" spans="1:14" ht="75" customHeight="1" thickTop="1" thickBot="1">
      <c r="A237" s="34">
        <v>235</v>
      </c>
      <c r="B237" s="34">
        <v>239</v>
      </c>
      <c r="C237" s="55" t="s">
        <v>6989</v>
      </c>
      <c r="D237" s="56" t="s">
        <v>26</v>
      </c>
      <c r="E237" s="56" t="s">
        <v>6480</v>
      </c>
      <c r="F237" s="26" t="s">
        <v>3923</v>
      </c>
      <c r="G237" s="26" t="s">
        <v>16</v>
      </c>
      <c r="H237" s="26" t="s">
        <v>13</v>
      </c>
      <c r="I237" s="26" t="s">
        <v>3924</v>
      </c>
      <c r="J237" s="26" t="s">
        <v>6989</v>
      </c>
      <c r="K237" s="26" t="s">
        <v>6434</v>
      </c>
      <c r="L237" s="26" t="s">
        <v>6723</v>
      </c>
      <c r="M237" s="55" t="s">
        <v>6990</v>
      </c>
      <c r="N237" s="26" t="s">
        <v>3924</v>
      </c>
    </row>
    <row r="238" spans="1:14" ht="75" customHeight="1" thickTop="1" thickBot="1">
      <c r="A238" s="26">
        <v>236</v>
      </c>
      <c r="B238" s="26">
        <v>240</v>
      </c>
      <c r="C238" s="55" t="s">
        <v>6991</v>
      </c>
      <c r="D238" s="56" t="s">
        <v>26</v>
      </c>
      <c r="E238" s="56" t="s">
        <v>6480</v>
      </c>
      <c r="F238" s="26" t="s">
        <v>3923</v>
      </c>
      <c r="G238" s="26" t="s">
        <v>16</v>
      </c>
      <c r="H238" s="26" t="s">
        <v>13</v>
      </c>
      <c r="I238" s="26" t="s">
        <v>3924</v>
      </c>
      <c r="J238" s="26" t="s">
        <v>6991</v>
      </c>
      <c r="K238" s="26" t="s">
        <v>6440</v>
      </c>
      <c r="L238" s="26" t="s">
        <v>6992</v>
      </c>
      <c r="M238" s="55" t="s">
        <v>6993</v>
      </c>
      <c r="N238" s="26" t="s">
        <v>3924</v>
      </c>
    </row>
    <row r="239" spans="1:14" ht="75" customHeight="1" thickTop="1" thickBot="1">
      <c r="A239" s="34">
        <v>237</v>
      </c>
      <c r="B239" s="34">
        <v>241</v>
      </c>
      <c r="C239" s="55" t="s">
        <v>6994</v>
      </c>
      <c r="D239" s="56" t="s">
        <v>26</v>
      </c>
      <c r="E239" s="56" t="s">
        <v>6480</v>
      </c>
      <c r="F239" s="26" t="s">
        <v>3923</v>
      </c>
      <c r="G239" s="26" t="s">
        <v>16</v>
      </c>
      <c r="H239" s="26" t="s">
        <v>13</v>
      </c>
      <c r="I239" s="26" t="s">
        <v>3924</v>
      </c>
      <c r="J239" s="26" t="s">
        <v>6994</v>
      </c>
      <c r="K239" s="26" t="s">
        <v>6440</v>
      </c>
      <c r="L239" s="26" t="s">
        <v>6995</v>
      </c>
      <c r="M239" s="55" t="s">
        <v>6996</v>
      </c>
      <c r="N239" s="26" t="s">
        <v>3924</v>
      </c>
    </row>
    <row r="240" spans="1:14" ht="75" customHeight="1" thickTop="1" thickBot="1">
      <c r="A240" s="26">
        <v>238</v>
      </c>
      <c r="B240" s="26">
        <v>242</v>
      </c>
      <c r="C240" s="55" t="s">
        <v>6997</v>
      </c>
      <c r="D240" s="56" t="s">
        <v>26</v>
      </c>
      <c r="E240" s="56" t="s">
        <v>6480</v>
      </c>
      <c r="F240" s="26" t="s">
        <v>3923</v>
      </c>
      <c r="G240" s="26" t="s">
        <v>16</v>
      </c>
      <c r="H240" s="26" t="s">
        <v>13</v>
      </c>
      <c r="I240" s="26" t="s">
        <v>3924</v>
      </c>
      <c r="J240" s="26" t="s">
        <v>6997</v>
      </c>
      <c r="K240" s="26" t="s">
        <v>6440</v>
      </c>
      <c r="L240" s="26" t="s">
        <v>6998</v>
      </c>
      <c r="M240" s="55" t="s">
        <v>6999</v>
      </c>
      <c r="N240" s="26" t="s">
        <v>3924</v>
      </c>
    </row>
    <row r="241" spans="1:14" ht="75" customHeight="1" thickTop="1" thickBot="1">
      <c r="A241" s="34">
        <v>239</v>
      </c>
      <c r="B241" s="34">
        <v>243</v>
      </c>
      <c r="C241" s="55" t="s">
        <v>7000</v>
      </c>
      <c r="D241" s="56" t="s">
        <v>26</v>
      </c>
      <c r="E241" s="56" t="s">
        <v>6480</v>
      </c>
      <c r="F241" s="26" t="s">
        <v>3923</v>
      </c>
      <c r="G241" s="26" t="s">
        <v>16</v>
      </c>
      <c r="H241" s="26" t="s">
        <v>13</v>
      </c>
      <c r="I241" s="26" t="s">
        <v>3924</v>
      </c>
      <c r="J241" s="26" t="s">
        <v>7001</v>
      </c>
      <c r="K241" s="26" t="s">
        <v>6440</v>
      </c>
      <c r="L241" s="26" t="s">
        <v>7002</v>
      </c>
      <c r="M241" s="55" t="s">
        <v>7003</v>
      </c>
      <c r="N241" s="26" t="s">
        <v>3924</v>
      </c>
    </row>
    <row r="242" spans="1:14" ht="75" customHeight="1" thickTop="1" thickBot="1">
      <c r="A242" s="26">
        <v>240</v>
      </c>
      <c r="B242" s="26">
        <v>244</v>
      </c>
      <c r="C242" s="55" t="s">
        <v>7001</v>
      </c>
      <c r="D242" s="56" t="s">
        <v>26</v>
      </c>
      <c r="E242" s="56" t="s">
        <v>6480</v>
      </c>
      <c r="F242" s="26" t="s">
        <v>3923</v>
      </c>
      <c r="G242" s="26" t="s">
        <v>16</v>
      </c>
      <c r="H242" s="26" t="s">
        <v>13</v>
      </c>
      <c r="I242" s="26" t="s">
        <v>3924</v>
      </c>
      <c r="J242" s="26" t="s">
        <v>7004</v>
      </c>
      <c r="K242" s="26" t="s">
        <v>6440</v>
      </c>
      <c r="L242" s="26" t="s">
        <v>7005</v>
      </c>
      <c r="M242" s="55" t="s">
        <v>7006</v>
      </c>
      <c r="N242" s="26" t="s">
        <v>3924</v>
      </c>
    </row>
    <row r="243" spans="1:14" ht="75" customHeight="1" thickTop="1" thickBot="1">
      <c r="A243" s="34">
        <v>241</v>
      </c>
      <c r="B243" s="34">
        <v>245</v>
      </c>
      <c r="C243" s="55" t="s">
        <v>7004</v>
      </c>
      <c r="D243" s="56" t="s">
        <v>26</v>
      </c>
      <c r="E243" s="56" t="s">
        <v>6480</v>
      </c>
      <c r="F243" s="26" t="s">
        <v>3923</v>
      </c>
      <c r="G243" s="26" t="s">
        <v>16</v>
      </c>
      <c r="H243" s="26" t="s">
        <v>13</v>
      </c>
      <c r="I243" s="26" t="s">
        <v>3924</v>
      </c>
      <c r="J243" s="26" t="s">
        <v>7007</v>
      </c>
      <c r="K243" s="26" t="s">
        <v>6440</v>
      </c>
      <c r="L243" s="26" t="s">
        <v>7008</v>
      </c>
      <c r="M243" s="55" t="s">
        <v>7009</v>
      </c>
      <c r="N243" s="26" t="s">
        <v>3924</v>
      </c>
    </row>
    <row r="244" spans="1:14" ht="75" customHeight="1" thickTop="1" thickBot="1">
      <c r="A244" s="26">
        <v>242</v>
      </c>
      <c r="B244" s="26">
        <v>246</v>
      </c>
      <c r="C244" s="55" t="s">
        <v>7007</v>
      </c>
      <c r="D244" s="56" t="s">
        <v>26</v>
      </c>
      <c r="E244" s="56" t="s">
        <v>6480</v>
      </c>
      <c r="F244" s="26" t="s">
        <v>3923</v>
      </c>
      <c r="G244" s="26" t="s">
        <v>16</v>
      </c>
      <c r="H244" s="26" t="s">
        <v>13</v>
      </c>
      <c r="I244" s="26" t="s">
        <v>3924</v>
      </c>
      <c r="J244" s="26" t="s">
        <v>7007</v>
      </c>
      <c r="K244" s="26" t="s">
        <v>6440</v>
      </c>
      <c r="L244" s="26" t="s">
        <v>6745</v>
      </c>
      <c r="M244" s="55" t="s">
        <v>7010</v>
      </c>
      <c r="N244" s="26" t="s">
        <v>3924</v>
      </c>
    </row>
    <row r="245" spans="1:14" ht="75" customHeight="1" thickTop="1" thickBot="1">
      <c r="A245" s="34">
        <v>243</v>
      </c>
      <c r="B245" s="34">
        <v>247</v>
      </c>
      <c r="C245" s="55" t="s">
        <v>7011</v>
      </c>
      <c r="D245" s="56" t="s">
        <v>26</v>
      </c>
      <c r="E245" s="56" t="s">
        <v>6480</v>
      </c>
      <c r="F245" s="26" t="s">
        <v>3923</v>
      </c>
      <c r="G245" s="26" t="s">
        <v>16</v>
      </c>
      <c r="H245" s="26" t="s">
        <v>13</v>
      </c>
      <c r="I245" s="26" t="s">
        <v>3924</v>
      </c>
      <c r="J245" s="26" t="s">
        <v>7011</v>
      </c>
      <c r="K245" s="26" t="s">
        <v>6440</v>
      </c>
      <c r="L245" s="26" t="s">
        <v>6743</v>
      </c>
      <c r="M245" s="55" t="s">
        <v>7012</v>
      </c>
      <c r="N245" s="26" t="s">
        <v>3924</v>
      </c>
    </row>
    <row r="246" spans="1:14" ht="75" customHeight="1" thickTop="1" thickBot="1">
      <c r="A246" s="26">
        <v>244</v>
      </c>
      <c r="B246" s="26">
        <v>248</v>
      </c>
      <c r="C246" s="55" t="s">
        <v>7013</v>
      </c>
      <c r="D246" s="56" t="s">
        <v>26</v>
      </c>
      <c r="E246" s="56" t="s">
        <v>6480</v>
      </c>
      <c r="F246" s="26" t="s">
        <v>3923</v>
      </c>
      <c r="G246" s="26" t="s">
        <v>16</v>
      </c>
      <c r="H246" s="26" t="s">
        <v>13</v>
      </c>
      <c r="I246" s="26" t="s">
        <v>3924</v>
      </c>
      <c r="J246" s="26" t="s">
        <v>7013</v>
      </c>
      <c r="K246" s="26" t="s">
        <v>6440</v>
      </c>
      <c r="L246" s="26" t="s">
        <v>7014</v>
      </c>
      <c r="M246" s="55" t="s">
        <v>7015</v>
      </c>
      <c r="N246" s="26" t="s">
        <v>3924</v>
      </c>
    </row>
    <row r="247" spans="1:14" ht="75" customHeight="1" thickTop="1" thickBot="1">
      <c r="A247" s="34">
        <v>245</v>
      </c>
      <c r="B247" s="34">
        <v>249</v>
      </c>
      <c r="C247" s="55" t="s">
        <v>7016</v>
      </c>
      <c r="D247" s="56" t="s">
        <v>26</v>
      </c>
      <c r="E247" s="56" t="s">
        <v>6448</v>
      </c>
      <c r="F247" s="26" t="s">
        <v>3923</v>
      </c>
      <c r="G247" s="26" t="s">
        <v>1419</v>
      </c>
      <c r="H247" s="26" t="s">
        <v>13</v>
      </c>
      <c r="I247" s="26" t="s">
        <v>3924</v>
      </c>
      <c r="J247" s="26" t="s">
        <v>6444</v>
      </c>
      <c r="K247" s="26" t="s">
        <v>6463</v>
      </c>
      <c r="L247" s="26" t="s">
        <v>6463</v>
      </c>
      <c r="M247" s="55" t="s">
        <v>7017</v>
      </c>
      <c r="N247" s="26" t="s">
        <v>3924</v>
      </c>
    </row>
    <row r="248" spans="1:14" ht="75" customHeight="1" thickTop="1" thickBot="1">
      <c r="A248" s="26">
        <v>246</v>
      </c>
      <c r="B248" s="26">
        <v>250</v>
      </c>
      <c r="C248" s="55" t="s">
        <v>7018</v>
      </c>
      <c r="D248" s="56" t="s">
        <v>26</v>
      </c>
      <c r="E248" s="56" t="s">
        <v>6448</v>
      </c>
      <c r="F248" s="26" t="s">
        <v>3923</v>
      </c>
      <c r="G248" s="26" t="s">
        <v>12</v>
      </c>
      <c r="H248" s="26" t="s">
        <v>13</v>
      </c>
      <c r="I248" s="26" t="s">
        <v>3924</v>
      </c>
      <c r="J248" s="26" t="s">
        <v>7019</v>
      </c>
      <c r="K248" s="26" t="s">
        <v>3954</v>
      </c>
      <c r="L248" s="26" t="s">
        <v>3927</v>
      </c>
      <c r="M248" s="55" t="s">
        <v>6753</v>
      </c>
      <c r="N248" s="26" t="s">
        <v>3924</v>
      </c>
    </row>
    <row r="249" spans="1:14" ht="75" customHeight="1" thickTop="1" thickBot="1">
      <c r="A249" s="34">
        <v>247</v>
      </c>
      <c r="B249" s="34">
        <v>251</v>
      </c>
      <c r="C249" s="55" t="s">
        <v>7020</v>
      </c>
      <c r="D249" s="56" t="s">
        <v>26</v>
      </c>
      <c r="E249" s="56" t="s">
        <v>6448</v>
      </c>
      <c r="F249" s="26" t="s">
        <v>3923</v>
      </c>
      <c r="G249" s="26" t="s">
        <v>12</v>
      </c>
      <c r="H249" s="26" t="s">
        <v>13</v>
      </c>
      <c r="I249" s="26" t="s">
        <v>3924</v>
      </c>
      <c r="J249" s="26" t="s">
        <v>7019</v>
      </c>
      <c r="K249" s="26" t="s">
        <v>6434</v>
      </c>
      <c r="L249" s="26" t="s">
        <v>6455</v>
      </c>
      <c r="M249" s="55" t="s">
        <v>7021</v>
      </c>
      <c r="N249" s="26" t="s">
        <v>3924</v>
      </c>
    </row>
    <row r="250" spans="1:14" ht="75" customHeight="1" thickTop="1" thickBot="1">
      <c r="A250" s="26">
        <v>248</v>
      </c>
      <c r="B250" s="26">
        <v>252</v>
      </c>
      <c r="C250" s="55" t="s">
        <v>7022</v>
      </c>
      <c r="D250" s="56" t="s">
        <v>26</v>
      </c>
      <c r="E250" s="56" t="s">
        <v>6448</v>
      </c>
      <c r="F250" s="26" t="s">
        <v>3923</v>
      </c>
      <c r="G250" s="26" t="s">
        <v>12</v>
      </c>
      <c r="H250" s="26" t="s">
        <v>13</v>
      </c>
      <c r="I250" s="26" t="s">
        <v>3924</v>
      </c>
      <c r="J250" s="26" t="s">
        <v>7022</v>
      </c>
      <c r="K250" s="26" t="s">
        <v>6434</v>
      </c>
      <c r="L250" s="26" t="s">
        <v>6455</v>
      </c>
      <c r="M250" s="55" t="s">
        <v>7023</v>
      </c>
      <c r="N250" s="26" t="s">
        <v>3924</v>
      </c>
    </row>
    <row r="251" spans="1:14" ht="75" customHeight="1" thickTop="1" thickBot="1">
      <c r="A251" s="34">
        <v>249</v>
      </c>
      <c r="B251" s="34">
        <v>253</v>
      </c>
      <c r="C251" s="55" t="s">
        <v>7024</v>
      </c>
      <c r="D251" s="56" t="s">
        <v>26</v>
      </c>
      <c r="E251" s="56" t="s">
        <v>6586</v>
      </c>
      <c r="F251" s="26" t="s">
        <v>3923</v>
      </c>
      <c r="G251" s="26" t="s">
        <v>12</v>
      </c>
      <c r="H251" s="26" t="s">
        <v>13</v>
      </c>
      <c r="I251" s="26" t="s">
        <v>3924</v>
      </c>
      <c r="J251" s="26" t="s">
        <v>7024</v>
      </c>
      <c r="K251" s="26" t="s">
        <v>6552</v>
      </c>
      <c r="L251" s="26" t="s">
        <v>7025</v>
      </c>
      <c r="M251" s="55" t="s">
        <v>7026</v>
      </c>
      <c r="N251" s="26" t="s">
        <v>3924</v>
      </c>
    </row>
    <row r="252" spans="1:14" ht="75" customHeight="1" thickTop="1" thickBot="1">
      <c r="A252" s="26">
        <v>250</v>
      </c>
      <c r="B252" s="26">
        <v>254</v>
      </c>
      <c r="C252" s="55" t="s">
        <v>7027</v>
      </c>
      <c r="D252" s="56" t="s">
        <v>26</v>
      </c>
      <c r="E252" s="56" t="s">
        <v>6480</v>
      </c>
      <c r="F252" s="26" t="s">
        <v>3923</v>
      </c>
      <c r="G252" s="26" t="s">
        <v>16</v>
      </c>
      <c r="H252" s="26" t="s">
        <v>13</v>
      </c>
      <c r="I252" s="26" t="s">
        <v>3924</v>
      </c>
      <c r="J252" s="26" t="s">
        <v>7027</v>
      </c>
      <c r="K252" s="26" t="s">
        <v>6552</v>
      </c>
      <c r="L252" s="26" t="s">
        <v>6805</v>
      </c>
      <c r="M252" s="55" t="s">
        <v>7028</v>
      </c>
      <c r="N252" s="26" t="s">
        <v>3924</v>
      </c>
    </row>
    <row r="253" spans="1:14" ht="75" customHeight="1" thickTop="1" thickBot="1">
      <c r="A253" s="34">
        <v>251</v>
      </c>
      <c r="B253" s="34">
        <v>255</v>
      </c>
      <c r="C253" s="55" t="s">
        <v>7027</v>
      </c>
      <c r="D253" s="56" t="s">
        <v>26</v>
      </c>
      <c r="E253" s="56" t="s">
        <v>6480</v>
      </c>
      <c r="F253" s="26" t="s">
        <v>3923</v>
      </c>
      <c r="G253" s="26" t="s">
        <v>16</v>
      </c>
      <c r="H253" s="26" t="s">
        <v>13</v>
      </c>
      <c r="I253" s="26" t="s">
        <v>3924</v>
      </c>
      <c r="J253" s="26" t="s">
        <v>7029</v>
      </c>
      <c r="K253" s="26" t="s">
        <v>6552</v>
      </c>
      <c r="L253" s="26" t="s">
        <v>7030</v>
      </c>
      <c r="M253" s="55" t="s">
        <v>7031</v>
      </c>
      <c r="N253" s="26" t="s">
        <v>3924</v>
      </c>
    </row>
    <row r="254" spans="1:14" ht="75" customHeight="1" thickTop="1" thickBot="1">
      <c r="A254" s="26">
        <v>252</v>
      </c>
      <c r="B254" s="26">
        <v>256</v>
      </c>
      <c r="C254" s="55" t="s">
        <v>7029</v>
      </c>
      <c r="D254" s="56" t="s">
        <v>26</v>
      </c>
      <c r="E254" s="56" t="s">
        <v>6480</v>
      </c>
      <c r="F254" s="26" t="s">
        <v>3923</v>
      </c>
      <c r="G254" s="26" t="s">
        <v>16</v>
      </c>
      <c r="H254" s="26" t="s">
        <v>13</v>
      </c>
      <c r="I254" s="26" t="s">
        <v>3924</v>
      </c>
      <c r="J254" s="26" t="s">
        <v>7029</v>
      </c>
      <c r="K254" s="26" t="s">
        <v>6552</v>
      </c>
      <c r="L254" s="26" t="s">
        <v>6846</v>
      </c>
      <c r="M254" s="55" t="s">
        <v>7032</v>
      </c>
      <c r="N254" s="26" t="s">
        <v>3924</v>
      </c>
    </row>
    <row r="255" spans="1:14" ht="75" customHeight="1" thickTop="1" thickBot="1">
      <c r="A255" s="34">
        <v>253</v>
      </c>
      <c r="B255" s="34">
        <v>257</v>
      </c>
      <c r="C255" s="55" t="s">
        <v>7033</v>
      </c>
      <c r="D255" s="56" t="s">
        <v>26</v>
      </c>
      <c r="E255" s="56" t="s">
        <v>6480</v>
      </c>
      <c r="F255" s="26" t="s">
        <v>3923</v>
      </c>
      <c r="G255" s="26" t="s">
        <v>16</v>
      </c>
      <c r="H255" s="26" t="s">
        <v>13</v>
      </c>
      <c r="I255" s="26" t="s">
        <v>3924</v>
      </c>
      <c r="J255" s="26" t="s">
        <v>7033</v>
      </c>
      <c r="K255" s="26" t="s">
        <v>6552</v>
      </c>
      <c r="L255" s="26" t="s">
        <v>7034</v>
      </c>
      <c r="M255" s="55" t="s">
        <v>7035</v>
      </c>
      <c r="N255" s="26" t="s">
        <v>3924</v>
      </c>
    </row>
    <row r="256" spans="1:14" ht="75" customHeight="1" thickTop="1" thickBot="1">
      <c r="A256" s="26">
        <v>254</v>
      </c>
      <c r="B256" s="26">
        <v>258</v>
      </c>
      <c r="C256" s="55" t="s">
        <v>7036</v>
      </c>
      <c r="D256" s="56" t="s">
        <v>26</v>
      </c>
      <c r="E256" s="56" t="s">
        <v>6480</v>
      </c>
      <c r="F256" s="26" t="s">
        <v>3923</v>
      </c>
      <c r="G256" s="26" t="s">
        <v>16</v>
      </c>
      <c r="H256" s="26" t="s">
        <v>13</v>
      </c>
      <c r="I256" s="26" t="s">
        <v>3924</v>
      </c>
      <c r="J256" s="26" t="s">
        <v>7036</v>
      </c>
      <c r="K256" s="26" t="s">
        <v>6552</v>
      </c>
      <c r="L256" s="26" t="s">
        <v>7037</v>
      </c>
      <c r="M256" s="55" t="s">
        <v>7038</v>
      </c>
      <c r="N256" s="26" t="s">
        <v>3924</v>
      </c>
    </row>
    <row r="257" spans="1:14" ht="75" customHeight="1" thickTop="1" thickBot="1">
      <c r="A257" s="34">
        <v>255</v>
      </c>
      <c r="B257" s="34">
        <v>259</v>
      </c>
      <c r="C257" s="55" t="s">
        <v>7039</v>
      </c>
      <c r="D257" s="56" t="s">
        <v>26</v>
      </c>
      <c r="E257" s="56" t="s">
        <v>6480</v>
      </c>
      <c r="F257" s="26" t="s">
        <v>3923</v>
      </c>
      <c r="G257" s="26" t="s">
        <v>16</v>
      </c>
      <c r="H257" s="26" t="s">
        <v>13</v>
      </c>
      <c r="I257" s="26" t="s">
        <v>3924</v>
      </c>
      <c r="J257" s="26" t="s">
        <v>7039</v>
      </c>
      <c r="K257" s="26" t="s">
        <v>6552</v>
      </c>
      <c r="L257" s="26" t="s">
        <v>7040</v>
      </c>
      <c r="M257" s="55" t="s">
        <v>7038</v>
      </c>
      <c r="N257" s="26" t="s">
        <v>3924</v>
      </c>
    </row>
    <row r="258" spans="1:14" ht="75" customHeight="1" thickTop="1" thickBot="1">
      <c r="A258" s="26">
        <v>256</v>
      </c>
      <c r="B258" s="26">
        <v>260</v>
      </c>
      <c r="C258" s="55" t="s">
        <v>7041</v>
      </c>
      <c r="D258" s="56" t="s">
        <v>26</v>
      </c>
      <c r="E258" s="56" t="s">
        <v>6480</v>
      </c>
      <c r="F258" s="26" t="s">
        <v>3923</v>
      </c>
      <c r="G258" s="26" t="s">
        <v>16</v>
      </c>
      <c r="H258" s="26" t="s">
        <v>13</v>
      </c>
      <c r="I258" s="26" t="s">
        <v>3924</v>
      </c>
      <c r="J258" s="26" t="s">
        <v>7041</v>
      </c>
      <c r="K258" s="26" t="s">
        <v>6552</v>
      </c>
      <c r="L258" s="26" t="s">
        <v>7042</v>
      </c>
      <c r="M258" s="55" t="s">
        <v>7043</v>
      </c>
      <c r="N258" s="26" t="s">
        <v>3924</v>
      </c>
    </row>
    <row r="259" spans="1:14" ht="75" customHeight="1" thickTop="1" thickBot="1">
      <c r="A259" s="34">
        <v>257</v>
      </c>
      <c r="B259" s="34">
        <v>261</v>
      </c>
      <c r="C259" s="55" t="s">
        <v>7044</v>
      </c>
      <c r="D259" s="56" t="s">
        <v>26</v>
      </c>
      <c r="E259" s="56" t="s">
        <v>6480</v>
      </c>
      <c r="F259" s="26" t="s">
        <v>3923</v>
      </c>
      <c r="G259" s="26" t="s">
        <v>16</v>
      </c>
      <c r="H259" s="26" t="s">
        <v>13</v>
      </c>
      <c r="I259" s="26" t="s">
        <v>3924</v>
      </c>
      <c r="J259" s="26" t="s">
        <v>7044</v>
      </c>
      <c r="K259" s="26" t="s">
        <v>6552</v>
      </c>
      <c r="L259" s="26" t="s">
        <v>7045</v>
      </c>
      <c r="M259" s="55" t="s">
        <v>7046</v>
      </c>
      <c r="N259" s="26" t="s">
        <v>3924</v>
      </c>
    </row>
    <row r="260" spans="1:14" ht="75" customHeight="1" thickTop="1" thickBot="1">
      <c r="A260" s="26">
        <v>258</v>
      </c>
      <c r="B260" s="26">
        <v>262</v>
      </c>
      <c r="C260" s="55" t="s">
        <v>7044</v>
      </c>
      <c r="D260" s="56" t="s">
        <v>26</v>
      </c>
      <c r="E260" s="56" t="s">
        <v>6480</v>
      </c>
      <c r="F260" s="26" t="s">
        <v>3923</v>
      </c>
      <c r="G260" s="26" t="s">
        <v>16</v>
      </c>
      <c r="H260" s="26" t="s">
        <v>13</v>
      </c>
      <c r="I260" s="26" t="s">
        <v>3924</v>
      </c>
      <c r="J260" s="26" t="s">
        <v>7047</v>
      </c>
      <c r="K260" s="26" t="s">
        <v>6552</v>
      </c>
      <c r="L260" s="26" t="s">
        <v>7048</v>
      </c>
      <c r="M260" s="55" t="s">
        <v>7049</v>
      </c>
      <c r="N260" s="26" t="s">
        <v>3924</v>
      </c>
    </row>
    <row r="261" spans="1:14" ht="75" customHeight="1" thickTop="1" thickBot="1">
      <c r="A261" s="34">
        <v>259</v>
      </c>
      <c r="B261" s="34">
        <v>263</v>
      </c>
      <c r="C261" s="55" t="s">
        <v>7047</v>
      </c>
      <c r="D261" s="56" t="s">
        <v>26</v>
      </c>
      <c r="E261" s="56" t="s">
        <v>6480</v>
      </c>
      <c r="F261" s="26" t="s">
        <v>3923</v>
      </c>
      <c r="G261" s="26" t="s">
        <v>16</v>
      </c>
      <c r="H261" s="26" t="s">
        <v>13</v>
      </c>
      <c r="I261" s="26" t="s">
        <v>3924</v>
      </c>
      <c r="J261" s="26" t="s">
        <v>7047</v>
      </c>
      <c r="K261" s="26" t="s">
        <v>6552</v>
      </c>
      <c r="L261" s="26" t="s">
        <v>7050</v>
      </c>
      <c r="M261" s="55" t="s">
        <v>7038</v>
      </c>
      <c r="N261" s="26" t="s">
        <v>3924</v>
      </c>
    </row>
    <row r="262" spans="1:14" ht="75" customHeight="1" thickTop="1" thickBot="1">
      <c r="A262" s="26">
        <v>260</v>
      </c>
      <c r="B262" s="26">
        <v>264</v>
      </c>
      <c r="C262" s="55" t="s">
        <v>7051</v>
      </c>
      <c r="D262" s="56" t="s">
        <v>26</v>
      </c>
      <c r="E262" s="56" t="s">
        <v>6448</v>
      </c>
      <c r="F262" s="26" t="s">
        <v>3923</v>
      </c>
      <c r="G262" s="26" t="s">
        <v>12</v>
      </c>
      <c r="H262" s="26" t="s">
        <v>13</v>
      </c>
      <c r="I262" s="26" t="s">
        <v>3924</v>
      </c>
      <c r="J262" s="26" t="s">
        <v>7052</v>
      </c>
      <c r="K262" s="26" t="s">
        <v>6552</v>
      </c>
      <c r="L262" s="26" t="s">
        <v>4942</v>
      </c>
      <c r="M262" s="55" t="s">
        <v>7053</v>
      </c>
      <c r="N262" s="26" t="s">
        <v>3924</v>
      </c>
    </row>
    <row r="263" spans="1:14" ht="75" customHeight="1" thickTop="1" thickBot="1">
      <c r="A263" s="34">
        <v>261</v>
      </c>
      <c r="B263" s="34">
        <v>265</v>
      </c>
      <c r="C263" s="55" t="s">
        <v>7051</v>
      </c>
      <c r="D263" s="56" t="s">
        <v>26</v>
      </c>
      <c r="E263" s="56" t="s">
        <v>6448</v>
      </c>
      <c r="F263" s="26" t="s">
        <v>3923</v>
      </c>
      <c r="G263" s="26" t="s">
        <v>12</v>
      </c>
      <c r="H263" s="26" t="s">
        <v>13</v>
      </c>
      <c r="I263" s="26" t="s">
        <v>3924</v>
      </c>
      <c r="J263" s="26" t="s">
        <v>7052</v>
      </c>
      <c r="K263" s="26" t="s">
        <v>3954</v>
      </c>
      <c r="L263" s="26" t="s">
        <v>3927</v>
      </c>
      <c r="M263" s="55" t="s">
        <v>7054</v>
      </c>
      <c r="N263" s="26" t="s">
        <v>3924</v>
      </c>
    </row>
    <row r="264" spans="1:14" ht="75" customHeight="1" thickTop="1" thickBot="1">
      <c r="A264" s="26">
        <v>262</v>
      </c>
      <c r="B264" s="26">
        <v>266</v>
      </c>
      <c r="C264" s="55" t="s">
        <v>7055</v>
      </c>
      <c r="D264" s="56" t="s">
        <v>26</v>
      </c>
      <c r="E264" s="56" t="s">
        <v>6448</v>
      </c>
      <c r="F264" s="26" t="s">
        <v>3923</v>
      </c>
      <c r="G264" s="26" t="s">
        <v>12</v>
      </c>
      <c r="H264" s="26" t="s">
        <v>13</v>
      </c>
      <c r="I264" s="26" t="s">
        <v>3924</v>
      </c>
      <c r="J264" s="26" t="s">
        <v>7055</v>
      </c>
      <c r="K264" s="26" t="s">
        <v>6434</v>
      </c>
      <c r="L264" s="26" t="s">
        <v>6455</v>
      </c>
      <c r="M264" s="55" t="s">
        <v>7056</v>
      </c>
      <c r="N264" s="26" t="s">
        <v>3924</v>
      </c>
    </row>
    <row r="265" spans="1:14" ht="75" customHeight="1" thickTop="1" thickBot="1">
      <c r="A265" s="34">
        <v>263</v>
      </c>
      <c r="B265" s="34">
        <v>267</v>
      </c>
      <c r="C265" s="55" t="s">
        <v>7057</v>
      </c>
      <c r="D265" s="56" t="s">
        <v>26</v>
      </c>
      <c r="E265" s="56" t="s">
        <v>6448</v>
      </c>
      <c r="F265" s="26" t="s">
        <v>3923</v>
      </c>
      <c r="G265" s="26" t="s">
        <v>12</v>
      </c>
      <c r="H265" s="26" t="s">
        <v>13</v>
      </c>
      <c r="I265" s="26" t="s">
        <v>3924</v>
      </c>
      <c r="J265" s="26" t="s">
        <v>7057</v>
      </c>
      <c r="K265" s="26" t="s">
        <v>6434</v>
      </c>
      <c r="L265" s="26" t="s">
        <v>3927</v>
      </c>
      <c r="M265" s="55" t="s">
        <v>7058</v>
      </c>
      <c r="N265" s="26" t="s">
        <v>3924</v>
      </c>
    </row>
    <row r="266" spans="1:14" ht="75" customHeight="1" thickTop="1" thickBot="1">
      <c r="A266" s="26">
        <v>264</v>
      </c>
      <c r="B266" s="26">
        <v>268</v>
      </c>
      <c r="C266" s="55" t="s">
        <v>7059</v>
      </c>
      <c r="D266" s="56" t="s">
        <v>26</v>
      </c>
      <c r="E266" s="56" t="s">
        <v>6480</v>
      </c>
      <c r="F266" s="26" t="s">
        <v>3923</v>
      </c>
      <c r="G266" s="26" t="s">
        <v>16</v>
      </c>
      <c r="H266" s="26" t="s">
        <v>13</v>
      </c>
      <c r="I266" s="26" t="s">
        <v>3924</v>
      </c>
      <c r="J266" s="26" t="s">
        <v>7059</v>
      </c>
      <c r="K266" s="26" t="s">
        <v>6445</v>
      </c>
      <c r="L266" s="26" t="s">
        <v>7060</v>
      </c>
      <c r="M266" s="55" t="s">
        <v>7061</v>
      </c>
      <c r="N266" s="26" t="s">
        <v>3924</v>
      </c>
    </row>
    <row r="267" spans="1:14" ht="75" customHeight="1" thickTop="1" thickBot="1">
      <c r="A267" s="34">
        <v>265</v>
      </c>
      <c r="B267" s="34">
        <v>269</v>
      </c>
      <c r="C267" s="55" t="s">
        <v>7062</v>
      </c>
      <c r="D267" s="56" t="s">
        <v>26</v>
      </c>
      <c r="E267" s="56" t="s">
        <v>6480</v>
      </c>
      <c r="F267" s="26" t="s">
        <v>3923</v>
      </c>
      <c r="G267" s="26" t="s">
        <v>16</v>
      </c>
      <c r="H267" s="26" t="s">
        <v>13</v>
      </c>
      <c r="I267" s="26" t="s">
        <v>3924</v>
      </c>
      <c r="J267" s="26" t="s">
        <v>7062</v>
      </c>
      <c r="K267" s="26" t="s">
        <v>6445</v>
      </c>
      <c r="L267" s="26" t="s">
        <v>7063</v>
      </c>
      <c r="M267" s="55" t="s">
        <v>7038</v>
      </c>
      <c r="N267" s="26" t="s">
        <v>3924</v>
      </c>
    </row>
    <row r="268" spans="1:14" ht="75" customHeight="1" thickTop="1" thickBot="1">
      <c r="A268" s="26">
        <v>266</v>
      </c>
      <c r="B268" s="26">
        <v>270</v>
      </c>
      <c r="C268" s="55" t="s">
        <v>7064</v>
      </c>
      <c r="D268" s="56" t="s">
        <v>26</v>
      </c>
      <c r="E268" s="56" t="s">
        <v>6480</v>
      </c>
      <c r="F268" s="26" t="s">
        <v>3923</v>
      </c>
      <c r="G268" s="26" t="s">
        <v>16</v>
      </c>
      <c r="H268" s="26" t="s">
        <v>13</v>
      </c>
      <c r="I268" s="26" t="s">
        <v>3924</v>
      </c>
      <c r="J268" s="26" t="s">
        <v>7064</v>
      </c>
      <c r="K268" s="26" t="s">
        <v>6445</v>
      </c>
      <c r="L268" s="26" t="s">
        <v>7065</v>
      </c>
      <c r="M268" s="55" t="s">
        <v>7066</v>
      </c>
      <c r="N268" s="26" t="s">
        <v>3924</v>
      </c>
    </row>
    <row r="269" spans="1:14" ht="75" customHeight="1" thickTop="1" thickBot="1">
      <c r="A269" s="34">
        <v>267</v>
      </c>
      <c r="B269" s="34">
        <v>271</v>
      </c>
      <c r="C269" s="55" t="s">
        <v>7064</v>
      </c>
      <c r="D269" s="56" t="s">
        <v>26</v>
      </c>
      <c r="E269" s="56" t="s">
        <v>6480</v>
      </c>
      <c r="F269" s="26" t="s">
        <v>3923</v>
      </c>
      <c r="G269" s="26" t="s">
        <v>16</v>
      </c>
      <c r="H269" s="26" t="s">
        <v>13</v>
      </c>
      <c r="I269" s="26" t="s">
        <v>3924</v>
      </c>
      <c r="J269" s="26" t="s">
        <v>7067</v>
      </c>
      <c r="K269" s="26" t="s">
        <v>6445</v>
      </c>
      <c r="L269" s="26" t="s">
        <v>6469</v>
      </c>
      <c r="M269" s="55" t="s">
        <v>7068</v>
      </c>
      <c r="N269" s="26" t="s">
        <v>3924</v>
      </c>
    </row>
    <row r="270" spans="1:14" ht="75" customHeight="1" thickTop="1" thickBot="1">
      <c r="A270" s="26">
        <v>268</v>
      </c>
      <c r="B270" s="26">
        <v>272</v>
      </c>
      <c r="C270" s="55" t="s">
        <v>7069</v>
      </c>
      <c r="D270" s="56" t="s">
        <v>26</v>
      </c>
      <c r="E270" s="56" t="s">
        <v>6480</v>
      </c>
      <c r="F270" s="26" t="s">
        <v>3923</v>
      </c>
      <c r="G270" s="26" t="s">
        <v>16</v>
      </c>
      <c r="H270" s="26" t="s">
        <v>13</v>
      </c>
      <c r="I270" s="26" t="s">
        <v>3924</v>
      </c>
      <c r="J270" s="26" t="s">
        <v>7069</v>
      </c>
      <c r="K270" s="26" t="s">
        <v>6445</v>
      </c>
      <c r="L270" s="26" t="s">
        <v>7070</v>
      </c>
      <c r="M270" s="55" t="s">
        <v>7071</v>
      </c>
      <c r="N270" s="26" t="s">
        <v>3924</v>
      </c>
    </row>
    <row r="271" spans="1:14" ht="75" customHeight="1" thickTop="1" thickBot="1">
      <c r="A271" s="34">
        <v>269</v>
      </c>
      <c r="B271" s="34">
        <v>273</v>
      </c>
      <c r="C271" s="55" t="s">
        <v>7069</v>
      </c>
      <c r="D271" s="56" t="s">
        <v>26</v>
      </c>
      <c r="E271" s="56" t="s">
        <v>6480</v>
      </c>
      <c r="F271" s="26" t="s">
        <v>3923</v>
      </c>
      <c r="G271" s="26" t="s">
        <v>16</v>
      </c>
      <c r="H271" s="26" t="s">
        <v>13</v>
      </c>
      <c r="I271" s="26" t="s">
        <v>3924</v>
      </c>
      <c r="J271" s="26" t="s">
        <v>7069</v>
      </c>
      <c r="K271" s="26" t="s">
        <v>6445</v>
      </c>
      <c r="L271" s="26" t="s">
        <v>7072</v>
      </c>
      <c r="M271" s="55" t="s">
        <v>7073</v>
      </c>
      <c r="N271" s="26" t="s">
        <v>3924</v>
      </c>
    </row>
    <row r="272" spans="1:14" ht="75" customHeight="1" thickTop="1" thickBot="1">
      <c r="A272" s="26">
        <v>270</v>
      </c>
      <c r="B272" s="26">
        <v>274</v>
      </c>
      <c r="C272" s="55" t="s">
        <v>7074</v>
      </c>
      <c r="D272" s="56" t="s">
        <v>26</v>
      </c>
      <c r="E272" s="56" t="s">
        <v>6480</v>
      </c>
      <c r="F272" s="26" t="s">
        <v>3923</v>
      </c>
      <c r="G272" s="26" t="s">
        <v>16</v>
      </c>
      <c r="H272" s="26" t="s">
        <v>13</v>
      </c>
      <c r="I272" s="26" t="s">
        <v>3924</v>
      </c>
      <c r="J272" s="26" t="s">
        <v>7074</v>
      </c>
      <c r="K272" s="26" t="s">
        <v>6445</v>
      </c>
      <c r="L272" s="26" t="s">
        <v>7075</v>
      </c>
      <c r="M272" s="55" t="s">
        <v>7076</v>
      </c>
      <c r="N272" s="26" t="s">
        <v>3924</v>
      </c>
    </row>
    <row r="273" spans="1:14" ht="75" customHeight="1" thickTop="1" thickBot="1">
      <c r="A273" s="34">
        <v>271</v>
      </c>
      <c r="B273" s="34">
        <v>275</v>
      </c>
      <c r="C273" s="55" t="s">
        <v>7077</v>
      </c>
      <c r="D273" s="56" t="s">
        <v>26</v>
      </c>
      <c r="E273" s="56" t="s">
        <v>6480</v>
      </c>
      <c r="F273" s="26" t="s">
        <v>3923</v>
      </c>
      <c r="G273" s="26" t="s">
        <v>16</v>
      </c>
      <c r="H273" s="26" t="s">
        <v>13</v>
      </c>
      <c r="I273" s="26" t="s">
        <v>3924</v>
      </c>
      <c r="J273" s="26" t="s">
        <v>7077</v>
      </c>
      <c r="K273" s="26" t="s">
        <v>6445</v>
      </c>
      <c r="L273" s="26" t="s">
        <v>7078</v>
      </c>
      <c r="M273" s="55" t="s">
        <v>7079</v>
      </c>
      <c r="N273" s="26" t="s">
        <v>3924</v>
      </c>
    </row>
    <row r="274" spans="1:14" ht="75" customHeight="1" thickTop="1" thickBot="1">
      <c r="A274" s="26">
        <v>272</v>
      </c>
      <c r="B274" s="26">
        <v>276</v>
      </c>
      <c r="C274" s="55" t="s">
        <v>7080</v>
      </c>
      <c r="D274" s="56" t="s">
        <v>26</v>
      </c>
      <c r="E274" s="56" t="s">
        <v>6480</v>
      </c>
      <c r="F274" s="26" t="s">
        <v>3923</v>
      </c>
      <c r="G274" s="26" t="s">
        <v>16</v>
      </c>
      <c r="H274" s="26" t="s">
        <v>13</v>
      </c>
      <c r="I274" s="26" t="s">
        <v>3924</v>
      </c>
      <c r="J274" s="26" t="s">
        <v>7080</v>
      </c>
      <c r="K274" s="26" t="s">
        <v>6445</v>
      </c>
      <c r="L274" s="26" t="s">
        <v>7078</v>
      </c>
      <c r="M274" s="55" t="s">
        <v>7081</v>
      </c>
      <c r="N274" s="26" t="s">
        <v>3924</v>
      </c>
    </row>
    <row r="275" spans="1:14" ht="75" customHeight="1" thickTop="1" thickBot="1">
      <c r="A275" s="34">
        <v>273</v>
      </c>
      <c r="B275" s="34">
        <v>277</v>
      </c>
      <c r="C275" s="55" t="s">
        <v>7080</v>
      </c>
      <c r="D275" s="56" t="s">
        <v>26</v>
      </c>
      <c r="E275" s="56" t="s">
        <v>6480</v>
      </c>
      <c r="F275" s="26" t="s">
        <v>3923</v>
      </c>
      <c r="G275" s="26" t="s">
        <v>16</v>
      </c>
      <c r="H275" s="26" t="s">
        <v>13</v>
      </c>
      <c r="I275" s="26" t="s">
        <v>3924</v>
      </c>
      <c r="J275" s="26" t="s">
        <v>7080</v>
      </c>
      <c r="K275" s="26" t="s">
        <v>6440</v>
      </c>
      <c r="L275" s="26" t="s">
        <v>7082</v>
      </c>
      <c r="M275" s="55" t="s">
        <v>7083</v>
      </c>
      <c r="N275" s="26" t="s">
        <v>3924</v>
      </c>
    </row>
    <row r="276" spans="1:14" ht="75" customHeight="1" thickTop="1" thickBot="1">
      <c r="A276" s="26">
        <v>274</v>
      </c>
      <c r="B276" s="26">
        <v>278</v>
      </c>
      <c r="C276" s="55" t="s">
        <v>7084</v>
      </c>
      <c r="D276" s="56" t="s">
        <v>26</v>
      </c>
      <c r="E276" s="56" t="s">
        <v>6461</v>
      </c>
      <c r="F276" s="26" t="s">
        <v>3923</v>
      </c>
      <c r="G276" s="26" t="s">
        <v>74</v>
      </c>
      <c r="H276" s="26" t="s">
        <v>13</v>
      </c>
      <c r="I276" s="26" t="s">
        <v>3924</v>
      </c>
      <c r="J276" s="26" t="s">
        <v>7085</v>
      </c>
      <c r="K276" s="26" t="s">
        <v>6445</v>
      </c>
      <c r="L276" s="26" t="s">
        <v>3927</v>
      </c>
      <c r="M276" s="55" t="s">
        <v>7086</v>
      </c>
      <c r="N276" s="26" t="s">
        <v>3924</v>
      </c>
    </row>
    <row r="277" spans="1:14" ht="75" customHeight="1" thickTop="1" thickBot="1">
      <c r="A277" s="34">
        <v>275</v>
      </c>
      <c r="B277" s="34">
        <v>279</v>
      </c>
      <c r="C277" s="55" t="s">
        <v>7087</v>
      </c>
      <c r="D277" s="56" t="s">
        <v>26</v>
      </c>
      <c r="E277" s="56" t="s">
        <v>1710</v>
      </c>
      <c r="F277" s="26" t="s">
        <v>3923</v>
      </c>
      <c r="G277" s="26" t="s">
        <v>1419</v>
      </c>
      <c r="H277" s="26" t="s">
        <v>13</v>
      </c>
      <c r="I277" s="26" t="s">
        <v>3924</v>
      </c>
      <c r="J277" s="26" t="s">
        <v>7088</v>
      </c>
      <c r="K277" s="26" t="s">
        <v>6445</v>
      </c>
      <c r="L277" s="26" t="s">
        <v>7089</v>
      </c>
      <c r="M277" s="55" t="s">
        <v>7090</v>
      </c>
      <c r="N277" s="26" t="s">
        <v>3924</v>
      </c>
    </row>
    <row r="278" spans="1:14" ht="75" customHeight="1" thickTop="1" thickBot="1">
      <c r="A278" s="26">
        <v>276</v>
      </c>
      <c r="B278" s="26">
        <v>280</v>
      </c>
      <c r="C278" s="55" t="s">
        <v>7088</v>
      </c>
      <c r="D278" s="56" t="s">
        <v>26</v>
      </c>
      <c r="E278" s="56" t="s">
        <v>1710</v>
      </c>
      <c r="F278" s="26" t="s">
        <v>3923</v>
      </c>
      <c r="G278" s="26" t="s">
        <v>1419</v>
      </c>
      <c r="H278" s="26" t="s">
        <v>13</v>
      </c>
      <c r="I278" s="26" t="s">
        <v>3924</v>
      </c>
      <c r="J278" s="26" t="s">
        <v>7088</v>
      </c>
      <c r="K278" s="26" t="s">
        <v>7091</v>
      </c>
      <c r="L278" s="26" t="s">
        <v>6435</v>
      </c>
      <c r="M278" s="55" t="s">
        <v>7090</v>
      </c>
      <c r="N278" s="26" t="s">
        <v>3924</v>
      </c>
    </row>
    <row r="279" spans="1:14" ht="75" customHeight="1" thickTop="1" thickBot="1">
      <c r="A279" s="34">
        <v>277</v>
      </c>
      <c r="B279" s="34">
        <v>281</v>
      </c>
      <c r="C279" s="55" t="s">
        <v>7088</v>
      </c>
      <c r="D279" s="56" t="s">
        <v>26</v>
      </c>
      <c r="E279" s="56" t="s">
        <v>1710</v>
      </c>
      <c r="F279" s="26" t="s">
        <v>3923</v>
      </c>
      <c r="G279" s="26" t="s">
        <v>1419</v>
      </c>
      <c r="H279" s="26" t="s">
        <v>13</v>
      </c>
      <c r="I279" s="26" t="s">
        <v>3924</v>
      </c>
      <c r="J279" s="26" t="s">
        <v>7092</v>
      </c>
      <c r="K279" s="26" t="s">
        <v>6445</v>
      </c>
      <c r="L279" s="26" t="s">
        <v>7093</v>
      </c>
      <c r="M279" s="55" t="s">
        <v>7094</v>
      </c>
      <c r="N279" s="26" t="s">
        <v>3924</v>
      </c>
    </row>
    <row r="280" spans="1:14" ht="75" customHeight="1" thickTop="1" thickBot="1">
      <c r="A280" s="26">
        <v>278</v>
      </c>
      <c r="B280" s="26">
        <v>282</v>
      </c>
      <c r="C280" s="55" t="s">
        <v>7095</v>
      </c>
      <c r="D280" s="56" t="s">
        <v>26</v>
      </c>
      <c r="E280" s="56" t="s">
        <v>1710</v>
      </c>
      <c r="F280" s="26" t="s">
        <v>3923</v>
      </c>
      <c r="G280" s="26" t="s">
        <v>1419</v>
      </c>
      <c r="H280" s="26" t="s">
        <v>13</v>
      </c>
      <c r="I280" s="26" t="s">
        <v>3924</v>
      </c>
      <c r="J280" s="26" t="s">
        <v>7092</v>
      </c>
      <c r="K280" s="26" t="s">
        <v>6445</v>
      </c>
      <c r="L280" s="26" t="s">
        <v>7096</v>
      </c>
      <c r="M280" s="55" t="s">
        <v>7097</v>
      </c>
      <c r="N280" s="26" t="s">
        <v>3924</v>
      </c>
    </row>
    <row r="281" spans="1:14" ht="75" customHeight="1" thickTop="1" thickBot="1">
      <c r="A281" s="34">
        <v>279</v>
      </c>
      <c r="B281" s="34">
        <v>283</v>
      </c>
      <c r="C281" s="55" t="s">
        <v>7095</v>
      </c>
      <c r="D281" s="56" t="s">
        <v>26</v>
      </c>
      <c r="E281" s="56" t="s">
        <v>1710</v>
      </c>
      <c r="F281" s="26" t="s">
        <v>3923</v>
      </c>
      <c r="G281" s="26" t="s">
        <v>1419</v>
      </c>
      <c r="H281" s="26" t="s">
        <v>13</v>
      </c>
      <c r="I281" s="26" t="s">
        <v>3924</v>
      </c>
      <c r="J281" s="26" t="s">
        <v>7098</v>
      </c>
      <c r="K281" s="26" t="s">
        <v>6445</v>
      </c>
      <c r="L281" s="26" t="s">
        <v>7099</v>
      </c>
      <c r="M281" s="55" t="s">
        <v>6847</v>
      </c>
      <c r="N281" s="26" t="s">
        <v>3924</v>
      </c>
    </row>
    <row r="282" spans="1:14" ht="75" customHeight="1" thickTop="1" thickBot="1">
      <c r="A282" s="26">
        <v>280</v>
      </c>
      <c r="B282" s="26">
        <v>284</v>
      </c>
      <c r="C282" s="55" t="s">
        <v>7092</v>
      </c>
      <c r="D282" s="56" t="s">
        <v>26</v>
      </c>
      <c r="E282" s="56" t="s">
        <v>1710</v>
      </c>
      <c r="F282" s="26" t="s">
        <v>3923</v>
      </c>
      <c r="G282" s="26" t="s">
        <v>1419</v>
      </c>
      <c r="H282" s="26" t="s">
        <v>13</v>
      </c>
      <c r="I282" s="26" t="s">
        <v>3924</v>
      </c>
      <c r="J282" s="26" t="s">
        <v>7098</v>
      </c>
      <c r="K282" s="26" t="s">
        <v>6445</v>
      </c>
      <c r="L282" s="26" t="s">
        <v>7100</v>
      </c>
      <c r="M282" s="55" t="s">
        <v>6847</v>
      </c>
      <c r="N282" s="26" t="s">
        <v>3924</v>
      </c>
    </row>
    <row r="283" spans="1:14" ht="75" customHeight="1" thickTop="1" thickBot="1">
      <c r="A283" s="34">
        <v>281</v>
      </c>
      <c r="B283" s="34">
        <v>285</v>
      </c>
      <c r="C283" s="55" t="s">
        <v>7092</v>
      </c>
      <c r="D283" s="56" t="s">
        <v>26</v>
      </c>
      <c r="E283" s="56" t="s">
        <v>1710</v>
      </c>
      <c r="F283" s="26" t="s">
        <v>3923</v>
      </c>
      <c r="G283" s="26" t="s">
        <v>1419</v>
      </c>
      <c r="H283" s="26" t="s">
        <v>13</v>
      </c>
      <c r="I283" s="26" t="s">
        <v>3924</v>
      </c>
      <c r="J283" s="26" t="s">
        <v>7101</v>
      </c>
      <c r="K283" s="26" t="s">
        <v>6445</v>
      </c>
      <c r="L283" s="26" t="s">
        <v>7102</v>
      </c>
      <c r="M283" s="55" t="s">
        <v>7097</v>
      </c>
      <c r="N283" s="26" t="s">
        <v>3924</v>
      </c>
    </row>
    <row r="284" spans="1:14" ht="75" customHeight="1" thickTop="1" thickBot="1">
      <c r="A284" s="26">
        <v>282</v>
      </c>
      <c r="B284" s="26">
        <v>286</v>
      </c>
      <c r="C284" s="55" t="s">
        <v>7098</v>
      </c>
      <c r="D284" s="56" t="s">
        <v>26</v>
      </c>
      <c r="E284" s="56" t="s">
        <v>1710</v>
      </c>
      <c r="F284" s="26" t="s">
        <v>3923</v>
      </c>
      <c r="G284" s="26" t="s">
        <v>1419</v>
      </c>
      <c r="H284" s="26" t="s">
        <v>13</v>
      </c>
      <c r="I284" s="26" t="s">
        <v>3924</v>
      </c>
      <c r="J284" s="26" t="s">
        <v>7101</v>
      </c>
      <c r="K284" s="26" t="s">
        <v>6445</v>
      </c>
      <c r="L284" s="26" t="s">
        <v>7103</v>
      </c>
      <c r="M284" s="55" t="s">
        <v>6847</v>
      </c>
      <c r="N284" s="26" t="s">
        <v>3924</v>
      </c>
    </row>
    <row r="285" spans="1:14" ht="75" customHeight="1" thickTop="1" thickBot="1">
      <c r="A285" s="34">
        <v>283</v>
      </c>
      <c r="B285" s="34">
        <v>287</v>
      </c>
      <c r="C285" s="55" t="s">
        <v>7098</v>
      </c>
      <c r="D285" s="56" t="s">
        <v>26</v>
      </c>
      <c r="E285" s="56" t="s">
        <v>1710</v>
      </c>
      <c r="F285" s="26" t="s">
        <v>3923</v>
      </c>
      <c r="G285" s="26" t="s">
        <v>1419</v>
      </c>
      <c r="H285" s="26" t="s">
        <v>13</v>
      </c>
      <c r="I285" s="26" t="s">
        <v>3924</v>
      </c>
      <c r="J285" s="26" t="s">
        <v>7101</v>
      </c>
      <c r="K285" s="26" t="s">
        <v>6445</v>
      </c>
      <c r="L285" s="26" t="s">
        <v>7104</v>
      </c>
      <c r="M285" s="55" t="s">
        <v>7097</v>
      </c>
      <c r="N285" s="26" t="s">
        <v>3924</v>
      </c>
    </row>
    <row r="286" spans="1:14" ht="75" customHeight="1" thickTop="1" thickBot="1">
      <c r="A286" s="26">
        <v>284</v>
      </c>
      <c r="B286" s="26">
        <v>288</v>
      </c>
      <c r="C286" s="55" t="s">
        <v>7105</v>
      </c>
      <c r="D286" s="56" t="s">
        <v>26</v>
      </c>
      <c r="E286" s="56" t="s">
        <v>1710</v>
      </c>
      <c r="F286" s="26" t="s">
        <v>3923</v>
      </c>
      <c r="G286" s="26" t="s">
        <v>1419</v>
      </c>
      <c r="H286" s="26" t="s">
        <v>13</v>
      </c>
      <c r="I286" s="26" t="s">
        <v>3924</v>
      </c>
      <c r="J286" s="26" t="s">
        <v>7106</v>
      </c>
      <c r="K286" s="26" t="s">
        <v>6445</v>
      </c>
      <c r="L286" s="26" t="s">
        <v>7107</v>
      </c>
      <c r="M286" s="55" t="s">
        <v>6847</v>
      </c>
      <c r="N286" s="26" t="s">
        <v>3924</v>
      </c>
    </row>
    <row r="287" spans="1:14" ht="75" customHeight="1" thickTop="1" thickBot="1">
      <c r="A287" s="34">
        <v>285</v>
      </c>
      <c r="B287" s="34">
        <v>289</v>
      </c>
      <c r="C287" s="55" t="s">
        <v>7105</v>
      </c>
      <c r="D287" s="56" t="s">
        <v>26</v>
      </c>
      <c r="E287" s="56" t="s">
        <v>1710</v>
      </c>
      <c r="F287" s="26" t="s">
        <v>3923</v>
      </c>
      <c r="G287" s="26" t="s">
        <v>1419</v>
      </c>
      <c r="H287" s="26" t="s">
        <v>13</v>
      </c>
      <c r="I287" s="26" t="s">
        <v>3924</v>
      </c>
      <c r="J287" s="26" t="s">
        <v>7106</v>
      </c>
      <c r="K287" s="26" t="s">
        <v>6445</v>
      </c>
      <c r="L287" s="26" t="s">
        <v>7108</v>
      </c>
      <c r="M287" s="55" t="s">
        <v>6847</v>
      </c>
      <c r="N287" s="26" t="s">
        <v>3924</v>
      </c>
    </row>
    <row r="288" spans="1:14" ht="75" customHeight="1" thickTop="1" thickBot="1">
      <c r="A288" s="26">
        <v>286</v>
      </c>
      <c r="B288" s="26">
        <v>290</v>
      </c>
      <c r="C288" s="55" t="s">
        <v>7101</v>
      </c>
      <c r="D288" s="56" t="s">
        <v>26</v>
      </c>
      <c r="E288" s="56" t="s">
        <v>1710</v>
      </c>
      <c r="F288" s="26" t="s">
        <v>3923</v>
      </c>
      <c r="G288" s="26" t="s">
        <v>1419</v>
      </c>
      <c r="H288" s="26" t="s">
        <v>13</v>
      </c>
      <c r="I288" s="26" t="s">
        <v>3924</v>
      </c>
      <c r="J288" s="26" t="s">
        <v>7109</v>
      </c>
      <c r="K288" s="26" t="s">
        <v>6445</v>
      </c>
      <c r="L288" s="26" t="s">
        <v>7110</v>
      </c>
      <c r="M288" s="55" t="s">
        <v>6847</v>
      </c>
      <c r="N288" s="26" t="s">
        <v>3924</v>
      </c>
    </row>
    <row r="289" spans="1:14" ht="75" customHeight="1" thickTop="1" thickBot="1">
      <c r="A289" s="34">
        <v>287</v>
      </c>
      <c r="B289" s="34">
        <v>291</v>
      </c>
      <c r="C289" s="55" t="s">
        <v>7101</v>
      </c>
      <c r="D289" s="56" t="s">
        <v>26</v>
      </c>
      <c r="E289" s="56" t="s">
        <v>1710</v>
      </c>
      <c r="F289" s="26" t="s">
        <v>3923</v>
      </c>
      <c r="G289" s="26" t="s">
        <v>1419</v>
      </c>
      <c r="H289" s="26" t="s">
        <v>13</v>
      </c>
      <c r="I289" s="26" t="s">
        <v>3924</v>
      </c>
      <c r="J289" s="26" t="s">
        <v>7111</v>
      </c>
      <c r="K289" s="26" t="s">
        <v>6445</v>
      </c>
      <c r="L289" s="26" t="s">
        <v>7112</v>
      </c>
      <c r="M289" s="55" t="s">
        <v>6847</v>
      </c>
      <c r="N289" s="26" t="s">
        <v>3924</v>
      </c>
    </row>
    <row r="290" spans="1:14" ht="75" customHeight="1" thickTop="1" thickBot="1">
      <c r="A290" s="26">
        <v>288</v>
      </c>
      <c r="B290" s="26">
        <v>292</v>
      </c>
      <c r="C290" s="55" t="s">
        <v>7106</v>
      </c>
      <c r="D290" s="56" t="s">
        <v>26</v>
      </c>
      <c r="E290" s="56" t="s">
        <v>1710</v>
      </c>
      <c r="F290" s="26" t="s">
        <v>3923</v>
      </c>
      <c r="G290" s="26" t="s">
        <v>1419</v>
      </c>
      <c r="H290" s="26" t="s">
        <v>13</v>
      </c>
      <c r="I290" s="26" t="s">
        <v>3924</v>
      </c>
      <c r="J290" s="26" t="s">
        <v>7111</v>
      </c>
      <c r="K290" s="26" t="s">
        <v>6445</v>
      </c>
      <c r="L290" s="26" t="s">
        <v>7113</v>
      </c>
      <c r="M290" s="55" t="s">
        <v>7114</v>
      </c>
      <c r="N290" s="26" t="s">
        <v>3924</v>
      </c>
    </row>
    <row r="291" spans="1:14" ht="75" customHeight="1" thickTop="1" thickBot="1">
      <c r="A291" s="34">
        <v>289</v>
      </c>
      <c r="B291" s="34">
        <v>293</v>
      </c>
      <c r="C291" s="55" t="s">
        <v>7106</v>
      </c>
      <c r="D291" s="56" t="s">
        <v>26</v>
      </c>
      <c r="E291" s="56" t="s">
        <v>1710</v>
      </c>
      <c r="F291" s="26" t="s">
        <v>3923</v>
      </c>
      <c r="G291" s="26" t="s">
        <v>1419</v>
      </c>
      <c r="H291" s="26" t="s">
        <v>13</v>
      </c>
      <c r="I291" s="26" t="s">
        <v>3924</v>
      </c>
      <c r="J291" s="26" t="s">
        <v>7111</v>
      </c>
      <c r="K291" s="26" t="s">
        <v>6445</v>
      </c>
      <c r="L291" s="26" t="s">
        <v>7115</v>
      </c>
      <c r="M291" s="55" t="s">
        <v>7114</v>
      </c>
      <c r="N291" s="26" t="s">
        <v>3924</v>
      </c>
    </row>
    <row r="292" spans="1:14" ht="75" customHeight="1" thickTop="1" thickBot="1">
      <c r="A292" s="26">
        <v>290</v>
      </c>
      <c r="B292" s="26">
        <v>294</v>
      </c>
      <c r="C292" s="55" t="s">
        <v>7109</v>
      </c>
      <c r="D292" s="56" t="s">
        <v>26</v>
      </c>
      <c r="E292" s="56" t="s">
        <v>1710</v>
      </c>
      <c r="F292" s="26" t="s">
        <v>3923</v>
      </c>
      <c r="G292" s="26" t="s">
        <v>1419</v>
      </c>
      <c r="H292" s="26" t="s">
        <v>13</v>
      </c>
      <c r="I292" s="26" t="s">
        <v>3924</v>
      </c>
      <c r="J292" s="26" t="s">
        <v>7111</v>
      </c>
      <c r="K292" s="26" t="s">
        <v>6445</v>
      </c>
      <c r="L292" s="26" t="s">
        <v>7116</v>
      </c>
      <c r="M292" s="55" t="s">
        <v>7114</v>
      </c>
      <c r="N292" s="26" t="s">
        <v>3924</v>
      </c>
    </row>
    <row r="293" spans="1:14" ht="75" customHeight="1" thickTop="1" thickBot="1">
      <c r="A293" s="34">
        <v>291</v>
      </c>
      <c r="B293" s="34">
        <v>295</v>
      </c>
      <c r="C293" s="55" t="s">
        <v>7109</v>
      </c>
      <c r="D293" s="56" t="s">
        <v>26</v>
      </c>
      <c r="E293" s="56" t="s">
        <v>1710</v>
      </c>
      <c r="F293" s="26" t="s">
        <v>3923</v>
      </c>
      <c r="G293" s="26" t="s">
        <v>1419</v>
      </c>
      <c r="H293" s="26" t="s">
        <v>13</v>
      </c>
      <c r="I293" s="26" t="s">
        <v>3924</v>
      </c>
      <c r="J293" s="26" t="s">
        <v>7117</v>
      </c>
      <c r="K293" s="26" t="s">
        <v>6445</v>
      </c>
      <c r="L293" s="26" t="s">
        <v>7118</v>
      </c>
      <c r="M293" s="55" t="s">
        <v>7114</v>
      </c>
      <c r="N293" s="26" t="s">
        <v>3924</v>
      </c>
    </row>
    <row r="294" spans="1:14" ht="75" customHeight="1" thickTop="1" thickBot="1">
      <c r="A294" s="26">
        <v>292</v>
      </c>
      <c r="B294" s="26">
        <v>296</v>
      </c>
      <c r="C294" s="55" t="s">
        <v>7119</v>
      </c>
      <c r="D294" s="56" t="s">
        <v>26</v>
      </c>
      <c r="E294" s="56" t="s">
        <v>1710</v>
      </c>
      <c r="F294" s="26" t="s">
        <v>3923</v>
      </c>
      <c r="G294" s="26" t="s">
        <v>1419</v>
      </c>
      <c r="H294" s="26" t="s">
        <v>13</v>
      </c>
      <c r="I294" s="26" t="s">
        <v>3924</v>
      </c>
      <c r="J294" s="26" t="s">
        <v>7117</v>
      </c>
      <c r="K294" s="26" t="s">
        <v>6445</v>
      </c>
      <c r="L294" s="26" t="s">
        <v>7120</v>
      </c>
      <c r="M294" s="55" t="s">
        <v>7121</v>
      </c>
      <c r="N294" s="26" t="s">
        <v>3924</v>
      </c>
    </row>
    <row r="295" spans="1:14" ht="75" customHeight="1" thickTop="1" thickBot="1">
      <c r="A295" s="34">
        <v>293</v>
      </c>
      <c r="B295" s="34">
        <v>297</v>
      </c>
      <c r="C295" s="55" t="s">
        <v>7119</v>
      </c>
      <c r="D295" s="56" t="s">
        <v>26</v>
      </c>
      <c r="E295" s="56" t="s">
        <v>1710</v>
      </c>
      <c r="F295" s="26" t="s">
        <v>3923</v>
      </c>
      <c r="G295" s="26" t="s">
        <v>1419</v>
      </c>
      <c r="H295" s="26" t="s">
        <v>13</v>
      </c>
      <c r="I295" s="26" t="s">
        <v>3924</v>
      </c>
      <c r="J295" s="26" t="s">
        <v>7117</v>
      </c>
      <c r="K295" s="26" t="s">
        <v>6445</v>
      </c>
      <c r="L295" s="26" t="s">
        <v>7122</v>
      </c>
      <c r="M295" s="55" t="s">
        <v>7123</v>
      </c>
      <c r="N295" s="26" t="s">
        <v>3924</v>
      </c>
    </row>
    <row r="296" spans="1:14" ht="75" customHeight="1" thickTop="1" thickBot="1">
      <c r="A296" s="26">
        <v>294</v>
      </c>
      <c r="B296" s="26">
        <v>298</v>
      </c>
      <c r="C296" s="55" t="s">
        <v>7124</v>
      </c>
      <c r="D296" s="56" t="s">
        <v>26</v>
      </c>
      <c r="E296" s="56" t="s">
        <v>1710</v>
      </c>
      <c r="F296" s="26" t="s">
        <v>3923</v>
      </c>
      <c r="G296" s="26" t="s">
        <v>1419</v>
      </c>
      <c r="H296" s="26" t="s">
        <v>13</v>
      </c>
      <c r="I296" s="26" t="s">
        <v>3924</v>
      </c>
      <c r="J296" s="26" t="s">
        <v>7125</v>
      </c>
      <c r="K296" s="26" t="s">
        <v>6445</v>
      </c>
      <c r="L296" s="26" t="s">
        <v>7126</v>
      </c>
      <c r="M296" s="55" t="s">
        <v>7123</v>
      </c>
      <c r="N296" s="26" t="s">
        <v>3924</v>
      </c>
    </row>
    <row r="297" spans="1:14" ht="75" customHeight="1" thickTop="1" thickBot="1">
      <c r="A297" s="34">
        <v>295</v>
      </c>
      <c r="B297" s="34">
        <v>299</v>
      </c>
      <c r="C297" s="55" t="s">
        <v>7127</v>
      </c>
      <c r="D297" s="56" t="s">
        <v>26</v>
      </c>
      <c r="E297" s="56" t="s">
        <v>1710</v>
      </c>
      <c r="F297" s="26" t="s">
        <v>3923</v>
      </c>
      <c r="G297" s="26" t="s">
        <v>1419</v>
      </c>
      <c r="H297" s="26" t="s">
        <v>13</v>
      </c>
      <c r="I297" s="26" t="s">
        <v>3924</v>
      </c>
      <c r="J297" s="26" t="s">
        <v>7125</v>
      </c>
      <c r="K297" s="26" t="s">
        <v>6445</v>
      </c>
      <c r="L297" s="26" t="s">
        <v>7128</v>
      </c>
      <c r="M297" s="55" t="s">
        <v>7121</v>
      </c>
      <c r="N297" s="26" t="s">
        <v>3924</v>
      </c>
    </row>
    <row r="298" spans="1:14" ht="75" customHeight="1" thickTop="1" thickBot="1">
      <c r="A298" s="26">
        <v>296</v>
      </c>
      <c r="B298" s="26">
        <v>300</v>
      </c>
      <c r="C298" s="55" t="s">
        <v>7129</v>
      </c>
      <c r="D298" s="56" t="s">
        <v>26</v>
      </c>
      <c r="E298" s="56" t="s">
        <v>1710</v>
      </c>
      <c r="F298" s="26" t="s">
        <v>3923</v>
      </c>
      <c r="G298" s="26" t="s">
        <v>1419</v>
      </c>
      <c r="H298" s="26" t="s">
        <v>13</v>
      </c>
      <c r="I298" s="26" t="s">
        <v>3924</v>
      </c>
      <c r="J298" s="26" t="s">
        <v>7125</v>
      </c>
      <c r="K298" s="26" t="s">
        <v>6445</v>
      </c>
      <c r="L298" s="26" t="s">
        <v>7130</v>
      </c>
      <c r="M298" s="55" t="s">
        <v>7121</v>
      </c>
      <c r="N298" s="26" t="s">
        <v>3924</v>
      </c>
    </row>
    <row r="299" spans="1:14" ht="75" customHeight="1" thickTop="1" thickBot="1">
      <c r="A299" s="34">
        <v>297</v>
      </c>
      <c r="B299" s="34">
        <v>301</v>
      </c>
      <c r="C299" s="55" t="s">
        <v>7129</v>
      </c>
      <c r="D299" s="56" t="s">
        <v>26</v>
      </c>
      <c r="E299" s="56" t="s">
        <v>1710</v>
      </c>
      <c r="F299" s="26" t="s">
        <v>3923</v>
      </c>
      <c r="G299" s="26" t="s">
        <v>1419</v>
      </c>
      <c r="H299" s="26" t="s">
        <v>13</v>
      </c>
      <c r="I299" s="26" t="s">
        <v>3924</v>
      </c>
      <c r="J299" s="26" t="s">
        <v>7125</v>
      </c>
      <c r="K299" s="26" t="s">
        <v>6445</v>
      </c>
      <c r="L299" s="26" t="s">
        <v>7100</v>
      </c>
      <c r="M299" s="55" t="s">
        <v>7121</v>
      </c>
      <c r="N299" s="26" t="s">
        <v>3924</v>
      </c>
    </row>
    <row r="300" spans="1:14" ht="75" customHeight="1" thickTop="1" thickBot="1">
      <c r="A300" s="26">
        <v>298</v>
      </c>
      <c r="B300" s="26">
        <v>302</v>
      </c>
      <c r="C300" s="55" t="s">
        <v>7131</v>
      </c>
      <c r="D300" s="56" t="s">
        <v>26</v>
      </c>
      <c r="E300" s="56" t="s">
        <v>1710</v>
      </c>
      <c r="F300" s="26" t="s">
        <v>3923</v>
      </c>
      <c r="G300" s="26" t="s">
        <v>1419</v>
      </c>
      <c r="H300" s="26" t="s">
        <v>13</v>
      </c>
      <c r="I300" s="26" t="s">
        <v>3924</v>
      </c>
      <c r="J300" s="26" t="s">
        <v>7125</v>
      </c>
      <c r="K300" s="26" t="s">
        <v>6445</v>
      </c>
      <c r="L300" s="26" t="s">
        <v>7102</v>
      </c>
      <c r="M300" s="55" t="s">
        <v>7121</v>
      </c>
      <c r="N300" s="26" t="s">
        <v>3924</v>
      </c>
    </row>
    <row r="301" spans="1:14" ht="75" customHeight="1" thickTop="1" thickBot="1">
      <c r="A301" s="34">
        <v>299</v>
      </c>
      <c r="B301" s="34">
        <v>303</v>
      </c>
      <c r="C301" s="55" t="s">
        <v>7131</v>
      </c>
      <c r="D301" s="56" t="s">
        <v>26</v>
      </c>
      <c r="E301" s="56" t="s">
        <v>1710</v>
      </c>
      <c r="F301" s="26" t="s">
        <v>3923</v>
      </c>
      <c r="G301" s="26" t="s">
        <v>1419</v>
      </c>
      <c r="H301" s="26" t="s">
        <v>13</v>
      </c>
      <c r="I301" s="26" t="s">
        <v>3924</v>
      </c>
      <c r="J301" s="26" t="s">
        <v>7125</v>
      </c>
      <c r="K301" s="26" t="s">
        <v>6445</v>
      </c>
      <c r="L301" s="26" t="s">
        <v>7103</v>
      </c>
      <c r="M301" s="55" t="s">
        <v>7121</v>
      </c>
      <c r="N301" s="26" t="s">
        <v>3924</v>
      </c>
    </row>
    <row r="302" spans="1:14" ht="75" customHeight="1" thickTop="1" thickBot="1">
      <c r="A302" s="26">
        <v>300</v>
      </c>
      <c r="B302" s="26">
        <v>304</v>
      </c>
      <c r="C302" s="55" t="s">
        <v>7132</v>
      </c>
      <c r="D302" s="56" t="s">
        <v>26</v>
      </c>
      <c r="E302" s="56" t="s">
        <v>1710</v>
      </c>
      <c r="F302" s="26" t="s">
        <v>3923</v>
      </c>
      <c r="G302" s="26" t="s">
        <v>1419</v>
      </c>
      <c r="H302" s="26" t="s">
        <v>13</v>
      </c>
      <c r="I302" s="26" t="s">
        <v>3924</v>
      </c>
      <c r="J302" s="26" t="s">
        <v>7133</v>
      </c>
      <c r="K302" s="26" t="s">
        <v>6445</v>
      </c>
      <c r="L302" s="26" t="s">
        <v>7104</v>
      </c>
      <c r="M302" s="55" t="s">
        <v>7121</v>
      </c>
      <c r="N302" s="26" t="s">
        <v>3924</v>
      </c>
    </row>
    <row r="303" spans="1:14" ht="75" customHeight="1" thickTop="1" thickBot="1">
      <c r="A303" s="34">
        <v>301</v>
      </c>
      <c r="B303" s="34">
        <v>305</v>
      </c>
      <c r="C303" s="55" t="s">
        <v>7132</v>
      </c>
      <c r="D303" s="56" t="s">
        <v>26</v>
      </c>
      <c r="E303" s="56" t="s">
        <v>1710</v>
      </c>
      <c r="F303" s="26" t="s">
        <v>3923</v>
      </c>
      <c r="G303" s="26" t="s">
        <v>1419</v>
      </c>
      <c r="H303" s="26" t="s">
        <v>13</v>
      </c>
      <c r="I303" s="26" t="s">
        <v>3924</v>
      </c>
      <c r="J303" s="26" t="s">
        <v>7133</v>
      </c>
      <c r="K303" s="26" t="s">
        <v>6445</v>
      </c>
      <c r="L303" s="26" t="s">
        <v>7107</v>
      </c>
      <c r="M303" s="55" t="s">
        <v>7121</v>
      </c>
      <c r="N303" s="26" t="s">
        <v>3924</v>
      </c>
    </row>
    <row r="304" spans="1:14" ht="75" customHeight="1" thickTop="1" thickBot="1">
      <c r="A304" s="26">
        <v>302</v>
      </c>
      <c r="B304" s="26">
        <v>306</v>
      </c>
      <c r="C304" s="55" t="s">
        <v>7134</v>
      </c>
      <c r="D304" s="56" t="s">
        <v>26</v>
      </c>
      <c r="E304" s="56" t="s">
        <v>1710</v>
      </c>
      <c r="F304" s="26" t="s">
        <v>3923</v>
      </c>
      <c r="G304" s="26" t="s">
        <v>1419</v>
      </c>
      <c r="H304" s="26" t="s">
        <v>13</v>
      </c>
      <c r="I304" s="26" t="s">
        <v>3924</v>
      </c>
      <c r="J304" s="26" t="s">
        <v>7133</v>
      </c>
      <c r="K304" s="26" t="s">
        <v>6445</v>
      </c>
      <c r="L304" s="26" t="s">
        <v>7135</v>
      </c>
      <c r="M304" s="55" t="s">
        <v>7123</v>
      </c>
      <c r="N304" s="26" t="s">
        <v>3924</v>
      </c>
    </row>
    <row r="305" spans="1:14" ht="75" customHeight="1" thickTop="1" thickBot="1">
      <c r="A305" s="34">
        <v>303</v>
      </c>
      <c r="B305" s="34">
        <v>307</v>
      </c>
      <c r="C305" s="55" t="s">
        <v>7136</v>
      </c>
      <c r="D305" s="56" t="s">
        <v>26</v>
      </c>
      <c r="E305" s="56" t="s">
        <v>1710</v>
      </c>
      <c r="F305" s="26" t="s">
        <v>3923</v>
      </c>
      <c r="G305" s="26" t="s">
        <v>1419</v>
      </c>
      <c r="H305" s="26" t="s">
        <v>13</v>
      </c>
      <c r="I305" s="26" t="s">
        <v>3924</v>
      </c>
      <c r="J305" s="26" t="s">
        <v>7133</v>
      </c>
      <c r="K305" s="26" t="s">
        <v>6445</v>
      </c>
      <c r="L305" s="26" t="s">
        <v>7108</v>
      </c>
      <c r="M305" s="55" t="s">
        <v>7123</v>
      </c>
      <c r="N305" s="26" t="s">
        <v>3924</v>
      </c>
    </row>
    <row r="306" spans="1:14" ht="75" customHeight="1" thickTop="1" thickBot="1">
      <c r="A306" s="26">
        <v>304</v>
      </c>
      <c r="B306" s="26">
        <v>308</v>
      </c>
      <c r="C306" s="55" t="s">
        <v>7136</v>
      </c>
      <c r="D306" s="56" t="s">
        <v>26</v>
      </c>
      <c r="E306" s="56" t="s">
        <v>1710</v>
      </c>
      <c r="F306" s="26" t="s">
        <v>3923</v>
      </c>
      <c r="G306" s="26" t="s">
        <v>1419</v>
      </c>
      <c r="H306" s="26" t="s">
        <v>13</v>
      </c>
      <c r="I306" s="26" t="s">
        <v>3924</v>
      </c>
      <c r="J306" s="26" t="s">
        <v>7137</v>
      </c>
      <c r="K306" s="26" t="s">
        <v>6445</v>
      </c>
      <c r="L306" s="26" t="s">
        <v>7138</v>
      </c>
      <c r="M306" s="55" t="s">
        <v>7121</v>
      </c>
      <c r="N306" s="26" t="s">
        <v>3924</v>
      </c>
    </row>
    <row r="307" spans="1:14" ht="75" customHeight="1" thickTop="1" thickBot="1">
      <c r="A307" s="34">
        <v>305</v>
      </c>
      <c r="B307" s="34">
        <v>309</v>
      </c>
      <c r="C307" s="55" t="s">
        <v>7136</v>
      </c>
      <c r="D307" s="56" t="s">
        <v>26</v>
      </c>
      <c r="E307" s="56" t="s">
        <v>1710</v>
      </c>
      <c r="F307" s="26" t="s">
        <v>3923</v>
      </c>
      <c r="G307" s="26" t="s">
        <v>1419</v>
      </c>
      <c r="H307" s="26" t="s">
        <v>13</v>
      </c>
      <c r="I307" s="26" t="s">
        <v>3924</v>
      </c>
      <c r="J307" s="26" t="s">
        <v>7133</v>
      </c>
      <c r="K307" s="26" t="s">
        <v>6445</v>
      </c>
      <c r="L307" s="26" t="s">
        <v>7139</v>
      </c>
      <c r="M307" s="55" t="s">
        <v>7121</v>
      </c>
      <c r="N307" s="26" t="s">
        <v>3924</v>
      </c>
    </row>
    <row r="308" spans="1:14" ht="75" customHeight="1" thickTop="1" thickBot="1">
      <c r="A308" s="26">
        <v>306</v>
      </c>
      <c r="B308" s="26">
        <v>310</v>
      </c>
      <c r="C308" s="55" t="s">
        <v>7140</v>
      </c>
      <c r="D308" s="56" t="s">
        <v>26</v>
      </c>
      <c r="E308" s="56" t="s">
        <v>1710</v>
      </c>
      <c r="F308" s="26" t="s">
        <v>3923</v>
      </c>
      <c r="G308" s="26" t="s">
        <v>1419</v>
      </c>
      <c r="H308" s="26" t="s">
        <v>13</v>
      </c>
      <c r="I308" s="26" t="s">
        <v>3924</v>
      </c>
      <c r="J308" s="26" t="s">
        <v>7137</v>
      </c>
      <c r="K308" s="26" t="s">
        <v>6445</v>
      </c>
      <c r="L308" s="26" t="s">
        <v>7141</v>
      </c>
      <c r="M308" s="55" t="s">
        <v>7121</v>
      </c>
      <c r="N308" s="26" t="s">
        <v>3924</v>
      </c>
    </row>
    <row r="309" spans="1:14" ht="75" customHeight="1" thickTop="1" thickBot="1">
      <c r="A309" s="34">
        <v>307</v>
      </c>
      <c r="B309" s="34">
        <v>311</v>
      </c>
      <c r="C309" s="55" t="s">
        <v>7140</v>
      </c>
      <c r="D309" s="56" t="s">
        <v>26</v>
      </c>
      <c r="E309" s="56" t="s">
        <v>1710</v>
      </c>
      <c r="F309" s="26" t="s">
        <v>3923</v>
      </c>
      <c r="G309" s="26" t="s">
        <v>1419</v>
      </c>
      <c r="H309" s="26" t="s">
        <v>13</v>
      </c>
      <c r="I309" s="26" t="s">
        <v>3924</v>
      </c>
      <c r="J309" s="26" t="s">
        <v>7137</v>
      </c>
      <c r="K309" s="26" t="s">
        <v>6445</v>
      </c>
      <c r="L309" s="26" t="s">
        <v>7110</v>
      </c>
      <c r="M309" s="55" t="s">
        <v>7121</v>
      </c>
      <c r="N309" s="26" t="s">
        <v>3924</v>
      </c>
    </row>
    <row r="310" spans="1:14" ht="75" customHeight="1" thickTop="1" thickBot="1">
      <c r="A310" s="26">
        <v>308</v>
      </c>
      <c r="B310" s="26">
        <v>312</v>
      </c>
      <c r="C310" s="55" t="s">
        <v>7142</v>
      </c>
      <c r="D310" s="56" t="s">
        <v>26</v>
      </c>
      <c r="E310" s="56" t="s">
        <v>1710</v>
      </c>
      <c r="F310" s="26" t="s">
        <v>3923</v>
      </c>
      <c r="G310" s="26" t="s">
        <v>1419</v>
      </c>
      <c r="H310" s="26" t="s">
        <v>13</v>
      </c>
      <c r="I310" s="26" t="s">
        <v>3924</v>
      </c>
      <c r="J310" s="26" t="s">
        <v>7137</v>
      </c>
      <c r="K310" s="26" t="s">
        <v>6445</v>
      </c>
      <c r="L310" s="26" t="s">
        <v>6864</v>
      </c>
      <c r="M310" s="55" t="s">
        <v>7143</v>
      </c>
      <c r="N310" s="26" t="s">
        <v>3924</v>
      </c>
    </row>
    <row r="311" spans="1:14" ht="75" customHeight="1" thickTop="1" thickBot="1">
      <c r="A311" s="34">
        <v>309</v>
      </c>
      <c r="B311" s="34">
        <v>313</v>
      </c>
      <c r="C311" s="55" t="s">
        <v>7144</v>
      </c>
      <c r="D311" s="56" t="s">
        <v>26</v>
      </c>
      <c r="E311" s="56" t="s">
        <v>1710</v>
      </c>
      <c r="F311" s="26" t="s">
        <v>3923</v>
      </c>
      <c r="G311" s="26" t="s">
        <v>1419</v>
      </c>
      <c r="H311" s="26" t="s">
        <v>13</v>
      </c>
      <c r="I311" s="26" t="s">
        <v>3924</v>
      </c>
      <c r="J311" s="26" t="s">
        <v>7137</v>
      </c>
      <c r="K311" s="26" t="s">
        <v>6445</v>
      </c>
      <c r="L311" s="26" t="s">
        <v>7113</v>
      </c>
      <c r="M311" s="55" t="s">
        <v>7145</v>
      </c>
      <c r="N311" s="26" t="s">
        <v>3924</v>
      </c>
    </row>
    <row r="312" spans="1:14" ht="75" customHeight="1" thickTop="1" thickBot="1">
      <c r="A312" s="26">
        <v>310</v>
      </c>
      <c r="B312" s="26">
        <v>314</v>
      </c>
      <c r="C312" s="55" t="s">
        <v>7144</v>
      </c>
      <c r="D312" s="56" t="s">
        <v>26</v>
      </c>
      <c r="E312" s="56" t="s">
        <v>1710</v>
      </c>
      <c r="F312" s="26" t="s">
        <v>3923</v>
      </c>
      <c r="G312" s="26" t="s">
        <v>1419</v>
      </c>
      <c r="H312" s="26" t="s">
        <v>13</v>
      </c>
      <c r="I312" s="26" t="s">
        <v>3924</v>
      </c>
      <c r="J312" s="26" t="s">
        <v>7137</v>
      </c>
      <c r="K312" s="26" t="s">
        <v>6445</v>
      </c>
      <c r="L312" s="26" t="s">
        <v>7146</v>
      </c>
      <c r="M312" s="55" t="s">
        <v>7147</v>
      </c>
      <c r="N312" s="26" t="s">
        <v>3924</v>
      </c>
    </row>
    <row r="313" spans="1:14" ht="75" customHeight="1" thickTop="1" thickBot="1">
      <c r="A313" s="34">
        <v>311</v>
      </c>
      <c r="B313" s="34">
        <v>315</v>
      </c>
      <c r="C313" s="55" t="s">
        <v>7148</v>
      </c>
      <c r="D313" s="56" t="s">
        <v>26</v>
      </c>
      <c r="E313" s="56" t="s">
        <v>1710</v>
      </c>
      <c r="F313" s="26" t="s">
        <v>3923</v>
      </c>
      <c r="G313" s="26" t="s">
        <v>1419</v>
      </c>
      <c r="H313" s="26" t="s">
        <v>13</v>
      </c>
      <c r="I313" s="26" t="s">
        <v>3924</v>
      </c>
      <c r="J313" s="26" t="s">
        <v>7149</v>
      </c>
      <c r="K313" s="26" t="s">
        <v>6445</v>
      </c>
      <c r="L313" s="26" t="s">
        <v>7089</v>
      </c>
      <c r="M313" s="55" t="s">
        <v>7150</v>
      </c>
      <c r="N313" s="26" t="s">
        <v>3924</v>
      </c>
    </row>
    <row r="314" spans="1:14" ht="75" customHeight="1" thickTop="1" thickBot="1">
      <c r="A314" s="26">
        <v>312</v>
      </c>
      <c r="B314" s="26">
        <v>316</v>
      </c>
      <c r="C314" s="55" t="s">
        <v>7151</v>
      </c>
      <c r="D314" s="56" t="s">
        <v>26</v>
      </c>
      <c r="E314" s="56" t="s">
        <v>1710</v>
      </c>
      <c r="F314" s="26" t="s">
        <v>3923</v>
      </c>
      <c r="G314" s="26" t="s">
        <v>1419</v>
      </c>
      <c r="H314" s="26" t="s">
        <v>13</v>
      </c>
      <c r="I314" s="26" t="s">
        <v>3924</v>
      </c>
      <c r="J314" s="26" t="s">
        <v>7149</v>
      </c>
      <c r="K314" s="26" t="s">
        <v>6445</v>
      </c>
      <c r="L314" s="26" t="s">
        <v>7135</v>
      </c>
      <c r="M314" s="55" t="s">
        <v>7145</v>
      </c>
      <c r="N314" s="26" t="s">
        <v>3924</v>
      </c>
    </row>
    <row r="315" spans="1:14" ht="75" customHeight="1" thickTop="1" thickBot="1">
      <c r="A315" s="34">
        <v>313</v>
      </c>
      <c r="B315" s="34">
        <v>317</v>
      </c>
      <c r="C315" s="55" t="s">
        <v>7151</v>
      </c>
      <c r="D315" s="56" t="s">
        <v>26</v>
      </c>
      <c r="E315" s="56" t="s">
        <v>1710</v>
      </c>
      <c r="F315" s="26" t="s">
        <v>3923</v>
      </c>
      <c r="G315" s="26" t="s">
        <v>1419</v>
      </c>
      <c r="H315" s="26" t="s">
        <v>13</v>
      </c>
      <c r="I315" s="26" t="s">
        <v>3924</v>
      </c>
      <c r="J315" s="26" t="s">
        <v>7149</v>
      </c>
      <c r="K315" s="26" t="s">
        <v>6445</v>
      </c>
      <c r="L315" s="26" t="s">
        <v>7107</v>
      </c>
      <c r="M315" s="55" t="s">
        <v>6799</v>
      </c>
      <c r="N315" s="26" t="s">
        <v>3924</v>
      </c>
    </row>
    <row r="316" spans="1:14" ht="75" customHeight="1" thickTop="1" thickBot="1">
      <c r="A316" s="26">
        <v>314</v>
      </c>
      <c r="B316" s="26">
        <v>318</v>
      </c>
      <c r="C316" s="55" t="s">
        <v>7152</v>
      </c>
      <c r="D316" s="56" t="s">
        <v>26</v>
      </c>
      <c r="E316" s="56" t="s">
        <v>1710</v>
      </c>
      <c r="F316" s="26" t="s">
        <v>3923</v>
      </c>
      <c r="G316" s="26" t="s">
        <v>1419</v>
      </c>
      <c r="H316" s="26" t="s">
        <v>13</v>
      </c>
      <c r="I316" s="26" t="s">
        <v>3924</v>
      </c>
      <c r="J316" s="26" t="s">
        <v>7149</v>
      </c>
      <c r="K316" s="26" t="s">
        <v>6445</v>
      </c>
      <c r="L316" s="26" t="s">
        <v>7153</v>
      </c>
      <c r="M316" s="55" t="s">
        <v>6799</v>
      </c>
      <c r="N316" s="26" t="s">
        <v>3924</v>
      </c>
    </row>
    <row r="317" spans="1:14" ht="75" customHeight="1" thickTop="1" thickBot="1">
      <c r="A317" s="34">
        <v>315</v>
      </c>
      <c r="B317" s="34">
        <v>319</v>
      </c>
      <c r="C317" s="55" t="s">
        <v>7154</v>
      </c>
      <c r="D317" s="56" t="s">
        <v>26</v>
      </c>
      <c r="E317" s="56" t="s">
        <v>1710</v>
      </c>
      <c r="F317" s="26" t="s">
        <v>3923</v>
      </c>
      <c r="G317" s="26" t="s">
        <v>1419</v>
      </c>
      <c r="H317" s="26" t="s">
        <v>13</v>
      </c>
      <c r="I317" s="26" t="s">
        <v>3924</v>
      </c>
      <c r="J317" s="26" t="s">
        <v>7149</v>
      </c>
      <c r="K317" s="26" t="s">
        <v>6445</v>
      </c>
      <c r="L317" s="26" t="s">
        <v>6917</v>
      </c>
      <c r="M317" s="55" t="s">
        <v>6799</v>
      </c>
      <c r="N317" s="26" t="s">
        <v>3924</v>
      </c>
    </row>
    <row r="318" spans="1:14" ht="75" customHeight="1" thickTop="1" thickBot="1">
      <c r="A318" s="26">
        <v>316</v>
      </c>
      <c r="B318" s="26">
        <v>320</v>
      </c>
      <c r="C318" s="55" t="s">
        <v>7155</v>
      </c>
      <c r="D318" s="56" t="s">
        <v>26</v>
      </c>
      <c r="E318" s="56" t="s">
        <v>1710</v>
      </c>
      <c r="F318" s="26" t="s">
        <v>3923</v>
      </c>
      <c r="G318" s="26" t="s">
        <v>1419</v>
      </c>
      <c r="H318" s="26" t="s">
        <v>13</v>
      </c>
      <c r="I318" s="26" t="s">
        <v>3924</v>
      </c>
      <c r="J318" s="26" t="s">
        <v>7149</v>
      </c>
      <c r="K318" s="26" t="s">
        <v>7156</v>
      </c>
      <c r="L318" s="26" t="s">
        <v>6469</v>
      </c>
      <c r="M318" s="55" t="s">
        <v>6799</v>
      </c>
      <c r="N318" s="26" t="s">
        <v>3924</v>
      </c>
    </row>
    <row r="319" spans="1:14" ht="75" customHeight="1" thickTop="1" thickBot="1">
      <c r="A319" s="34">
        <v>317</v>
      </c>
      <c r="B319" s="34">
        <v>321</v>
      </c>
      <c r="C319" s="55" t="s">
        <v>7155</v>
      </c>
      <c r="D319" s="56" t="s">
        <v>26</v>
      </c>
      <c r="E319" s="56" t="s">
        <v>1710</v>
      </c>
      <c r="F319" s="26" t="s">
        <v>3923</v>
      </c>
      <c r="G319" s="26" t="s">
        <v>1419</v>
      </c>
      <c r="H319" s="26" t="s">
        <v>13</v>
      </c>
      <c r="I319" s="26" t="s">
        <v>3924</v>
      </c>
      <c r="J319" s="26" t="s">
        <v>7149</v>
      </c>
      <c r="K319" s="26" t="s">
        <v>6445</v>
      </c>
      <c r="L319" s="26" t="s">
        <v>7157</v>
      </c>
      <c r="M319" s="55" t="s">
        <v>6799</v>
      </c>
      <c r="N319" s="26" t="s">
        <v>3924</v>
      </c>
    </row>
    <row r="320" spans="1:14" ht="75" customHeight="1" thickTop="1" thickBot="1">
      <c r="A320" s="26">
        <v>318</v>
      </c>
      <c r="B320" s="26">
        <v>322</v>
      </c>
      <c r="C320" s="55" t="s">
        <v>7158</v>
      </c>
      <c r="D320" s="56" t="s">
        <v>26</v>
      </c>
      <c r="E320" s="56" t="s">
        <v>1710</v>
      </c>
      <c r="F320" s="26" t="s">
        <v>3923</v>
      </c>
      <c r="G320" s="26" t="s">
        <v>1419</v>
      </c>
      <c r="H320" s="26" t="s">
        <v>13</v>
      </c>
      <c r="I320" s="26" t="s">
        <v>3924</v>
      </c>
      <c r="J320" s="26" t="s">
        <v>7149</v>
      </c>
      <c r="K320" s="26" t="s">
        <v>6445</v>
      </c>
      <c r="L320" s="26" t="s">
        <v>7096</v>
      </c>
      <c r="M320" s="55" t="s">
        <v>6798</v>
      </c>
      <c r="N320" s="26" t="s">
        <v>3924</v>
      </c>
    </row>
    <row r="321" spans="1:14" ht="75" customHeight="1" thickTop="1" thickBot="1">
      <c r="A321" s="34">
        <v>319</v>
      </c>
      <c r="B321" s="34">
        <v>323</v>
      </c>
      <c r="C321" s="55" t="s">
        <v>7159</v>
      </c>
      <c r="D321" s="56" t="s">
        <v>26</v>
      </c>
      <c r="E321" s="56" t="s">
        <v>1710</v>
      </c>
      <c r="F321" s="26" t="s">
        <v>3923</v>
      </c>
      <c r="G321" s="26" t="s">
        <v>1419</v>
      </c>
      <c r="H321" s="26" t="s">
        <v>13</v>
      </c>
      <c r="I321" s="26" t="s">
        <v>3924</v>
      </c>
      <c r="J321" s="26" t="s">
        <v>7160</v>
      </c>
      <c r="K321" s="26" t="s">
        <v>6445</v>
      </c>
      <c r="L321" s="26" t="s">
        <v>7099</v>
      </c>
      <c r="M321" s="55" t="s">
        <v>6798</v>
      </c>
      <c r="N321" s="26" t="s">
        <v>3924</v>
      </c>
    </row>
    <row r="322" spans="1:14" s="25" customFormat="1" ht="75" customHeight="1" thickTop="1" thickBot="1">
      <c r="A322" s="26">
        <v>320</v>
      </c>
      <c r="B322" s="26">
        <v>324</v>
      </c>
      <c r="C322" s="55" t="s">
        <v>7161</v>
      </c>
      <c r="D322" s="56" t="s">
        <v>26</v>
      </c>
      <c r="E322" s="56" t="s">
        <v>1710</v>
      </c>
      <c r="F322" s="26" t="s">
        <v>3923</v>
      </c>
      <c r="G322" s="26" t="s">
        <v>1419</v>
      </c>
      <c r="H322" s="26" t="s">
        <v>13</v>
      </c>
      <c r="I322" s="26" t="s">
        <v>3924</v>
      </c>
      <c r="J322" s="26" t="s">
        <v>7160</v>
      </c>
      <c r="K322" s="26" t="s">
        <v>6445</v>
      </c>
      <c r="L322" s="26" t="s">
        <v>7100</v>
      </c>
      <c r="M322" s="55" t="s">
        <v>6799</v>
      </c>
      <c r="N322" s="26" t="s">
        <v>3924</v>
      </c>
    </row>
    <row r="323" spans="1:14" ht="75" customHeight="1" thickTop="1" thickBot="1">
      <c r="A323" s="34">
        <v>321</v>
      </c>
      <c r="B323" s="34">
        <v>325</v>
      </c>
      <c r="C323" s="55" t="s">
        <v>7161</v>
      </c>
      <c r="D323" s="56" t="s">
        <v>26</v>
      </c>
      <c r="E323" s="56" t="s">
        <v>1710</v>
      </c>
      <c r="F323" s="26" t="s">
        <v>3923</v>
      </c>
      <c r="G323" s="26" t="s">
        <v>1419</v>
      </c>
      <c r="H323" s="26" t="s">
        <v>13</v>
      </c>
      <c r="I323" s="26" t="s">
        <v>3924</v>
      </c>
      <c r="J323" s="26" t="s">
        <v>7160</v>
      </c>
      <c r="K323" s="26" t="s">
        <v>6445</v>
      </c>
      <c r="L323" s="26" t="s">
        <v>7102</v>
      </c>
      <c r="M323" s="55" t="s">
        <v>6798</v>
      </c>
      <c r="N323" s="26" t="s">
        <v>3924</v>
      </c>
    </row>
    <row r="324" spans="1:14" ht="75" customHeight="1" thickTop="1" thickBot="1">
      <c r="A324" s="26">
        <v>322</v>
      </c>
      <c r="B324" s="26">
        <v>326</v>
      </c>
      <c r="C324" s="55" t="s">
        <v>7161</v>
      </c>
      <c r="D324" s="56" t="s">
        <v>26</v>
      </c>
      <c r="E324" s="56" t="s">
        <v>1710</v>
      </c>
      <c r="F324" s="26" t="s">
        <v>3923</v>
      </c>
      <c r="G324" s="26" t="s">
        <v>1419</v>
      </c>
      <c r="H324" s="26" t="s">
        <v>13</v>
      </c>
      <c r="I324" s="26" t="s">
        <v>3924</v>
      </c>
      <c r="J324" s="26" t="s">
        <v>7160</v>
      </c>
      <c r="K324" s="26" t="s">
        <v>6445</v>
      </c>
      <c r="L324" s="26" t="s">
        <v>7104</v>
      </c>
      <c r="M324" s="55" t="s">
        <v>6798</v>
      </c>
      <c r="N324" s="26" t="s">
        <v>3924</v>
      </c>
    </row>
    <row r="325" spans="1:14" ht="75" customHeight="1" thickTop="1" thickBot="1">
      <c r="A325" s="34">
        <v>323</v>
      </c>
      <c r="B325" s="34">
        <v>327</v>
      </c>
      <c r="C325" s="55" t="s">
        <v>7162</v>
      </c>
      <c r="D325" s="56" t="s">
        <v>26</v>
      </c>
      <c r="E325" s="56" t="s">
        <v>1710</v>
      </c>
      <c r="F325" s="26" t="s">
        <v>3923</v>
      </c>
      <c r="G325" s="26" t="s">
        <v>1419</v>
      </c>
      <c r="H325" s="26" t="s">
        <v>13</v>
      </c>
      <c r="I325" s="26" t="s">
        <v>3924</v>
      </c>
      <c r="J325" s="26" t="s">
        <v>7160</v>
      </c>
      <c r="K325" s="26" t="s">
        <v>6445</v>
      </c>
      <c r="L325" s="26" t="s">
        <v>6928</v>
      </c>
      <c r="M325" s="55" t="s">
        <v>6798</v>
      </c>
      <c r="N325" s="26" t="s">
        <v>3924</v>
      </c>
    </row>
    <row r="326" spans="1:14" ht="75" customHeight="1" thickTop="1" thickBot="1">
      <c r="A326" s="26">
        <v>324</v>
      </c>
      <c r="B326" s="26">
        <v>328</v>
      </c>
      <c r="C326" s="55" t="s">
        <v>7163</v>
      </c>
      <c r="D326" s="56" t="s">
        <v>26</v>
      </c>
      <c r="E326" s="56" t="s">
        <v>1710</v>
      </c>
      <c r="F326" s="26" t="s">
        <v>3923</v>
      </c>
      <c r="G326" s="26" t="s">
        <v>1419</v>
      </c>
      <c r="H326" s="26" t="s">
        <v>13</v>
      </c>
      <c r="I326" s="26" t="s">
        <v>3924</v>
      </c>
      <c r="J326" s="26" t="s">
        <v>7160</v>
      </c>
      <c r="K326" s="26" t="s">
        <v>6445</v>
      </c>
      <c r="L326" s="26" t="s">
        <v>7141</v>
      </c>
      <c r="M326" s="55" t="s">
        <v>7164</v>
      </c>
      <c r="N326" s="26" t="s">
        <v>3924</v>
      </c>
    </row>
    <row r="327" spans="1:14" ht="75" customHeight="1" thickTop="1" thickBot="1">
      <c r="A327" s="34">
        <v>325</v>
      </c>
      <c r="B327" s="34">
        <v>329</v>
      </c>
      <c r="C327" s="55" t="s">
        <v>7165</v>
      </c>
      <c r="D327" s="56" t="s">
        <v>26</v>
      </c>
      <c r="E327" s="56" t="s">
        <v>1710</v>
      </c>
      <c r="F327" s="26" t="s">
        <v>3923</v>
      </c>
      <c r="G327" s="26" t="s">
        <v>1419</v>
      </c>
      <c r="H327" s="26" t="s">
        <v>13</v>
      </c>
      <c r="I327" s="26" t="s">
        <v>3924</v>
      </c>
      <c r="J327" s="26" t="s">
        <v>7160</v>
      </c>
      <c r="K327" s="26" t="s">
        <v>6445</v>
      </c>
      <c r="L327" s="26" t="s">
        <v>7166</v>
      </c>
      <c r="M327" s="55" t="s">
        <v>6798</v>
      </c>
      <c r="N327" s="26" t="s">
        <v>3924</v>
      </c>
    </row>
    <row r="328" spans="1:14" ht="75" customHeight="1" thickTop="1" thickBot="1">
      <c r="A328" s="26">
        <v>326</v>
      </c>
      <c r="B328" s="26">
        <v>330</v>
      </c>
      <c r="C328" s="55" t="s">
        <v>7165</v>
      </c>
      <c r="D328" s="56" t="s">
        <v>26</v>
      </c>
      <c r="E328" s="56" t="s">
        <v>1710</v>
      </c>
      <c r="F328" s="26" t="s">
        <v>3923</v>
      </c>
      <c r="G328" s="26" t="s">
        <v>1419</v>
      </c>
      <c r="H328" s="26" t="s">
        <v>13</v>
      </c>
      <c r="I328" s="26" t="s">
        <v>3924</v>
      </c>
      <c r="J328" s="26" t="s">
        <v>7167</v>
      </c>
      <c r="K328" s="26" t="s">
        <v>6445</v>
      </c>
      <c r="L328" s="26" t="s">
        <v>7168</v>
      </c>
      <c r="M328" s="55" t="s">
        <v>6799</v>
      </c>
      <c r="N328" s="26" t="s">
        <v>3924</v>
      </c>
    </row>
    <row r="329" spans="1:14" ht="75" customHeight="1" thickTop="1" thickBot="1">
      <c r="A329" s="34">
        <v>327</v>
      </c>
      <c r="B329" s="34">
        <v>331</v>
      </c>
      <c r="C329" s="55" t="s">
        <v>7169</v>
      </c>
      <c r="D329" s="56" t="s">
        <v>26</v>
      </c>
      <c r="E329" s="56" t="s">
        <v>1710</v>
      </c>
      <c r="F329" s="26" t="s">
        <v>3923</v>
      </c>
      <c r="G329" s="26" t="s">
        <v>1419</v>
      </c>
      <c r="H329" s="26" t="s">
        <v>13</v>
      </c>
      <c r="I329" s="26" t="s">
        <v>3924</v>
      </c>
      <c r="J329" s="26" t="s">
        <v>7167</v>
      </c>
      <c r="K329" s="26" t="s">
        <v>6445</v>
      </c>
      <c r="L329" s="26" t="s">
        <v>7170</v>
      </c>
      <c r="M329" s="55" t="s">
        <v>6798</v>
      </c>
      <c r="N329" s="26" t="s">
        <v>3924</v>
      </c>
    </row>
    <row r="330" spans="1:14" ht="75" customHeight="1" thickTop="1" thickBot="1">
      <c r="A330" s="26">
        <v>328</v>
      </c>
      <c r="B330" s="26">
        <v>332</v>
      </c>
      <c r="C330" s="55" t="s">
        <v>7171</v>
      </c>
      <c r="D330" s="56" t="s">
        <v>26</v>
      </c>
      <c r="E330" s="56" t="s">
        <v>1710</v>
      </c>
      <c r="F330" s="26" t="s">
        <v>3923</v>
      </c>
      <c r="G330" s="26" t="s">
        <v>1419</v>
      </c>
      <c r="H330" s="26" t="s">
        <v>13</v>
      </c>
      <c r="I330" s="26" t="s">
        <v>3924</v>
      </c>
      <c r="J330" s="26" t="s">
        <v>7167</v>
      </c>
      <c r="K330" s="26" t="s">
        <v>6445</v>
      </c>
      <c r="L330" s="26" t="s">
        <v>7172</v>
      </c>
      <c r="M330" s="55" t="s">
        <v>6799</v>
      </c>
      <c r="N330" s="26" t="s">
        <v>3924</v>
      </c>
    </row>
    <row r="331" spans="1:14" ht="75" customHeight="1" thickTop="1" thickBot="1">
      <c r="A331" s="34">
        <v>329</v>
      </c>
      <c r="B331" s="34">
        <v>333</v>
      </c>
      <c r="C331" s="55" t="s">
        <v>7171</v>
      </c>
      <c r="D331" s="56" t="s">
        <v>26</v>
      </c>
      <c r="E331" s="56" t="s">
        <v>1710</v>
      </c>
      <c r="F331" s="26" t="s">
        <v>3923</v>
      </c>
      <c r="G331" s="26" t="s">
        <v>1419</v>
      </c>
      <c r="H331" s="26" t="s">
        <v>13</v>
      </c>
      <c r="I331" s="26" t="s">
        <v>3924</v>
      </c>
      <c r="J331" s="26" t="s">
        <v>7167</v>
      </c>
      <c r="K331" s="26" t="s">
        <v>6445</v>
      </c>
      <c r="L331" s="26" t="s">
        <v>6864</v>
      </c>
      <c r="M331" s="55" t="s">
        <v>7173</v>
      </c>
      <c r="N331" s="26" t="s">
        <v>3924</v>
      </c>
    </row>
    <row r="332" spans="1:14" ht="75" customHeight="1" thickTop="1" thickBot="1">
      <c r="A332" s="26">
        <v>330</v>
      </c>
      <c r="B332" s="26">
        <v>334</v>
      </c>
      <c r="C332" s="55" t="s">
        <v>7174</v>
      </c>
      <c r="D332" s="56" t="s">
        <v>26</v>
      </c>
      <c r="E332" s="56" t="s">
        <v>1710</v>
      </c>
      <c r="F332" s="26" t="s">
        <v>3923</v>
      </c>
      <c r="G332" s="26" t="s">
        <v>1419</v>
      </c>
      <c r="H332" s="26" t="s">
        <v>13</v>
      </c>
      <c r="I332" s="26" t="s">
        <v>3924</v>
      </c>
      <c r="J332" s="26" t="s">
        <v>7167</v>
      </c>
      <c r="K332" s="26" t="s">
        <v>6434</v>
      </c>
      <c r="L332" s="26" t="s">
        <v>7175</v>
      </c>
      <c r="M332" s="55" t="s">
        <v>7097</v>
      </c>
      <c r="N332" s="26" t="s">
        <v>3924</v>
      </c>
    </row>
    <row r="333" spans="1:14" ht="75" customHeight="1" thickTop="1" thickBot="1">
      <c r="A333" s="34">
        <v>331</v>
      </c>
      <c r="B333" s="34">
        <v>335</v>
      </c>
      <c r="C333" s="55" t="s">
        <v>7174</v>
      </c>
      <c r="D333" s="56" t="s">
        <v>26</v>
      </c>
      <c r="E333" s="56" t="s">
        <v>1710</v>
      </c>
      <c r="F333" s="26" t="s">
        <v>3923</v>
      </c>
      <c r="G333" s="26" t="s">
        <v>1419</v>
      </c>
      <c r="H333" s="26" t="s">
        <v>13</v>
      </c>
      <c r="I333" s="26" t="s">
        <v>3924</v>
      </c>
      <c r="J333" s="26" t="s">
        <v>7167</v>
      </c>
      <c r="K333" s="26" t="s">
        <v>6434</v>
      </c>
      <c r="L333" s="26" t="s">
        <v>7176</v>
      </c>
      <c r="M333" s="55" t="s">
        <v>6847</v>
      </c>
      <c r="N333" s="26" t="s">
        <v>3924</v>
      </c>
    </row>
    <row r="334" spans="1:14" ht="75" customHeight="1" thickTop="1" thickBot="1">
      <c r="A334" s="26">
        <v>332</v>
      </c>
      <c r="B334" s="26">
        <v>336</v>
      </c>
      <c r="C334" s="55" t="s">
        <v>7177</v>
      </c>
      <c r="D334" s="56" t="s">
        <v>26</v>
      </c>
      <c r="E334" s="56" t="s">
        <v>1710</v>
      </c>
      <c r="F334" s="26" t="s">
        <v>3923</v>
      </c>
      <c r="G334" s="26" t="s">
        <v>1419</v>
      </c>
      <c r="H334" s="26" t="s">
        <v>13</v>
      </c>
      <c r="I334" s="26" t="s">
        <v>3924</v>
      </c>
      <c r="J334" s="26" t="s">
        <v>7167</v>
      </c>
      <c r="K334" s="26" t="s">
        <v>6434</v>
      </c>
      <c r="L334" s="26" t="s">
        <v>7178</v>
      </c>
      <c r="M334" s="55" t="s">
        <v>7097</v>
      </c>
      <c r="N334" s="26" t="s">
        <v>3924</v>
      </c>
    </row>
    <row r="335" spans="1:14" ht="75" customHeight="1" thickTop="1" thickBot="1">
      <c r="A335" s="34">
        <v>333</v>
      </c>
      <c r="B335" s="34">
        <v>337</v>
      </c>
      <c r="C335" s="55" t="s">
        <v>7179</v>
      </c>
      <c r="D335" s="56" t="s">
        <v>26</v>
      </c>
      <c r="E335" s="56" t="s">
        <v>1710</v>
      </c>
      <c r="F335" s="26" t="s">
        <v>3923</v>
      </c>
      <c r="G335" s="26" t="s">
        <v>1419</v>
      </c>
      <c r="H335" s="26" t="s">
        <v>13</v>
      </c>
      <c r="I335" s="26" t="s">
        <v>3924</v>
      </c>
      <c r="J335" s="26" t="s">
        <v>7180</v>
      </c>
      <c r="K335" s="26" t="s">
        <v>6434</v>
      </c>
      <c r="L335" s="26" t="s">
        <v>7181</v>
      </c>
      <c r="M335" s="55" t="s">
        <v>7097</v>
      </c>
      <c r="N335" s="26" t="s">
        <v>3924</v>
      </c>
    </row>
    <row r="336" spans="1:14" ht="75" customHeight="1" thickTop="1" thickBot="1">
      <c r="A336" s="26">
        <v>334</v>
      </c>
      <c r="B336" s="26">
        <v>338</v>
      </c>
      <c r="C336" s="55" t="s">
        <v>7182</v>
      </c>
      <c r="D336" s="56" t="s">
        <v>26</v>
      </c>
      <c r="E336" s="56" t="s">
        <v>1710</v>
      </c>
      <c r="F336" s="26" t="s">
        <v>3923</v>
      </c>
      <c r="G336" s="26" t="s">
        <v>1419</v>
      </c>
      <c r="H336" s="26" t="s">
        <v>13</v>
      </c>
      <c r="I336" s="26" t="s">
        <v>3924</v>
      </c>
      <c r="J336" s="26" t="s">
        <v>7180</v>
      </c>
      <c r="K336" s="26" t="s">
        <v>6434</v>
      </c>
      <c r="L336" s="26" t="s">
        <v>7183</v>
      </c>
      <c r="M336" s="55" t="s">
        <v>6847</v>
      </c>
      <c r="N336" s="26" t="s">
        <v>3924</v>
      </c>
    </row>
    <row r="337" spans="1:14" ht="75" customHeight="1" thickTop="1" thickBot="1">
      <c r="A337" s="34">
        <v>335</v>
      </c>
      <c r="B337" s="34">
        <v>339</v>
      </c>
      <c r="C337" s="55" t="s">
        <v>7182</v>
      </c>
      <c r="D337" s="56" t="s">
        <v>26</v>
      </c>
      <c r="E337" s="56" t="s">
        <v>1710</v>
      </c>
      <c r="F337" s="26" t="s">
        <v>3923</v>
      </c>
      <c r="G337" s="26" t="s">
        <v>1419</v>
      </c>
      <c r="H337" s="26" t="s">
        <v>13</v>
      </c>
      <c r="I337" s="26" t="s">
        <v>3924</v>
      </c>
      <c r="J337" s="26" t="s">
        <v>7180</v>
      </c>
      <c r="K337" s="26" t="s">
        <v>6434</v>
      </c>
      <c r="L337" s="26" t="s">
        <v>7184</v>
      </c>
      <c r="M337" s="55" t="s">
        <v>6847</v>
      </c>
      <c r="N337" s="26" t="s">
        <v>3924</v>
      </c>
    </row>
    <row r="338" spans="1:14" ht="75" customHeight="1" thickTop="1" thickBot="1">
      <c r="A338" s="26">
        <v>336</v>
      </c>
      <c r="B338" s="26">
        <v>340</v>
      </c>
      <c r="C338" s="55" t="s">
        <v>7185</v>
      </c>
      <c r="D338" s="56" t="s">
        <v>26</v>
      </c>
      <c r="E338" s="56" t="s">
        <v>1710</v>
      </c>
      <c r="F338" s="26" t="s">
        <v>3923</v>
      </c>
      <c r="G338" s="26" t="s">
        <v>1419</v>
      </c>
      <c r="H338" s="26" t="s">
        <v>13</v>
      </c>
      <c r="I338" s="26" t="s">
        <v>3924</v>
      </c>
      <c r="J338" s="26" t="s">
        <v>7180</v>
      </c>
      <c r="K338" s="26" t="s">
        <v>6434</v>
      </c>
      <c r="L338" s="26" t="s">
        <v>7186</v>
      </c>
      <c r="M338" s="55" t="s">
        <v>7097</v>
      </c>
      <c r="N338" s="26" t="s">
        <v>3924</v>
      </c>
    </row>
    <row r="339" spans="1:14" ht="75" customHeight="1" thickTop="1" thickBot="1">
      <c r="A339" s="34">
        <v>337</v>
      </c>
      <c r="B339" s="34">
        <v>341</v>
      </c>
      <c r="C339" s="55" t="s">
        <v>7185</v>
      </c>
      <c r="D339" s="56" t="s">
        <v>26</v>
      </c>
      <c r="E339" s="56" t="s">
        <v>1710</v>
      </c>
      <c r="F339" s="26" t="s">
        <v>3923</v>
      </c>
      <c r="G339" s="26" t="s">
        <v>1419</v>
      </c>
      <c r="H339" s="26" t="s">
        <v>13</v>
      </c>
      <c r="I339" s="26" t="s">
        <v>3924</v>
      </c>
      <c r="J339" s="26" t="s">
        <v>7180</v>
      </c>
      <c r="K339" s="26" t="s">
        <v>6434</v>
      </c>
      <c r="L339" s="26" t="s">
        <v>7187</v>
      </c>
      <c r="M339" s="55" t="s">
        <v>7097</v>
      </c>
      <c r="N339" s="26" t="s">
        <v>3924</v>
      </c>
    </row>
    <row r="340" spans="1:14" ht="75" customHeight="1" thickTop="1" thickBot="1">
      <c r="A340" s="26">
        <v>338</v>
      </c>
      <c r="B340" s="26">
        <v>342</v>
      </c>
      <c r="C340" s="55" t="s">
        <v>7185</v>
      </c>
      <c r="D340" s="56" t="s">
        <v>26</v>
      </c>
      <c r="E340" s="56" t="s">
        <v>1710</v>
      </c>
      <c r="F340" s="26" t="s">
        <v>3923</v>
      </c>
      <c r="G340" s="26" t="s">
        <v>1419</v>
      </c>
      <c r="H340" s="26" t="s">
        <v>13</v>
      </c>
      <c r="I340" s="26" t="s">
        <v>3924</v>
      </c>
      <c r="J340" s="26" t="s">
        <v>7180</v>
      </c>
      <c r="K340" s="26" t="s">
        <v>6434</v>
      </c>
      <c r="L340" s="26" t="s">
        <v>7188</v>
      </c>
      <c r="M340" s="55" t="s">
        <v>7097</v>
      </c>
      <c r="N340" s="26" t="s">
        <v>3924</v>
      </c>
    </row>
    <row r="341" spans="1:14" ht="75" customHeight="1" thickTop="1" thickBot="1">
      <c r="A341" s="34">
        <v>339</v>
      </c>
      <c r="B341" s="34">
        <v>343</v>
      </c>
      <c r="C341" s="55" t="s">
        <v>7189</v>
      </c>
      <c r="D341" s="56" t="s">
        <v>26</v>
      </c>
      <c r="E341" s="56" t="s">
        <v>1710</v>
      </c>
      <c r="F341" s="26" t="s">
        <v>3923</v>
      </c>
      <c r="G341" s="26" t="s">
        <v>1419</v>
      </c>
      <c r="H341" s="26" t="s">
        <v>13</v>
      </c>
      <c r="I341" s="26" t="s">
        <v>3924</v>
      </c>
      <c r="J341" s="26" t="s">
        <v>7180</v>
      </c>
      <c r="K341" s="26" t="s">
        <v>6434</v>
      </c>
      <c r="L341" s="26" t="s">
        <v>7190</v>
      </c>
      <c r="M341" s="55" t="s">
        <v>6847</v>
      </c>
      <c r="N341" s="26" t="s">
        <v>3924</v>
      </c>
    </row>
    <row r="342" spans="1:14" ht="75" customHeight="1" thickTop="1" thickBot="1">
      <c r="A342" s="26">
        <v>340</v>
      </c>
      <c r="B342" s="26">
        <v>344</v>
      </c>
      <c r="C342" s="55" t="s">
        <v>7189</v>
      </c>
      <c r="D342" s="56" t="s">
        <v>26</v>
      </c>
      <c r="E342" s="56" t="s">
        <v>1710</v>
      </c>
      <c r="F342" s="26" t="s">
        <v>3923</v>
      </c>
      <c r="G342" s="26" t="s">
        <v>1419</v>
      </c>
      <c r="H342" s="26" t="s">
        <v>13</v>
      </c>
      <c r="I342" s="26" t="s">
        <v>3924</v>
      </c>
      <c r="J342" s="26" t="s">
        <v>7191</v>
      </c>
      <c r="K342" s="26" t="s">
        <v>6434</v>
      </c>
      <c r="L342" s="26" t="s">
        <v>7192</v>
      </c>
      <c r="M342" s="55" t="s">
        <v>6847</v>
      </c>
      <c r="N342" s="26" t="s">
        <v>3924</v>
      </c>
    </row>
    <row r="343" spans="1:14" ht="75" customHeight="1" thickTop="1" thickBot="1">
      <c r="A343" s="34">
        <v>341</v>
      </c>
      <c r="B343" s="34">
        <v>345</v>
      </c>
      <c r="C343" s="55" t="s">
        <v>7193</v>
      </c>
      <c r="D343" s="56" t="s">
        <v>26</v>
      </c>
      <c r="E343" s="56" t="s">
        <v>1710</v>
      </c>
      <c r="F343" s="26" t="s">
        <v>3923</v>
      </c>
      <c r="G343" s="26" t="s">
        <v>1419</v>
      </c>
      <c r="H343" s="26" t="s">
        <v>13</v>
      </c>
      <c r="I343" s="26" t="s">
        <v>3924</v>
      </c>
      <c r="J343" s="26" t="s">
        <v>7191</v>
      </c>
      <c r="K343" s="26" t="s">
        <v>6434</v>
      </c>
      <c r="L343" s="26" t="s">
        <v>7194</v>
      </c>
      <c r="M343" s="55" t="s">
        <v>6847</v>
      </c>
      <c r="N343" s="26" t="s">
        <v>3924</v>
      </c>
    </row>
    <row r="344" spans="1:14" ht="75" customHeight="1" thickTop="1" thickBot="1">
      <c r="A344" s="26">
        <v>342</v>
      </c>
      <c r="B344" s="26">
        <v>346</v>
      </c>
      <c r="C344" s="55" t="s">
        <v>7195</v>
      </c>
      <c r="D344" s="56" t="s">
        <v>26</v>
      </c>
      <c r="E344" s="56" t="s">
        <v>1710</v>
      </c>
      <c r="F344" s="26" t="s">
        <v>3923</v>
      </c>
      <c r="G344" s="26" t="s">
        <v>1419</v>
      </c>
      <c r="H344" s="26" t="s">
        <v>13</v>
      </c>
      <c r="I344" s="26" t="s">
        <v>3924</v>
      </c>
      <c r="J344" s="26" t="s">
        <v>7191</v>
      </c>
      <c r="K344" s="26" t="s">
        <v>6434</v>
      </c>
      <c r="L344" s="26" t="s">
        <v>7196</v>
      </c>
      <c r="M344" s="55" t="s">
        <v>7123</v>
      </c>
      <c r="N344" s="26" t="s">
        <v>3924</v>
      </c>
    </row>
    <row r="345" spans="1:14" ht="75" customHeight="1" thickTop="1" thickBot="1">
      <c r="A345" s="34">
        <v>343</v>
      </c>
      <c r="B345" s="34">
        <v>347</v>
      </c>
      <c r="C345" s="55" t="s">
        <v>7195</v>
      </c>
      <c r="D345" s="56" t="s">
        <v>26</v>
      </c>
      <c r="E345" s="56" t="s">
        <v>1710</v>
      </c>
      <c r="F345" s="26" t="s">
        <v>3923</v>
      </c>
      <c r="G345" s="26" t="s">
        <v>1419</v>
      </c>
      <c r="H345" s="26" t="s">
        <v>13</v>
      </c>
      <c r="I345" s="26" t="s">
        <v>3924</v>
      </c>
      <c r="J345" s="26" t="s">
        <v>7191</v>
      </c>
      <c r="K345" s="26" t="s">
        <v>6434</v>
      </c>
      <c r="L345" s="26" t="s">
        <v>7176</v>
      </c>
      <c r="M345" s="55" t="s">
        <v>7123</v>
      </c>
      <c r="N345" s="26" t="s">
        <v>3924</v>
      </c>
    </row>
    <row r="346" spans="1:14" ht="75" customHeight="1" thickTop="1" thickBot="1">
      <c r="A346" s="26">
        <v>344</v>
      </c>
      <c r="B346" s="26">
        <v>348</v>
      </c>
      <c r="C346" s="55" t="s">
        <v>7197</v>
      </c>
      <c r="D346" s="56" t="s">
        <v>26</v>
      </c>
      <c r="E346" s="56" t="s">
        <v>1710</v>
      </c>
      <c r="F346" s="26" t="s">
        <v>3923</v>
      </c>
      <c r="G346" s="26" t="s">
        <v>1419</v>
      </c>
      <c r="H346" s="26" t="s">
        <v>13</v>
      </c>
      <c r="I346" s="26" t="s">
        <v>3924</v>
      </c>
      <c r="J346" s="26" t="s">
        <v>7191</v>
      </c>
      <c r="K346" s="26" t="s">
        <v>6434</v>
      </c>
      <c r="L346" s="26" t="s">
        <v>7178</v>
      </c>
      <c r="M346" s="55" t="s">
        <v>7121</v>
      </c>
      <c r="N346" s="26" t="s">
        <v>3924</v>
      </c>
    </row>
    <row r="347" spans="1:14" ht="75" customHeight="1" thickTop="1" thickBot="1">
      <c r="A347" s="34">
        <v>345</v>
      </c>
      <c r="B347" s="34">
        <v>349</v>
      </c>
      <c r="C347" s="55" t="s">
        <v>7198</v>
      </c>
      <c r="D347" s="56" t="s">
        <v>26</v>
      </c>
      <c r="E347" s="56" t="s">
        <v>1710</v>
      </c>
      <c r="F347" s="26" t="s">
        <v>3923</v>
      </c>
      <c r="G347" s="26" t="s">
        <v>1419</v>
      </c>
      <c r="H347" s="26" t="s">
        <v>13</v>
      </c>
      <c r="I347" s="26" t="s">
        <v>3924</v>
      </c>
      <c r="J347" s="26" t="s">
        <v>7191</v>
      </c>
      <c r="K347" s="26" t="s">
        <v>6434</v>
      </c>
      <c r="L347" s="26" t="s">
        <v>7181</v>
      </c>
      <c r="M347" s="55" t="s">
        <v>7123</v>
      </c>
      <c r="N347" s="26" t="s">
        <v>3924</v>
      </c>
    </row>
    <row r="348" spans="1:14" ht="75" customHeight="1" thickTop="1" thickBot="1">
      <c r="A348" s="26">
        <v>346</v>
      </c>
      <c r="B348" s="26">
        <v>350</v>
      </c>
      <c r="C348" s="55" t="s">
        <v>7198</v>
      </c>
      <c r="D348" s="56" t="s">
        <v>26</v>
      </c>
      <c r="E348" s="56" t="s">
        <v>1710</v>
      </c>
      <c r="F348" s="26" t="s">
        <v>3923</v>
      </c>
      <c r="G348" s="26" t="s">
        <v>1419</v>
      </c>
      <c r="H348" s="26" t="s">
        <v>13</v>
      </c>
      <c r="I348" s="26" t="s">
        <v>3924</v>
      </c>
      <c r="J348" s="26" t="s">
        <v>7199</v>
      </c>
      <c r="K348" s="26" t="s">
        <v>6434</v>
      </c>
      <c r="L348" s="26" t="s">
        <v>7183</v>
      </c>
      <c r="M348" s="55" t="s">
        <v>7123</v>
      </c>
      <c r="N348" s="26" t="s">
        <v>3924</v>
      </c>
    </row>
    <row r="349" spans="1:14" ht="75" customHeight="1" thickTop="1" thickBot="1">
      <c r="A349" s="34">
        <v>347</v>
      </c>
      <c r="B349" s="34">
        <v>351</v>
      </c>
      <c r="C349" s="55" t="s">
        <v>7200</v>
      </c>
      <c r="D349" s="56" t="s">
        <v>26</v>
      </c>
      <c r="E349" s="56" t="s">
        <v>1710</v>
      </c>
      <c r="F349" s="26" t="s">
        <v>3923</v>
      </c>
      <c r="G349" s="26" t="s">
        <v>1419</v>
      </c>
      <c r="H349" s="26" t="s">
        <v>13</v>
      </c>
      <c r="I349" s="26" t="s">
        <v>3924</v>
      </c>
      <c r="J349" s="26" t="s">
        <v>7199</v>
      </c>
      <c r="K349" s="26" t="s">
        <v>6434</v>
      </c>
      <c r="L349" s="26" t="s">
        <v>7184</v>
      </c>
      <c r="M349" s="55" t="s">
        <v>7121</v>
      </c>
      <c r="N349" s="26" t="s">
        <v>3924</v>
      </c>
    </row>
    <row r="350" spans="1:14" ht="75" customHeight="1" thickTop="1" thickBot="1">
      <c r="A350" s="26">
        <v>348</v>
      </c>
      <c r="B350" s="26">
        <v>352</v>
      </c>
      <c r="C350" s="55" t="s">
        <v>7200</v>
      </c>
      <c r="D350" s="56" t="s">
        <v>26</v>
      </c>
      <c r="E350" s="56" t="s">
        <v>1710</v>
      </c>
      <c r="F350" s="26" t="s">
        <v>3923</v>
      </c>
      <c r="G350" s="26" t="s">
        <v>1419</v>
      </c>
      <c r="H350" s="26" t="s">
        <v>13</v>
      </c>
      <c r="I350" s="26" t="s">
        <v>3924</v>
      </c>
      <c r="J350" s="26" t="s">
        <v>7199</v>
      </c>
      <c r="K350" s="26" t="s">
        <v>6434</v>
      </c>
      <c r="L350" s="26" t="s">
        <v>7201</v>
      </c>
      <c r="M350" s="55" t="s">
        <v>7123</v>
      </c>
      <c r="N350" s="26" t="s">
        <v>3924</v>
      </c>
    </row>
    <row r="351" spans="1:14" ht="75" customHeight="1" thickTop="1" thickBot="1">
      <c r="A351" s="34">
        <v>349</v>
      </c>
      <c r="B351" s="34">
        <v>353</v>
      </c>
      <c r="C351" s="55" t="s">
        <v>7202</v>
      </c>
      <c r="D351" s="56" t="s">
        <v>26</v>
      </c>
      <c r="E351" s="56" t="s">
        <v>1710</v>
      </c>
      <c r="F351" s="26" t="s">
        <v>3923</v>
      </c>
      <c r="G351" s="26" t="s">
        <v>1419</v>
      </c>
      <c r="H351" s="26" t="s">
        <v>13</v>
      </c>
      <c r="I351" s="26" t="s">
        <v>3924</v>
      </c>
      <c r="J351" s="26" t="s">
        <v>7199</v>
      </c>
      <c r="K351" s="26" t="s">
        <v>6434</v>
      </c>
      <c r="L351" s="26" t="s">
        <v>7187</v>
      </c>
      <c r="M351" s="55" t="s">
        <v>7123</v>
      </c>
      <c r="N351" s="26" t="s">
        <v>3924</v>
      </c>
    </row>
    <row r="352" spans="1:14" ht="75" customHeight="1" thickTop="1" thickBot="1">
      <c r="A352" s="26">
        <v>350</v>
      </c>
      <c r="B352" s="26">
        <v>354</v>
      </c>
      <c r="C352" s="55" t="s">
        <v>7202</v>
      </c>
      <c r="D352" s="56" t="s">
        <v>26</v>
      </c>
      <c r="E352" s="56" t="s">
        <v>1710</v>
      </c>
      <c r="F352" s="26" t="s">
        <v>3923</v>
      </c>
      <c r="G352" s="26" t="s">
        <v>1419</v>
      </c>
      <c r="H352" s="26" t="s">
        <v>13</v>
      </c>
      <c r="I352" s="26" t="s">
        <v>3924</v>
      </c>
      <c r="J352" s="26" t="s">
        <v>7199</v>
      </c>
      <c r="K352" s="26" t="s">
        <v>6434</v>
      </c>
      <c r="L352" s="26" t="s">
        <v>7203</v>
      </c>
      <c r="M352" s="55" t="s">
        <v>7123</v>
      </c>
      <c r="N352" s="26" t="s">
        <v>3924</v>
      </c>
    </row>
    <row r="353" spans="1:14" ht="75" customHeight="1" thickTop="1" thickBot="1">
      <c r="A353" s="34">
        <v>351</v>
      </c>
      <c r="B353" s="34">
        <v>355</v>
      </c>
      <c r="C353" s="55" t="s">
        <v>7204</v>
      </c>
      <c r="D353" s="56" t="s">
        <v>26</v>
      </c>
      <c r="E353" s="56" t="s">
        <v>1710</v>
      </c>
      <c r="F353" s="26" t="s">
        <v>3923</v>
      </c>
      <c r="G353" s="26" t="s">
        <v>1419</v>
      </c>
      <c r="H353" s="26" t="s">
        <v>13</v>
      </c>
      <c r="I353" s="26" t="s">
        <v>3924</v>
      </c>
      <c r="J353" s="26" t="s">
        <v>7199</v>
      </c>
      <c r="K353" s="26" t="s">
        <v>6434</v>
      </c>
      <c r="L353" s="26" t="s">
        <v>7190</v>
      </c>
      <c r="M353" s="55" t="s">
        <v>7123</v>
      </c>
      <c r="N353" s="26" t="s">
        <v>3924</v>
      </c>
    </row>
    <row r="354" spans="1:14" ht="75" customHeight="1" thickTop="1" thickBot="1">
      <c r="A354" s="26">
        <v>352</v>
      </c>
      <c r="B354" s="26">
        <v>356</v>
      </c>
      <c r="C354" s="55" t="s">
        <v>7204</v>
      </c>
      <c r="D354" s="56" t="s">
        <v>26</v>
      </c>
      <c r="E354" s="56" t="s">
        <v>1710</v>
      </c>
      <c r="F354" s="26" t="s">
        <v>3923</v>
      </c>
      <c r="G354" s="26" t="s">
        <v>1419</v>
      </c>
      <c r="H354" s="26" t="s">
        <v>13</v>
      </c>
      <c r="I354" s="26" t="s">
        <v>3924</v>
      </c>
      <c r="J354" s="26" t="s">
        <v>7205</v>
      </c>
      <c r="K354" s="26" t="s">
        <v>6434</v>
      </c>
      <c r="L354" s="26" t="s">
        <v>7192</v>
      </c>
      <c r="M354" s="55" t="s">
        <v>7123</v>
      </c>
      <c r="N354" s="26" t="s">
        <v>3924</v>
      </c>
    </row>
    <row r="355" spans="1:14" ht="75" customHeight="1" thickTop="1" thickBot="1">
      <c r="A355" s="34">
        <v>353</v>
      </c>
      <c r="B355" s="34">
        <v>357</v>
      </c>
      <c r="C355" s="55" t="s">
        <v>7206</v>
      </c>
      <c r="D355" s="56" t="s">
        <v>26</v>
      </c>
      <c r="E355" s="56" t="s">
        <v>1710</v>
      </c>
      <c r="F355" s="26" t="s">
        <v>3923</v>
      </c>
      <c r="G355" s="26" t="s">
        <v>1419</v>
      </c>
      <c r="H355" s="26" t="s">
        <v>13</v>
      </c>
      <c r="I355" s="26" t="s">
        <v>3924</v>
      </c>
      <c r="J355" s="26" t="s">
        <v>7199</v>
      </c>
      <c r="K355" s="26" t="s">
        <v>6434</v>
      </c>
      <c r="L355" s="26" t="s">
        <v>7194</v>
      </c>
      <c r="M355" s="55" t="s">
        <v>7121</v>
      </c>
      <c r="N355" s="26" t="s">
        <v>3924</v>
      </c>
    </row>
    <row r="356" spans="1:14" ht="75" customHeight="1" thickTop="1" thickBot="1">
      <c r="A356" s="26">
        <v>354</v>
      </c>
      <c r="B356" s="26">
        <v>358</v>
      </c>
      <c r="C356" s="55" t="s">
        <v>7207</v>
      </c>
      <c r="D356" s="56" t="s">
        <v>26</v>
      </c>
      <c r="E356" s="56" t="s">
        <v>6586</v>
      </c>
      <c r="F356" s="26" t="s">
        <v>3923</v>
      </c>
      <c r="G356" s="26" t="s">
        <v>12</v>
      </c>
      <c r="H356" s="26" t="s">
        <v>13</v>
      </c>
      <c r="I356" s="26" t="s">
        <v>3924</v>
      </c>
      <c r="J356" s="26" t="s">
        <v>7208</v>
      </c>
      <c r="K356" s="26" t="s">
        <v>6445</v>
      </c>
      <c r="L356" s="26" t="s">
        <v>3927</v>
      </c>
      <c r="M356" s="55" t="s">
        <v>7209</v>
      </c>
      <c r="N356" s="26" t="s">
        <v>3924</v>
      </c>
    </row>
    <row r="357" spans="1:14" ht="75" customHeight="1" thickTop="1" thickBot="1">
      <c r="A357" s="34">
        <v>355</v>
      </c>
      <c r="B357" s="34">
        <v>359</v>
      </c>
      <c r="C357" s="55" t="s">
        <v>7210</v>
      </c>
      <c r="D357" s="56" t="s">
        <v>26</v>
      </c>
      <c r="E357" s="56" t="s">
        <v>6480</v>
      </c>
      <c r="F357" s="26" t="s">
        <v>3923</v>
      </c>
      <c r="G357" s="26" t="s">
        <v>16</v>
      </c>
      <c r="H357" s="26" t="s">
        <v>13</v>
      </c>
      <c r="I357" s="26" t="s">
        <v>3924</v>
      </c>
      <c r="J357" s="26" t="s">
        <v>7210</v>
      </c>
      <c r="K357" s="26" t="s">
        <v>6440</v>
      </c>
      <c r="L357" s="26" t="s">
        <v>6435</v>
      </c>
      <c r="M357" s="55" t="s">
        <v>7211</v>
      </c>
      <c r="N357" s="26" t="s">
        <v>3924</v>
      </c>
    </row>
    <row r="358" spans="1:14" ht="75" customHeight="1" thickTop="1" thickBot="1">
      <c r="A358" s="26">
        <v>356</v>
      </c>
      <c r="B358" s="26">
        <v>360</v>
      </c>
      <c r="C358" s="55" t="s">
        <v>7210</v>
      </c>
      <c r="D358" s="56" t="s">
        <v>26</v>
      </c>
      <c r="E358" s="56" t="s">
        <v>6480</v>
      </c>
      <c r="F358" s="26" t="s">
        <v>3923</v>
      </c>
      <c r="G358" s="26" t="s">
        <v>16</v>
      </c>
      <c r="H358" s="26" t="s">
        <v>13</v>
      </c>
      <c r="I358" s="26" t="s">
        <v>3924</v>
      </c>
      <c r="J358" s="26" t="s">
        <v>7212</v>
      </c>
      <c r="K358" s="26" t="s">
        <v>6440</v>
      </c>
      <c r="L358" s="26" t="s">
        <v>6737</v>
      </c>
      <c r="M358" s="55" t="s">
        <v>7213</v>
      </c>
      <c r="N358" s="26" t="s">
        <v>3924</v>
      </c>
    </row>
    <row r="359" spans="1:14" ht="75" customHeight="1" thickTop="1" thickBot="1">
      <c r="A359" s="34">
        <v>357</v>
      </c>
      <c r="B359" s="34">
        <v>361</v>
      </c>
      <c r="C359" s="55" t="s">
        <v>7212</v>
      </c>
      <c r="D359" s="56" t="s">
        <v>26</v>
      </c>
      <c r="E359" s="56" t="s">
        <v>6480</v>
      </c>
      <c r="F359" s="26" t="s">
        <v>3923</v>
      </c>
      <c r="G359" s="26" t="s">
        <v>16</v>
      </c>
      <c r="H359" s="26" t="s">
        <v>13</v>
      </c>
      <c r="I359" s="26" t="s">
        <v>3924</v>
      </c>
      <c r="J359" s="26" t="s">
        <v>7214</v>
      </c>
      <c r="K359" s="26" t="s">
        <v>6440</v>
      </c>
      <c r="L359" s="26" t="s">
        <v>6937</v>
      </c>
      <c r="M359" s="55" t="s">
        <v>7038</v>
      </c>
      <c r="N359" s="26" t="s">
        <v>3924</v>
      </c>
    </row>
    <row r="360" spans="1:14" ht="75" customHeight="1" thickTop="1" thickBot="1">
      <c r="A360" s="26">
        <v>358</v>
      </c>
      <c r="B360" s="26">
        <v>362</v>
      </c>
      <c r="C360" s="55" t="s">
        <v>7214</v>
      </c>
      <c r="D360" s="56" t="s">
        <v>26</v>
      </c>
      <c r="E360" s="56" t="s">
        <v>6480</v>
      </c>
      <c r="F360" s="26" t="s">
        <v>3923</v>
      </c>
      <c r="G360" s="26" t="s">
        <v>16</v>
      </c>
      <c r="H360" s="26" t="s">
        <v>13</v>
      </c>
      <c r="I360" s="26" t="s">
        <v>3924</v>
      </c>
      <c r="J360" s="26" t="s">
        <v>7214</v>
      </c>
      <c r="K360" s="26" t="s">
        <v>6440</v>
      </c>
      <c r="L360" s="26" t="s">
        <v>6937</v>
      </c>
      <c r="M360" s="55" t="s">
        <v>7215</v>
      </c>
      <c r="N360" s="26" t="s">
        <v>3924</v>
      </c>
    </row>
    <row r="361" spans="1:14" ht="75" customHeight="1" thickTop="1" thickBot="1">
      <c r="A361" s="34">
        <v>359</v>
      </c>
      <c r="B361" s="34">
        <v>363</v>
      </c>
      <c r="C361" s="55" t="s">
        <v>7216</v>
      </c>
      <c r="D361" s="56" t="s">
        <v>26</v>
      </c>
      <c r="E361" s="56" t="s">
        <v>6480</v>
      </c>
      <c r="F361" s="26" t="s">
        <v>3923</v>
      </c>
      <c r="G361" s="26" t="s">
        <v>16</v>
      </c>
      <c r="H361" s="26" t="s">
        <v>13</v>
      </c>
      <c r="I361" s="26" t="s">
        <v>3924</v>
      </c>
      <c r="J361" s="26" t="s">
        <v>7217</v>
      </c>
      <c r="K361" s="26" t="s">
        <v>6440</v>
      </c>
      <c r="L361" s="26" t="s">
        <v>7218</v>
      </c>
      <c r="M361" s="55" t="s">
        <v>7215</v>
      </c>
      <c r="N361" s="26" t="s">
        <v>3924</v>
      </c>
    </row>
    <row r="362" spans="1:14" ht="75" customHeight="1" thickTop="1" thickBot="1">
      <c r="A362" s="26">
        <v>360</v>
      </c>
      <c r="B362" s="26">
        <v>364</v>
      </c>
      <c r="C362" s="55" t="s">
        <v>7219</v>
      </c>
      <c r="D362" s="56" t="s">
        <v>26</v>
      </c>
      <c r="E362" s="56" t="s">
        <v>6480</v>
      </c>
      <c r="F362" s="26" t="s">
        <v>3923</v>
      </c>
      <c r="G362" s="26" t="s">
        <v>16</v>
      </c>
      <c r="H362" s="26" t="s">
        <v>13</v>
      </c>
      <c r="I362" s="26" t="s">
        <v>3924</v>
      </c>
      <c r="J362" s="26" t="s">
        <v>7217</v>
      </c>
      <c r="K362" s="26" t="s">
        <v>6440</v>
      </c>
      <c r="L362" s="26" t="s">
        <v>6435</v>
      </c>
      <c r="M362" s="55" t="s">
        <v>7220</v>
      </c>
      <c r="N362" s="26" t="s">
        <v>7221</v>
      </c>
    </row>
    <row r="363" spans="1:14" ht="75" customHeight="1" thickTop="1" thickBot="1">
      <c r="A363" s="34">
        <v>361</v>
      </c>
      <c r="B363" s="34">
        <v>365</v>
      </c>
      <c r="C363" s="55" t="s">
        <v>7222</v>
      </c>
      <c r="D363" s="56" t="s">
        <v>26</v>
      </c>
      <c r="E363" s="56" t="s">
        <v>6443</v>
      </c>
      <c r="F363" s="26" t="s">
        <v>3995</v>
      </c>
      <c r="G363" s="26" t="s">
        <v>1419</v>
      </c>
      <c r="H363" s="26" t="s">
        <v>13</v>
      </c>
      <c r="I363" s="26" t="s">
        <v>3924</v>
      </c>
      <c r="J363" s="26" t="s">
        <v>7223</v>
      </c>
      <c r="K363" s="26" t="s">
        <v>6445</v>
      </c>
      <c r="L363" s="26" t="s">
        <v>6877</v>
      </c>
      <c r="M363" s="55" t="s">
        <v>7224</v>
      </c>
      <c r="N363" s="26" t="s">
        <v>7225</v>
      </c>
    </row>
    <row r="364" spans="1:14" ht="75" customHeight="1" thickTop="1" thickBot="1">
      <c r="A364" s="26">
        <v>362</v>
      </c>
      <c r="B364" s="26">
        <v>366</v>
      </c>
      <c r="C364" s="55" t="s">
        <v>7226</v>
      </c>
      <c r="D364" s="56" t="s">
        <v>26</v>
      </c>
      <c r="E364" s="56" t="s">
        <v>6438</v>
      </c>
      <c r="F364" s="26" t="s">
        <v>3995</v>
      </c>
      <c r="G364" s="26" t="s">
        <v>12</v>
      </c>
      <c r="H364" s="26" t="s">
        <v>13</v>
      </c>
      <c r="I364" s="26" t="s">
        <v>3924</v>
      </c>
      <c r="J364" s="26" t="s">
        <v>7227</v>
      </c>
      <c r="K364" s="26" t="s">
        <v>6440</v>
      </c>
      <c r="L364" s="26" t="s">
        <v>6435</v>
      </c>
      <c r="M364" s="55" t="s">
        <v>7228</v>
      </c>
      <c r="N364" s="26" t="s">
        <v>3924</v>
      </c>
    </row>
    <row r="365" spans="1:14" ht="75" customHeight="1" thickTop="1" thickBot="1">
      <c r="A365" s="34">
        <v>363</v>
      </c>
      <c r="B365" s="34">
        <v>367</v>
      </c>
      <c r="C365" s="55" t="s">
        <v>7229</v>
      </c>
      <c r="D365" s="56" t="s">
        <v>26</v>
      </c>
      <c r="E365" s="56" t="s">
        <v>6438</v>
      </c>
      <c r="F365" s="26" t="s">
        <v>3995</v>
      </c>
      <c r="G365" s="26" t="s">
        <v>1419</v>
      </c>
      <c r="H365" s="26" t="s">
        <v>13</v>
      </c>
      <c r="I365" s="26" t="s">
        <v>7230</v>
      </c>
      <c r="J365" s="26" t="s">
        <v>7231</v>
      </c>
      <c r="K365" s="26" t="s">
        <v>6440</v>
      </c>
      <c r="L365" s="26" t="s">
        <v>6435</v>
      </c>
      <c r="M365" s="55" t="s">
        <v>7232</v>
      </c>
      <c r="N365" s="26" t="s">
        <v>3924</v>
      </c>
    </row>
    <row r="366" spans="1:14" ht="75" customHeight="1" thickTop="1" thickBot="1">
      <c r="A366" s="26">
        <v>364</v>
      </c>
      <c r="B366" s="26">
        <v>368</v>
      </c>
      <c r="C366" s="55" t="s">
        <v>7233</v>
      </c>
      <c r="D366" s="56" t="s">
        <v>26</v>
      </c>
      <c r="E366" s="56" t="s">
        <v>6448</v>
      </c>
      <c r="F366" s="26" t="s">
        <v>3923</v>
      </c>
      <c r="G366" s="26" t="s">
        <v>12</v>
      </c>
      <c r="H366" s="26" t="s">
        <v>13</v>
      </c>
      <c r="I366" s="26" t="s">
        <v>3924</v>
      </c>
      <c r="J366" s="26" t="s">
        <v>7233</v>
      </c>
      <c r="K366" s="26" t="s">
        <v>3954</v>
      </c>
      <c r="L366" s="26" t="s">
        <v>3927</v>
      </c>
      <c r="M366" s="55" t="s">
        <v>7234</v>
      </c>
      <c r="N366" s="26" t="s">
        <v>3924</v>
      </c>
    </row>
    <row r="367" spans="1:14" ht="75" customHeight="1" thickTop="1" thickBot="1">
      <c r="A367" s="34">
        <v>365</v>
      </c>
      <c r="B367" s="34">
        <v>369</v>
      </c>
      <c r="C367" s="55" t="s">
        <v>7235</v>
      </c>
      <c r="D367" s="56" t="s">
        <v>26</v>
      </c>
      <c r="E367" s="56" t="s">
        <v>6448</v>
      </c>
      <c r="F367" s="26" t="s">
        <v>3923</v>
      </c>
      <c r="G367" s="26" t="s">
        <v>12</v>
      </c>
      <c r="H367" s="26" t="s">
        <v>13</v>
      </c>
      <c r="I367" s="26" t="s">
        <v>3924</v>
      </c>
      <c r="J367" s="26" t="s">
        <v>7236</v>
      </c>
      <c r="K367" s="26" t="s">
        <v>6434</v>
      </c>
      <c r="L367" s="26" t="s">
        <v>3927</v>
      </c>
      <c r="M367" s="55" t="s">
        <v>7237</v>
      </c>
      <c r="N367" s="26" t="s">
        <v>3924</v>
      </c>
    </row>
    <row r="368" spans="1:14" ht="75" customHeight="1" thickTop="1" thickBot="1">
      <c r="A368" s="26">
        <v>366</v>
      </c>
      <c r="B368" s="26">
        <v>370</v>
      </c>
      <c r="C368" s="55" t="s">
        <v>7238</v>
      </c>
      <c r="D368" s="56" t="s">
        <v>26</v>
      </c>
      <c r="E368" s="56" t="s">
        <v>6448</v>
      </c>
      <c r="F368" s="26" t="s">
        <v>3923</v>
      </c>
      <c r="G368" s="26" t="s">
        <v>12</v>
      </c>
      <c r="H368" s="26" t="s">
        <v>13</v>
      </c>
      <c r="I368" s="26" t="s">
        <v>3924</v>
      </c>
      <c r="J368" s="26" t="s">
        <v>7236</v>
      </c>
      <c r="K368" s="26" t="s">
        <v>6434</v>
      </c>
      <c r="L368" s="26" t="s">
        <v>3927</v>
      </c>
      <c r="M368" s="55" t="s">
        <v>7239</v>
      </c>
      <c r="N368" s="26" t="s">
        <v>3924</v>
      </c>
    </row>
    <row r="369" spans="1:14" ht="75" customHeight="1" thickTop="1" thickBot="1">
      <c r="A369" s="34">
        <v>367</v>
      </c>
      <c r="B369" s="34">
        <v>371</v>
      </c>
      <c r="C369" s="55" t="s">
        <v>7236</v>
      </c>
      <c r="D369" s="56" t="s">
        <v>26</v>
      </c>
      <c r="E369" s="56" t="s">
        <v>6448</v>
      </c>
      <c r="F369" s="26" t="s">
        <v>3923</v>
      </c>
      <c r="G369" s="26" t="s">
        <v>12</v>
      </c>
      <c r="H369" s="26" t="s">
        <v>13</v>
      </c>
      <c r="I369" s="26" t="s">
        <v>3924</v>
      </c>
      <c r="J369" s="26" t="s">
        <v>7236</v>
      </c>
      <c r="K369" s="26" t="s">
        <v>3954</v>
      </c>
      <c r="L369" s="26" t="s">
        <v>3927</v>
      </c>
      <c r="M369" s="55" t="s">
        <v>6907</v>
      </c>
      <c r="N369" s="26" t="s">
        <v>3924</v>
      </c>
    </row>
    <row r="370" spans="1:14" ht="75" customHeight="1" thickTop="1" thickBot="1">
      <c r="A370" s="26">
        <v>368</v>
      </c>
      <c r="B370" s="26">
        <v>372</v>
      </c>
      <c r="C370" s="55" t="s">
        <v>7240</v>
      </c>
      <c r="D370" s="56" t="s">
        <v>26</v>
      </c>
      <c r="E370" s="56" t="s">
        <v>1694</v>
      </c>
      <c r="F370" s="26" t="s">
        <v>3923</v>
      </c>
      <c r="G370" s="26" t="s">
        <v>1419</v>
      </c>
      <c r="H370" s="26" t="s">
        <v>13</v>
      </c>
      <c r="I370" s="26" t="s">
        <v>3924</v>
      </c>
      <c r="J370" s="26" t="s">
        <v>7241</v>
      </c>
      <c r="K370" s="26" t="s">
        <v>6445</v>
      </c>
      <c r="L370" s="26" t="s">
        <v>6493</v>
      </c>
      <c r="M370" s="55" t="s">
        <v>7242</v>
      </c>
      <c r="N370" s="26" t="s">
        <v>3924</v>
      </c>
    </row>
    <row r="371" spans="1:14" ht="75" customHeight="1" thickTop="1" thickBot="1">
      <c r="A371" s="34">
        <v>369</v>
      </c>
      <c r="B371" s="34">
        <v>373</v>
      </c>
      <c r="C371" s="55" t="s">
        <v>7243</v>
      </c>
      <c r="D371" s="56" t="s">
        <v>26</v>
      </c>
      <c r="E371" s="56" t="s">
        <v>1694</v>
      </c>
      <c r="F371" s="26" t="s">
        <v>3923</v>
      </c>
      <c r="G371" s="26" t="s">
        <v>1419</v>
      </c>
      <c r="H371" s="26" t="s">
        <v>13</v>
      </c>
      <c r="I371" s="26" t="s">
        <v>3924</v>
      </c>
      <c r="J371" s="26" t="s">
        <v>7243</v>
      </c>
      <c r="K371" s="26" t="s">
        <v>6445</v>
      </c>
      <c r="L371" s="26" t="s">
        <v>6593</v>
      </c>
      <c r="M371" s="55" t="s">
        <v>7244</v>
      </c>
      <c r="N371" s="26" t="s">
        <v>3924</v>
      </c>
    </row>
    <row r="372" spans="1:14" ht="75" customHeight="1" thickTop="1" thickBot="1">
      <c r="A372" s="26">
        <v>370</v>
      </c>
      <c r="B372" s="26">
        <v>374</v>
      </c>
      <c r="C372" s="55" t="s">
        <v>7245</v>
      </c>
      <c r="D372" s="56" t="s">
        <v>26</v>
      </c>
      <c r="E372" s="56" t="s">
        <v>1694</v>
      </c>
      <c r="F372" s="26" t="s">
        <v>3923</v>
      </c>
      <c r="G372" s="26" t="s">
        <v>1419</v>
      </c>
      <c r="H372" s="26" t="s">
        <v>13</v>
      </c>
      <c r="I372" s="26" t="s">
        <v>3924</v>
      </c>
      <c r="J372" s="26" t="s">
        <v>7246</v>
      </c>
      <c r="K372" s="26" t="s">
        <v>6445</v>
      </c>
      <c r="L372" s="26" t="s">
        <v>6805</v>
      </c>
      <c r="M372" s="55" t="s">
        <v>7247</v>
      </c>
      <c r="N372" s="26" t="s">
        <v>3924</v>
      </c>
    </row>
    <row r="373" spans="1:14" ht="75" customHeight="1" thickTop="1" thickBot="1">
      <c r="A373" s="34">
        <v>371</v>
      </c>
      <c r="B373" s="34">
        <v>375</v>
      </c>
      <c r="C373" s="55" t="s">
        <v>7248</v>
      </c>
      <c r="D373" s="56" t="s">
        <v>26</v>
      </c>
      <c r="E373" s="56" t="s">
        <v>1694</v>
      </c>
      <c r="F373" s="26" t="s">
        <v>3923</v>
      </c>
      <c r="G373" s="26" t="s">
        <v>1419</v>
      </c>
      <c r="H373" s="26" t="s">
        <v>13</v>
      </c>
      <c r="I373" s="26" t="s">
        <v>3924</v>
      </c>
      <c r="J373" s="26" t="s">
        <v>7248</v>
      </c>
      <c r="K373" s="26" t="s">
        <v>6434</v>
      </c>
      <c r="L373" s="26" t="s">
        <v>7249</v>
      </c>
      <c r="M373" s="55" t="s">
        <v>7250</v>
      </c>
      <c r="N373" s="26" t="s">
        <v>3924</v>
      </c>
    </row>
    <row r="374" spans="1:14" ht="75" customHeight="1" thickTop="1" thickBot="1">
      <c r="A374" s="26">
        <v>372</v>
      </c>
      <c r="B374" s="26">
        <v>376</v>
      </c>
      <c r="C374" s="55" t="s">
        <v>7251</v>
      </c>
      <c r="D374" s="56" t="s">
        <v>26</v>
      </c>
      <c r="E374" s="56" t="s">
        <v>6586</v>
      </c>
      <c r="F374" s="26" t="s">
        <v>3923</v>
      </c>
      <c r="G374" s="26" t="s">
        <v>12</v>
      </c>
      <c r="H374" s="26" t="s">
        <v>13</v>
      </c>
      <c r="I374" s="26" t="s">
        <v>3924</v>
      </c>
      <c r="J374" s="26" t="s">
        <v>7252</v>
      </c>
      <c r="K374" s="26" t="s">
        <v>6434</v>
      </c>
      <c r="L374" s="26" t="s">
        <v>6723</v>
      </c>
      <c r="M374" s="55" t="s">
        <v>7253</v>
      </c>
      <c r="N374" s="26" t="s">
        <v>3924</v>
      </c>
    </row>
    <row r="375" spans="1:14" ht="75" customHeight="1" thickTop="1" thickBot="1">
      <c r="A375" s="34">
        <v>373</v>
      </c>
      <c r="B375" s="34">
        <v>377</v>
      </c>
      <c r="C375" s="55" t="s">
        <v>7254</v>
      </c>
      <c r="D375" s="56" t="s">
        <v>26</v>
      </c>
      <c r="E375" s="56" t="s">
        <v>6586</v>
      </c>
      <c r="F375" s="26" t="s">
        <v>3923</v>
      </c>
      <c r="G375" s="26" t="s">
        <v>12</v>
      </c>
      <c r="H375" s="26" t="s">
        <v>13</v>
      </c>
      <c r="I375" s="26" t="s">
        <v>3924</v>
      </c>
      <c r="J375" s="26" t="s">
        <v>7255</v>
      </c>
      <c r="K375" s="26" t="s">
        <v>6445</v>
      </c>
      <c r="L375" s="26" t="s">
        <v>3927</v>
      </c>
      <c r="M375" s="55" t="s">
        <v>7256</v>
      </c>
      <c r="N375" s="26" t="s">
        <v>3924</v>
      </c>
    </row>
    <row r="376" spans="1:14" ht="75" customHeight="1" thickTop="1" thickBot="1">
      <c r="A376" s="26">
        <v>374</v>
      </c>
      <c r="B376" s="26">
        <v>378</v>
      </c>
      <c r="C376" s="55" t="s">
        <v>7257</v>
      </c>
      <c r="D376" s="56" t="s">
        <v>26</v>
      </c>
      <c r="E376" s="56" t="s">
        <v>27</v>
      </c>
      <c r="F376" s="26" t="s">
        <v>3995</v>
      </c>
      <c r="G376" s="26" t="s">
        <v>16</v>
      </c>
      <c r="H376" s="26" t="s">
        <v>13</v>
      </c>
      <c r="I376" s="26" t="s">
        <v>3924</v>
      </c>
      <c r="J376" s="26" t="s">
        <v>7231</v>
      </c>
      <c r="K376" s="26" t="s">
        <v>6434</v>
      </c>
      <c r="L376" s="26" t="s">
        <v>3927</v>
      </c>
      <c r="M376" s="55" t="s">
        <v>7258</v>
      </c>
      <c r="N376" s="26" t="s">
        <v>7259</v>
      </c>
    </row>
    <row r="377" spans="1:14" ht="75" customHeight="1" thickTop="1" thickBot="1">
      <c r="A377" s="34">
        <v>375</v>
      </c>
      <c r="B377" s="34">
        <v>379</v>
      </c>
      <c r="C377" s="55" t="s">
        <v>7260</v>
      </c>
      <c r="D377" s="56" t="s">
        <v>26</v>
      </c>
      <c r="E377" s="56" t="s">
        <v>6480</v>
      </c>
      <c r="F377" s="26" t="s">
        <v>3923</v>
      </c>
      <c r="G377" s="26" t="s">
        <v>16</v>
      </c>
      <c r="H377" s="26" t="s">
        <v>13</v>
      </c>
      <c r="I377" s="26" t="s">
        <v>3924</v>
      </c>
      <c r="J377" s="26" t="s">
        <v>7261</v>
      </c>
      <c r="K377" s="26" t="s">
        <v>6434</v>
      </c>
      <c r="L377" s="26" t="s">
        <v>6493</v>
      </c>
      <c r="M377" s="55" t="s">
        <v>7079</v>
      </c>
      <c r="N377" s="26" t="s">
        <v>3924</v>
      </c>
    </row>
    <row r="378" spans="1:14" ht="75" customHeight="1" thickTop="1" thickBot="1">
      <c r="A378" s="26">
        <v>376</v>
      </c>
      <c r="B378" s="26">
        <v>380</v>
      </c>
      <c r="C378" s="55" t="s">
        <v>7262</v>
      </c>
      <c r="D378" s="56" t="s">
        <v>26</v>
      </c>
      <c r="E378" s="56" t="s">
        <v>6480</v>
      </c>
      <c r="F378" s="26" t="s">
        <v>3923</v>
      </c>
      <c r="G378" s="26" t="s">
        <v>16</v>
      </c>
      <c r="H378" s="26" t="s">
        <v>13</v>
      </c>
      <c r="I378" s="26" t="s">
        <v>3924</v>
      </c>
      <c r="J378" s="26" t="s">
        <v>7262</v>
      </c>
      <c r="K378" s="26" t="s">
        <v>6434</v>
      </c>
      <c r="L378" s="26" t="s">
        <v>6593</v>
      </c>
      <c r="M378" s="55" t="s">
        <v>7263</v>
      </c>
      <c r="N378" s="26" t="s">
        <v>3924</v>
      </c>
    </row>
    <row r="379" spans="1:14" ht="75" customHeight="1" thickTop="1" thickBot="1">
      <c r="A379" s="34">
        <v>377</v>
      </c>
      <c r="B379" s="34">
        <v>381</v>
      </c>
      <c r="C379" s="55" t="s">
        <v>7264</v>
      </c>
      <c r="D379" s="56" t="s">
        <v>26</v>
      </c>
      <c r="E379" s="56" t="s">
        <v>6480</v>
      </c>
      <c r="F379" s="26" t="s">
        <v>3923</v>
      </c>
      <c r="G379" s="26" t="s">
        <v>16</v>
      </c>
      <c r="H379" s="26" t="s">
        <v>13</v>
      </c>
      <c r="I379" s="26" t="s">
        <v>3924</v>
      </c>
      <c r="J379" s="26" t="s">
        <v>7264</v>
      </c>
      <c r="K379" s="26" t="s">
        <v>6434</v>
      </c>
      <c r="L379" s="26" t="s">
        <v>6723</v>
      </c>
      <c r="M379" s="55" t="s">
        <v>7265</v>
      </c>
      <c r="N379" s="26" t="s">
        <v>3924</v>
      </c>
    </row>
    <row r="380" spans="1:14" ht="75" customHeight="1" thickTop="1" thickBot="1">
      <c r="A380" s="26">
        <v>378</v>
      </c>
      <c r="B380" s="26">
        <v>382</v>
      </c>
      <c r="C380" s="55" t="s">
        <v>7266</v>
      </c>
      <c r="D380" s="56" t="s">
        <v>26</v>
      </c>
      <c r="E380" s="56" t="s">
        <v>6480</v>
      </c>
      <c r="F380" s="26" t="s">
        <v>3923</v>
      </c>
      <c r="G380" s="26" t="s">
        <v>16</v>
      </c>
      <c r="H380" s="26" t="s">
        <v>13</v>
      </c>
      <c r="I380" s="26" t="s">
        <v>3924</v>
      </c>
      <c r="J380" s="26" t="s">
        <v>7266</v>
      </c>
      <c r="K380" s="26" t="s">
        <v>6434</v>
      </c>
      <c r="L380" s="26" t="s">
        <v>6723</v>
      </c>
      <c r="M380" s="55" t="s">
        <v>7267</v>
      </c>
      <c r="N380" s="26" t="s">
        <v>3924</v>
      </c>
    </row>
    <row r="381" spans="1:14" ht="75" customHeight="1" thickTop="1" thickBot="1">
      <c r="A381" s="34">
        <v>379</v>
      </c>
      <c r="B381" s="34">
        <v>383</v>
      </c>
      <c r="C381" s="55" t="s">
        <v>7268</v>
      </c>
      <c r="D381" s="56" t="s">
        <v>26</v>
      </c>
      <c r="E381" s="56" t="s">
        <v>6480</v>
      </c>
      <c r="F381" s="26" t="s">
        <v>3923</v>
      </c>
      <c r="G381" s="26" t="s">
        <v>16</v>
      </c>
      <c r="H381" s="26" t="s">
        <v>13</v>
      </c>
      <c r="I381" s="26" t="s">
        <v>3924</v>
      </c>
      <c r="J381" s="26" t="s">
        <v>7268</v>
      </c>
      <c r="K381" s="26" t="s">
        <v>6434</v>
      </c>
      <c r="L381" s="26" t="s">
        <v>6593</v>
      </c>
      <c r="M381" s="55" t="s">
        <v>7012</v>
      </c>
      <c r="N381" s="26" t="s">
        <v>3924</v>
      </c>
    </row>
    <row r="382" spans="1:14" ht="75" customHeight="1" thickTop="1" thickBot="1">
      <c r="A382" s="26">
        <v>380</v>
      </c>
      <c r="B382" s="26">
        <v>384</v>
      </c>
      <c r="C382" s="55" t="s">
        <v>7269</v>
      </c>
      <c r="D382" s="56" t="s">
        <v>26</v>
      </c>
      <c r="E382" s="56" t="s">
        <v>6480</v>
      </c>
      <c r="F382" s="26" t="s">
        <v>3923</v>
      </c>
      <c r="G382" s="26" t="s">
        <v>16</v>
      </c>
      <c r="H382" s="26" t="s">
        <v>13</v>
      </c>
      <c r="I382" s="26" t="s">
        <v>3924</v>
      </c>
      <c r="J382" s="26" t="s">
        <v>7269</v>
      </c>
      <c r="K382" s="26" t="s">
        <v>6434</v>
      </c>
      <c r="L382" s="26" t="s">
        <v>6593</v>
      </c>
      <c r="M382" s="55" t="s">
        <v>7066</v>
      </c>
      <c r="N382" s="26" t="s">
        <v>3924</v>
      </c>
    </row>
    <row r="383" spans="1:14" ht="75" customHeight="1" thickTop="1" thickBot="1">
      <c r="A383" s="34">
        <v>381</v>
      </c>
      <c r="B383" s="34">
        <v>385</v>
      </c>
      <c r="C383" s="55" t="s">
        <v>7269</v>
      </c>
      <c r="D383" s="56" t="s">
        <v>26</v>
      </c>
      <c r="E383" s="56" t="s">
        <v>6480</v>
      </c>
      <c r="F383" s="26" t="s">
        <v>3923</v>
      </c>
      <c r="G383" s="26" t="s">
        <v>16</v>
      </c>
      <c r="H383" s="26" t="s">
        <v>13</v>
      </c>
      <c r="I383" s="26" t="s">
        <v>3924</v>
      </c>
      <c r="J383" s="26" t="s">
        <v>7270</v>
      </c>
      <c r="K383" s="26" t="s">
        <v>6434</v>
      </c>
      <c r="L383" s="26" t="s">
        <v>6723</v>
      </c>
      <c r="M383" s="55" t="s">
        <v>7271</v>
      </c>
      <c r="N383" s="26" t="s">
        <v>3924</v>
      </c>
    </row>
    <row r="384" spans="1:14" ht="75" customHeight="1" thickTop="1" thickBot="1">
      <c r="A384" s="26">
        <v>382</v>
      </c>
      <c r="B384" s="26">
        <v>386</v>
      </c>
      <c r="C384" s="55" t="s">
        <v>7270</v>
      </c>
      <c r="D384" s="56" t="s">
        <v>26</v>
      </c>
      <c r="E384" s="56" t="s">
        <v>6480</v>
      </c>
      <c r="F384" s="26" t="s">
        <v>3923</v>
      </c>
      <c r="G384" s="26" t="s">
        <v>16</v>
      </c>
      <c r="H384" s="26" t="s">
        <v>13</v>
      </c>
      <c r="I384" s="26" t="s">
        <v>3924</v>
      </c>
      <c r="J384" s="26" t="s">
        <v>7272</v>
      </c>
      <c r="K384" s="26" t="s">
        <v>6434</v>
      </c>
      <c r="L384" s="26" t="s">
        <v>7273</v>
      </c>
      <c r="M384" s="55" t="s">
        <v>7274</v>
      </c>
      <c r="N384" s="26" t="s">
        <v>3924</v>
      </c>
    </row>
    <row r="385" spans="1:14" ht="75" customHeight="1" thickTop="1" thickBot="1">
      <c r="A385" s="34">
        <v>383</v>
      </c>
      <c r="B385" s="34">
        <v>387</v>
      </c>
      <c r="C385" s="55" t="s">
        <v>7275</v>
      </c>
      <c r="D385" s="56" t="s">
        <v>26</v>
      </c>
      <c r="E385" s="56" t="s">
        <v>6480</v>
      </c>
      <c r="F385" s="26" t="s">
        <v>3923</v>
      </c>
      <c r="G385" s="26" t="s">
        <v>16</v>
      </c>
      <c r="H385" s="26" t="s">
        <v>13</v>
      </c>
      <c r="I385" s="26" t="s">
        <v>3924</v>
      </c>
      <c r="J385" s="26" t="s">
        <v>7276</v>
      </c>
      <c r="K385" s="26" t="s">
        <v>6434</v>
      </c>
      <c r="L385" s="26" t="s">
        <v>6469</v>
      </c>
      <c r="M385" s="55" t="s">
        <v>7277</v>
      </c>
      <c r="N385" s="26" t="s">
        <v>3924</v>
      </c>
    </row>
    <row r="386" spans="1:14" ht="75" customHeight="1" thickTop="1" thickBot="1">
      <c r="A386" s="26">
        <v>384</v>
      </c>
      <c r="B386" s="26">
        <v>388</v>
      </c>
      <c r="C386" s="55" t="s">
        <v>7278</v>
      </c>
      <c r="D386" s="56" t="s">
        <v>26</v>
      </c>
      <c r="E386" s="56" t="s">
        <v>6480</v>
      </c>
      <c r="F386" s="26" t="s">
        <v>3923</v>
      </c>
      <c r="G386" s="26" t="s">
        <v>16</v>
      </c>
      <c r="H386" s="26" t="s">
        <v>13</v>
      </c>
      <c r="I386" s="26" t="s">
        <v>3924</v>
      </c>
      <c r="J386" s="26" t="s">
        <v>7278</v>
      </c>
      <c r="K386" s="26" t="s">
        <v>6440</v>
      </c>
      <c r="L386" s="26" t="s">
        <v>7279</v>
      </c>
      <c r="M386" s="55" t="s">
        <v>7280</v>
      </c>
      <c r="N386" s="26" t="s">
        <v>3924</v>
      </c>
    </row>
    <row r="387" spans="1:14" ht="75" customHeight="1" thickTop="1" thickBot="1">
      <c r="A387" s="34">
        <v>385</v>
      </c>
      <c r="B387" s="34">
        <v>389</v>
      </c>
      <c r="C387" s="55" t="s">
        <v>7281</v>
      </c>
      <c r="D387" s="56" t="s">
        <v>26</v>
      </c>
      <c r="E387" s="56" t="s">
        <v>6480</v>
      </c>
      <c r="F387" s="26" t="s">
        <v>3923</v>
      </c>
      <c r="G387" s="26" t="s">
        <v>16</v>
      </c>
      <c r="H387" s="26" t="s">
        <v>13</v>
      </c>
      <c r="I387" s="26" t="s">
        <v>3924</v>
      </c>
      <c r="J387" s="26" t="s">
        <v>7281</v>
      </c>
      <c r="K387" s="26" t="s">
        <v>6440</v>
      </c>
      <c r="L387" s="26" t="s">
        <v>7282</v>
      </c>
      <c r="M387" s="55" t="s">
        <v>7283</v>
      </c>
      <c r="N387" s="26" t="s">
        <v>3924</v>
      </c>
    </row>
    <row r="388" spans="1:14" ht="75" customHeight="1" thickTop="1" thickBot="1">
      <c r="A388" s="26">
        <v>386</v>
      </c>
      <c r="B388" s="26">
        <v>390</v>
      </c>
      <c r="C388" s="55" t="s">
        <v>7284</v>
      </c>
      <c r="D388" s="56" t="s">
        <v>26</v>
      </c>
      <c r="E388" s="56" t="s">
        <v>6480</v>
      </c>
      <c r="F388" s="26" t="s">
        <v>3923</v>
      </c>
      <c r="G388" s="26" t="s">
        <v>16</v>
      </c>
      <c r="H388" s="26" t="s">
        <v>13</v>
      </c>
      <c r="I388" s="26" t="s">
        <v>3924</v>
      </c>
      <c r="J388" s="26" t="s">
        <v>7284</v>
      </c>
      <c r="K388" s="26" t="s">
        <v>6440</v>
      </c>
      <c r="L388" s="26" t="s">
        <v>7282</v>
      </c>
      <c r="M388" s="55" t="s">
        <v>7285</v>
      </c>
      <c r="N388" s="26" t="s">
        <v>3924</v>
      </c>
    </row>
    <row r="389" spans="1:14" ht="75" customHeight="1" thickTop="1" thickBot="1">
      <c r="A389" s="34">
        <v>387</v>
      </c>
      <c r="B389" s="34">
        <v>391</v>
      </c>
      <c r="C389" s="55" t="s">
        <v>7286</v>
      </c>
      <c r="D389" s="56" t="s">
        <v>26</v>
      </c>
      <c r="E389" s="56" t="s">
        <v>6480</v>
      </c>
      <c r="F389" s="26" t="s">
        <v>3923</v>
      </c>
      <c r="G389" s="26" t="s">
        <v>16</v>
      </c>
      <c r="H389" s="26" t="s">
        <v>13</v>
      </c>
      <c r="I389" s="26" t="s">
        <v>3924</v>
      </c>
      <c r="J389" s="26" t="s">
        <v>7286</v>
      </c>
      <c r="K389" s="26" t="s">
        <v>6440</v>
      </c>
      <c r="L389" s="26" t="s">
        <v>7282</v>
      </c>
      <c r="M389" s="55" t="s">
        <v>7287</v>
      </c>
      <c r="N389" s="26" t="s">
        <v>3924</v>
      </c>
    </row>
    <row r="390" spans="1:14" ht="75" customHeight="1" thickTop="1" thickBot="1">
      <c r="A390" s="26">
        <v>388</v>
      </c>
      <c r="B390" s="26">
        <v>392</v>
      </c>
      <c r="C390" s="55" t="s">
        <v>7288</v>
      </c>
      <c r="D390" s="56" t="s">
        <v>26</v>
      </c>
      <c r="E390" s="56" t="s">
        <v>6480</v>
      </c>
      <c r="F390" s="26" t="s">
        <v>3923</v>
      </c>
      <c r="G390" s="26" t="s">
        <v>16</v>
      </c>
      <c r="H390" s="26" t="s">
        <v>13</v>
      </c>
      <c r="I390" s="26" t="s">
        <v>3924</v>
      </c>
      <c r="J390" s="26" t="s">
        <v>7288</v>
      </c>
      <c r="K390" s="26" t="s">
        <v>6440</v>
      </c>
      <c r="L390" s="26" t="s">
        <v>7289</v>
      </c>
      <c r="M390" s="55" t="s">
        <v>7290</v>
      </c>
      <c r="N390" s="26" t="s">
        <v>3924</v>
      </c>
    </row>
    <row r="391" spans="1:14" ht="75" customHeight="1" thickTop="1" thickBot="1">
      <c r="A391" s="34">
        <v>389</v>
      </c>
      <c r="B391" s="34">
        <v>393</v>
      </c>
      <c r="C391" s="55" t="s">
        <v>7288</v>
      </c>
      <c r="D391" s="56" t="s">
        <v>26</v>
      </c>
      <c r="E391" s="56" t="s">
        <v>6480</v>
      </c>
      <c r="F391" s="26" t="s">
        <v>3923</v>
      </c>
      <c r="G391" s="26" t="s">
        <v>16</v>
      </c>
      <c r="H391" s="26" t="s">
        <v>13</v>
      </c>
      <c r="I391" s="26" t="s">
        <v>3924</v>
      </c>
      <c r="J391" s="26" t="s">
        <v>7291</v>
      </c>
      <c r="K391" s="26" t="s">
        <v>6440</v>
      </c>
      <c r="L391" s="26" t="s">
        <v>7289</v>
      </c>
      <c r="M391" s="55" t="s">
        <v>7283</v>
      </c>
      <c r="N391" s="26" t="s">
        <v>3924</v>
      </c>
    </row>
    <row r="392" spans="1:14" ht="75" customHeight="1" thickTop="1" thickBot="1">
      <c r="A392" s="26">
        <v>390</v>
      </c>
      <c r="B392" s="26">
        <v>394</v>
      </c>
      <c r="C392" s="55" t="s">
        <v>7291</v>
      </c>
      <c r="D392" s="56" t="s">
        <v>26</v>
      </c>
      <c r="E392" s="56" t="s">
        <v>6480</v>
      </c>
      <c r="F392" s="26" t="s">
        <v>3923</v>
      </c>
      <c r="G392" s="26" t="s">
        <v>16</v>
      </c>
      <c r="H392" s="26" t="s">
        <v>13</v>
      </c>
      <c r="I392" s="26" t="s">
        <v>3924</v>
      </c>
      <c r="J392" s="26" t="s">
        <v>7292</v>
      </c>
      <c r="K392" s="26" t="s">
        <v>6440</v>
      </c>
      <c r="L392" s="26" t="s">
        <v>7289</v>
      </c>
      <c r="M392" s="55" t="s">
        <v>7293</v>
      </c>
      <c r="N392" s="26" t="s">
        <v>3924</v>
      </c>
    </row>
    <row r="393" spans="1:14" ht="75" customHeight="1" thickTop="1" thickBot="1">
      <c r="A393" s="34">
        <v>391</v>
      </c>
      <c r="B393" s="34">
        <v>395</v>
      </c>
      <c r="C393" s="55" t="s">
        <v>7292</v>
      </c>
      <c r="D393" s="56" t="s">
        <v>26</v>
      </c>
      <c r="E393" s="56" t="s">
        <v>6480</v>
      </c>
      <c r="F393" s="26" t="s">
        <v>3923</v>
      </c>
      <c r="G393" s="26" t="s">
        <v>16</v>
      </c>
      <c r="H393" s="26" t="s">
        <v>13</v>
      </c>
      <c r="I393" s="26" t="s">
        <v>3924</v>
      </c>
      <c r="J393" s="26" t="s">
        <v>7292</v>
      </c>
      <c r="K393" s="26" t="s">
        <v>6440</v>
      </c>
      <c r="L393" s="26" t="s">
        <v>7289</v>
      </c>
      <c r="M393" s="55" t="s">
        <v>7294</v>
      </c>
      <c r="N393" s="26" t="s">
        <v>3924</v>
      </c>
    </row>
    <row r="394" spans="1:14" ht="75" customHeight="1" thickTop="1" thickBot="1">
      <c r="A394" s="26">
        <v>392</v>
      </c>
      <c r="B394" s="26">
        <v>396</v>
      </c>
      <c r="C394" s="55" t="s">
        <v>7295</v>
      </c>
      <c r="D394" s="56" t="s">
        <v>26</v>
      </c>
      <c r="E394" s="56" t="s">
        <v>6480</v>
      </c>
      <c r="F394" s="26" t="s">
        <v>3923</v>
      </c>
      <c r="G394" s="26" t="s">
        <v>16</v>
      </c>
      <c r="H394" s="26" t="s">
        <v>13</v>
      </c>
      <c r="I394" s="26" t="s">
        <v>3924</v>
      </c>
      <c r="J394" s="26" t="s">
        <v>7295</v>
      </c>
      <c r="K394" s="26" t="s">
        <v>6440</v>
      </c>
      <c r="L394" s="26" t="s">
        <v>7296</v>
      </c>
      <c r="M394" s="55" t="s">
        <v>7297</v>
      </c>
      <c r="N394" s="26" t="s">
        <v>3924</v>
      </c>
    </row>
    <row r="395" spans="1:14" ht="75" customHeight="1" thickTop="1" thickBot="1">
      <c r="A395" s="34">
        <v>393</v>
      </c>
      <c r="B395" s="34">
        <v>397</v>
      </c>
      <c r="C395" s="55" t="s">
        <v>7295</v>
      </c>
      <c r="D395" s="56" t="s">
        <v>26</v>
      </c>
      <c r="E395" s="56" t="s">
        <v>6480</v>
      </c>
      <c r="F395" s="26" t="s">
        <v>3923</v>
      </c>
      <c r="G395" s="26" t="s">
        <v>16</v>
      </c>
      <c r="H395" s="26" t="s">
        <v>13</v>
      </c>
      <c r="I395" s="26" t="s">
        <v>3924</v>
      </c>
      <c r="J395" s="26" t="s">
        <v>7295</v>
      </c>
      <c r="K395" s="26" t="s">
        <v>6440</v>
      </c>
      <c r="L395" s="26" t="s">
        <v>7296</v>
      </c>
      <c r="M395" s="55" t="s">
        <v>7283</v>
      </c>
      <c r="N395" s="26" t="s">
        <v>3924</v>
      </c>
    </row>
    <row r="396" spans="1:14" ht="75" customHeight="1" thickTop="1" thickBot="1">
      <c r="A396" s="26">
        <v>394</v>
      </c>
      <c r="B396" s="26">
        <v>398</v>
      </c>
      <c r="C396" s="55" t="s">
        <v>7298</v>
      </c>
      <c r="D396" s="56" t="s">
        <v>26</v>
      </c>
      <c r="E396" s="56" t="s">
        <v>6480</v>
      </c>
      <c r="F396" s="26" t="s">
        <v>3923</v>
      </c>
      <c r="G396" s="26" t="s">
        <v>16</v>
      </c>
      <c r="H396" s="26" t="s">
        <v>13</v>
      </c>
      <c r="I396" s="26" t="s">
        <v>3924</v>
      </c>
      <c r="J396" s="26" t="s">
        <v>7298</v>
      </c>
      <c r="K396" s="26" t="s">
        <v>6440</v>
      </c>
      <c r="L396" s="26" t="s">
        <v>7296</v>
      </c>
      <c r="M396" s="55" t="s">
        <v>7299</v>
      </c>
      <c r="N396" s="26" t="s">
        <v>3924</v>
      </c>
    </row>
    <row r="397" spans="1:14" ht="75" customHeight="1" thickTop="1" thickBot="1">
      <c r="A397" s="34">
        <v>395</v>
      </c>
      <c r="B397" s="34">
        <v>399</v>
      </c>
      <c r="C397" s="55" t="s">
        <v>7300</v>
      </c>
      <c r="D397" s="56" t="s">
        <v>26</v>
      </c>
      <c r="E397" s="56" t="s">
        <v>6480</v>
      </c>
      <c r="F397" s="26" t="s">
        <v>3923</v>
      </c>
      <c r="G397" s="26" t="s">
        <v>16</v>
      </c>
      <c r="H397" s="26" t="s">
        <v>13</v>
      </c>
      <c r="I397" s="26" t="s">
        <v>3924</v>
      </c>
      <c r="J397" s="26" t="s">
        <v>7300</v>
      </c>
      <c r="K397" s="26" t="s">
        <v>6440</v>
      </c>
      <c r="L397" s="26" t="s">
        <v>7296</v>
      </c>
      <c r="M397" s="55" t="s">
        <v>7301</v>
      </c>
      <c r="N397" s="26" t="s">
        <v>3924</v>
      </c>
    </row>
    <row r="398" spans="1:14" ht="75" customHeight="1" thickTop="1" thickBot="1">
      <c r="A398" s="26">
        <v>396</v>
      </c>
      <c r="B398" s="26">
        <v>400</v>
      </c>
      <c r="C398" s="55" t="s">
        <v>7302</v>
      </c>
      <c r="D398" s="56" t="s">
        <v>26</v>
      </c>
      <c r="E398" s="56" t="s">
        <v>6480</v>
      </c>
      <c r="F398" s="26" t="s">
        <v>3923</v>
      </c>
      <c r="G398" s="26" t="s">
        <v>16</v>
      </c>
      <c r="H398" s="26" t="s">
        <v>13</v>
      </c>
      <c r="I398" s="26" t="s">
        <v>3924</v>
      </c>
      <c r="J398" s="26" t="s">
        <v>7303</v>
      </c>
      <c r="K398" s="26" t="s">
        <v>7304</v>
      </c>
      <c r="L398" s="26" t="s">
        <v>7305</v>
      </c>
      <c r="M398" s="55" t="s">
        <v>7280</v>
      </c>
      <c r="N398" s="26" t="s">
        <v>3924</v>
      </c>
    </row>
    <row r="399" spans="1:14" ht="75" customHeight="1" thickTop="1" thickBot="1">
      <c r="A399" s="34">
        <v>397</v>
      </c>
      <c r="B399" s="34">
        <v>401</v>
      </c>
      <c r="C399" s="55" t="s">
        <v>7303</v>
      </c>
      <c r="D399" s="56" t="s">
        <v>26</v>
      </c>
      <c r="E399" s="56" t="s">
        <v>6480</v>
      </c>
      <c r="F399" s="26" t="s">
        <v>3923</v>
      </c>
      <c r="G399" s="26" t="s">
        <v>16</v>
      </c>
      <c r="H399" s="26" t="s">
        <v>13</v>
      </c>
      <c r="I399" s="26" t="s">
        <v>3924</v>
      </c>
      <c r="J399" s="26" t="s">
        <v>7306</v>
      </c>
      <c r="K399" s="26" t="s">
        <v>6440</v>
      </c>
      <c r="L399" s="26" t="s">
        <v>7305</v>
      </c>
      <c r="M399" s="55" t="s">
        <v>7283</v>
      </c>
      <c r="N399" s="26" t="s">
        <v>3924</v>
      </c>
    </row>
    <row r="400" spans="1:14" ht="75" customHeight="1" thickTop="1" thickBot="1">
      <c r="A400" s="26">
        <v>398</v>
      </c>
      <c r="B400" s="26">
        <v>402</v>
      </c>
      <c r="C400" s="55" t="s">
        <v>7306</v>
      </c>
      <c r="D400" s="56" t="s">
        <v>26</v>
      </c>
      <c r="E400" s="56" t="s">
        <v>6480</v>
      </c>
      <c r="F400" s="26" t="s">
        <v>3923</v>
      </c>
      <c r="G400" s="26" t="s">
        <v>16</v>
      </c>
      <c r="H400" s="26" t="s">
        <v>13</v>
      </c>
      <c r="I400" s="26" t="s">
        <v>3924</v>
      </c>
      <c r="J400" s="26" t="s">
        <v>7307</v>
      </c>
      <c r="K400" s="26" t="s">
        <v>6440</v>
      </c>
      <c r="L400" s="26" t="s">
        <v>7305</v>
      </c>
      <c r="M400" s="55" t="s">
        <v>7308</v>
      </c>
      <c r="N400" s="26" t="s">
        <v>3924</v>
      </c>
    </row>
    <row r="401" spans="1:14" ht="75" customHeight="1" thickTop="1" thickBot="1">
      <c r="A401" s="34">
        <v>399</v>
      </c>
      <c r="B401" s="34">
        <v>403</v>
      </c>
      <c r="C401" s="55" t="s">
        <v>4175</v>
      </c>
      <c r="D401" s="56" t="s">
        <v>26</v>
      </c>
      <c r="E401" s="56" t="s">
        <v>6480</v>
      </c>
      <c r="F401" s="26" t="s">
        <v>3923</v>
      </c>
      <c r="G401" s="26" t="s">
        <v>16</v>
      </c>
      <c r="H401" s="26" t="s">
        <v>13</v>
      </c>
      <c r="I401" s="26" t="s">
        <v>3924</v>
      </c>
      <c r="J401" s="26" t="s">
        <v>4175</v>
      </c>
      <c r="K401" s="26" t="s">
        <v>6440</v>
      </c>
      <c r="L401" s="26" t="s">
        <v>7305</v>
      </c>
      <c r="M401" s="55" t="s">
        <v>7309</v>
      </c>
      <c r="N401" s="26" t="s">
        <v>3924</v>
      </c>
    </row>
    <row r="402" spans="1:14" ht="75" customHeight="1" thickTop="1" thickBot="1">
      <c r="A402" s="26">
        <v>400</v>
      </c>
      <c r="B402" s="26">
        <v>404</v>
      </c>
      <c r="C402" s="55" t="s">
        <v>7310</v>
      </c>
      <c r="D402" s="56" t="s">
        <v>26</v>
      </c>
      <c r="E402" s="56" t="s">
        <v>6480</v>
      </c>
      <c r="F402" s="26" t="s">
        <v>3923</v>
      </c>
      <c r="G402" s="26" t="s">
        <v>16</v>
      </c>
      <c r="H402" s="26" t="s">
        <v>13</v>
      </c>
      <c r="I402" s="26" t="s">
        <v>3924</v>
      </c>
      <c r="J402" s="26" t="s">
        <v>7311</v>
      </c>
      <c r="K402" s="26" t="s">
        <v>6440</v>
      </c>
      <c r="L402" s="26" t="s">
        <v>7312</v>
      </c>
      <c r="M402" s="55" t="s">
        <v>7280</v>
      </c>
      <c r="N402" s="26" t="s">
        <v>3924</v>
      </c>
    </row>
    <row r="403" spans="1:14" ht="75" customHeight="1" thickTop="1" thickBot="1">
      <c r="A403" s="34">
        <v>401</v>
      </c>
      <c r="B403" s="34">
        <v>405</v>
      </c>
      <c r="C403" s="55" t="s">
        <v>7311</v>
      </c>
      <c r="D403" s="56" t="s">
        <v>26</v>
      </c>
      <c r="E403" s="56" t="s">
        <v>6480</v>
      </c>
      <c r="F403" s="26" t="s">
        <v>3923</v>
      </c>
      <c r="G403" s="26" t="s">
        <v>16</v>
      </c>
      <c r="H403" s="26" t="s">
        <v>13</v>
      </c>
      <c r="I403" s="26" t="s">
        <v>3924</v>
      </c>
      <c r="J403" s="26" t="s">
        <v>7311</v>
      </c>
      <c r="K403" s="26" t="s">
        <v>6440</v>
      </c>
      <c r="L403" s="26" t="s">
        <v>7312</v>
      </c>
      <c r="M403" s="55" t="s">
        <v>7313</v>
      </c>
      <c r="N403" s="26" t="s">
        <v>3924</v>
      </c>
    </row>
    <row r="404" spans="1:14" ht="75" customHeight="1" thickTop="1" thickBot="1">
      <c r="A404" s="26">
        <v>402</v>
      </c>
      <c r="B404" s="26">
        <v>406</v>
      </c>
      <c r="C404" s="55" t="s">
        <v>7314</v>
      </c>
      <c r="D404" s="56" t="s">
        <v>26</v>
      </c>
      <c r="E404" s="56" t="s">
        <v>6480</v>
      </c>
      <c r="F404" s="26" t="s">
        <v>3923</v>
      </c>
      <c r="G404" s="26" t="s">
        <v>16</v>
      </c>
      <c r="H404" s="26" t="s">
        <v>13</v>
      </c>
      <c r="I404" s="26" t="s">
        <v>3924</v>
      </c>
      <c r="J404" s="26" t="s">
        <v>7314</v>
      </c>
      <c r="K404" s="26" t="s">
        <v>6440</v>
      </c>
      <c r="L404" s="26" t="s">
        <v>7312</v>
      </c>
      <c r="M404" s="55" t="s">
        <v>7315</v>
      </c>
      <c r="N404" s="26" t="s">
        <v>3924</v>
      </c>
    </row>
    <row r="405" spans="1:14" ht="75" customHeight="1" thickTop="1" thickBot="1">
      <c r="A405" s="34">
        <v>403</v>
      </c>
      <c r="B405" s="34">
        <v>407</v>
      </c>
      <c r="C405" s="55" t="s">
        <v>7316</v>
      </c>
      <c r="D405" s="56" t="s">
        <v>26</v>
      </c>
      <c r="E405" s="56" t="s">
        <v>6480</v>
      </c>
      <c r="F405" s="26" t="s">
        <v>3923</v>
      </c>
      <c r="G405" s="26" t="s">
        <v>16</v>
      </c>
      <c r="H405" s="26" t="s">
        <v>13</v>
      </c>
      <c r="I405" s="26" t="s">
        <v>3924</v>
      </c>
      <c r="J405" s="26" t="s">
        <v>7316</v>
      </c>
      <c r="K405" s="26" t="s">
        <v>6440</v>
      </c>
      <c r="L405" s="26" t="s">
        <v>7317</v>
      </c>
      <c r="M405" s="55" t="s">
        <v>7280</v>
      </c>
      <c r="N405" s="26" t="s">
        <v>3924</v>
      </c>
    </row>
    <row r="406" spans="1:14" ht="75" customHeight="1" thickTop="1" thickBot="1">
      <c r="A406" s="26">
        <v>404</v>
      </c>
      <c r="B406" s="26">
        <v>408</v>
      </c>
      <c r="C406" s="55" t="s">
        <v>7318</v>
      </c>
      <c r="D406" s="56" t="s">
        <v>26</v>
      </c>
      <c r="E406" s="56" t="s">
        <v>6480</v>
      </c>
      <c r="F406" s="26" t="s">
        <v>3923</v>
      </c>
      <c r="G406" s="26" t="s">
        <v>16</v>
      </c>
      <c r="H406" s="26" t="s">
        <v>13</v>
      </c>
      <c r="I406" s="26" t="s">
        <v>3924</v>
      </c>
      <c r="J406" s="26" t="s">
        <v>7318</v>
      </c>
      <c r="K406" s="26" t="s">
        <v>6440</v>
      </c>
      <c r="L406" s="26" t="s">
        <v>7317</v>
      </c>
      <c r="M406" s="55" t="s">
        <v>7319</v>
      </c>
      <c r="N406" s="26" t="s">
        <v>3924</v>
      </c>
    </row>
    <row r="407" spans="1:14" ht="75" customHeight="1" thickTop="1" thickBot="1">
      <c r="A407" s="34">
        <v>405</v>
      </c>
      <c r="B407" s="34">
        <v>409</v>
      </c>
      <c r="C407" s="55" t="s">
        <v>7320</v>
      </c>
      <c r="D407" s="56" t="s">
        <v>26</v>
      </c>
      <c r="E407" s="56" t="s">
        <v>6480</v>
      </c>
      <c r="F407" s="26" t="s">
        <v>3923</v>
      </c>
      <c r="G407" s="26" t="s">
        <v>16</v>
      </c>
      <c r="H407" s="26" t="s">
        <v>13</v>
      </c>
      <c r="I407" s="26" t="s">
        <v>3924</v>
      </c>
      <c r="J407" s="26" t="s">
        <v>7320</v>
      </c>
      <c r="K407" s="26" t="s">
        <v>6440</v>
      </c>
      <c r="L407" s="26" t="s">
        <v>7317</v>
      </c>
      <c r="M407" s="55" t="s">
        <v>7321</v>
      </c>
      <c r="N407" s="26" t="s">
        <v>3924</v>
      </c>
    </row>
    <row r="408" spans="1:14" ht="75" customHeight="1" thickTop="1" thickBot="1">
      <c r="A408" s="26">
        <v>406</v>
      </c>
      <c r="B408" s="26">
        <v>410</v>
      </c>
      <c r="C408" s="55" t="s">
        <v>7322</v>
      </c>
      <c r="D408" s="56" t="s">
        <v>26</v>
      </c>
      <c r="E408" s="56" t="s">
        <v>6480</v>
      </c>
      <c r="F408" s="26" t="s">
        <v>3923</v>
      </c>
      <c r="G408" s="26" t="s">
        <v>16</v>
      </c>
      <c r="H408" s="26" t="s">
        <v>13</v>
      </c>
      <c r="I408" s="26" t="s">
        <v>3924</v>
      </c>
      <c r="J408" s="26" t="s">
        <v>7322</v>
      </c>
      <c r="K408" s="26" t="s">
        <v>6440</v>
      </c>
      <c r="L408" s="26" t="s">
        <v>7323</v>
      </c>
      <c r="M408" s="55" t="s">
        <v>7324</v>
      </c>
      <c r="N408" s="26" t="s">
        <v>3924</v>
      </c>
    </row>
    <row r="409" spans="1:14" ht="75" customHeight="1" thickTop="1" thickBot="1">
      <c r="A409" s="34">
        <v>407</v>
      </c>
      <c r="B409" s="34">
        <v>411</v>
      </c>
      <c r="C409" s="55" t="s">
        <v>7325</v>
      </c>
      <c r="D409" s="56" t="s">
        <v>26</v>
      </c>
      <c r="E409" s="56" t="s">
        <v>6480</v>
      </c>
      <c r="F409" s="26" t="s">
        <v>3923</v>
      </c>
      <c r="G409" s="26" t="s">
        <v>16</v>
      </c>
      <c r="H409" s="26" t="s">
        <v>13</v>
      </c>
      <c r="I409" s="26" t="s">
        <v>3924</v>
      </c>
      <c r="J409" s="26" t="s">
        <v>7325</v>
      </c>
      <c r="K409" s="26" t="s">
        <v>6440</v>
      </c>
      <c r="L409" s="26" t="s">
        <v>7323</v>
      </c>
      <c r="M409" s="55" t="s">
        <v>7326</v>
      </c>
      <c r="N409" s="26" t="s">
        <v>3924</v>
      </c>
    </row>
    <row r="410" spans="1:14" ht="75" customHeight="1" thickTop="1" thickBot="1">
      <c r="A410" s="26">
        <v>408</v>
      </c>
      <c r="B410" s="26">
        <v>412</v>
      </c>
      <c r="C410" s="55" t="s">
        <v>7325</v>
      </c>
      <c r="D410" s="56" t="s">
        <v>26</v>
      </c>
      <c r="E410" s="56" t="s">
        <v>6480</v>
      </c>
      <c r="F410" s="26" t="s">
        <v>3923</v>
      </c>
      <c r="G410" s="26" t="s">
        <v>16</v>
      </c>
      <c r="H410" s="26" t="s">
        <v>13</v>
      </c>
      <c r="I410" s="26" t="s">
        <v>3924</v>
      </c>
      <c r="J410" s="26" t="s">
        <v>7327</v>
      </c>
      <c r="K410" s="26" t="s">
        <v>6440</v>
      </c>
      <c r="L410" s="26" t="s">
        <v>7323</v>
      </c>
      <c r="M410" s="55" t="s">
        <v>7328</v>
      </c>
      <c r="N410" s="26" t="s">
        <v>3924</v>
      </c>
    </row>
    <row r="411" spans="1:14" ht="75" customHeight="1" thickTop="1" thickBot="1">
      <c r="A411" s="34">
        <v>409</v>
      </c>
      <c r="B411" s="34">
        <v>413</v>
      </c>
      <c r="C411" s="55" t="s">
        <v>7327</v>
      </c>
      <c r="D411" s="56" t="s">
        <v>26</v>
      </c>
      <c r="E411" s="56" t="s">
        <v>6480</v>
      </c>
      <c r="F411" s="26" t="s">
        <v>3923</v>
      </c>
      <c r="G411" s="26" t="s">
        <v>16</v>
      </c>
      <c r="H411" s="26" t="s">
        <v>13</v>
      </c>
      <c r="I411" s="26" t="s">
        <v>3924</v>
      </c>
      <c r="J411" s="26" t="s">
        <v>7327</v>
      </c>
      <c r="K411" s="26" t="s">
        <v>6440</v>
      </c>
      <c r="L411" s="26" t="s">
        <v>7329</v>
      </c>
      <c r="M411" s="55" t="s">
        <v>7330</v>
      </c>
      <c r="N411" s="26" t="s">
        <v>3924</v>
      </c>
    </row>
    <row r="412" spans="1:14" ht="75" customHeight="1" thickTop="1" thickBot="1">
      <c r="A412" s="26">
        <v>410</v>
      </c>
      <c r="B412" s="26">
        <v>414</v>
      </c>
      <c r="C412" s="55" t="s">
        <v>7331</v>
      </c>
      <c r="D412" s="56" t="s">
        <v>26</v>
      </c>
      <c r="E412" s="56" t="s">
        <v>6480</v>
      </c>
      <c r="F412" s="26" t="s">
        <v>3923</v>
      </c>
      <c r="G412" s="26" t="s">
        <v>16</v>
      </c>
      <c r="H412" s="26" t="s">
        <v>13</v>
      </c>
      <c r="I412" s="26" t="s">
        <v>3924</v>
      </c>
      <c r="J412" s="26" t="s">
        <v>7331</v>
      </c>
      <c r="K412" s="26" t="s">
        <v>6440</v>
      </c>
      <c r="L412" s="26" t="s">
        <v>7329</v>
      </c>
      <c r="M412" s="55" t="s">
        <v>7332</v>
      </c>
      <c r="N412" s="26" t="s">
        <v>3924</v>
      </c>
    </row>
    <row r="413" spans="1:14" ht="75" customHeight="1" thickTop="1" thickBot="1">
      <c r="A413" s="34">
        <v>411</v>
      </c>
      <c r="B413" s="34">
        <v>415</v>
      </c>
      <c r="C413" s="55" t="s">
        <v>7331</v>
      </c>
      <c r="D413" s="56" t="s">
        <v>26</v>
      </c>
      <c r="E413" s="56" t="s">
        <v>6480</v>
      </c>
      <c r="F413" s="26" t="s">
        <v>3923</v>
      </c>
      <c r="G413" s="26" t="s">
        <v>16</v>
      </c>
      <c r="H413" s="26" t="s">
        <v>13</v>
      </c>
      <c r="I413" s="26" t="s">
        <v>3924</v>
      </c>
      <c r="J413" s="26" t="s">
        <v>7333</v>
      </c>
      <c r="K413" s="26" t="s">
        <v>6440</v>
      </c>
      <c r="L413" s="26" t="s">
        <v>7329</v>
      </c>
      <c r="M413" s="55" t="s">
        <v>7334</v>
      </c>
      <c r="N413" s="26" t="s">
        <v>3924</v>
      </c>
    </row>
    <row r="414" spans="1:14" ht="75" customHeight="1" thickTop="1" thickBot="1">
      <c r="A414" s="26">
        <v>412</v>
      </c>
      <c r="B414" s="26">
        <v>416</v>
      </c>
      <c r="C414" s="55" t="s">
        <v>7333</v>
      </c>
      <c r="D414" s="56" t="s">
        <v>26</v>
      </c>
      <c r="E414" s="56" t="s">
        <v>6480</v>
      </c>
      <c r="F414" s="26" t="s">
        <v>3923</v>
      </c>
      <c r="G414" s="26" t="s">
        <v>16</v>
      </c>
      <c r="H414" s="26" t="s">
        <v>13</v>
      </c>
      <c r="I414" s="26" t="s">
        <v>3924</v>
      </c>
      <c r="J414" s="26" t="s">
        <v>7335</v>
      </c>
      <c r="K414" s="26" t="s">
        <v>6440</v>
      </c>
      <c r="L414" s="26" t="s">
        <v>7336</v>
      </c>
      <c r="M414" s="55" t="s">
        <v>7337</v>
      </c>
      <c r="N414" s="26" t="s">
        <v>3924</v>
      </c>
    </row>
    <row r="415" spans="1:14" ht="75" customHeight="1" thickTop="1" thickBot="1">
      <c r="A415" s="34">
        <v>413</v>
      </c>
      <c r="B415" s="34">
        <v>417</v>
      </c>
      <c r="C415" s="55" t="s">
        <v>7338</v>
      </c>
      <c r="D415" s="56" t="s">
        <v>26</v>
      </c>
      <c r="E415" s="56" t="s">
        <v>1694</v>
      </c>
      <c r="F415" s="26" t="s">
        <v>3923</v>
      </c>
      <c r="G415" s="26" t="s">
        <v>1419</v>
      </c>
      <c r="H415" s="26" t="s">
        <v>13</v>
      </c>
      <c r="I415" s="26" t="s">
        <v>3924</v>
      </c>
      <c r="J415" s="26" t="s">
        <v>7338</v>
      </c>
      <c r="K415" s="26" t="s">
        <v>6445</v>
      </c>
      <c r="L415" s="26" t="s">
        <v>6469</v>
      </c>
      <c r="M415" s="55" t="s">
        <v>7339</v>
      </c>
      <c r="N415" s="26" t="s">
        <v>3924</v>
      </c>
    </row>
    <row r="416" spans="1:14" ht="75" customHeight="1" thickTop="1" thickBot="1">
      <c r="A416" s="26">
        <v>414</v>
      </c>
      <c r="B416" s="26">
        <v>418</v>
      </c>
      <c r="C416" s="55" t="s">
        <v>7340</v>
      </c>
      <c r="D416" s="56" t="s">
        <v>26</v>
      </c>
      <c r="E416" s="56" t="s">
        <v>1694</v>
      </c>
      <c r="F416" s="26" t="s">
        <v>3923</v>
      </c>
      <c r="G416" s="26" t="s">
        <v>1419</v>
      </c>
      <c r="H416" s="26" t="s">
        <v>13</v>
      </c>
      <c r="I416" s="26" t="s">
        <v>3924</v>
      </c>
      <c r="J416" s="26" t="s">
        <v>7340</v>
      </c>
      <c r="K416" s="26" t="s">
        <v>6434</v>
      </c>
      <c r="L416" s="26" t="s">
        <v>6723</v>
      </c>
      <c r="M416" s="55" t="s">
        <v>7341</v>
      </c>
      <c r="N416" s="26" t="s">
        <v>3924</v>
      </c>
    </row>
    <row r="417" spans="1:14" ht="75" customHeight="1" thickTop="1" thickBot="1">
      <c r="A417" s="34">
        <v>415</v>
      </c>
      <c r="B417" s="34">
        <v>419</v>
      </c>
      <c r="C417" s="55" t="s">
        <v>7342</v>
      </c>
      <c r="D417" s="56" t="s">
        <v>26</v>
      </c>
      <c r="E417" s="56" t="s">
        <v>1694</v>
      </c>
      <c r="F417" s="26" t="s">
        <v>3923</v>
      </c>
      <c r="G417" s="26" t="s">
        <v>1419</v>
      </c>
      <c r="H417" s="26" t="s">
        <v>13</v>
      </c>
      <c r="I417" s="26" t="s">
        <v>3924</v>
      </c>
      <c r="J417" s="26" t="s">
        <v>7343</v>
      </c>
      <c r="K417" s="26" t="s">
        <v>6445</v>
      </c>
      <c r="L417" s="26" t="s">
        <v>6435</v>
      </c>
      <c r="M417" s="55" t="s">
        <v>7344</v>
      </c>
      <c r="N417" s="26" t="s">
        <v>3924</v>
      </c>
    </row>
    <row r="418" spans="1:14" ht="75" customHeight="1" thickTop="1" thickBot="1">
      <c r="A418" s="26">
        <v>416</v>
      </c>
      <c r="B418" s="26">
        <v>420</v>
      </c>
      <c r="C418" s="55" t="s">
        <v>7343</v>
      </c>
      <c r="D418" s="56" t="s">
        <v>26</v>
      </c>
      <c r="E418" s="56" t="s">
        <v>1694</v>
      </c>
      <c r="F418" s="26" t="s">
        <v>3923</v>
      </c>
      <c r="G418" s="26" t="s">
        <v>1419</v>
      </c>
      <c r="H418" s="26" t="s">
        <v>13</v>
      </c>
      <c r="I418" s="26" t="s">
        <v>3924</v>
      </c>
      <c r="J418" s="26" t="s">
        <v>7343</v>
      </c>
      <c r="K418" s="26" t="s">
        <v>6445</v>
      </c>
      <c r="L418" s="26" t="s">
        <v>6469</v>
      </c>
      <c r="M418" s="55" t="s">
        <v>7345</v>
      </c>
      <c r="N418" s="26" t="s">
        <v>3924</v>
      </c>
    </row>
    <row r="419" spans="1:14" ht="75" customHeight="1" thickTop="1" thickBot="1">
      <c r="A419" s="34">
        <v>417</v>
      </c>
      <c r="B419" s="34">
        <v>421</v>
      </c>
      <c r="C419" s="55" t="s">
        <v>7346</v>
      </c>
      <c r="D419" s="56" t="s">
        <v>26</v>
      </c>
      <c r="E419" s="56" t="s">
        <v>6448</v>
      </c>
      <c r="F419" s="26" t="s">
        <v>3923</v>
      </c>
      <c r="G419" s="26" t="s">
        <v>12</v>
      </c>
      <c r="H419" s="26" t="s">
        <v>13</v>
      </c>
      <c r="I419" s="26" t="s">
        <v>3924</v>
      </c>
      <c r="J419" s="26" t="s">
        <v>7347</v>
      </c>
      <c r="K419" s="26" t="s">
        <v>3954</v>
      </c>
      <c r="L419" s="26" t="s">
        <v>6877</v>
      </c>
      <c r="M419" s="55" t="s">
        <v>7234</v>
      </c>
      <c r="N419" s="26" t="s">
        <v>3924</v>
      </c>
    </row>
    <row r="420" spans="1:14" ht="75" customHeight="1" thickTop="1" thickBot="1">
      <c r="A420" s="26">
        <v>418</v>
      </c>
      <c r="B420" s="26">
        <v>422</v>
      </c>
      <c r="C420" s="55" t="s">
        <v>7348</v>
      </c>
      <c r="D420" s="56" t="s">
        <v>26</v>
      </c>
      <c r="E420" s="56" t="s">
        <v>6448</v>
      </c>
      <c r="F420" s="26" t="s">
        <v>3923</v>
      </c>
      <c r="G420" s="26" t="s">
        <v>12</v>
      </c>
      <c r="H420" s="26" t="s">
        <v>13</v>
      </c>
      <c r="I420" s="26" t="s">
        <v>3924</v>
      </c>
      <c r="J420" s="26" t="s">
        <v>7347</v>
      </c>
      <c r="K420" s="26" t="s">
        <v>6445</v>
      </c>
      <c r="L420" s="26" t="s">
        <v>6877</v>
      </c>
      <c r="M420" s="55" t="s">
        <v>7349</v>
      </c>
      <c r="N420" s="26" t="s">
        <v>3924</v>
      </c>
    </row>
    <row r="421" spans="1:14" ht="75" customHeight="1" thickTop="1" thickBot="1">
      <c r="A421" s="34">
        <v>419</v>
      </c>
      <c r="B421" s="34">
        <v>423</v>
      </c>
      <c r="C421" s="55" t="s">
        <v>7348</v>
      </c>
      <c r="D421" s="56" t="s">
        <v>26</v>
      </c>
      <c r="E421" s="56" t="s">
        <v>6448</v>
      </c>
      <c r="F421" s="26" t="s">
        <v>3923</v>
      </c>
      <c r="G421" s="26" t="s">
        <v>12</v>
      </c>
      <c r="H421" s="26" t="s">
        <v>13</v>
      </c>
      <c r="I421" s="26" t="s">
        <v>3924</v>
      </c>
      <c r="J421" s="26" t="s">
        <v>7347</v>
      </c>
      <c r="K421" s="26" t="s">
        <v>3954</v>
      </c>
      <c r="L421" s="26" t="s">
        <v>3927</v>
      </c>
      <c r="M421" s="55" t="s">
        <v>6907</v>
      </c>
      <c r="N421" s="26" t="s">
        <v>3924</v>
      </c>
    </row>
    <row r="422" spans="1:14" ht="75" customHeight="1" thickTop="1" thickBot="1">
      <c r="A422" s="26">
        <v>420</v>
      </c>
      <c r="B422" s="26">
        <v>424</v>
      </c>
      <c r="C422" s="55" t="s">
        <v>7350</v>
      </c>
      <c r="D422" s="56" t="s">
        <v>26</v>
      </c>
      <c r="E422" s="56" t="s">
        <v>6448</v>
      </c>
      <c r="F422" s="26" t="s">
        <v>3923</v>
      </c>
      <c r="G422" s="26" t="s">
        <v>12</v>
      </c>
      <c r="H422" s="26" t="s">
        <v>13</v>
      </c>
      <c r="I422" s="26" t="s">
        <v>3924</v>
      </c>
      <c r="J422" s="26" t="s">
        <v>7351</v>
      </c>
      <c r="K422" s="26" t="s">
        <v>6440</v>
      </c>
      <c r="L422" s="26" t="s">
        <v>7352</v>
      </c>
      <c r="M422" s="55" t="s">
        <v>7353</v>
      </c>
      <c r="N422" s="26" t="s">
        <v>3924</v>
      </c>
    </row>
    <row r="423" spans="1:14" ht="75" customHeight="1" thickTop="1" thickBot="1">
      <c r="A423" s="34">
        <v>421</v>
      </c>
      <c r="B423" s="34">
        <v>425</v>
      </c>
      <c r="C423" s="55" t="s">
        <v>7351</v>
      </c>
      <c r="D423" s="56" t="s">
        <v>26</v>
      </c>
      <c r="E423" s="56" t="s">
        <v>6448</v>
      </c>
      <c r="F423" s="26" t="s">
        <v>3923</v>
      </c>
      <c r="G423" s="26" t="s">
        <v>12</v>
      </c>
      <c r="H423" s="26" t="s">
        <v>13</v>
      </c>
      <c r="I423" s="26" t="s">
        <v>3924</v>
      </c>
      <c r="J423" s="26" t="s">
        <v>7351</v>
      </c>
      <c r="K423" s="26" t="s">
        <v>6440</v>
      </c>
      <c r="L423" s="26" t="s">
        <v>6435</v>
      </c>
      <c r="M423" s="55" t="s">
        <v>7354</v>
      </c>
      <c r="N423" s="26" t="s">
        <v>3924</v>
      </c>
    </row>
    <row r="424" spans="1:14" ht="75" customHeight="1" thickTop="1" thickBot="1">
      <c r="A424" s="26">
        <v>422</v>
      </c>
      <c r="B424" s="26">
        <v>426</v>
      </c>
      <c r="C424" s="55" t="s">
        <v>7355</v>
      </c>
      <c r="D424" s="56" t="s">
        <v>26</v>
      </c>
      <c r="E424" s="56" t="s">
        <v>6448</v>
      </c>
      <c r="F424" s="26" t="s">
        <v>3923</v>
      </c>
      <c r="G424" s="26" t="s">
        <v>12</v>
      </c>
      <c r="H424" s="26" t="s">
        <v>13</v>
      </c>
      <c r="I424" s="26" t="s">
        <v>3924</v>
      </c>
      <c r="J424" s="26" t="s">
        <v>7356</v>
      </c>
      <c r="K424" s="26" t="s">
        <v>6445</v>
      </c>
      <c r="L424" s="26" t="s">
        <v>4942</v>
      </c>
      <c r="M424" s="55" t="s">
        <v>7357</v>
      </c>
      <c r="N424" s="26" t="s">
        <v>3924</v>
      </c>
    </row>
    <row r="425" spans="1:14" ht="75" customHeight="1" thickTop="1" thickBot="1">
      <c r="A425" s="34">
        <v>423</v>
      </c>
      <c r="B425" s="34">
        <v>427</v>
      </c>
      <c r="C425" s="55" t="s">
        <v>7358</v>
      </c>
      <c r="D425" s="56" t="s">
        <v>26</v>
      </c>
      <c r="E425" s="56" t="s">
        <v>6448</v>
      </c>
      <c r="F425" s="26" t="s">
        <v>3923</v>
      </c>
      <c r="G425" s="26" t="s">
        <v>12</v>
      </c>
      <c r="H425" s="26" t="s">
        <v>13</v>
      </c>
      <c r="I425" s="26" t="s">
        <v>3924</v>
      </c>
      <c r="J425" s="26" t="s">
        <v>7356</v>
      </c>
      <c r="K425" s="26" t="s">
        <v>6445</v>
      </c>
      <c r="L425" s="26" t="s">
        <v>4942</v>
      </c>
      <c r="M425" s="55" t="s">
        <v>6980</v>
      </c>
      <c r="N425" s="26" t="s">
        <v>3924</v>
      </c>
    </row>
    <row r="426" spans="1:14" ht="75" customHeight="1" thickTop="1" thickBot="1">
      <c r="A426" s="26">
        <v>424</v>
      </c>
      <c r="B426" s="26">
        <v>428</v>
      </c>
      <c r="C426" s="55" t="s">
        <v>7356</v>
      </c>
      <c r="D426" s="56" t="s">
        <v>26</v>
      </c>
      <c r="E426" s="56" t="s">
        <v>6448</v>
      </c>
      <c r="F426" s="26" t="s">
        <v>3923</v>
      </c>
      <c r="G426" s="26" t="s">
        <v>12</v>
      </c>
      <c r="H426" s="26" t="s">
        <v>13</v>
      </c>
      <c r="I426" s="26" t="s">
        <v>3924</v>
      </c>
      <c r="J426" s="26" t="s">
        <v>7356</v>
      </c>
      <c r="K426" s="26" t="s">
        <v>6445</v>
      </c>
      <c r="L426" s="26" t="s">
        <v>4942</v>
      </c>
      <c r="M426" s="55" t="s">
        <v>7359</v>
      </c>
      <c r="N426" s="26" t="s">
        <v>3924</v>
      </c>
    </row>
    <row r="427" spans="1:14" ht="75" customHeight="1" thickTop="1" thickBot="1">
      <c r="A427" s="34">
        <v>425</v>
      </c>
      <c r="B427" s="34">
        <v>429</v>
      </c>
      <c r="C427" s="55" t="s">
        <v>7360</v>
      </c>
      <c r="D427" s="56" t="s">
        <v>26</v>
      </c>
      <c r="E427" s="56" t="s">
        <v>6448</v>
      </c>
      <c r="F427" s="26" t="s">
        <v>3923</v>
      </c>
      <c r="G427" s="26" t="s">
        <v>12</v>
      </c>
      <c r="H427" s="26" t="s">
        <v>13</v>
      </c>
      <c r="I427" s="26" t="s">
        <v>3924</v>
      </c>
      <c r="J427" s="26" t="s">
        <v>7361</v>
      </c>
      <c r="K427" s="26" t="s">
        <v>3954</v>
      </c>
      <c r="L427" s="26" t="s">
        <v>3927</v>
      </c>
      <c r="M427" s="55" t="s">
        <v>7234</v>
      </c>
      <c r="N427" s="26" t="s">
        <v>3924</v>
      </c>
    </row>
    <row r="428" spans="1:14" ht="75" customHeight="1" thickTop="1" thickBot="1">
      <c r="A428" s="26">
        <v>426</v>
      </c>
      <c r="B428" s="26">
        <v>430</v>
      </c>
      <c r="C428" s="55" t="s">
        <v>7361</v>
      </c>
      <c r="D428" s="56" t="s">
        <v>26</v>
      </c>
      <c r="E428" s="56" t="s">
        <v>6448</v>
      </c>
      <c r="F428" s="26" t="s">
        <v>3923</v>
      </c>
      <c r="G428" s="26" t="s">
        <v>12</v>
      </c>
      <c r="H428" s="26" t="s">
        <v>13</v>
      </c>
      <c r="I428" s="26" t="s">
        <v>3924</v>
      </c>
      <c r="J428" s="26" t="s">
        <v>7361</v>
      </c>
      <c r="K428" s="26" t="s">
        <v>6440</v>
      </c>
      <c r="L428" s="26" t="s">
        <v>3927</v>
      </c>
      <c r="M428" s="55" t="s">
        <v>7362</v>
      </c>
      <c r="N428" s="26" t="s">
        <v>3924</v>
      </c>
    </row>
    <row r="429" spans="1:14" ht="75" customHeight="1" thickTop="1" thickBot="1">
      <c r="A429" s="34">
        <v>427</v>
      </c>
      <c r="B429" s="34">
        <v>431</v>
      </c>
      <c r="C429" s="55" t="s">
        <v>7363</v>
      </c>
      <c r="D429" s="56" t="s">
        <v>26</v>
      </c>
      <c r="E429" s="56" t="s">
        <v>6480</v>
      </c>
      <c r="F429" s="26" t="s">
        <v>3923</v>
      </c>
      <c r="G429" s="26" t="s">
        <v>16</v>
      </c>
      <c r="H429" s="26" t="s">
        <v>13</v>
      </c>
      <c r="I429" s="26" t="s">
        <v>3924</v>
      </c>
      <c r="J429" s="26" t="s">
        <v>7364</v>
      </c>
      <c r="K429" s="26" t="s">
        <v>6440</v>
      </c>
      <c r="L429" s="26" t="s">
        <v>6469</v>
      </c>
      <c r="M429" s="55" t="s">
        <v>7365</v>
      </c>
      <c r="N429" s="26" t="s">
        <v>3924</v>
      </c>
    </row>
    <row r="430" spans="1:14" ht="75" customHeight="1" thickTop="1" thickBot="1">
      <c r="A430" s="26">
        <v>428</v>
      </c>
      <c r="B430" s="26">
        <v>432</v>
      </c>
      <c r="C430" s="55" t="s">
        <v>7366</v>
      </c>
      <c r="D430" s="56" t="s">
        <v>26</v>
      </c>
      <c r="E430" s="56" t="s">
        <v>6480</v>
      </c>
      <c r="F430" s="26" t="s">
        <v>3923</v>
      </c>
      <c r="G430" s="26" t="s">
        <v>16</v>
      </c>
      <c r="H430" s="26" t="s">
        <v>13</v>
      </c>
      <c r="I430" s="26" t="s">
        <v>3924</v>
      </c>
      <c r="J430" s="26" t="s">
        <v>7366</v>
      </c>
      <c r="K430" s="26" t="s">
        <v>6440</v>
      </c>
      <c r="L430" s="26" t="s">
        <v>6469</v>
      </c>
      <c r="M430" s="55" t="s">
        <v>7367</v>
      </c>
      <c r="N430" s="26" t="s">
        <v>3924</v>
      </c>
    </row>
    <row r="431" spans="1:14" ht="75" customHeight="1" thickTop="1" thickBot="1">
      <c r="A431" s="34">
        <v>429</v>
      </c>
      <c r="B431" s="34">
        <v>433</v>
      </c>
      <c r="C431" s="55" t="s">
        <v>7368</v>
      </c>
      <c r="D431" s="56" t="s">
        <v>26</v>
      </c>
      <c r="E431" s="56" t="s">
        <v>6480</v>
      </c>
      <c r="F431" s="26" t="s">
        <v>3923</v>
      </c>
      <c r="G431" s="26" t="s">
        <v>16</v>
      </c>
      <c r="H431" s="26" t="s">
        <v>13</v>
      </c>
      <c r="I431" s="26" t="s">
        <v>3924</v>
      </c>
      <c r="J431" s="26" t="s">
        <v>7369</v>
      </c>
      <c r="K431" s="26" t="s">
        <v>6440</v>
      </c>
      <c r="L431" s="26" t="s">
        <v>6469</v>
      </c>
      <c r="M431" s="55" t="s">
        <v>7370</v>
      </c>
      <c r="N431" s="26" t="s">
        <v>3924</v>
      </c>
    </row>
    <row r="432" spans="1:14" ht="75" customHeight="1" thickTop="1" thickBot="1">
      <c r="A432" s="26">
        <v>430</v>
      </c>
      <c r="B432" s="26">
        <v>434</v>
      </c>
      <c r="C432" s="55" t="s">
        <v>7371</v>
      </c>
      <c r="D432" s="56" t="s">
        <v>26</v>
      </c>
      <c r="E432" s="56" t="s">
        <v>6461</v>
      </c>
      <c r="F432" s="26" t="s">
        <v>3923</v>
      </c>
      <c r="G432" s="26" t="s">
        <v>74</v>
      </c>
      <c r="H432" s="26" t="s">
        <v>13</v>
      </c>
      <c r="I432" s="26" t="s">
        <v>3924</v>
      </c>
      <c r="J432" s="26" t="s">
        <v>7372</v>
      </c>
      <c r="K432" s="26" t="s">
        <v>6511</v>
      </c>
      <c r="L432" s="26" t="s">
        <v>6463</v>
      </c>
      <c r="M432" s="55" t="s">
        <v>7373</v>
      </c>
      <c r="N432" s="26" t="s">
        <v>3924</v>
      </c>
    </row>
    <row r="433" spans="1:14" ht="75" customHeight="1" thickTop="1" thickBot="1">
      <c r="A433" s="34">
        <v>431</v>
      </c>
      <c r="B433" s="34">
        <v>435</v>
      </c>
      <c r="C433" s="55" t="s">
        <v>7374</v>
      </c>
      <c r="D433" s="56" t="s">
        <v>26</v>
      </c>
      <c r="E433" s="56" t="s">
        <v>2894</v>
      </c>
      <c r="F433" s="26" t="s">
        <v>3995</v>
      </c>
      <c r="G433" s="26" t="s">
        <v>1419</v>
      </c>
      <c r="H433" s="26" t="s">
        <v>13</v>
      </c>
      <c r="I433" s="26" t="s">
        <v>3924</v>
      </c>
      <c r="J433" s="26" t="s">
        <v>7375</v>
      </c>
      <c r="K433" s="26" t="s">
        <v>6552</v>
      </c>
      <c r="L433" s="26" t="s">
        <v>7376</v>
      </c>
      <c r="M433" s="55" t="s">
        <v>7377</v>
      </c>
      <c r="N433" s="26" t="s">
        <v>3924</v>
      </c>
    </row>
    <row r="434" spans="1:14" ht="75" customHeight="1" thickTop="1" thickBot="1">
      <c r="A434" s="26">
        <v>432</v>
      </c>
      <c r="B434" s="26">
        <v>436</v>
      </c>
      <c r="C434" s="55" t="s">
        <v>7378</v>
      </c>
      <c r="D434" s="56" t="s">
        <v>26</v>
      </c>
      <c r="E434" s="56" t="s">
        <v>6443</v>
      </c>
      <c r="F434" s="26" t="s">
        <v>3995</v>
      </c>
      <c r="G434" s="26" t="s">
        <v>1419</v>
      </c>
      <c r="H434" s="26" t="s">
        <v>13</v>
      </c>
      <c r="I434" s="26" t="s">
        <v>3924</v>
      </c>
      <c r="J434" s="26" t="s">
        <v>7375</v>
      </c>
      <c r="K434" s="26" t="s">
        <v>6445</v>
      </c>
      <c r="L434" s="26" t="s">
        <v>3927</v>
      </c>
      <c r="M434" s="55" t="s">
        <v>7379</v>
      </c>
      <c r="N434" s="26" t="s">
        <v>3924</v>
      </c>
    </row>
    <row r="435" spans="1:14" ht="75" customHeight="1" thickTop="1" thickBot="1">
      <c r="A435" s="34">
        <v>433</v>
      </c>
      <c r="B435" s="34">
        <v>437</v>
      </c>
      <c r="C435" s="55" t="s">
        <v>7380</v>
      </c>
      <c r="D435" s="56" t="s">
        <v>26</v>
      </c>
      <c r="E435" s="56" t="s">
        <v>6448</v>
      </c>
      <c r="F435" s="26" t="s">
        <v>3923</v>
      </c>
      <c r="G435" s="26" t="s">
        <v>12</v>
      </c>
      <c r="H435" s="26" t="s">
        <v>13</v>
      </c>
      <c r="I435" s="26" t="s">
        <v>3924</v>
      </c>
      <c r="J435" s="26" t="s">
        <v>7381</v>
      </c>
      <c r="K435" s="26" t="s">
        <v>3954</v>
      </c>
      <c r="L435" s="26" t="s">
        <v>3927</v>
      </c>
      <c r="M435" s="55" t="s">
        <v>7234</v>
      </c>
      <c r="N435" s="26" t="s">
        <v>3924</v>
      </c>
    </row>
    <row r="436" spans="1:14" ht="75" customHeight="1" thickTop="1" thickBot="1">
      <c r="A436" s="26">
        <v>434</v>
      </c>
      <c r="B436" s="26">
        <v>438</v>
      </c>
      <c r="C436" s="55" t="s">
        <v>7382</v>
      </c>
      <c r="D436" s="56" t="s">
        <v>26</v>
      </c>
      <c r="E436" s="56" t="s">
        <v>6448</v>
      </c>
      <c r="F436" s="26" t="s">
        <v>3923</v>
      </c>
      <c r="G436" s="26" t="s">
        <v>12</v>
      </c>
      <c r="H436" s="26" t="s">
        <v>13</v>
      </c>
      <c r="I436" s="26" t="s">
        <v>3924</v>
      </c>
      <c r="J436" s="26" t="s">
        <v>7381</v>
      </c>
      <c r="K436" s="26" t="s">
        <v>6440</v>
      </c>
      <c r="L436" s="26" t="s">
        <v>6469</v>
      </c>
      <c r="M436" s="55" t="s">
        <v>7383</v>
      </c>
      <c r="N436" s="26" t="s">
        <v>3924</v>
      </c>
    </row>
    <row r="437" spans="1:14" ht="75" customHeight="1" thickTop="1" thickBot="1">
      <c r="A437" s="34">
        <v>435</v>
      </c>
      <c r="B437" s="34">
        <v>439</v>
      </c>
      <c r="C437" s="55" t="s">
        <v>7384</v>
      </c>
      <c r="D437" s="56" t="s">
        <v>26</v>
      </c>
      <c r="E437" s="56" t="s">
        <v>6448</v>
      </c>
      <c r="F437" s="26" t="s">
        <v>3923</v>
      </c>
      <c r="G437" s="26" t="s">
        <v>12</v>
      </c>
      <c r="H437" s="26" t="s">
        <v>13</v>
      </c>
      <c r="I437" s="26" t="s">
        <v>3924</v>
      </c>
      <c r="J437" s="26" t="s">
        <v>7381</v>
      </c>
      <c r="K437" s="26" t="s">
        <v>6440</v>
      </c>
      <c r="L437" s="26" t="s">
        <v>7385</v>
      </c>
      <c r="M437" s="55" t="s">
        <v>7386</v>
      </c>
      <c r="N437" s="26" t="s">
        <v>3924</v>
      </c>
    </row>
    <row r="438" spans="1:14" ht="75" customHeight="1" thickTop="1" thickBot="1">
      <c r="A438" s="26">
        <v>436</v>
      </c>
      <c r="B438" s="26">
        <v>440</v>
      </c>
      <c r="C438" s="55" t="s">
        <v>7384</v>
      </c>
      <c r="D438" s="56" t="s">
        <v>26</v>
      </c>
      <c r="E438" s="56" t="s">
        <v>6448</v>
      </c>
      <c r="F438" s="26" t="s">
        <v>3923</v>
      </c>
      <c r="G438" s="26" t="s">
        <v>12</v>
      </c>
      <c r="H438" s="26" t="s">
        <v>13</v>
      </c>
      <c r="I438" s="26" t="s">
        <v>3924</v>
      </c>
      <c r="J438" s="26" t="s">
        <v>7381</v>
      </c>
      <c r="K438" s="26" t="s">
        <v>3954</v>
      </c>
      <c r="L438" s="26" t="s">
        <v>3927</v>
      </c>
      <c r="M438" s="55" t="s">
        <v>6907</v>
      </c>
      <c r="N438" s="26" t="s">
        <v>3924</v>
      </c>
    </row>
    <row r="439" spans="1:14" ht="75" customHeight="1" thickTop="1" thickBot="1">
      <c r="A439" s="34">
        <v>437</v>
      </c>
      <c r="B439" s="34">
        <v>441</v>
      </c>
      <c r="C439" s="55" t="s">
        <v>7387</v>
      </c>
      <c r="D439" s="56" t="s">
        <v>26</v>
      </c>
      <c r="E439" s="56" t="s">
        <v>6448</v>
      </c>
      <c r="F439" s="26" t="s">
        <v>3923</v>
      </c>
      <c r="G439" s="26" t="s">
        <v>12</v>
      </c>
      <c r="H439" s="26" t="s">
        <v>13</v>
      </c>
      <c r="I439" s="26" t="s">
        <v>3924</v>
      </c>
      <c r="J439" s="26" t="s">
        <v>7381</v>
      </c>
      <c r="K439" s="26" t="s">
        <v>6434</v>
      </c>
      <c r="L439" s="26" t="s">
        <v>7352</v>
      </c>
      <c r="M439" s="55" t="s">
        <v>7388</v>
      </c>
      <c r="N439" s="26" t="s">
        <v>3924</v>
      </c>
    </row>
    <row r="440" spans="1:14" ht="75" customHeight="1" thickTop="1" thickBot="1">
      <c r="A440" s="26">
        <v>438</v>
      </c>
      <c r="B440" s="26">
        <v>442</v>
      </c>
      <c r="C440" s="55" t="s">
        <v>7381</v>
      </c>
      <c r="D440" s="56" t="s">
        <v>26</v>
      </c>
      <c r="E440" s="56" t="s">
        <v>6448</v>
      </c>
      <c r="F440" s="26" t="s">
        <v>3923</v>
      </c>
      <c r="G440" s="26" t="s">
        <v>12</v>
      </c>
      <c r="H440" s="26" t="s">
        <v>13</v>
      </c>
      <c r="I440" s="26" t="s">
        <v>3924</v>
      </c>
      <c r="J440" s="26" t="s">
        <v>7381</v>
      </c>
      <c r="K440" s="26" t="s">
        <v>3954</v>
      </c>
      <c r="L440" s="26" t="s">
        <v>4942</v>
      </c>
      <c r="M440" s="55" t="s">
        <v>7389</v>
      </c>
      <c r="N440" s="26" t="s">
        <v>3924</v>
      </c>
    </row>
    <row r="441" spans="1:14" ht="75" customHeight="1" thickTop="1" thickBot="1">
      <c r="A441" s="34">
        <v>439</v>
      </c>
      <c r="B441" s="34">
        <v>443</v>
      </c>
      <c r="C441" s="55" t="s">
        <v>7390</v>
      </c>
      <c r="D441" s="56" t="s">
        <v>26</v>
      </c>
      <c r="E441" s="56" t="s">
        <v>1710</v>
      </c>
      <c r="F441" s="26" t="s">
        <v>3923</v>
      </c>
      <c r="G441" s="26" t="s">
        <v>1419</v>
      </c>
      <c r="H441" s="26" t="s">
        <v>13</v>
      </c>
      <c r="I441" s="26" t="s">
        <v>3924</v>
      </c>
      <c r="J441" s="26" t="s">
        <v>7391</v>
      </c>
      <c r="K441" s="26" t="s">
        <v>6434</v>
      </c>
      <c r="L441" s="26" t="s">
        <v>6435</v>
      </c>
      <c r="M441" s="55" t="s">
        <v>7392</v>
      </c>
      <c r="N441" s="26" t="s">
        <v>3924</v>
      </c>
    </row>
    <row r="442" spans="1:14" ht="75" customHeight="1" thickTop="1" thickBot="1">
      <c r="A442" s="26">
        <v>440</v>
      </c>
      <c r="B442" s="26">
        <v>444</v>
      </c>
      <c r="C442" s="55" t="s">
        <v>7393</v>
      </c>
      <c r="D442" s="56" t="s">
        <v>26</v>
      </c>
      <c r="E442" s="56" t="s">
        <v>1710</v>
      </c>
      <c r="F442" s="26" t="s">
        <v>3923</v>
      </c>
      <c r="G442" s="26" t="s">
        <v>1419</v>
      </c>
      <c r="H442" s="26" t="s">
        <v>13</v>
      </c>
      <c r="I442" s="26" t="s">
        <v>3924</v>
      </c>
      <c r="J442" s="26" t="s">
        <v>7391</v>
      </c>
      <c r="K442" s="26" t="s">
        <v>6434</v>
      </c>
      <c r="L442" s="26" t="s">
        <v>6805</v>
      </c>
      <c r="M442" s="55" t="s">
        <v>7394</v>
      </c>
      <c r="N442" s="26" t="s">
        <v>3924</v>
      </c>
    </row>
    <row r="443" spans="1:14" ht="75" customHeight="1" thickTop="1" thickBot="1">
      <c r="A443" s="34">
        <v>441</v>
      </c>
      <c r="B443" s="34">
        <v>445</v>
      </c>
      <c r="C443" s="55" t="s">
        <v>7393</v>
      </c>
      <c r="D443" s="56" t="s">
        <v>26</v>
      </c>
      <c r="E443" s="56" t="s">
        <v>1710</v>
      </c>
      <c r="F443" s="26" t="s">
        <v>3923</v>
      </c>
      <c r="G443" s="26" t="s">
        <v>1419</v>
      </c>
      <c r="H443" s="26" t="s">
        <v>13</v>
      </c>
      <c r="I443" s="26" t="s">
        <v>3924</v>
      </c>
      <c r="J443" s="26" t="s">
        <v>7395</v>
      </c>
      <c r="K443" s="26" t="s">
        <v>6434</v>
      </c>
      <c r="L443" s="26" t="s">
        <v>6469</v>
      </c>
      <c r="M443" s="55" t="s">
        <v>7396</v>
      </c>
      <c r="N443" s="26" t="s">
        <v>3924</v>
      </c>
    </row>
    <row r="444" spans="1:14" ht="75" customHeight="1" thickTop="1" thickBot="1">
      <c r="A444" s="26">
        <v>442</v>
      </c>
      <c r="B444" s="26">
        <v>446</v>
      </c>
      <c r="C444" s="55" t="s">
        <v>7397</v>
      </c>
      <c r="D444" s="56" t="s">
        <v>26</v>
      </c>
      <c r="E444" s="56" t="s">
        <v>1710</v>
      </c>
      <c r="F444" s="26" t="s">
        <v>3923</v>
      </c>
      <c r="G444" s="26" t="s">
        <v>1419</v>
      </c>
      <c r="H444" s="26" t="s">
        <v>13</v>
      </c>
      <c r="I444" s="26" t="s">
        <v>3924</v>
      </c>
      <c r="J444" s="26" t="s">
        <v>7395</v>
      </c>
      <c r="K444" s="26" t="s">
        <v>7398</v>
      </c>
      <c r="L444" s="26" t="s">
        <v>7398</v>
      </c>
      <c r="M444" s="55" t="s">
        <v>7399</v>
      </c>
      <c r="N444" s="26" t="s">
        <v>3924</v>
      </c>
    </row>
    <row r="445" spans="1:14" ht="75" customHeight="1" thickTop="1" thickBot="1">
      <c r="A445" s="34">
        <v>443</v>
      </c>
      <c r="B445" s="34">
        <v>447</v>
      </c>
      <c r="C445" s="55" t="s">
        <v>7400</v>
      </c>
      <c r="D445" s="56" t="s">
        <v>26</v>
      </c>
      <c r="E445" s="56" t="s">
        <v>1710</v>
      </c>
      <c r="F445" s="26" t="s">
        <v>3923</v>
      </c>
      <c r="G445" s="26" t="s">
        <v>1419</v>
      </c>
      <c r="H445" s="26" t="s">
        <v>13</v>
      </c>
      <c r="I445" s="26" t="s">
        <v>3924</v>
      </c>
      <c r="J445" s="26" t="s">
        <v>7395</v>
      </c>
      <c r="K445" s="26" t="s">
        <v>6434</v>
      </c>
      <c r="L445" s="26" t="s">
        <v>6805</v>
      </c>
      <c r="M445" s="55" t="s">
        <v>7401</v>
      </c>
      <c r="N445" s="26" t="s">
        <v>3924</v>
      </c>
    </row>
    <row r="446" spans="1:14" ht="75" customHeight="1" thickTop="1" thickBot="1">
      <c r="A446" s="26">
        <v>444</v>
      </c>
      <c r="B446" s="26">
        <v>448</v>
      </c>
      <c r="C446" s="55" t="s">
        <v>7400</v>
      </c>
      <c r="D446" s="56" t="s">
        <v>26</v>
      </c>
      <c r="E446" s="56" t="s">
        <v>1710</v>
      </c>
      <c r="F446" s="26" t="s">
        <v>3923</v>
      </c>
      <c r="G446" s="26" t="s">
        <v>1419</v>
      </c>
      <c r="H446" s="26" t="s">
        <v>13</v>
      </c>
      <c r="I446" s="26" t="s">
        <v>3924</v>
      </c>
      <c r="J446" s="26" t="s">
        <v>7395</v>
      </c>
      <c r="K446" s="26" t="s">
        <v>6434</v>
      </c>
      <c r="L446" s="26" t="s">
        <v>6435</v>
      </c>
      <c r="M446" s="55" t="s">
        <v>7402</v>
      </c>
      <c r="N446" s="26" t="s">
        <v>3924</v>
      </c>
    </row>
    <row r="447" spans="1:14" ht="75" customHeight="1" thickTop="1" thickBot="1">
      <c r="A447" s="34">
        <v>445</v>
      </c>
      <c r="B447" s="34">
        <v>449</v>
      </c>
      <c r="C447" s="55" t="s">
        <v>7400</v>
      </c>
      <c r="D447" s="56" t="s">
        <v>26</v>
      </c>
      <c r="E447" s="56" t="s">
        <v>1710</v>
      </c>
      <c r="F447" s="26" t="s">
        <v>3923</v>
      </c>
      <c r="G447" s="26" t="s">
        <v>1419</v>
      </c>
      <c r="H447" s="26" t="s">
        <v>13</v>
      </c>
      <c r="I447" s="26" t="s">
        <v>3924</v>
      </c>
      <c r="J447" s="26" t="s">
        <v>7395</v>
      </c>
      <c r="K447" s="26" t="s">
        <v>6434</v>
      </c>
      <c r="L447" s="26" t="s">
        <v>6435</v>
      </c>
      <c r="M447" s="55" t="s">
        <v>7403</v>
      </c>
      <c r="N447" s="26" t="s">
        <v>3924</v>
      </c>
    </row>
    <row r="448" spans="1:14" ht="75" customHeight="1" thickTop="1" thickBot="1">
      <c r="A448" s="26">
        <v>446</v>
      </c>
      <c r="B448" s="26">
        <v>450</v>
      </c>
      <c r="C448" s="55" t="s">
        <v>7404</v>
      </c>
      <c r="D448" s="56" t="s">
        <v>26</v>
      </c>
      <c r="E448" s="56" t="s">
        <v>1710</v>
      </c>
      <c r="F448" s="26" t="s">
        <v>3923</v>
      </c>
      <c r="G448" s="26" t="s">
        <v>1419</v>
      </c>
      <c r="H448" s="26" t="s">
        <v>13</v>
      </c>
      <c r="I448" s="26" t="s">
        <v>3924</v>
      </c>
      <c r="J448" s="26" t="s">
        <v>7395</v>
      </c>
      <c r="K448" s="26" t="s">
        <v>6434</v>
      </c>
      <c r="L448" s="26" t="s">
        <v>6493</v>
      </c>
      <c r="M448" s="55" t="s">
        <v>7405</v>
      </c>
      <c r="N448" s="26" t="s">
        <v>3924</v>
      </c>
    </row>
    <row r="449" spans="1:14" ht="75" customHeight="1" thickTop="1" thickBot="1">
      <c r="A449" s="34">
        <v>447</v>
      </c>
      <c r="B449" s="34">
        <v>451</v>
      </c>
      <c r="C449" s="55" t="s">
        <v>7406</v>
      </c>
      <c r="D449" s="56" t="s">
        <v>26</v>
      </c>
      <c r="E449" s="56" t="s">
        <v>1710</v>
      </c>
      <c r="F449" s="26" t="s">
        <v>3923</v>
      </c>
      <c r="G449" s="26" t="s">
        <v>1419</v>
      </c>
      <c r="H449" s="26" t="s">
        <v>13</v>
      </c>
      <c r="I449" s="26" t="s">
        <v>3924</v>
      </c>
      <c r="J449" s="26" t="s">
        <v>7395</v>
      </c>
      <c r="K449" s="26" t="s">
        <v>6445</v>
      </c>
      <c r="L449" s="26" t="s">
        <v>6723</v>
      </c>
      <c r="M449" s="55" t="s">
        <v>7407</v>
      </c>
      <c r="N449" s="26" t="s">
        <v>3924</v>
      </c>
    </row>
    <row r="450" spans="1:14" ht="75" customHeight="1" thickTop="1" thickBot="1">
      <c r="A450" s="26">
        <v>448</v>
      </c>
      <c r="B450" s="26">
        <v>452</v>
      </c>
      <c r="C450" s="55" t="s">
        <v>7406</v>
      </c>
      <c r="D450" s="56" t="s">
        <v>26</v>
      </c>
      <c r="E450" s="56" t="s">
        <v>1710</v>
      </c>
      <c r="F450" s="26" t="s">
        <v>3923</v>
      </c>
      <c r="G450" s="26" t="s">
        <v>1419</v>
      </c>
      <c r="H450" s="26" t="s">
        <v>13</v>
      </c>
      <c r="I450" s="26" t="s">
        <v>3924</v>
      </c>
      <c r="J450" s="26" t="s">
        <v>7395</v>
      </c>
      <c r="K450" s="26" t="s">
        <v>6445</v>
      </c>
      <c r="L450" s="26" t="s">
        <v>7408</v>
      </c>
      <c r="M450" s="55" t="s">
        <v>7409</v>
      </c>
      <c r="N450" s="26" t="s">
        <v>3924</v>
      </c>
    </row>
    <row r="451" spans="1:14" ht="75" customHeight="1" thickTop="1" thickBot="1">
      <c r="A451" s="34">
        <v>449</v>
      </c>
      <c r="B451" s="34">
        <v>453</v>
      </c>
      <c r="C451" s="55" t="s">
        <v>7410</v>
      </c>
      <c r="D451" s="56" t="s">
        <v>26</v>
      </c>
      <c r="E451" s="56" t="s">
        <v>1710</v>
      </c>
      <c r="F451" s="26" t="s">
        <v>3923</v>
      </c>
      <c r="G451" s="26" t="s">
        <v>1419</v>
      </c>
      <c r="H451" s="26" t="s">
        <v>13</v>
      </c>
      <c r="I451" s="26" t="s">
        <v>3924</v>
      </c>
      <c r="J451" s="26" t="s">
        <v>7395</v>
      </c>
      <c r="K451" s="26" t="s">
        <v>6445</v>
      </c>
      <c r="L451" s="26" t="s">
        <v>6652</v>
      </c>
      <c r="M451" s="55" t="s">
        <v>7411</v>
      </c>
      <c r="N451" s="26" t="s">
        <v>3924</v>
      </c>
    </row>
    <row r="452" spans="1:14" ht="75" customHeight="1" thickTop="1" thickBot="1">
      <c r="A452" s="26">
        <v>450</v>
      </c>
      <c r="B452" s="26">
        <v>454</v>
      </c>
      <c r="C452" s="55" t="s">
        <v>7412</v>
      </c>
      <c r="D452" s="56" t="s">
        <v>26</v>
      </c>
      <c r="E452" s="56" t="s">
        <v>1710</v>
      </c>
      <c r="F452" s="26" t="s">
        <v>3923</v>
      </c>
      <c r="G452" s="26" t="s">
        <v>1419</v>
      </c>
      <c r="H452" s="26" t="s">
        <v>13</v>
      </c>
      <c r="I452" s="26" t="s">
        <v>3924</v>
      </c>
      <c r="J452" s="26" t="s">
        <v>7413</v>
      </c>
      <c r="K452" s="26" t="s">
        <v>6445</v>
      </c>
      <c r="L452" s="26" t="s">
        <v>7414</v>
      </c>
      <c r="M452" s="55" t="s">
        <v>7415</v>
      </c>
      <c r="N452" s="26" t="s">
        <v>3924</v>
      </c>
    </row>
    <row r="453" spans="1:14" ht="75" customHeight="1" thickTop="1" thickBot="1">
      <c r="A453" s="34">
        <v>451</v>
      </c>
      <c r="B453" s="34">
        <v>455</v>
      </c>
      <c r="C453" s="55" t="s">
        <v>7416</v>
      </c>
      <c r="D453" s="56" t="s">
        <v>26</v>
      </c>
      <c r="E453" s="56" t="s">
        <v>1710</v>
      </c>
      <c r="F453" s="26" t="s">
        <v>3923</v>
      </c>
      <c r="G453" s="26" t="s">
        <v>1419</v>
      </c>
      <c r="H453" s="26" t="s">
        <v>13</v>
      </c>
      <c r="I453" s="26" t="s">
        <v>3924</v>
      </c>
      <c r="J453" s="26" t="s">
        <v>7413</v>
      </c>
      <c r="K453" s="26" t="s">
        <v>6434</v>
      </c>
      <c r="L453" s="26" t="s">
        <v>7417</v>
      </c>
      <c r="M453" s="55" t="s">
        <v>7418</v>
      </c>
      <c r="N453" s="26" t="s">
        <v>3924</v>
      </c>
    </row>
    <row r="454" spans="1:14" ht="75" customHeight="1" thickTop="1" thickBot="1">
      <c r="A454" s="26">
        <v>452</v>
      </c>
      <c r="B454" s="26">
        <v>456</v>
      </c>
      <c r="C454" s="55" t="s">
        <v>7416</v>
      </c>
      <c r="D454" s="56" t="s">
        <v>26</v>
      </c>
      <c r="E454" s="56" t="s">
        <v>1710</v>
      </c>
      <c r="F454" s="26" t="s">
        <v>3923</v>
      </c>
      <c r="G454" s="26" t="s">
        <v>1419</v>
      </c>
      <c r="H454" s="26" t="s">
        <v>13</v>
      </c>
      <c r="I454" s="26" t="s">
        <v>3924</v>
      </c>
      <c r="J454" s="26" t="s">
        <v>7413</v>
      </c>
      <c r="K454" s="26" t="s">
        <v>6445</v>
      </c>
      <c r="L454" s="26" t="s">
        <v>6451</v>
      </c>
      <c r="M454" s="55" t="s">
        <v>7419</v>
      </c>
      <c r="N454" s="26" t="s">
        <v>3924</v>
      </c>
    </row>
    <row r="455" spans="1:14" ht="75" customHeight="1" thickTop="1" thickBot="1">
      <c r="A455" s="34">
        <v>453</v>
      </c>
      <c r="B455" s="34">
        <v>457</v>
      </c>
      <c r="C455" s="55" t="s">
        <v>7416</v>
      </c>
      <c r="D455" s="56" t="s">
        <v>26</v>
      </c>
      <c r="E455" s="56" t="s">
        <v>1710</v>
      </c>
      <c r="F455" s="26" t="s">
        <v>3923</v>
      </c>
      <c r="G455" s="26" t="s">
        <v>1419</v>
      </c>
      <c r="H455" s="26" t="s">
        <v>13</v>
      </c>
      <c r="I455" s="26" t="s">
        <v>3924</v>
      </c>
      <c r="J455" s="26" t="s">
        <v>7413</v>
      </c>
      <c r="K455" s="26" t="s">
        <v>6552</v>
      </c>
      <c r="L455" s="26" t="s">
        <v>6435</v>
      </c>
      <c r="M455" s="55" t="s">
        <v>7420</v>
      </c>
      <c r="N455" s="26" t="s">
        <v>3924</v>
      </c>
    </row>
    <row r="456" spans="1:14" ht="75" customHeight="1" thickTop="1" thickBot="1">
      <c r="A456" s="26">
        <v>454</v>
      </c>
      <c r="B456" s="26">
        <v>458</v>
      </c>
      <c r="C456" s="55" t="s">
        <v>7421</v>
      </c>
      <c r="D456" s="56" t="s">
        <v>26</v>
      </c>
      <c r="E456" s="56" t="s">
        <v>6586</v>
      </c>
      <c r="F456" s="26" t="s">
        <v>3923</v>
      </c>
      <c r="G456" s="26" t="s">
        <v>12</v>
      </c>
      <c r="H456" s="26" t="s">
        <v>13</v>
      </c>
      <c r="I456" s="26" t="s">
        <v>3924</v>
      </c>
      <c r="J456" s="26" t="s">
        <v>7421</v>
      </c>
      <c r="K456" s="26" t="s">
        <v>6552</v>
      </c>
      <c r="L456" s="26" t="s">
        <v>3927</v>
      </c>
      <c r="M456" s="55" t="s">
        <v>7422</v>
      </c>
      <c r="N456" s="26" t="s">
        <v>3924</v>
      </c>
    </row>
    <row r="457" spans="1:14" ht="75" customHeight="1" thickTop="1" thickBot="1">
      <c r="A457" s="34">
        <v>455</v>
      </c>
      <c r="B457" s="34">
        <v>459</v>
      </c>
      <c r="C457" s="55" t="s">
        <v>7423</v>
      </c>
      <c r="D457" s="56" t="s">
        <v>26</v>
      </c>
      <c r="E457" s="56" t="s">
        <v>6586</v>
      </c>
      <c r="F457" s="26" t="s">
        <v>3923</v>
      </c>
      <c r="G457" s="26" t="s">
        <v>12</v>
      </c>
      <c r="H457" s="26" t="s">
        <v>13</v>
      </c>
      <c r="I457" s="26" t="s">
        <v>3924</v>
      </c>
      <c r="J457" s="26" t="s">
        <v>7423</v>
      </c>
      <c r="K457" s="26" t="s">
        <v>6552</v>
      </c>
      <c r="L457" s="26" t="s">
        <v>3927</v>
      </c>
      <c r="M457" s="55" t="s">
        <v>7424</v>
      </c>
      <c r="N457" s="26" t="s">
        <v>3924</v>
      </c>
    </row>
    <row r="458" spans="1:14" ht="75" customHeight="1" thickTop="1" thickBot="1">
      <c r="A458" s="26">
        <v>456</v>
      </c>
      <c r="B458" s="26">
        <v>460</v>
      </c>
      <c r="C458" s="55" t="s">
        <v>7425</v>
      </c>
      <c r="D458" s="56" t="s">
        <v>26</v>
      </c>
      <c r="E458" s="56" t="s">
        <v>1710</v>
      </c>
      <c r="F458" s="26" t="s">
        <v>3923</v>
      </c>
      <c r="G458" s="26" t="s">
        <v>1419</v>
      </c>
      <c r="H458" s="26" t="s">
        <v>13</v>
      </c>
      <c r="I458" s="26" t="s">
        <v>3924</v>
      </c>
      <c r="J458" s="26" t="s">
        <v>7425</v>
      </c>
      <c r="K458" s="26" t="s">
        <v>6434</v>
      </c>
      <c r="L458" s="26" t="s">
        <v>6435</v>
      </c>
      <c r="M458" s="55" t="s">
        <v>7426</v>
      </c>
      <c r="N458" s="26" t="s">
        <v>3924</v>
      </c>
    </row>
    <row r="459" spans="1:14" ht="75" customHeight="1" thickTop="1" thickBot="1">
      <c r="A459" s="34">
        <v>457</v>
      </c>
      <c r="B459" s="34">
        <v>461</v>
      </c>
      <c r="C459" s="55" t="s">
        <v>7427</v>
      </c>
      <c r="D459" s="56" t="s">
        <v>26</v>
      </c>
      <c r="E459" s="56" t="s">
        <v>27</v>
      </c>
      <c r="F459" s="26" t="s">
        <v>3995</v>
      </c>
      <c r="G459" s="26" t="s">
        <v>1419</v>
      </c>
      <c r="H459" s="26" t="s">
        <v>13</v>
      </c>
      <c r="I459" s="26" t="s">
        <v>3924</v>
      </c>
      <c r="J459" s="26" t="s">
        <v>7428</v>
      </c>
      <c r="K459" s="26" t="s">
        <v>6434</v>
      </c>
      <c r="L459" s="26" t="s">
        <v>3927</v>
      </c>
      <c r="M459" s="55" t="s">
        <v>7429</v>
      </c>
      <c r="N459" s="26" t="s">
        <v>3924</v>
      </c>
    </row>
    <row r="460" spans="1:14" ht="75" customHeight="1" thickTop="1" thickBot="1">
      <c r="A460" s="26">
        <v>458</v>
      </c>
      <c r="B460" s="26">
        <v>462</v>
      </c>
      <c r="C460" s="55" t="s">
        <v>7430</v>
      </c>
      <c r="D460" s="56" t="s">
        <v>26</v>
      </c>
      <c r="E460" s="56" t="s">
        <v>6448</v>
      </c>
      <c r="F460" s="26" t="s">
        <v>3923</v>
      </c>
      <c r="G460" s="26" t="s">
        <v>12</v>
      </c>
      <c r="H460" s="26" t="s">
        <v>13</v>
      </c>
      <c r="I460" s="26" t="s">
        <v>3924</v>
      </c>
      <c r="J460" s="26" t="s">
        <v>7431</v>
      </c>
      <c r="K460" s="26" t="s">
        <v>6445</v>
      </c>
      <c r="L460" s="26" t="s">
        <v>6435</v>
      </c>
      <c r="M460" s="55" t="s">
        <v>7432</v>
      </c>
      <c r="N460" s="26" t="s">
        <v>3924</v>
      </c>
    </row>
    <row r="461" spans="1:14" ht="75" customHeight="1" thickTop="1" thickBot="1">
      <c r="A461" s="34">
        <v>459</v>
      </c>
      <c r="B461" s="34">
        <v>463</v>
      </c>
      <c r="C461" s="55" t="s">
        <v>7430</v>
      </c>
      <c r="D461" s="56" t="s">
        <v>26</v>
      </c>
      <c r="E461" s="56" t="s">
        <v>6448</v>
      </c>
      <c r="F461" s="26" t="s">
        <v>3923</v>
      </c>
      <c r="G461" s="26" t="s">
        <v>12</v>
      </c>
      <c r="H461" s="26" t="s">
        <v>13</v>
      </c>
      <c r="I461" s="26" t="s">
        <v>3924</v>
      </c>
      <c r="J461" s="26" t="s">
        <v>7431</v>
      </c>
      <c r="K461" s="26" t="s">
        <v>3954</v>
      </c>
      <c r="L461" s="26" t="s">
        <v>6493</v>
      </c>
      <c r="M461" s="55" t="s">
        <v>7234</v>
      </c>
      <c r="N461" s="26" t="s">
        <v>3924</v>
      </c>
    </row>
    <row r="462" spans="1:14" ht="75" customHeight="1" thickTop="1" thickBot="1">
      <c r="A462" s="26">
        <v>460</v>
      </c>
      <c r="B462" s="26">
        <v>464</v>
      </c>
      <c r="C462" s="55" t="s">
        <v>7433</v>
      </c>
      <c r="D462" s="56" t="s">
        <v>26</v>
      </c>
      <c r="E462" s="56" t="s">
        <v>6448</v>
      </c>
      <c r="F462" s="26" t="s">
        <v>3923</v>
      </c>
      <c r="G462" s="26" t="s">
        <v>12</v>
      </c>
      <c r="H462" s="26" t="s">
        <v>13</v>
      </c>
      <c r="I462" s="26" t="s">
        <v>3924</v>
      </c>
      <c r="J462" s="26" t="s">
        <v>7434</v>
      </c>
      <c r="K462" s="26" t="s">
        <v>6434</v>
      </c>
      <c r="L462" s="26" t="s">
        <v>6493</v>
      </c>
      <c r="M462" s="55" t="s">
        <v>7435</v>
      </c>
      <c r="N462" s="26" t="s">
        <v>3924</v>
      </c>
    </row>
    <row r="463" spans="1:14" ht="75" customHeight="1" thickTop="1" thickBot="1">
      <c r="A463" s="34">
        <v>461</v>
      </c>
      <c r="B463" s="34">
        <v>465</v>
      </c>
      <c r="C463" s="55" t="s">
        <v>7433</v>
      </c>
      <c r="D463" s="56" t="s">
        <v>26</v>
      </c>
      <c r="E463" s="56" t="s">
        <v>6448</v>
      </c>
      <c r="F463" s="26" t="s">
        <v>3923</v>
      </c>
      <c r="G463" s="26" t="s">
        <v>12</v>
      </c>
      <c r="H463" s="26" t="s">
        <v>13</v>
      </c>
      <c r="I463" s="26" t="s">
        <v>3924</v>
      </c>
      <c r="J463" s="26" t="s">
        <v>7434</v>
      </c>
      <c r="K463" s="26" t="s">
        <v>3954</v>
      </c>
      <c r="L463" s="26" t="s">
        <v>6493</v>
      </c>
      <c r="M463" s="55" t="s">
        <v>7234</v>
      </c>
      <c r="N463" s="26" t="s">
        <v>3924</v>
      </c>
    </row>
    <row r="464" spans="1:14" ht="75" customHeight="1" thickTop="1" thickBot="1">
      <c r="A464" s="26">
        <v>462</v>
      </c>
      <c r="B464" s="26">
        <v>466</v>
      </c>
      <c r="C464" s="55" t="s">
        <v>7436</v>
      </c>
      <c r="D464" s="56" t="s">
        <v>26</v>
      </c>
      <c r="E464" s="56" t="s">
        <v>6448</v>
      </c>
      <c r="F464" s="26" t="s">
        <v>3923</v>
      </c>
      <c r="G464" s="26" t="s">
        <v>12</v>
      </c>
      <c r="H464" s="26" t="s">
        <v>13</v>
      </c>
      <c r="I464" s="26" t="s">
        <v>3924</v>
      </c>
      <c r="J464" s="26" t="s">
        <v>7434</v>
      </c>
      <c r="K464" s="26" t="s">
        <v>6434</v>
      </c>
      <c r="L464" s="26" t="s">
        <v>7385</v>
      </c>
      <c r="M464" s="55" t="s">
        <v>7437</v>
      </c>
      <c r="N464" s="26" t="s">
        <v>3924</v>
      </c>
    </row>
    <row r="465" spans="1:14" ht="75" customHeight="1" thickTop="1" thickBot="1">
      <c r="A465" s="34">
        <v>463</v>
      </c>
      <c r="B465" s="34">
        <v>467</v>
      </c>
      <c r="C465" s="55" t="s">
        <v>7438</v>
      </c>
      <c r="D465" s="56" t="s">
        <v>26</v>
      </c>
      <c r="E465" s="56" t="s">
        <v>6448</v>
      </c>
      <c r="F465" s="26" t="s">
        <v>3923</v>
      </c>
      <c r="G465" s="26" t="s">
        <v>12</v>
      </c>
      <c r="H465" s="26" t="s">
        <v>13</v>
      </c>
      <c r="I465" s="26" t="s">
        <v>3924</v>
      </c>
      <c r="J465" s="26" t="s">
        <v>7434</v>
      </c>
      <c r="K465" s="26" t="s">
        <v>6434</v>
      </c>
      <c r="L465" s="26" t="s">
        <v>6469</v>
      </c>
      <c r="M465" s="55" t="s">
        <v>7439</v>
      </c>
      <c r="N465" s="26" t="s">
        <v>3924</v>
      </c>
    </row>
    <row r="466" spans="1:14" ht="75" customHeight="1" thickTop="1" thickBot="1">
      <c r="A466" s="26">
        <v>464</v>
      </c>
      <c r="B466" s="26">
        <v>468</v>
      </c>
      <c r="C466" s="55" t="s">
        <v>7440</v>
      </c>
      <c r="D466" s="56" t="s">
        <v>26</v>
      </c>
      <c r="E466" s="56" t="s">
        <v>6448</v>
      </c>
      <c r="F466" s="26" t="s">
        <v>3923</v>
      </c>
      <c r="G466" s="26" t="s">
        <v>12</v>
      </c>
      <c r="H466" s="26" t="s">
        <v>13</v>
      </c>
      <c r="I466" s="26" t="s">
        <v>3924</v>
      </c>
      <c r="J466" s="26" t="s">
        <v>7434</v>
      </c>
      <c r="K466" s="26" t="s">
        <v>6434</v>
      </c>
      <c r="L466" s="26" t="s">
        <v>6455</v>
      </c>
      <c r="M466" s="55" t="s">
        <v>7441</v>
      </c>
      <c r="N466" s="26" t="s">
        <v>3924</v>
      </c>
    </row>
    <row r="467" spans="1:14" ht="75" customHeight="1" thickTop="1" thickBot="1">
      <c r="A467" s="34">
        <v>465</v>
      </c>
      <c r="B467" s="34">
        <v>469</v>
      </c>
      <c r="C467" s="55" t="s">
        <v>7442</v>
      </c>
      <c r="D467" s="56" t="s">
        <v>26</v>
      </c>
      <c r="E467" s="56" t="s">
        <v>6448</v>
      </c>
      <c r="F467" s="26" t="s">
        <v>3923</v>
      </c>
      <c r="G467" s="26" t="s">
        <v>12</v>
      </c>
      <c r="H467" s="26" t="s">
        <v>13</v>
      </c>
      <c r="I467" s="26" t="s">
        <v>3924</v>
      </c>
      <c r="J467" s="26" t="s">
        <v>7434</v>
      </c>
      <c r="K467" s="26" t="s">
        <v>3954</v>
      </c>
      <c r="L467" s="26" t="s">
        <v>3927</v>
      </c>
      <c r="M467" s="55" t="s">
        <v>6907</v>
      </c>
      <c r="N467" s="26" t="s">
        <v>3924</v>
      </c>
    </row>
    <row r="468" spans="1:14" ht="75" customHeight="1" thickTop="1" thickBot="1">
      <c r="A468" s="26">
        <v>466</v>
      </c>
      <c r="B468" s="26">
        <v>470</v>
      </c>
      <c r="C468" s="55" t="s">
        <v>7443</v>
      </c>
      <c r="D468" s="56" t="s">
        <v>26</v>
      </c>
      <c r="E468" s="56" t="s">
        <v>6448</v>
      </c>
      <c r="F468" s="26" t="s">
        <v>3923</v>
      </c>
      <c r="G468" s="26" t="s">
        <v>12</v>
      </c>
      <c r="H468" s="26" t="s">
        <v>13</v>
      </c>
      <c r="I468" s="26" t="s">
        <v>3924</v>
      </c>
      <c r="J468" s="26" t="s">
        <v>7434</v>
      </c>
      <c r="K468" s="26" t="s">
        <v>6440</v>
      </c>
      <c r="L468" s="26" t="s">
        <v>6455</v>
      </c>
      <c r="M468" s="55" t="s">
        <v>7444</v>
      </c>
      <c r="N468" s="26" t="s">
        <v>3924</v>
      </c>
    </row>
    <row r="469" spans="1:14" ht="75" customHeight="1" thickTop="1" thickBot="1">
      <c r="A469" s="34">
        <v>467</v>
      </c>
      <c r="B469" s="34">
        <v>471</v>
      </c>
      <c r="C469" s="55" t="s">
        <v>7445</v>
      </c>
      <c r="D469" s="56" t="s">
        <v>26</v>
      </c>
      <c r="E469" s="56" t="s">
        <v>6448</v>
      </c>
      <c r="F469" s="26" t="s">
        <v>3923</v>
      </c>
      <c r="G469" s="26" t="s">
        <v>12</v>
      </c>
      <c r="H469" s="26" t="s">
        <v>13</v>
      </c>
      <c r="I469" s="26" t="s">
        <v>3924</v>
      </c>
      <c r="J469" s="26" t="s">
        <v>7434</v>
      </c>
      <c r="K469" s="26" t="s">
        <v>6445</v>
      </c>
      <c r="L469" s="26" t="s">
        <v>7352</v>
      </c>
      <c r="M469" s="55" t="s">
        <v>7446</v>
      </c>
      <c r="N469" s="26" t="s">
        <v>3924</v>
      </c>
    </row>
    <row r="470" spans="1:14" ht="75" customHeight="1" thickTop="1" thickBot="1">
      <c r="A470" s="26">
        <v>468</v>
      </c>
      <c r="B470" s="26">
        <v>472</v>
      </c>
      <c r="C470" s="55" t="s">
        <v>7445</v>
      </c>
      <c r="D470" s="56" t="s">
        <v>26</v>
      </c>
      <c r="E470" s="56" t="s">
        <v>6448</v>
      </c>
      <c r="F470" s="26" t="s">
        <v>3923</v>
      </c>
      <c r="G470" s="26" t="s">
        <v>12</v>
      </c>
      <c r="H470" s="26" t="s">
        <v>13</v>
      </c>
      <c r="I470" s="26" t="s">
        <v>3924</v>
      </c>
      <c r="J470" s="26" t="s">
        <v>7445</v>
      </c>
      <c r="K470" s="26" t="s">
        <v>3954</v>
      </c>
      <c r="L470" s="26" t="s">
        <v>6493</v>
      </c>
      <c r="M470" s="55" t="s">
        <v>7234</v>
      </c>
      <c r="N470" s="26" t="s">
        <v>3924</v>
      </c>
    </row>
    <row r="471" spans="1:14" ht="75" customHeight="1" thickTop="1" thickBot="1">
      <c r="A471" s="34">
        <v>469</v>
      </c>
      <c r="B471" s="34">
        <v>473</v>
      </c>
      <c r="C471" s="55" t="s">
        <v>7447</v>
      </c>
      <c r="D471" s="56" t="s">
        <v>26</v>
      </c>
      <c r="E471" s="56" t="s">
        <v>27</v>
      </c>
      <c r="F471" s="26" t="s">
        <v>3995</v>
      </c>
      <c r="G471" s="26" t="s">
        <v>1419</v>
      </c>
      <c r="H471" s="26" t="s">
        <v>13</v>
      </c>
      <c r="I471" s="26" t="s">
        <v>3924</v>
      </c>
      <c r="J471" s="26" t="s">
        <v>7448</v>
      </c>
      <c r="K471" s="26" t="s">
        <v>6434</v>
      </c>
      <c r="L471" s="26" t="s">
        <v>6435</v>
      </c>
      <c r="M471" s="55" t="s">
        <v>7449</v>
      </c>
      <c r="N471" s="26" t="s">
        <v>3924</v>
      </c>
    </row>
    <row r="472" spans="1:14" ht="75" customHeight="1" thickTop="1" thickBot="1">
      <c r="A472" s="26">
        <v>470</v>
      </c>
      <c r="B472" s="26">
        <v>474</v>
      </c>
      <c r="C472" s="55" t="s">
        <v>7450</v>
      </c>
      <c r="D472" s="56" t="s">
        <v>26</v>
      </c>
      <c r="E472" s="56" t="s">
        <v>7451</v>
      </c>
      <c r="F472" s="26" t="s">
        <v>3923</v>
      </c>
      <c r="G472" s="26" t="s">
        <v>12</v>
      </c>
      <c r="H472" s="26" t="s">
        <v>13</v>
      </c>
      <c r="I472" s="26" t="s">
        <v>3924</v>
      </c>
      <c r="J472" s="26" t="s">
        <v>7452</v>
      </c>
      <c r="K472" s="26" t="s">
        <v>6434</v>
      </c>
      <c r="L472" s="26" t="s">
        <v>7453</v>
      </c>
      <c r="M472" s="55" t="s">
        <v>7454</v>
      </c>
      <c r="N472" s="26" t="s">
        <v>3924</v>
      </c>
    </row>
    <row r="473" spans="1:14" ht="75" customHeight="1" thickTop="1" thickBot="1">
      <c r="A473" s="34">
        <v>471</v>
      </c>
      <c r="B473" s="34">
        <v>475</v>
      </c>
      <c r="C473" s="55" t="s">
        <v>7455</v>
      </c>
      <c r="D473" s="56" t="s">
        <v>26</v>
      </c>
      <c r="E473" s="56" t="s">
        <v>7451</v>
      </c>
      <c r="F473" s="26" t="s">
        <v>3923</v>
      </c>
      <c r="G473" s="26" t="s">
        <v>1419</v>
      </c>
      <c r="H473" s="26" t="s">
        <v>13</v>
      </c>
      <c r="I473" s="26" t="s">
        <v>3924</v>
      </c>
      <c r="J473" s="26" t="s">
        <v>7448</v>
      </c>
      <c r="K473" s="26" t="s">
        <v>6434</v>
      </c>
      <c r="L473" s="26" t="s">
        <v>3927</v>
      </c>
      <c r="M473" s="55" t="s">
        <v>7456</v>
      </c>
      <c r="N473" s="26" t="s">
        <v>3924</v>
      </c>
    </row>
    <row r="474" spans="1:14" ht="75" customHeight="1" thickTop="1" thickBot="1">
      <c r="A474" s="26">
        <v>472</v>
      </c>
      <c r="B474" s="26">
        <v>476</v>
      </c>
      <c r="C474" s="55" t="s">
        <v>7457</v>
      </c>
      <c r="D474" s="56" t="s">
        <v>26</v>
      </c>
      <c r="E474" s="56" t="s">
        <v>7451</v>
      </c>
      <c r="F474" s="26" t="s">
        <v>3923</v>
      </c>
      <c r="G474" s="26" t="s">
        <v>1419</v>
      </c>
      <c r="H474" s="26" t="s">
        <v>13</v>
      </c>
      <c r="I474" s="26" t="s">
        <v>3924</v>
      </c>
      <c r="J474" s="26" t="s">
        <v>7448</v>
      </c>
      <c r="K474" s="26" t="s">
        <v>6434</v>
      </c>
      <c r="L474" s="26" t="s">
        <v>6455</v>
      </c>
      <c r="M474" s="55" t="s">
        <v>7173</v>
      </c>
      <c r="N474" s="26" t="s">
        <v>3924</v>
      </c>
    </row>
    <row r="475" spans="1:14" ht="75" customHeight="1" thickTop="1" thickBot="1">
      <c r="A475" s="34">
        <v>473</v>
      </c>
      <c r="B475" s="34">
        <v>477</v>
      </c>
      <c r="C475" s="55" t="s">
        <v>7458</v>
      </c>
      <c r="D475" s="56" t="s">
        <v>26</v>
      </c>
      <c r="E475" s="56" t="s">
        <v>7451</v>
      </c>
      <c r="F475" s="26" t="s">
        <v>3923</v>
      </c>
      <c r="G475" s="26" t="s">
        <v>1419</v>
      </c>
      <c r="H475" s="26" t="s">
        <v>13</v>
      </c>
      <c r="I475" s="26" t="s">
        <v>3924</v>
      </c>
      <c r="J475" s="26" t="s">
        <v>7458</v>
      </c>
      <c r="K475" s="26" t="s">
        <v>6434</v>
      </c>
      <c r="L475" s="26" t="s">
        <v>7459</v>
      </c>
      <c r="M475" s="55" t="s">
        <v>7460</v>
      </c>
      <c r="N475" s="26" t="s">
        <v>3924</v>
      </c>
    </row>
    <row r="476" spans="1:14" ht="75" customHeight="1" thickTop="1" thickBot="1">
      <c r="A476" s="26">
        <v>474</v>
      </c>
      <c r="B476" s="26">
        <v>478</v>
      </c>
      <c r="C476" s="55" t="s">
        <v>7461</v>
      </c>
      <c r="D476" s="56" t="s">
        <v>26</v>
      </c>
      <c r="E476" s="56" t="s">
        <v>6586</v>
      </c>
      <c r="F476" s="26" t="s">
        <v>3923</v>
      </c>
      <c r="G476" s="26" t="s">
        <v>12</v>
      </c>
      <c r="H476" s="26" t="s">
        <v>13</v>
      </c>
      <c r="I476" s="26" t="s">
        <v>3924</v>
      </c>
      <c r="J476" s="26" t="s">
        <v>7462</v>
      </c>
      <c r="K476" s="26" t="s">
        <v>6434</v>
      </c>
      <c r="L476" s="26" t="s">
        <v>3927</v>
      </c>
      <c r="M476" s="55" t="s">
        <v>7463</v>
      </c>
      <c r="N476" s="26" t="s">
        <v>3924</v>
      </c>
    </row>
    <row r="477" spans="1:14" ht="75" customHeight="1" thickTop="1" thickBot="1">
      <c r="A477" s="34">
        <v>475</v>
      </c>
      <c r="B477" s="34">
        <v>479</v>
      </c>
      <c r="C477" s="55" t="s">
        <v>7462</v>
      </c>
      <c r="D477" s="56" t="s">
        <v>26</v>
      </c>
      <c r="E477" s="56" t="s">
        <v>6586</v>
      </c>
      <c r="F477" s="26" t="s">
        <v>3923</v>
      </c>
      <c r="G477" s="26" t="s">
        <v>12</v>
      </c>
      <c r="H477" s="26" t="s">
        <v>13</v>
      </c>
      <c r="I477" s="26" t="s">
        <v>3924</v>
      </c>
      <c r="J477" s="26" t="s">
        <v>7462</v>
      </c>
      <c r="K477" s="26" t="s">
        <v>6445</v>
      </c>
      <c r="L477" s="26" t="s">
        <v>7464</v>
      </c>
      <c r="M477" s="55" t="s">
        <v>7465</v>
      </c>
      <c r="N477" s="26" t="s">
        <v>3924</v>
      </c>
    </row>
    <row r="478" spans="1:14" ht="75" customHeight="1" thickTop="1" thickBot="1">
      <c r="A478" s="26">
        <v>476</v>
      </c>
      <c r="B478" s="26">
        <v>480</v>
      </c>
      <c r="C478" s="55" t="s">
        <v>7466</v>
      </c>
      <c r="D478" s="56" t="s">
        <v>26</v>
      </c>
      <c r="E478" s="56" t="s">
        <v>6443</v>
      </c>
      <c r="F478" s="26" t="s">
        <v>3995</v>
      </c>
      <c r="G478" s="26" t="s">
        <v>1419</v>
      </c>
      <c r="H478" s="26" t="s">
        <v>13</v>
      </c>
      <c r="I478" s="26" t="s">
        <v>3924</v>
      </c>
      <c r="J478" s="26" t="s">
        <v>7467</v>
      </c>
      <c r="K478" s="26" t="s">
        <v>6445</v>
      </c>
      <c r="L478" s="26" t="s">
        <v>3927</v>
      </c>
      <c r="M478" s="55" t="s">
        <v>7468</v>
      </c>
      <c r="N478" s="26" t="s">
        <v>3924</v>
      </c>
    </row>
    <row r="479" spans="1:14" ht="75" customHeight="1" thickTop="1" thickBot="1">
      <c r="A479" s="34">
        <v>477</v>
      </c>
      <c r="B479" s="34">
        <v>481</v>
      </c>
      <c r="C479" s="55" t="s">
        <v>7469</v>
      </c>
      <c r="D479" s="56" t="s">
        <v>26</v>
      </c>
      <c r="E479" s="56" t="s">
        <v>2894</v>
      </c>
      <c r="F479" s="26" t="s">
        <v>3995</v>
      </c>
      <c r="G479" s="26" t="s">
        <v>12</v>
      </c>
      <c r="H479" s="26" t="s">
        <v>13</v>
      </c>
      <c r="I479" s="26" t="s">
        <v>3924</v>
      </c>
      <c r="J479" s="26" t="s">
        <v>7470</v>
      </c>
      <c r="K479" s="26" t="s">
        <v>6552</v>
      </c>
      <c r="L479" s="26" t="s">
        <v>3927</v>
      </c>
      <c r="M479" s="55" t="s">
        <v>7471</v>
      </c>
      <c r="N479" s="26" t="s">
        <v>3924</v>
      </c>
    </row>
    <row r="480" spans="1:14" ht="75" customHeight="1" thickTop="1" thickBot="1">
      <c r="A480" s="26">
        <v>478</v>
      </c>
      <c r="B480" s="26">
        <v>482</v>
      </c>
      <c r="C480" s="55" t="s">
        <v>7472</v>
      </c>
      <c r="D480" s="56" t="s">
        <v>26</v>
      </c>
      <c r="E480" s="56" t="s">
        <v>27</v>
      </c>
      <c r="F480" s="26" t="s">
        <v>3995</v>
      </c>
      <c r="G480" s="26" t="s">
        <v>1419</v>
      </c>
      <c r="H480" s="26" t="s">
        <v>13</v>
      </c>
      <c r="I480" s="26" t="s">
        <v>3924</v>
      </c>
      <c r="J480" s="26" t="s">
        <v>7473</v>
      </c>
      <c r="K480" s="26" t="s">
        <v>6434</v>
      </c>
      <c r="L480" s="26" t="s">
        <v>7474</v>
      </c>
      <c r="M480" s="55" t="s">
        <v>7468</v>
      </c>
      <c r="N480" s="26" t="s">
        <v>3924</v>
      </c>
    </row>
    <row r="481" spans="1:14" ht="75" customHeight="1" thickTop="1" thickBot="1">
      <c r="A481" s="34">
        <v>479</v>
      </c>
      <c r="B481" s="34">
        <v>483</v>
      </c>
      <c r="C481" s="55" t="s">
        <v>7475</v>
      </c>
      <c r="D481" s="56" t="s">
        <v>26</v>
      </c>
      <c r="E481" s="56" t="s">
        <v>6586</v>
      </c>
      <c r="F481" s="26" t="s">
        <v>3923</v>
      </c>
      <c r="G481" s="26" t="s">
        <v>12</v>
      </c>
      <c r="H481" s="26" t="s">
        <v>13</v>
      </c>
      <c r="I481" s="26" t="s">
        <v>3924</v>
      </c>
      <c r="J481" s="26" t="s">
        <v>7476</v>
      </c>
      <c r="K481" s="26" t="s">
        <v>6445</v>
      </c>
      <c r="L481" s="26" t="s">
        <v>6455</v>
      </c>
      <c r="M481" s="55" t="s">
        <v>7477</v>
      </c>
      <c r="N481" s="26" t="s">
        <v>3924</v>
      </c>
    </row>
    <row r="482" spans="1:14" ht="75" customHeight="1" thickTop="1" thickBot="1">
      <c r="A482" s="26">
        <v>480</v>
      </c>
      <c r="B482" s="26">
        <v>484</v>
      </c>
      <c r="C482" s="55" t="s">
        <v>7478</v>
      </c>
      <c r="D482" s="56" t="s">
        <v>26</v>
      </c>
      <c r="E482" s="56" t="s">
        <v>6586</v>
      </c>
      <c r="F482" s="26" t="s">
        <v>3923</v>
      </c>
      <c r="G482" s="26" t="s">
        <v>12</v>
      </c>
      <c r="H482" s="26" t="s">
        <v>13</v>
      </c>
      <c r="I482" s="26" t="s">
        <v>3924</v>
      </c>
      <c r="J482" s="26" t="s">
        <v>7479</v>
      </c>
      <c r="K482" s="26" t="s">
        <v>6445</v>
      </c>
      <c r="L482" s="26" t="s">
        <v>6877</v>
      </c>
      <c r="M482" s="55" t="s">
        <v>7480</v>
      </c>
      <c r="N482" s="26" t="s">
        <v>3924</v>
      </c>
    </row>
    <row r="483" spans="1:14" ht="75" customHeight="1" thickTop="1" thickBot="1">
      <c r="A483" s="34">
        <v>481</v>
      </c>
      <c r="B483" s="34">
        <v>485</v>
      </c>
      <c r="C483" s="55" t="s">
        <v>7476</v>
      </c>
      <c r="D483" s="56" t="s">
        <v>26</v>
      </c>
      <c r="E483" s="56" t="s">
        <v>6586</v>
      </c>
      <c r="F483" s="26" t="s">
        <v>3923</v>
      </c>
      <c r="G483" s="26" t="s">
        <v>12</v>
      </c>
      <c r="H483" s="26" t="s">
        <v>13</v>
      </c>
      <c r="I483" s="26" t="s">
        <v>3924</v>
      </c>
      <c r="J483" s="26" t="s">
        <v>7476</v>
      </c>
      <c r="K483" s="26" t="s">
        <v>6440</v>
      </c>
      <c r="L483" s="26" t="s">
        <v>6455</v>
      </c>
      <c r="M483" s="55" t="s">
        <v>7481</v>
      </c>
      <c r="N483" s="26" t="s">
        <v>3924</v>
      </c>
    </row>
    <row r="484" spans="1:14" ht="75" customHeight="1" thickTop="1" thickBot="1">
      <c r="A484" s="26">
        <v>482</v>
      </c>
      <c r="B484" s="26">
        <v>486</v>
      </c>
      <c r="C484" s="55" t="s">
        <v>7482</v>
      </c>
      <c r="D484" s="56" t="s">
        <v>26</v>
      </c>
      <c r="E484" s="56" t="s">
        <v>6448</v>
      </c>
      <c r="F484" s="26" t="s">
        <v>3923</v>
      </c>
      <c r="G484" s="26" t="s">
        <v>12</v>
      </c>
      <c r="H484" s="26" t="s">
        <v>13</v>
      </c>
      <c r="I484" s="26" t="s">
        <v>3924</v>
      </c>
      <c r="J484" s="26" t="s">
        <v>7483</v>
      </c>
      <c r="K484" s="26" t="s">
        <v>3954</v>
      </c>
      <c r="L484" s="26" t="s">
        <v>6493</v>
      </c>
      <c r="M484" s="55" t="s">
        <v>7484</v>
      </c>
      <c r="N484" s="26" t="s">
        <v>3924</v>
      </c>
    </row>
    <row r="485" spans="1:14" ht="75" customHeight="1" thickTop="1" thickBot="1">
      <c r="A485" s="34">
        <v>483</v>
      </c>
      <c r="B485" s="34">
        <v>487</v>
      </c>
      <c r="C485" s="55" t="s">
        <v>7483</v>
      </c>
      <c r="D485" s="56" t="s">
        <v>26</v>
      </c>
      <c r="E485" s="56" t="s">
        <v>6448</v>
      </c>
      <c r="F485" s="26" t="s">
        <v>3923</v>
      </c>
      <c r="G485" s="26" t="s">
        <v>12</v>
      </c>
      <c r="H485" s="26" t="s">
        <v>13</v>
      </c>
      <c r="I485" s="26" t="s">
        <v>3924</v>
      </c>
      <c r="J485" s="26" t="s">
        <v>7483</v>
      </c>
      <c r="K485" s="26" t="s">
        <v>3954</v>
      </c>
      <c r="L485" s="26" t="s">
        <v>6435</v>
      </c>
      <c r="M485" s="55" t="s">
        <v>7485</v>
      </c>
      <c r="N485" s="26" t="s">
        <v>3924</v>
      </c>
    </row>
    <row r="486" spans="1:14" ht="75" customHeight="1" thickTop="1" thickBot="1">
      <c r="A486" s="26">
        <v>484</v>
      </c>
      <c r="B486" s="26">
        <v>488</v>
      </c>
      <c r="C486" s="55" t="s">
        <v>7486</v>
      </c>
      <c r="D486" s="56" t="s">
        <v>26</v>
      </c>
      <c r="E486" s="56" t="s">
        <v>6448</v>
      </c>
      <c r="F486" s="26" t="s">
        <v>3923</v>
      </c>
      <c r="G486" s="26" t="s">
        <v>12</v>
      </c>
      <c r="H486" s="26" t="s">
        <v>13</v>
      </c>
      <c r="I486" s="26" t="s">
        <v>3924</v>
      </c>
      <c r="J486" s="26" t="s">
        <v>7487</v>
      </c>
      <c r="K486" s="26" t="s">
        <v>6483</v>
      </c>
      <c r="L486" s="26" t="s">
        <v>7488</v>
      </c>
      <c r="M486" s="55" t="s">
        <v>7489</v>
      </c>
      <c r="N486" s="26" t="s">
        <v>3924</v>
      </c>
    </row>
    <row r="487" spans="1:14" ht="75" customHeight="1" thickTop="1" thickBot="1">
      <c r="A487" s="34">
        <v>485</v>
      </c>
      <c r="B487" s="34">
        <v>489</v>
      </c>
      <c r="C487" s="55" t="s">
        <v>7487</v>
      </c>
      <c r="D487" s="56" t="s">
        <v>26</v>
      </c>
      <c r="E487" s="56" t="s">
        <v>6448</v>
      </c>
      <c r="F487" s="26" t="s">
        <v>3923</v>
      </c>
      <c r="G487" s="26" t="s">
        <v>12</v>
      </c>
      <c r="H487" s="26" t="s">
        <v>13</v>
      </c>
      <c r="I487" s="26" t="s">
        <v>3924</v>
      </c>
      <c r="J487" s="26" t="s">
        <v>7487</v>
      </c>
      <c r="K487" s="26" t="s">
        <v>3954</v>
      </c>
      <c r="L487" s="26" t="s">
        <v>6493</v>
      </c>
      <c r="M487" s="55" t="s">
        <v>7484</v>
      </c>
      <c r="N487" s="26" t="s">
        <v>3924</v>
      </c>
    </row>
    <row r="488" spans="1:14" ht="75" customHeight="1" thickTop="1" thickBot="1">
      <c r="A488" s="26">
        <v>486</v>
      </c>
      <c r="B488" s="26">
        <v>490</v>
      </c>
      <c r="C488" s="55" t="s">
        <v>7490</v>
      </c>
      <c r="D488" s="56" t="s">
        <v>26</v>
      </c>
      <c r="E488" s="56" t="s">
        <v>6448</v>
      </c>
      <c r="F488" s="26" t="s">
        <v>3923</v>
      </c>
      <c r="G488" s="26" t="s">
        <v>12</v>
      </c>
      <c r="H488" s="26" t="s">
        <v>13</v>
      </c>
      <c r="I488" s="26" t="s">
        <v>3924</v>
      </c>
      <c r="J488" s="26" t="s">
        <v>7491</v>
      </c>
      <c r="K488" s="26" t="s">
        <v>6483</v>
      </c>
      <c r="L488" s="26" t="s">
        <v>7488</v>
      </c>
      <c r="M488" s="55" t="s">
        <v>7492</v>
      </c>
      <c r="N488" s="26" t="s">
        <v>3924</v>
      </c>
    </row>
    <row r="489" spans="1:14" ht="75" customHeight="1" thickTop="1" thickBot="1">
      <c r="A489" s="34">
        <v>487</v>
      </c>
      <c r="B489" s="34">
        <v>491</v>
      </c>
      <c r="C489" s="55" t="s">
        <v>7491</v>
      </c>
      <c r="D489" s="56" t="s">
        <v>26</v>
      </c>
      <c r="E489" s="56" t="s">
        <v>6448</v>
      </c>
      <c r="F489" s="26" t="s">
        <v>3923</v>
      </c>
      <c r="G489" s="26" t="s">
        <v>12</v>
      </c>
      <c r="H489" s="26" t="s">
        <v>13</v>
      </c>
      <c r="I489" s="26" t="s">
        <v>3924</v>
      </c>
      <c r="J489" s="26" t="s">
        <v>7491</v>
      </c>
      <c r="K489" s="26" t="s">
        <v>3954</v>
      </c>
      <c r="L489" s="26" t="s">
        <v>6435</v>
      </c>
      <c r="M489" s="55" t="s">
        <v>7485</v>
      </c>
      <c r="N489" s="26" t="s">
        <v>3924</v>
      </c>
    </row>
    <row r="490" spans="1:14" ht="75" customHeight="1" thickTop="1" thickBot="1">
      <c r="A490" s="26">
        <v>488</v>
      </c>
      <c r="B490" s="26">
        <v>492</v>
      </c>
      <c r="C490" s="55" t="s">
        <v>7493</v>
      </c>
      <c r="D490" s="56" t="s">
        <v>26</v>
      </c>
      <c r="E490" s="56" t="s">
        <v>6448</v>
      </c>
      <c r="F490" s="26" t="s">
        <v>3923</v>
      </c>
      <c r="G490" s="26" t="s">
        <v>12</v>
      </c>
      <c r="H490" s="26" t="s">
        <v>13</v>
      </c>
      <c r="I490" s="26" t="s">
        <v>3924</v>
      </c>
      <c r="J490" s="26" t="s">
        <v>7494</v>
      </c>
      <c r="K490" s="26" t="s">
        <v>3954</v>
      </c>
      <c r="L490" s="26" t="s">
        <v>6493</v>
      </c>
      <c r="M490" s="55" t="s">
        <v>7484</v>
      </c>
      <c r="N490" s="26" t="s">
        <v>3924</v>
      </c>
    </row>
    <row r="491" spans="1:14" ht="75" customHeight="1" thickTop="1" thickBot="1">
      <c r="A491" s="34">
        <v>489</v>
      </c>
      <c r="B491" s="34">
        <v>493</v>
      </c>
      <c r="C491" s="55" t="s">
        <v>7495</v>
      </c>
      <c r="D491" s="56" t="s">
        <v>26</v>
      </c>
      <c r="E491" s="56" t="s">
        <v>6448</v>
      </c>
      <c r="F491" s="26" t="s">
        <v>3923</v>
      </c>
      <c r="G491" s="26" t="s">
        <v>12</v>
      </c>
      <c r="H491" s="26" t="s">
        <v>13</v>
      </c>
      <c r="I491" s="26" t="s">
        <v>3924</v>
      </c>
      <c r="J491" s="26" t="s">
        <v>7496</v>
      </c>
      <c r="K491" s="26" t="s">
        <v>6440</v>
      </c>
      <c r="L491" s="26" t="s">
        <v>6805</v>
      </c>
      <c r="M491" s="55" t="s">
        <v>7497</v>
      </c>
      <c r="N491" s="26" t="s">
        <v>3924</v>
      </c>
    </row>
    <row r="492" spans="1:14" ht="75" customHeight="1" thickTop="1" thickBot="1">
      <c r="A492" s="26">
        <v>490</v>
      </c>
      <c r="B492" s="26">
        <v>494</v>
      </c>
      <c r="C492" s="55" t="s">
        <v>7495</v>
      </c>
      <c r="D492" s="56" t="s">
        <v>26</v>
      </c>
      <c r="E492" s="56" t="s">
        <v>6448</v>
      </c>
      <c r="F492" s="26" t="s">
        <v>3923</v>
      </c>
      <c r="G492" s="26" t="s">
        <v>12</v>
      </c>
      <c r="H492" s="26" t="s">
        <v>13</v>
      </c>
      <c r="I492" s="26" t="s">
        <v>3924</v>
      </c>
      <c r="J492" s="26" t="s">
        <v>7496</v>
      </c>
      <c r="K492" s="26" t="s">
        <v>3954</v>
      </c>
      <c r="L492" s="26" t="s">
        <v>6435</v>
      </c>
      <c r="M492" s="55" t="s">
        <v>7498</v>
      </c>
      <c r="N492" s="26" t="s">
        <v>3924</v>
      </c>
    </row>
    <row r="493" spans="1:14" ht="75" customHeight="1" thickTop="1" thickBot="1">
      <c r="A493" s="34">
        <v>491</v>
      </c>
      <c r="B493" s="34">
        <v>495</v>
      </c>
      <c r="C493" s="55" t="s">
        <v>7496</v>
      </c>
      <c r="D493" s="56" t="s">
        <v>26</v>
      </c>
      <c r="E493" s="56" t="s">
        <v>6448</v>
      </c>
      <c r="F493" s="26" t="s">
        <v>3923</v>
      </c>
      <c r="G493" s="26" t="s">
        <v>12</v>
      </c>
      <c r="H493" s="26" t="s">
        <v>13</v>
      </c>
      <c r="I493" s="26" t="s">
        <v>3924</v>
      </c>
      <c r="J493" s="26" t="s">
        <v>7496</v>
      </c>
      <c r="K493" s="26" t="s">
        <v>6434</v>
      </c>
      <c r="L493" s="26" t="s">
        <v>6805</v>
      </c>
      <c r="M493" s="55" t="s">
        <v>7497</v>
      </c>
      <c r="N493" s="26" t="s">
        <v>3924</v>
      </c>
    </row>
    <row r="494" spans="1:14" ht="75" customHeight="1" thickTop="1" thickBot="1">
      <c r="A494" s="26">
        <v>492</v>
      </c>
      <c r="B494" s="26">
        <v>496</v>
      </c>
      <c r="C494" s="55" t="s">
        <v>7499</v>
      </c>
      <c r="D494" s="56" t="s">
        <v>26</v>
      </c>
      <c r="E494" s="56" t="s">
        <v>6448</v>
      </c>
      <c r="F494" s="26" t="s">
        <v>3923</v>
      </c>
      <c r="G494" s="26" t="s">
        <v>12</v>
      </c>
      <c r="H494" s="26" t="s">
        <v>13</v>
      </c>
      <c r="I494" s="26" t="s">
        <v>3924</v>
      </c>
      <c r="J494" s="26" t="s">
        <v>7499</v>
      </c>
      <c r="K494" s="26" t="s">
        <v>6483</v>
      </c>
      <c r="L494" s="26" t="s">
        <v>6451</v>
      </c>
      <c r="M494" s="55" t="s">
        <v>7500</v>
      </c>
      <c r="N494" s="26" t="s">
        <v>3924</v>
      </c>
    </row>
    <row r="495" spans="1:14" ht="75" customHeight="1" thickTop="1" thickBot="1">
      <c r="A495" s="34">
        <v>493</v>
      </c>
      <c r="B495" s="34">
        <v>497</v>
      </c>
      <c r="C495" s="55" t="s">
        <v>7501</v>
      </c>
      <c r="D495" s="56" t="s">
        <v>26</v>
      </c>
      <c r="E495" s="56" t="s">
        <v>6438</v>
      </c>
      <c r="F495" s="26" t="s">
        <v>3995</v>
      </c>
      <c r="G495" s="26" t="s">
        <v>1419</v>
      </c>
      <c r="H495" s="26" t="s">
        <v>13</v>
      </c>
      <c r="I495" s="26" t="s">
        <v>3924</v>
      </c>
      <c r="J495" s="26" t="s">
        <v>6444</v>
      </c>
      <c r="K495" s="26" t="s">
        <v>6440</v>
      </c>
      <c r="L495" s="26" t="s">
        <v>7502</v>
      </c>
      <c r="M495" s="55" t="s">
        <v>7503</v>
      </c>
      <c r="N495" s="26" t="s">
        <v>3924</v>
      </c>
    </row>
    <row r="496" spans="1:14" ht="75" customHeight="1" thickTop="1" thickBot="1">
      <c r="A496" s="26">
        <v>494</v>
      </c>
      <c r="B496" s="26">
        <v>498</v>
      </c>
      <c r="C496" s="55" t="s">
        <v>7504</v>
      </c>
      <c r="D496" s="56" t="s">
        <v>26</v>
      </c>
      <c r="E496" s="56" t="s">
        <v>7451</v>
      </c>
      <c r="F496" s="26" t="s">
        <v>3923</v>
      </c>
      <c r="G496" s="26" t="s">
        <v>1419</v>
      </c>
      <c r="H496" s="26" t="s">
        <v>13</v>
      </c>
      <c r="I496" s="26" t="s">
        <v>3924</v>
      </c>
      <c r="J496" s="26" t="s">
        <v>7505</v>
      </c>
      <c r="K496" s="26" t="s">
        <v>6434</v>
      </c>
      <c r="L496" s="26" t="s">
        <v>6435</v>
      </c>
      <c r="M496" s="55" t="s">
        <v>7506</v>
      </c>
      <c r="N496" s="26" t="s">
        <v>3924</v>
      </c>
    </row>
    <row r="497" spans="1:14" ht="75" customHeight="1" thickTop="1" thickBot="1">
      <c r="A497" s="34">
        <v>495</v>
      </c>
      <c r="B497" s="34">
        <v>499</v>
      </c>
      <c r="C497" s="55" t="s">
        <v>7507</v>
      </c>
      <c r="D497" s="56" t="s">
        <v>26</v>
      </c>
      <c r="E497" s="56" t="s">
        <v>7451</v>
      </c>
      <c r="F497" s="26" t="s">
        <v>3923</v>
      </c>
      <c r="G497" s="26" t="s">
        <v>1419</v>
      </c>
      <c r="H497" s="26" t="s">
        <v>13</v>
      </c>
      <c r="I497" s="26" t="s">
        <v>3924</v>
      </c>
      <c r="J497" s="26" t="s">
        <v>7508</v>
      </c>
      <c r="K497" s="26" t="s">
        <v>6434</v>
      </c>
      <c r="L497" s="26" t="s">
        <v>7509</v>
      </c>
      <c r="M497" s="55" t="s">
        <v>7506</v>
      </c>
      <c r="N497" s="26" t="s">
        <v>3924</v>
      </c>
    </row>
    <row r="498" spans="1:14" ht="75" customHeight="1" thickTop="1" thickBot="1">
      <c r="A498" s="26">
        <v>496</v>
      </c>
      <c r="B498" s="26">
        <v>500</v>
      </c>
      <c r="C498" s="55" t="s">
        <v>7507</v>
      </c>
      <c r="D498" s="56" t="s">
        <v>26</v>
      </c>
      <c r="E498" s="56" t="s">
        <v>7451</v>
      </c>
      <c r="F498" s="26" t="s">
        <v>3923</v>
      </c>
      <c r="G498" s="26" t="s">
        <v>1419</v>
      </c>
      <c r="H498" s="26" t="s">
        <v>13</v>
      </c>
      <c r="I498" s="26" t="s">
        <v>3924</v>
      </c>
      <c r="J498" s="26" t="s">
        <v>7508</v>
      </c>
      <c r="K498" s="26" t="s">
        <v>6434</v>
      </c>
      <c r="L498" s="26" t="s">
        <v>6593</v>
      </c>
      <c r="M498" s="55" t="s">
        <v>7510</v>
      </c>
      <c r="N498" s="26" t="s">
        <v>3924</v>
      </c>
    </row>
    <row r="499" spans="1:14" ht="75" customHeight="1" thickTop="1" thickBot="1">
      <c r="A499" s="34">
        <v>497</v>
      </c>
      <c r="B499" s="34">
        <v>501</v>
      </c>
      <c r="C499" s="55" t="s">
        <v>7511</v>
      </c>
      <c r="D499" s="56" t="s">
        <v>26</v>
      </c>
      <c r="E499" s="56" t="s">
        <v>7451</v>
      </c>
      <c r="F499" s="26" t="s">
        <v>3923</v>
      </c>
      <c r="G499" s="26" t="s">
        <v>1419</v>
      </c>
      <c r="H499" s="26" t="s">
        <v>13</v>
      </c>
      <c r="I499" s="26" t="s">
        <v>3924</v>
      </c>
      <c r="J499" s="26" t="s">
        <v>7512</v>
      </c>
      <c r="K499" s="26" t="s">
        <v>6434</v>
      </c>
      <c r="L499" s="26" t="s">
        <v>7398</v>
      </c>
      <c r="M499" s="55" t="s">
        <v>7513</v>
      </c>
      <c r="N499" s="26" t="s">
        <v>3924</v>
      </c>
    </row>
    <row r="500" spans="1:14" ht="75" customHeight="1" thickTop="1" thickBot="1">
      <c r="A500" s="26">
        <v>498</v>
      </c>
      <c r="B500" s="26">
        <v>502</v>
      </c>
      <c r="C500" s="55" t="s">
        <v>7511</v>
      </c>
      <c r="D500" s="56" t="s">
        <v>26</v>
      </c>
      <c r="E500" s="56" t="s">
        <v>7451</v>
      </c>
      <c r="F500" s="26" t="s">
        <v>3923</v>
      </c>
      <c r="G500" s="26" t="s">
        <v>1419</v>
      </c>
      <c r="H500" s="26" t="s">
        <v>13</v>
      </c>
      <c r="I500" s="26" t="s">
        <v>3924</v>
      </c>
      <c r="J500" s="26" t="s">
        <v>7512</v>
      </c>
      <c r="K500" s="26" t="s">
        <v>6434</v>
      </c>
      <c r="L500" s="26" t="s">
        <v>6805</v>
      </c>
      <c r="M500" s="55" t="s">
        <v>7506</v>
      </c>
      <c r="N500" s="26" t="s">
        <v>3924</v>
      </c>
    </row>
    <row r="501" spans="1:14" ht="75" customHeight="1" thickTop="1" thickBot="1">
      <c r="A501" s="34">
        <v>499</v>
      </c>
      <c r="B501" s="34">
        <v>503</v>
      </c>
      <c r="C501" s="55" t="s">
        <v>7514</v>
      </c>
      <c r="D501" s="56" t="s">
        <v>26</v>
      </c>
      <c r="E501" s="56" t="s">
        <v>7451</v>
      </c>
      <c r="F501" s="26" t="s">
        <v>3923</v>
      </c>
      <c r="G501" s="26" t="s">
        <v>1419</v>
      </c>
      <c r="H501" s="26" t="s">
        <v>13</v>
      </c>
      <c r="I501" s="26" t="s">
        <v>3924</v>
      </c>
      <c r="J501" s="26" t="s">
        <v>7512</v>
      </c>
      <c r="K501" s="26" t="s">
        <v>6434</v>
      </c>
      <c r="L501" s="26" t="s">
        <v>6805</v>
      </c>
      <c r="M501" s="55" t="s">
        <v>7515</v>
      </c>
      <c r="N501" s="26" t="s">
        <v>3924</v>
      </c>
    </row>
    <row r="502" spans="1:14" ht="75" customHeight="1" thickTop="1" thickBot="1">
      <c r="A502" s="26">
        <v>500</v>
      </c>
      <c r="B502" s="26">
        <v>504</v>
      </c>
      <c r="C502" s="55" t="s">
        <v>7514</v>
      </c>
      <c r="D502" s="56" t="s">
        <v>26</v>
      </c>
      <c r="E502" s="56" t="s">
        <v>7451</v>
      </c>
      <c r="F502" s="26" t="s">
        <v>3923</v>
      </c>
      <c r="G502" s="26" t="s">
        <v>1419</v>
      </c>
      <c r="H502" s="26" t="s">
        <v>13</v>
      </c>
      <c r="I502" s="26" t="s">
        <v>3924</v>
      </c>
      <c r="J502" s="26" t="s">
        <v>7516</v>
      </c>
      <c r="K502" s="26" t="s">
        <v>6445</v>
      </c>
      <c r="L502" s="26" t="s">
        <v>4082</v>
      </c>
      <c r="M502" s="55" t="s">
        <v>7517</v>
      </c>
      <c r="N502" s="26" t="s">
        <v>3924</v>
      </c>
    </row>
    <row r="503" spans="1:14" ht="75" customHeight="1" thickTop="1" thickBot="1">
      <c r="A503" s="34">
        <v>501</v>
      </c>
      <c r="B503" s="34">
        <v>505</v>
      </c>
      <c r="C503" s="55" t="s">
        <v>7518</v>
      </c>
      <c r="D503" s="56" t="s">
        <v>26</v>
      </c>
      <c r="E503" s="56" t="s">
        <v>7451</v>
      </c>
      <c r="F503" s="26" t="s">
        <v>3923</v>
      </c>
      <c r="G503" s="26" t="s">
        <v>1419</v>
      </c>
      <c r="H503" s="26" t="s">
        <v>13</v>
      </c>
      <c r="I503" s="26" t="s">
        <v>3924</v>
      </c>
      <c r="J503" s="26" t="s">
        <v>7516</v>
      </c>
      <c r="K503" s="26" t="s">
        <v>6445</v>
      </c>
      <c r="L503" s="26" t="s">
        <v>7408</v>
      </c>
      <c r="M503" s="55" t="s">
        <v>7519</v>
      </c>
      <c r="N503" s="26" t="s">
        <v>3924</v>
      </c>
    </row>
    <row r="504" spans="1:14" ht="75" customHeight="1" thickTop="1" thickBot="1">
      <c r="A504" s="26">
        <v>502</v>
      </c>
      <c r="B504" s="26">
        <v>506</v>
      </c>
      <c r="C504" s="55" t="s">
        <v>7518</v>
      </c>
      <c r="D504" s="56" t="s">
        <v>26</v>
      </c>
      <c r="E504" s="56" t="s">
        <v>7451</v>
      </c>
      <c r="F504" s="26" t="s">
        <v>3923</v>
      </c>
      <c r="G504" s="26" t="s">
        <v>1419</v>
      </c>
      <c r="H504" s="26" t="s">
        <v>13</v>
      </c>
      <c r="I504" s="26" t="s">
        <v>3924</v>
      </c>
      <c r="J504" s="26" t="s">
        <v>7516</v>
      </c>
      <c r="K504" s="26" t="s">
        <v>6434</v>
      </c>
      <c r="L504" s="26" t="s">
        <v>6435</v>
      </c>
      <c r="M504" s="55" t="s">
        <v>7520</v>
      </c>
      <c r="N504" s="26" t="s">
        <v>3924</v>
      </c>
    </row>
    <row r="505" spans="1:14" ht="75" customHeight="1" thickTop="1" thickBot="1">
      <c r="A505" s="34">
        <v>503</v>
      </c>
      <c r="B505" s="34">
        <v>507</v>
      </c>
      <c r="C505" s="55" t="s">
        <v>7521</v>
      </c>
      <c r="D505" s="56" t="s">
        <v>26</v>
      </c>
      <c r="E505" s="56" t="s">
        <v>7451</v>
      </c>
      <c r="F505" s="26" t="s">
        <v>3923</v>
      </c>
      <c r="G505" s="26" t="s">
        <v>1419</v>
      </c>
      <c r="H505" s="26" t="s">
        <v>13</v>
      </c>
      <c r="I505" s="26" t="s">
        <v>3924</v>
      </c>
      <c r="J505" s="26" t="s">
        <v>7516</v>
      </c>
      <c r="K505" s="26" t="s">
        <v>6434</v>
      </c>
      <c r="L505" s="26" t="s">
        <v>7352</v>
      </c>
      <c r="M505" s="55" t="s">
        <v>7522</v>
      </c>
      <c r="N505" s="26" t="s">
        <v>3924</v>
      </c>
    </row>
    <row r="506" spans="1:14" ht="75" customHeight="1" thickTop="1" thickBot="1">
      <c r="A506" s="26">
        <v>504</v>
      </c>
      <c r="B506" s="26">
        <v>508</v>
      </c>
      <c r="C506" s="55" t="s">
        <v>7521</v>
      </c>
      <c r="D506" s="56" t="s">
        <v>26</v>
      </c>
      <c r="E506" s="56" t="s">
        <v>7451</v>
      </c>
      <c r="F506" s="26" t="s">
        <v>3923</v>
      </c>
      <c r="G506" s="26" t="s">
        <v>1419</v>
      </c>
      <c r="H506" s="26" t="s">
        <v>13</v>
      </c>
      <c r="I506" s="26" t="s">
        <v>3924</v>
      </c>
      <c r="J506" s="26" t="s">
        <v>7523</v>
      </c>
      <c r="K506" s="26" t="s">
        <v>6445</v>
      </c>
      <c r="L506" s="26" t="s">
        <v>6435</v>
      </c>
      <c r="M506" s="55" t="s">
        <v>7524</v>
      </c>
      <c r="N506" s="26" t="s">
        <v>3924</v>
      </c>
    </row>
    <row r="507" spans="1:14" ht="75" customHeight="1" thickTop="1" thickBot="1">
      <c r="A507" s="34">
        <v>505</v>
      </c>
      <c r="B507" s="34">
        <v>509</v>
      </c>
      <c r="C507" s="55" t="s">
        <v>7525</v>
      </c>
      <c r="D507" s="56" t="s">
        <v>26</v>
      </c>
      <c r="E507" s="56" t="s">
        <v>7451</v>
      </c>
      <c r="F507" s="26" t="s">
        <v>3923</v>
      </c>
      <c r="G507" s="26" t="s">
        <v>1419</v>
      </c>
      <c r="H507" s="26" t="s">
        <v>13</v>
      </c>
      <c r="I507" s="26" t="s">
        <v>3924</v>
      </c>
      <c r="J507" s="26" t="s">
        <v>7523</v>
      </c>
      <c r="K507" s="26" t="s">
        <v>6434</v>
      </c>
      <c r="L507" s="26" t="s">
        <v>6435</v>
      </c>
      <c r="M507" s="55" t="s">
        <v>7524</v>
      </c>
      <c r="N507" s="26" t="s">
        <v>3924</v>
      </c>
    </row>
    <row r="508" spans="1:14" ht="75" customHeight="1" thickTop="1" thickBot="1">
      <c r="A508" s="26">
        <v>506</v>
      </c>
      <c r="B508" s="26">
        <v>510</v>
      </c>
      <c r="C508" s="55" t="s">
        <v>7526</v>
      </c>
      <c r="D508" s="56" t="s">
        <v>26</v>
      </c>
      <c r="E508" s="56" t="s">
        <v>7451</v>
      </c>
      <c r="F508" s="26" t="s">
        <v>3923</v>
      </c>
      <c r="G508" s="26" t="s">
        <v>1419</v>
      </c>
      <c r="H508" s="26" t="s">
        <v>13</v>
      </c>
      <c r="I508" s="26" t="s">
        <v>3924</v>
      </c>
      <c r="J508" s="26" t="s">
        <v>7523</v>
      </c>
      <c r="K508" s="26" t="s">
        <v>6483</v>
      </c>
      <c r="L508" s="26" t="s">
        <v>7527</v>
      </c>
      <c r="M508" s="55" t="s">
        <v>7528</v>
      </c>
      <c r="N508" s="26" t="s">
        <v>3924</v>
      </c>
    </row>
    <row r="509" spans="1:14" ht="75" customHeight="1" thickTop="1" thickBot="1">
      <c r="A509" s="34">
        <v>507</v>
      </c>
      <c r="B509" s="34">
        <v>511</v>
      </c>
      <c r="C509" s="55" t="s">
        <v>7529</v>
      </c>
      <c r="D509" s="56" t="s">
        <v>26</v>
      </c>
      <c r="E509" s="56" t="s">
        <v>7451</v>
      </c>
      <c r="F509" s="26" t="s">
        <v>3923</v>
      </c>
      <c r="G509" s="26" t="s">
        <v>1419</v>
      </c>
      <c r="H509" s="26" t="s">
        <v>13</v>
      </c>
      <c r="I509" s="26" t="s">
        <v>3924</v>
      </c>
      <c r="J509" s="26" t="s">
        <v>7530</v>
      </c>
      <c r="K509" s="26" t="s">
        <v>3954</v>
      </c>
      <c r="L509" s="26" t="s">
        <v>6451</v>
      </c>
      <c r="M509" s="55" t="s">
        <v>7531</v>
      </c>
      <c r="N509" s="26" t="s">
        <v>3924</v>
      </c>
    </row>
    <row r="510" spans="1:14" ht="75" customHeight="1" thickTop="1" thickBot="1">
      <c r="A510" s="26">
        <v>508</v>
      </c>
      <c r="B510" s="26">
        <v>512</v>
      </c>
      <c r="C510" s="55" t="s">
        <v>7529</v>
      </c>
      <c r="D510" s="56" t="s">
        <v>26</v>
      </c>
      <c r="E510" s="56" t="s">
        <v>7451</v>
      </c>
      <c r="F510" s="26" t="s">
        <v>3923</v>
      </c>
      <c r="G510" s="26" t="s">
        <v>1419</v>
      </c>
      <c r="H510" s="26" t="s">
        <v>13</v>
      </c>
      <c r="I510" s="26" t="s">
        <v>3924</v>
      </c>
      <c r="J510" s="26" t="s">
        <v>7530</v>
      </c>
      <c r="K510" s="26" t="s">
        <v>3954</v>
      </c>
      <c r="L510" s="26" t="s">
        <v>6451</v>
      </c>
      <c r="M510" s="55" t="s">
        <v>7532</v>
      </c>
      <c r="N510" s="26" t="s">
        <v>3924</v>
      </c>
    </row>
    <row r="511" spans="1:14" ht="75" customHeight="1" thickTop="1" thickBot="1">
      <c r="A511" s="34">
        <v>509</v>
      </c>
      <c r="B511" s="34">
        <v>513</v>
      </c>
      <c r="C511" s="55" t="s">
        <v>7533</v>
      </c>
      <c r="D511" s="56" t="s">
        <v>26</v>
      </c>
      <c r="E511" s="56" t="s">
        <v>7451</v>
      </c>
      <c r="F511" s="26" t="s">
        <v>3923</v>
      </c>
      <c r="G511" s="26" t="s">
        <v>1419</v>
      </c>
      <c r="H511" s="26" t="s">
        <v>13</v>
      </c>
      <c r="I511" s="26" t="s">
        <v>3924</v>
      </c>
      <c r="J511" s="26" t="s">
        <v>7530</v>
      </c>
      <c r="K511" s="26" t="s">
        <v>3954</v>
      </c>
      <c r="L511" s="26" t="s">
        <v>6451</v>
      </c>
      <c r="M511" s="55" t="s">
        <v>7534</v>
      </c>
      <c r="N511" s="26" t="s">
        <v>3924</v>
      </c>
    </row>
    <row r="512" spans="1:14" ht="75" customHeight="1" thickTop="1" thickBot="1">
      <c r="A512" s="26">
        <v>510</v>
      </c>
      <c r="B512" s="26">
        <v>514</v>
      </c>
      <c r="C512" s="55" t="s">
        <v>7535</v>
      </c>
      <c r="D512" s="56" t="s">
        <v>26</v>
      </c>
      <c r="E512" s="56" t="s">
        <v>7451</v>
      </c>
      <c r="F512" s="26" t="s">
        <v>3923</v>
      </c>
      <c r="G512" s="26" t="s">
        <v>1419</v>
      </c>
      <c r="H512" s="26" t="s">
        <v>13</v>
      </c>
      <c r="I512" s="26" t="s">
        <v>3924</v>
      </c>
      <c r="J512" s="26" t="s">
        <v>7505</v>
      </c>
      <c r="K512" s="26" t="s">
        <v>6440</v>
      </c>
      <c r="L512" s="26" t="s">
        <v>7536</v>
      </c>
      <c r="M512" s="55" t="s">
        <v>7537</v>
      </c>
      <c r="N512" s="26" t="s">
        <v>3924</v>
      </c>
    </row>
    <row r="513" spans="1:14" ht="75" customHeight="1" thickTop="1" thickBot="1">
      <c r="A513" s="34">
        <v>511</v>
      </c>
      <c r="B513" s="34">
        <v>515</v>
      </c>
      <c r="C513" s="55" t="s">
        <v>7508</v>
      </c>
      <c r="D513" s="56" t="s">
        <v>26</v>
      </c>
      <c r="E513" s="56" t="s">
        <v>7451</v>
      </c>
      <c r="F513" s="26" t="s">
        <v>3923</v>
      </c>
      <c r="G513" s="26" t="s">
        <v>1419</v>
      </c>
      <c r="H513" s="26" t="s">
        <v>13</v>
      </c>
      <c r="I513" s="26" t="s">
        <v>3924</v>
      </c>
      <c r="J513" s="26" t="s">
        <v>7505</v>
      </c>
      <c r="K513" s="26" t="s">
        <v>3954</v>
      </c>
      <c r="L513" s="26" t="s">
        <v>6652</v>
      </c>
      <c r="M513" s="55" t="s">
        <v>7538</v>
      </c>
      <c r="N513" s="26" t="s">
        <v>3924</v>
      </c>
    </row>
    <row r="514" spans="1:14" ht="75" customHeight="1" thickTop="1" thickBot="1">
      <c r="A514" s="26">
        <v>512</v>
      </c>
      <c r="B514" s="26">
        <v>516</v>
      </c>
      <c r="C514" s="55" t="s">
        <v>7539</v>
      </c>
      <c r="D514" s="56" t="s">
        <v>26</v>
      </c>
      <c r="E514" s="56" t="s">
        <v>27</v>
      </c>
      <c r="F514" s="26" t="s">
        <v>3995</v>
      </c>
      <c r="G514" s="26" t="s">
        <v>1419</v>
      </c>
      <c r="H514" s="26" t="s">
        <v>13</v>
      </c>
      <c r="I514" s="26" t="s">
        <v>3924</v>
      </c>
      <c r="J514" s="26" t="s">
        <v>7540</v>
      </c>
      <c r="K514" s="26" t="s">
        <v>6434</v>
      </c>
      <c r="L514" s="26" t="s">
        <v>6435</v>
      </c>
      <c r="M514" s="55" t="s">
        <v>7541</v>
      </c>
      <c r="N514" s="26" t="s">
        <v>3924</v>
      </c>
    </row>
    <row r="515" spans="1:14" ht="75" customHeight="1" thickTop="1" thickBot="1">
      <c r="A515" s="34">
        <v>513</v>
      </c>
      <c r="B515" s="34">
        <v>517</v>
      </c>
      <c r="C515" s="55" t="s">
        <v>7542</v>
      </c>
      <c r="D515" s="56" t="s">
        <v>26</v>
      </c>
      <c r="E515" s="56" t="s">
        <v>6461</v>
      </c>
      <c r="F515" s="26" t="s">
        <v>3923</v>
      </c>
      <c r="G515" s="26" t="s">
        <v>74</v>
      </c>
      <c r="H515" s="26" t="s">
        <v>13</v>
      </c>
      <c r="I515" s="26" t="s">
        <v>3924</v>
      </c>
      <c r="J515" s="26" t="s">
        <v>7543</v>
      </c>
      <c r="K515" s="26" t="s">
        <v>6434</v>
      </c>
      <c r="L515" s="26" t="s">
        <v>7544</v>
      </c>
      <c r="M515" s="55" t="s">
        <v>7545</v>
      </c>
      <c r="N515" s="26" t="s">
        <v>3924</v>
      </c>
    </row>
    <row r="516" spans="1:14" ht="75" customHeight="1" thickTop="1" thickBot="1">
      <c r="A516" s="26">
        <v>514</v>
      </c>
      <c r="B516" s="26">
        <v>518</v>
      </c>
      <c r="C516" s="55" t="s">
        <v>7546</v>
      </c>
      <c r="D516" s="56" t="s">
        <v>26</v>
      </c>
      <c r="E516" s="56" t="s">
        <v>6480</v>
      </c>
      <c r="F516" s="26" t="s">
        <v>3923</v>
      </c>
      <c r="G516" s="26" t="s">
        <v>16</v>
      </c>
      <c r="H516" s="26" t="s">
        <v>13</v>
      </c>
      <c r="I516" s="26" t="s">
        <v>3924</v>
      </c>
      <c r="J516" s="26" t="s">
        <v>7546</v>
      </c>
      <c r="K516" s="26" t="s">
        <v>6434</v>
      </c>
      <c r="L516" s="26" t="s">
        <v>6435</v>
      </c>
      <c r="M516" s="55" t="s">
        <v>7547</v>
      </c>
      <c r="N516" s="26" t="s">
        <v>3924</v>
      </c>
    </row>
    <row r="517" spans="1:14" ht="75" customHeight="1" thickTop="1" thickBot="1">
      <c r="A517" s="34">
        <v>515</v>
      </c>
      <c r="B517" s="34">
        <v>519</v>
      </c>
      <c r="C517" s="55" t="s">
        <v>7546</v>
      </c>
      <c r="D517" s="56" t="s">
        <v>26</v>
      </c>
      <c r="E517" s="56" t="s">
        <v>6480</v>
      </c>
      <c r="F517" s="26" t="s">
        <v>3923</v>
      </c>
      <c r="G517" s="26" t="s">
        <v>16</v>
      </c>
      <c r="H517" s="26" t="s">
        <v>13</v>
      </c>
      <c r="I517" s="26" t="s">
        <v>3924</v>
      </c>
      <c r="J517" s="26" t="s">
        <v>7548</v>
      </c>
      <c r="K517" s="26" t="s">
        <v>6434</v>
      </c>
      <c r="L517" s="26" t="s">
        <v>6435</v>
      </c>
      <c r="M517" s="55" t="s">
        <v>7549</v>
      </c>
      <c r="N517" s="26" t="s">
        <v>3924</v>
      </c>
    </row>
    <row r="518" spans="1:14" ht="75" customHeight="1" thickTop="1" thickBot="1">
      <c r="A518" s="26">
        <v>516</v>
      </c>
      <c r="B518" s="26">
        <v>520</v>
      </c>
      <c r="C518" s="55" t="s">
        <v>7548</v>
      </c>
      <c r="D518" s="56" t="s">
        <v>26</v>
      </c>
      <c r="E518" s="56" t="s">
        <v>6480</v>
      </c>
      <c r="F518" s="26" t="s">
        <v>3923</v>
      </c>
      <c r="G518" s="26" t="s">
        <v>16</v>
      </c>
      <c r="H518" s="26" t="s">
        <v>13</v>
      </c>
      <c r="I518" s="26" t="s">
        <v>3924</v>
      </c>
      <c r="J518" s="26" t="s">
        <v>7548</v>
      </c>
      <c r="K518" s="26" t="s">
        <v>6434</v>
      </c>
      <c r="L518" s="26" t="s">
        <v>6435</v>
      </c>
      <c r="M518" s="55" t="s">
        <v>7550</v>
      </c>
      <c r="N518" s="26" t="s">
        <v>3924</v>
      </c>
    </row>
    <row r="519" spans="1:14" ht="75" customHeight="1" thickTop="1" thickBot="1">
      <c r="A519" s="34">
        <v>517</v>
      </c>
      <c r="B519" s="34">
        <v>521</v>
      </c>
      <c r="C519" s="55" t="s">
        <v>7551</v>
      </c>
      <c r="D519" s="56" t="s">
        <v>26</v>
      </c>
      <c r="E519" s="56" t="s">
        <v>6480</v>
      </c>
      <c r="F519" s="26" t="s">
        <v>3923</v>
      </c>
      <c r="G519" s="26" t="s">
        <v>16</v>
      </c>
      <c r="H519" s="26" t="s">
        <v>13</v>
      </c>
      <c r="I519" s="26" t="s">
        <v>3924</v>
      </c>
      <c r="J519" s="26" t="s">
        <v>7551</v>
      </c>
      <c r="K519" s="26" t="s">
        <v>6434</v>
      </c>
      <c r="L519" s="26" t="s">
        <v>6469</v>
      </c>
      <c r="M519" s="55" t="s">
        <v>7552</v>
      </c>
      <c r="N519" s="26" t="s">
        <v>3924</v>
      </c>
    </row>
    <row r="520" spans="1:14" ht="75" customHeight="1" thickTop="1" thickBot="1">
      <c r="A520" s="26">
        <v>518</v>
      </c>
      <c r="B520" s="26">
        <v>522</v>
      </c>
      <c r="C520" s="55" t="s">
        <v>7553</v>
      </c>
      <c r="D520" s="56" t="s">
        <v>26</v>
      </c>
      <c r="E520" s="56" t="s">
        <v>6480</v>
      </c>
      <c r="F520" s="26" t="s">
        <v>3923</v>
      </c>
      <c r="G520" s="26" t="s">
        <v>16</v>
      </c>
      <c r="H520" s="26" t="s">
        <v>13</v>
      </c>
      <c r="I520" s="26" t="s">
        <v>3924</v>
      </c>
      <c r="J520" s="26" t="s">
        <v>7553</v>
      </c>
      <c r="K520" s="26" t="s">
        <v>6434</v>
      </c>
      <c r="L520" s="26" t="s">
        <v>6469</v>
      </c>
      <c r="M520" s="55" t="s">
        <v>7554</v>
      </c>
      <c r="N520" s="26" t="s">
        <v>3924</v>
      </c>
    </row>
    <row r="521" spans="1:14" ht="75" customHeight="1" thickTop="1" thickBot="1">
      <c r="A521" s="34">
        <v>519</v>
      </c>
      <c r="B521" s="34">
        <v>523</v>
      </c>
      <c r="C521" s="55" t="s">
        <v>7555</v>
      </c>
      <c r="D521" s="56" t="s">
        <v>26</v>
      </c>
      <c r="E521" s="56" t="s">
        <v>6480</v>
      </c>
      <c r="F521" s="26" t="s">
        <v>3923</v>
      </c>
      <c r="G521" s="26" t="s">
        <v>16</v>
      </c>
      <c r="H521" s="26" t="s">
        <v>13</v>
      </c>
      <c r="I521" s="26" t="s">
        <v>3924</v>
      </c>
      <c r="J521" s="26" t="s">
        <v>7555</v>
      </c>
      <c r="K521" s="26" t="s">
        <v>6434</v>
      </c>
      <c r="L521" s="26" t="s">
        <v>6469</v>
      </c>
      <c r="M521" s="55" t="s">
        <v>7556</v>
      </c>
      <c r="N521" s="26" t="s">
        <v>3924</v>
      </c>
    </row>
    <row r="522" spans="1:14" ht="75" customHeight="1" thickTop="1" thickBot="1">
      <c r="A522" s="26">
        <v>520</v>
      </c>
      <c r="B522" s="26">
        <v>524</v>
      </c>
      <c r="C522" s="55" t="s">
        <v>7557</v>
      </c>
      <c r="D522" s="56" t="s">
        <v>26</v>
      </c>
      <c r="E522" s="56" t="s">
        <v>6480</v>
      </c>
      <c r="F522" s="26" t="s">
        <v>3923</v>
      </c>
      <c r="G522" s="26" t="s">
        <v>16</v>
      </c>
      <c r="H522" s="26" t="s">
        <v>13</v>
      </c>
      <c r="I522" s="26" t="s">
        <v>3924</v>
      </c>
      <c r="J522" s="26" t="s">
        <v>7557</v>
      </c>
      <c r="K522" s="26" t="s">
        <v>6434</v>
      </c>
      <c r="L522" s="26" t="s">
        <v>7249</v>
      </c>
      <c r="M522" s="55" t="s">
        <v>7558</v>
      </c>
      <c r="N522" s="26" t="s">
        <v>3924</v>
      </c>
    </row>
    <row r="523" spans="1:14" ht="75" customHeight="1" thickTop="1" thickBot="1">
      <c r="A523" s="34">
        <v>521</v>
      </c>
      <c r="B523" s="34">
        <v>525</v>
      </c>
      <c r="C523" s="55" t="s">
        <v>7557</v>
      </c>
      <c r="D523" s="56" t="s">
        <v>26</v>
      </c>
      <c r="E523" s="56" t="s">
        <v>6480</v>
      </c>
      <c r="F523" s="26" t="s">
        <v>3923</v>
      </c>
      <c r="G523" s="26" t="s">
        <v>16</v>
      </c>
      <c r="H523" s="26" t="s">
        <v>13</v>
      </c>
      <c r="I523" s="26" t="s">
        <v>3924</v>
      </c>
      <c r="J523" s="26" t="s">
        <v>7559</v>
      </c>
      <c r="K523" s="26" t="s">
        <v>6434</v>
      </c>
      <c r="L523" s="26" t="s">
        <v>7249</v>
      </c>
      <c r="M523" s="55" t="s">
        <v>7560</v>
      </c>
      <c r="N523" s="26" t="s">
        <v>3924</v>
      </c>
    </row>
    <row r="524" spans="1:14" ht="75" customHeight="1" thickTop="1" thickBot="1">
      <c r="A524" s="26">
        <v>522</v>
      </c>
      <c r="B524" s="26">
        <v>526</v>
      </c>
      <c r="C524" s="55" t="s">
        <v>7559</v>
      </c>
      <c r="D524" s="56" t="s">
        <v>26</v>
      </c>
      <c r="E524" s="56" t="s">
        <v>6480</v>
      </c>
      <c r="F524" s="26" t="s">
        <v>3923</v>
      </c>
      <c r="G524" s="26" t="s">
        <v>16</v>
      </c>
      <c r="H524" s="26" t="s">
        <v>13</v>
      </c>
      <c r="I524" s="26" t="s">
        <v>3924</v>
      </c>
      <c r="J524" s="26" t="s">
        <v>7559</v>
      </c>
      <c r="K524" s="26" t="s">
        <v>6434</v>
      </c>
      <c r="L524" s="26" t="s">
        <v>7561</v>
      </c>
      <c r="M524" s="55" t="s">
        <v>7562</v>
      </c>
      <c r="N524" s="26" t="s">
        <v>3924</v>
      </c>
    </row>
    <row r="525" spans="1:14" ht="75" customHeight="1" thickTop="1" thickBot="1">
      <c r="A525" s="34">
        <v>523</v>
      </c>
      <c r="B525" s="34">
        <v>527</v>
      </c>
      <c r="C525" s="55" t="s">
        <v>7563</v>
      </c>
      <c r="D525" s="56" t="s">
        <v>26</v>
      </c>
      <c r="E525" s="56" t="s">
        <v>6480</v>
      </c>
      <c r="F525" s="26" t="s">
        <v>3923</v>
      </c>
      <c r="G525" s="26" t="s">
        <v>16</v>
      </c>
      <c r="H525" s="26" t="s">
        <v>13</v>
      </c>
      <c r="I525" s="26" t="s">
        <v>3924</v>
      </c>
      <c r="J525" s="26" t="s">
        <v>7563</v>
      </c>
      <c r="K525" s="26" t="s">
        <v>6440</v>
      </c>
      <c r="L525" s="26" t="s">
        <v>7249</v>
      </c>
      <c r="M525" s="55" t="s">
        <v>7564</v>
      </c>
      <c r="N525" s="26" t="s">
        <v>3924</v>
      </c>
    </row>
    <row r="526" spans="1:14" ht="75" customHeight="1" thickTop="1" thickBot="1">
      <c r="A526" s="26">
        <v>524</v>
      </c>
      <c r="B526" s="26">
        <v>528</v>
      </c>
      <c r="C526" s="55" t="s">
        <v>7563</v>
      </c>
      <c r="D526" s="56" t="s">
        <v>26</v>
      </c>
      <c r="E526" s="56" t="s">
        <v>6480</v>
      </c>
      <c r="F526" s="26" t="s">
        <v>3923</v>
      </c>
      <c r="G526" s="26" t="s">
        <v>16</v>
      </c>
      <c r="H526" s="26" t="s">
        <v>13</v>
      </c>
      <c r="I526" s="26" t="s">
        <v>3924</v>
      </c>
      <c r="J526" s="26" t="s">
        <v>7563</v>
      </c>
      <c r="K526" s="26" t="s">
        <v>6440</v>
      </c>
      <c r="L526" s="26" t="s">
        <v>7561</v>
      </c>
      <c r="M526" s="55" t="s">
        <v>7564</v>
      </c>
      <c r="N526" s="26" t="s">
        <v>3924</v>
      </c>
    </row>
    <row r="527" spans="1:14" ht="75" customHeight="1" thickTop="1" thickBot="1">
      <c r="A527" s="34">
        <v>525</v>
      </c>
      <c r="B527" s="34">
        <v>529</v>
      </c>
      <c r="C527" s="55" t="s">
        <v>7565</v>
      </c>
      <c r="D527" s="56" t="s">
        <v>26</v>
      </c>
      <c r="E527" s="56" t="s">
        <v>6480</v>
      </c>
      <c r="F527" s="26" t="s">
        <v>3923</v>
      </c>
      <c r="G527" s="26" t="s">
        <v>16</v>
      </c>
      <c r="H527" s="26" t="s">
        <v>13</v>
      </c>
      <c r="I527" s="26" t="s">
        <v>3924</v>
      </c>
      <c r="J527" s="26" t="s">
        <v>7565</v>
      </c>
      <c r="K527" s="26" t="s">
        <v>6552</v>
      </c>
      <c r="L527" s="26" t="s">
        <v>6435</v>
      </c>
      <c r="M527" s="55" t="s">
        <v>7566</v>
      </c>
      <c r="N527" s="26" t="s">
        <v>3924</v>
      </c>
    </row>
    <row r="528" spans="1:14" ht="75" customHeight="1" thickTop="1" thickBot="1">
      <c r="A528" s="26">
        <v>526</v>
      </c>
      <c r="B528" s="26">
        <v>530</v>
      </c>
      <c r="C528" s="55" t="s">
        <v>7565</v>
      </c>
      <c r="D528" s="56" t="s">
        <v>26</v>
      </c>
      <c r="E528" s="56" t="s">
        <v>6480</v>
      </c>
      <c r="F528" s="26" t="s">
        <v>3923</v>
      </c>
      <c r="G528" s="26" t="s">
        <v>16</v>
      </c>
      <c r="H528" s="26" t="s">
        <v>13</v>
      </c>
      <c r="I528" s="26" t="s">
        <v>3924</v>
      </c>
      <c r="J528" s="26" t="s">
        <v>7567</v>
      </c>
      <c r="K528" s="26" t="s">
        <v>6552</v>
      </c>
      <c r="L528" s="26" t="s">
        <v>6435</v>
      </c>
      <c r="M528" s="55" t="s">
        <v>7568</v>
      </c>
      <c r="N528" s="26" t="s">
        <v>3924</v>
      </c>
    </row>
    <row r="529" spans="1:14" ht="75" customHeight="1" thickTop="1" thickBot="1">
      <c r="A529" s="34">
        <v>527</v>
      </c>
      <c r="B529" s="34">
        <v>531</v>
      </c>
      <c r="C529" s="55" t="s">
        <v>7567</v>
      </c>
      <c r="D529" s="56" t="s">
        <v>26</v>
      </c>
      <c r="E529" s="56" t="s">
        <v>6480</v>
      </c>
      <c r="F529" s="26" t="s">
        <v>3923</v>
      </c>
      <c r="G529" s="26" t="s">
        <v>16</v>
      </c>
      <c r="H529" s="26" t="s">
        <v>13</v>
      </c>
      <c r="I529" s="26" t="s">
        <v>3924</v>
      </c>
      <c r="J529" s="26" t="s">
        <v>7567</v>
      </c>
      <c r="K529" s="26" t="s">
        <v>6552</v>
      </c>
      <c r="L529" s="26" t="s">
        <v>6435</v>
      </c>
      <c r="M529" s="55" t="s">
        <v>7569</v>
      </c>
      <c r="N529" s="26" t="s">
        <v>3924</v>
      </c>
    </row>
    <row r="530" spans="1:14" ht="75" customHeight="1" thickTop="1" thickBot="1">
      <c r="A530" s="26">
        <v>528</v>
      </c>
      <c r="B530" s="26">
        <v>532</v>
      </c>
      <c r="C530" s="55" t="s">
        <v>7570</v>
      </c>
      <c r="D530" s="56" t="s">
        <v>26</v>
      </c>
      <c r="E530" s="56" t="s">
        <v>6480</v>
      </c>
      <c r="F530" s="26" t="s">
        <v>3923</v>
      </c>
      <c r="G530" s="26" t="s">
        <v>16</v>
      </c>
      <c r="H530" s="26" t="s">
        <v>13</v>
      </c>
      <c r="I530" s="26" t="s">
        <v>3924</v>
      </c>
      <c r="J530" s="26" t="s">
        <v>7570</v>
      </c>
      <c r="K530" s="26" t="s">
        <v>6552</v>
      </c>
      <c r="L530" s="26" t="s">
        <v>6469</v>
      </c>
      <c r="M530" s="55" t="s">
        <v>7566</v>
      </c>
      <c r="N530" s="26" t="s">
        <v>3924</v>
      </c>
    </row>
    <row r="531" spans="1:14" ht="75" customHeight="1" thickTop="1" thickBot="1">
      <c r="A531" s="34">
        <v>529</v>
      </c>
      <c r="B531" s="34">
        <v>533</v>
      </c>
      <c r="C531" s="55" t="s">
        <v>7570</v>
      </c>
      <c r="D531" s="56" t="s">
        <v>26</v>
      </c>
      <c r="E531" s="56" t="s">
        <v>6480</v>
      </c>
      <c r="F531" s="26" t="s">
        <v>3923</v>
      </c>
      <c r="G531" s="26" t="s">
        <v>16</v>
      </c>
      <c r="H531" s="26" t="s">
        <v>13</v>
      </c>
      <c r="I531" s="26" t="s">
        <v>3924</v>
      </c>
      <c r="J531" s="26" t="s">
        <v>7570</v>
      </c>
      <c r="K531" s="26" t="s">
        <v>6552</v>
      </c>
      <c r="L531" s="26" t="s">
        <v>6469</v>
      </c>
      <c r="M531" s="55" t="s">
        <v>7571</v>
      </c>
      <c r="N531" s="26" t="s">
        <v>3924</v>
      </c>
    </row>
    <row r="532" spans="1:14" ht="75" customHeight="1" thickTop="1" thickBot="1">
      <c r="A532" s="26">
        <v>530</v>
      </c>
      <c r="B532" s="26">
        <v>534</v>
      </c>
      <c r="C532" s="55" t="s">
        <v>7572</v>
      </c>
      <c r="D532" s="56" t="s">
        <v>26</v>
      </c>
      <c r="E532" s="56" t="s">
        <v>6480</v>
      </c>
      <c r="F532" s="26" t="s">
        <v>3923</v>
      </c>
      <c r="G532" s="26" t="s">
        <v>16</v>
      </c>
      <c r="H532" s="26" t="s">
        <v>13</v>
      </c>
      <c r="I532" s="26" t="s">
        <v>3924</v>
      </c>
      <c r="J532" s="26" t="s">
        <v>7572</v>
      </c>
      <c r="K532" s="26" t="s">
        <v>6552</v>
      </c>
      <c r="L532" s="26" t="s">
        <v>6469</v>
      </c>
      <c r="M532" s="55" t="s">
        <v>7573</v>
      </c>
      <c r="N532" s="26" t="s">
        <v>3924</v>
      </c>
    </row>
    <row r="533" spans="1:14" ht="75" customHeight="1" thickTop="1" thickBot="1">
      <c r="A533" s="34">
        <v>531</v>
      </c>
      <c r="B533" s="34">
        <v>535</v>
      </c>
      <c r="C533" s="55" t="s">
        <v>7574</v>
      </c>
      <c r="D533" s="56" t="s">
        <v>26</v>
      </c>
      <c r="E533" s="56" t="s">
        <v>6480</v>
      </c>
      <c r="F533" s="26" t="s">
        <v>3923</v>
      </c>
      <c r="G533" s="26" t="s">
        <v>16</v>
      </c>
      <c r="H533" s="26" t="s">
        <v>13</v>
      </c>
      <c r="I533" s="26" t="s">
        <v>3924</v>
      </c>
      <c r="J533" s="26" t="s">
        <v>7574</v>
      </c>
      <c r="K533" s="26" t="s">
        <v>6552</v>
      </c>
      <c r="L533" s="26" t="s">
        <v>6805</v>
      </c>
      <c r="M533" s="55" t="s">
        <v>7575</v>
      </c>
      <c r="N533" s="26" t="s">
        <v>3924</v>
      </c>
    </row>
    <row r="534" spans="1:14" ht="75" customHeight="1" thickTop="1" thickBot="1">
      <c r="A534" s="26">
        <v>532</v>
      </c>
      <c r="B534" s="26">
        <v>536</v>
      </c>
      <c r="C534" s="55" t="s">
        <v>7574</v>
      </c>
      <c r="D534" s="56" t="s">
        <v>26</v>
      </c>
      <c r="E534" s="56" t="s">
        <v>6480</v>
      </c>
      <c r="F534" s="26" t="s">
        <v>3923</v>
      </c>
      <c r="G534" s="26" t="s">
        <v>16</v>
      </c>
      <c r="H534" s="26" t="s">
        <v>13</v>
      </c>
      <c r="I534" s="26" t="s">
        <v>3924</v>
      </c>
      <c r="J534" s="26" t="s">
        <v>7576</v>
      </c>
      <c r="K534" s="26" t="s">
        <v>6552</v>
      </c>
      <c r="L534" s="26" t="s">
        <v>6805</v>
      </c>
      <c r="M534" s="55" t="s">
        <v>7571</v>
      </c>
      <c r="N534" s="26" t="s">
        <v>3924</v>
      </c>
    </row>
    <row r="535" spans="1:14" ht="75" customHeight="1" thickTop="1" thickBot="1">
      <c r="A535" s="34">
        <v>533</v>
      </c>
      <c r="B535" s="34">
        <v>537</v>
      </c>
      <c r="C535" s="55" t="s">
        <v>7576</v>
      </c>
      <c r="D535" s="56" t="s">
        <v>26</v>
      </c>
      <c r="E535" s="56" t="s">
        <v>6480</v>
      </c>
      <c r="F535" s="26" t="s">
        <v>3923</v>
      </c>
      <c r="G535" s="26" t="s">
        <v>16</v>
      </c>
      <c r="H535" s="26" t="s">
        <v>13</v>
      </c>
      <c r="I535" s="26" t="s">
        <v>3924</v>
      </c>
      <c r="J535" s="26" t="s">
        <v>7577</v>
      </c>
      <c r="K535" s="26" t="s">
        <v>6552</v>
      </c>
      <c r="L535" s="26" t="s">
        <v>6805</v>
      </c>
      <c r="M535" s="55" t="s">
        <v>7578</v>
      </c>
      <c r="N535" s="26" t="s">
        <v>3924</v>
      </c>
    </row>
    <row r="536" spans="1:14" ht="75" customHeight="1" thickTop="1" thickBot="1">
      <c r="A536" s="26">
        <v>534</v>
      </c>
      <c r="B536" s="26">
        <v>538</v>
      </c>
      <c r="C536" s="55" t="s">
        <v>7579</v>
      </c>
      <c r="D536" s="56" t="s">
        <v>26</v>
      </c>
      <c r="E536" s="56" t="s">
        <v>6480</v>
      </c>
      <c r="F536" s="26" t="s">
        <v>3923</v>
      </c>
      <c r="G536" s="26" t="s">
        <v>16</v>
      </c>
      <c r="H536" s="26" t="s">
        <v>13</v>
      </c>
      <c r="I536" s="26" t="s">
        <v>3924</v>
      </c>
      <c r="J536" s="26" t="s">
        <v>7579</v>
      </c>
      <c r="K536" s="26" t="s">
        <v>6552</v>
      </c>
      <c r="L536" s="26" t="s">
        <v>4942</v>
      </c>
      <c r="M536" s="55" t="s">
        <v>7580</v>
      </c>
      <c r="N536" s="26" t="s">
        <v>3924</v>
      </c>
    </row>
    <row r="537" spans="1:14" ht="75" customHeight="1" thickTop="1" thickBot="1">
      <c r="A537" s="34">
        <v>535</v>
      </c>
      <c r="B537" s="34">
        <v>539</v>
      </c>
      <c r="C537" s="55" t="s">
        <v>7581</v>
      </c>
      <c r="D537" s="56" t="s">
        <v>26</v>
      </c>
      <c r="E537" s="56" t="s">
        <v>6480</v>
      </c>
      <c r="F537" s="26" t="s">
        <v>3923</v>
      </c>
      <c r="G537" s="26" t="s">
        <v>16</v>
      </c>
      <c r="H537" s="26" t="s">
        <v>13</v>
      </c>
      <c r="I537" s="26" t="s">
        <v>3924</v>
      </c>
      <c r="J537" s="26" t="s">
        <v>7581</v>
      </c>
      <c r="K537" s="26" t="s">
        <v>6445</v>
      </c>
      <c r="L537" s="26" t="s">
        <v>6435</v>
      </c>
      <c r="M537" s="55" t="s">
        <v>7582</v>
      </c>
      <c r="N537" s="26" t="s">
        <v>3924</v>
      </c>
    </row>
    <row r="538" spans="1:14" ht="75" customHeight="1" thickTop="1" thickBot="1">
      <c r="A538" s="26">
        <v>536</v>
      </c>
      <c r="B538" s="26">
        <v>540</v>
      </c>
      <c r="C538" s="55" t="s">
        <v>7581</v>
      </c>
      <c r="D538" s="56" t="s">
        <v>26</v>
      </c>
      <c r="E538" s="56" t="s">
        <v>6480</v>
      </c>
      <c r="F538" s="26" t="s">
        <v>3923</v>
      </c>
      <c r="G538" s="26" t="s">
        <v>16</v>
      </c>
      <c r="H538" s="26" t="s">
        <v>13</v>
      </c>
      <c r="I538" s="26" t="s">
        <v>3924</v>
      </c>
      <c r="J538" s="26" t="s">
        <v>7583</v>
      </c>
      <c r="K538" s="26" t="s">
        <v>6445</v>
      </c>
      <c r="L538" s="26" t="s">
        <v>6435</v>
      </c>
      <c r="M538" s="55" t="s">
        <v>7584</v>
      </c>
      <c r="N538" s="26" t="s">
        <v>3924</v>
      </c>
    </row>
    <row r="539" spans="1:14" ht="75" customHeight="1" thickTop="1" thickBot="1">
      <c r="A539" s="34">
        <v>537</v>
      </c>
      <c r="B539" s="34">
        <v>541</v>
      </c>
      <c r="C539" s="55" t="s">
        <v>7583</v>
      </c>
      <c r="D539" s="56" t="s">
        <v>26</v>
      </c>
      <c r="E539" s="56" t="s">
        <v>6480</v>
      </c>
      <c r="F539" s="26" t="s">
        <v>3923</v>
      </c>
      <c r="G539" s="26" t="s">
        <v>16</v>
      </c>
      <c r="H539" s="26" t="s">
        <v>13</v>
      </c>
      <c r="I539" s="26" t="s">
        <v>3924</v>
      </c>
      <c r="J539" s="26" t="s">
        <v>7583</v>
      </c>
      <c r="K539" s="26" t="s">
        <v>6445</v>
      </c>
      <c r="L539" s="26" t="s">
        <v>6435</v>
      </c>
      <c r="M539" s="55" t="s">
        <v>7585</v>
      </c>
      <c r="N539" s="26" t="s">
        <v>3924</v>
      </c>
    </row>
    <row r="540" spans="1:14" ht="75" customHeight="1" thickTop="1" thickBot="1">
      <c r="A540" s="26">
        <v>538</v>
      </c>
      <c r="B540" s="26">
        <v>542</v>
      </c>
      <c r="C540" s="55" t="s">
        <v>7586</v>
      </c>
      <c r="D540" s="56" t="s">
        <v>26</v>
      </c>
      <c r="E540" s="56" t="s">
        <v>6480</v>
      </c>
      <c r="F540" s="26" t="s">
        <v>3923</v>
      </c>
      <c r="G540" s="26" t="s">
        <v>16</v>
      </c>
      <c r="H540" s="26" t="s">
        <v>13</v>
      </c>
      <c r="I540" s="26" t="s">
        <v>3924</v>
      </c>
      <c r="J540" s="26" t="s">
        <v>7586</v>
      </c>
      <c r="K540" s="26" t="s">
        <v>6445</v>
      </c>
      <c r="L540" s="26" t="s">
        <v>6469</v>
      </c>
      <c r="M540" s="55" t="s">
        <v>7587</v>
      </c>
      <c r="N540" s="26" t="s">
        <v>3924</v>
      </c>
    </row>
    <row r="541" spans="1:14" ht="75" customHeight="1" thickTop="1" thickBot="1">
      <c r="A541" s="34">
        <v>539</v>
      </c>
      <c r="B541" s="34">
        <v>543</v>
      </c>
      <c r="C541" s="55" t="s">
        <v>7586</v>
      </c>
      <c r="D541" s="56" t="s">
        <v>26</v>
      </c>
      <c r="E541" s="56" t="s">
        <v>6480</v>
      </c>
      <c r="F541" s="26" t="s">
        <v>3923</v>
      </c>
      <c r="G541" s="26" t="s">
        <v>16</v>
      </c>
      <c r="H541" s="26" t="s">
        <v>13</v>
      </c>
      <c r="I541" s="26" t="s">
        <v>3924</v>
      </c>
      <c r="J541" s="26" t="s">
        <v>7588</v>
      </c>
      <c r="K541" s="26" t="s">
        <v>6445</v>
      </c>
      <c r="L541" s="26" t="s">
        <v>6469</v>
      </c>
      <c r="M541" s="55" t="s">
        <v>7584</v>
      </c>
      <c r="N541" s="26" t="s">
        <v>3924</v>
      </c>
    </row>
    <row r="542" spans="1:14" ht="75" customHeight="1" thickTop="1" thickBot="1">
      <c r="A542" s="26">
        <v>540</v>
      </c>
      <c r="B542" s="26">
        <v>544</v>
      </c>
      <c r="C542" s="55" t="s">
        <v>7588</v>
      </c>
      <c r="D542" s="56" t="s">
        <v>26</v>
      </c>
      <c r="E542" s="56" t="s">
        <v>6480</v>
      </c>
      <c r="F542" s="26" t="s">
        <v>3923</v>
      </c>
      <c r="G542" s="26" t="s">
        <v>16</v>
      </c>
      <c r="H542" s="26" t="s">
        <v>13</v>
      </c>
      <c r="I542" s="26" t="s">
        <v>3924</v>
      </c>
      <c r="J542" s="26" t="s">
        <v>7588</v>
      </c>
      <c r="K542" s="26" t="s">
        <v>6445</v>
      </c>
      <c r="L542" s="26" t="s">
        <v>6469</v>
      </c>
      <c r="M542" s="55" t="s">
        <v>7589</v>
      </c>
      <c r="N542" s="26" t="s">
        <v>3924</v>
      </c>
    </row>
    <row r="543" spans="1:14" ht="75" customHeight="1" thickTop="1" thickBot="1">
      <c r="A543" s="34">
        <v>541</v>
      </c>
      <c r="B543" s="34">
        <v>545</v>
      </c>
      <c r="C543" s="55" t="s">
        <v>7590</v>
      </c>
      <c r="D543" s="56" t="s">
        <v>26</v>
      </c>
      <c r="E543" s="56" t="s">
        <v>6480</v>
      </c>
      <c r="F543" s="26" t="s">
        <v>3923</v>
      </c>
      <c r="G543" s="26" t="s">
        <v>16</v>
      </c>
      <c r="H543" s="26" t="s">
        <v>13</v>
      </c>
      <c r="I543" s="26" t="s">
        <v>3924</v>
      </c>
      <c r="J543" s="26" t="s">
        <v>7590</v>
      </c>
      <c r="K543" s="26" t="s">
        <v>6445</v>
      </c>
      <c r="L543" s="26" t="s">
        <v>6877</v>
      </c>
      <c r="M543" s="55" t="s">
        <v>7591</v>
      </c>
      <c r="N543" s="26" t="s">
        <v>3924</v>
      </c>
    </row>
    <row r="544" spans="1:14" ht="75" customHeight="1" thickTop="1" thickBot="1">
      <c r="A544" s="26">
        <v>542</v>
      </c>
      <c r="B544" s="26">
        <v>546</v>
      </c>
      <c r="C544" s="55" t="s">
        <v>7590</v>
      </c>
      <c r="D544" s="56" t="s">
        <v>26</v>
      </c>
      <c r="E544" s="56" t="s">
        <v>6480</v>
      </c>
      <c r="F544" s="26" t="s">
        <v>3923</v>
      </c>
      <c r="G544" s="26" t="s">
        <v>16</v>
      </c>
      <c r="H544" s="26" t="s">
        <v>13</v>
      </c>
      <c r="I544" s="26" t="s">
        <v>3924</v>
      </c>
      <c r="J544" s="26" t="s">
        <v>7592</v>
      </c>
      <c r="K544" s="26" t="s">
        <v>6445</v>
      </c>
      <c r="L544" s="26" t="s">
        <v>6805</v>
      </c>
      <c r="M544" s="55" t="s">
        <v>7584</v>
      </c>
      <c r="N544" s="26" t="s">
        <v>3924</v>
      </c>
    </row>
    <row r="545" spans="1:14" ht="75" customHeight="1" thickTop="1" thickBot="1">
      <c r="A545" s="34">
        <v>543</v>
      </c>
      <c r="B545" s="34">
        <v>547</v>
      </c>
      <c r="C545" s="55" t="s">
        <v>7592</v>
      </c>
      <c r="D545" s="56" t="s">
        <v>26</v>
      </c>
      <c r="E545" s="56" t="s">
        <v>6480</v>
      </c>
      <c r="F545" s="26" t="s">
        <v>3923</v>
      </c>
      <c r="G545" s="26" t="s">
        <v>16</v>
      </c>
      <c r="H545" s="26" t="s">
        <v>13</v>
      </c>
      <c r="I545" s="26" t="s">
        <v>3924</v>
      </c>
      <c r="J545" s="26" t="s">
        <v>7592</v>
      </c>
      <c r="K545" s="26" t="s">
        <v>6445</v>
      </c>
      <c r="L545" s="26" t="s">
        <v>6805</v>
      </c>
      <c r="M545" s="55" t="s">
        <v>7593</v>
      </c>
      <c r="N545" s="26" t="s">
        <v>3924</v>
      </c>
    </row>
    <row r="546" spans="1:14" ht="75" customHeight="1" thickTop="1" thickBot="1">
      <c r="A546" s="26">
        <v>544</v>
      </c>
      <c r="B546" s="26">
        <v>548</v>
      </c>
      <c r="C546" s="55" t="s">
        <v>7594</v>
      </c>
      <c r="D546" s="56" t="s">
        <v>26</v>
      </c>
      <c r="E546" s="56" t="s">
        <v>6480</v>
      </c>
      <c r="F546" s="26" t="s">
        <v>3923</v>
      </c>
      <c r="G546" s="26" t="s">
        <v>16</v>
      </c>
      <c r="H546" s="26" t="s">
        <v>13</v>
      </c>
      <c r="I546" s="26" t="s">
        <v>3924</v>
      </c>
      <c r="J546" s="26" t="s">
        <v>7594</v>
      </c>
      <c r="K546" s="26" t="s">
        <v>6445</v>
      </c>
      <c r="L546" s="26" t="s">
        <v>7249</v>
      </c>
      <c r="M546" s="55" t="s">
        <v>7595</v>
      </c>
      <c r="N546" s="26" t="s">
        <v>3924</v>
      </c>
    </row>
    <row r="547" spans="1:14" ht="75" customHeight="1" thickTop="1" thickBot="1">
      <c r="A547" s="34">
        <v>545</v>
      </c>
      <c r="B547" s="34">
        <v>549</v>
      </c>
      <c r="C547" s="55" t="s">
        <v>7594</v>
      </c>
      <c r="D547" s="56" t="s">
        <v>26</v>
      </c>
      <c r="E547" s="56" t="s">
        <v>6480</v>
      </c>
      <c r="F547" s="26" t="s">
        <v>3923</v>
      </c>
      <c r="G547" s="26" t="s">
        <v>16</v>
      </c>
      <c r="H547" s="26" t="s">
        <v>13</v>
      </c>
      <c r="I547" s="26" t="s">
        <v>3924</v>
      </c>
      <c r="J547" s="26" t="s">
        <v>7594</v>
      </c>
      <c r="K547" s="26" t="s">
        <v>6445</v>
      </c>
      <c r="L547" s="26" t="s">
        <v>7249</v>
      </c>
      <c r="M547" s="55" t="s">
        <v>7560</v>
      </c>
      <c r="N547" s="26" t="s">
        <v>3924</v>
      </c>
    </row>
    <row r="548" spans="1:14" ht="75" customHeight="1" thickTop="1" thickBot="1">
      <c r="A548" s="26">
        <v>546</v>
      </c>
      <c r="B548" s="26">
        <v>550</v>
      </c>
      <c r="C548" s="55" t="s">
        <v>7596</v>
      </c>
      <c r="D548" s="56" t="s">
        <v>26</v>
      </c>
      <c r="E548" s="56" t="s">
        <v>6480</v>
      </c>
      <c r="F548" s="26" t="s">
        <v>3923</v>
      </c>
      <c r="G548" s="26" t="s">
        <v>16</v>
      </c>
      <c r="H548" s="26" t="s">
        <v>13</v>
      </c>
      <c r="I548" s="26" t="s">
        <v>3924</v>
      </c>
      <c r="J548" s="26" t="s">
        <v>7596</v>
      </c>
      <c r="K548" s="26" t="s">
        <v>6445</v>
      </c>
      <c r="L548" s="26" t="s">
        <v>7561</v>
      </c>
      <c r="M548" s="55" t="s">
        <v>7560</v>
      </c>
      <c r="N548" s="26" t="s">
        <v>3924</v>
      </c>
    </row>
    <row r="549" spans="1:14" ht="75" customHeight="1" thickTop="1" thickBot="1">
      <c r="A549" s="34">
        <v>547</v>
      </c>
      <c r="B549" s="34">
        <v>551</v>
      </c>
      <c r="C549" s="55" t="s">
        <v>7596</v>
      </c>
      <c r="D549" s="56" t="s">
        <v>26</v>
      </c>
      <c r="E549" s="56" t="s">
        <v>6480</v>
      </c>
      <c r="F549" s="26" t="s">
        <v>3923</v>
      </c>
      <c r="G549" s="26" t="s">
        <v>16</v>
      </c>
      <c r="H549" s="26" t="s">
        <v>13</v>
      </c>
      <c r="I549" s="26" t="s">
        <v>3924</v>
      </c>
      <c r="J549" s="26" t="s">
        <v>7597</v>
      </c>
      <c r="K549" s="26" t="s">
        <v>6434</v>
      </c>
      <c r="L549" s="26" t="s">
        <v>6877</v>
      </c>
      <c r="M549" s="55" t="s">
        <v>7598</v>
      </c>
      <c r="N549" s="26" t="s">
        <v>3924</v>
      </c>
    </row>
    <row r="550" spans="1:14" ht="75" customHeight="1" thickTop="1" thickBot="1">
      <c r="A550" s="26">
        <v>548</v>
      </c>
      <c r="B550" s="26">
        <v>552</v>
      </c>
      <c r="C550" s="55" t="s">
        <v>7597</v>
      </c>
      <c r="D550" s="56" t="s">
        <v>26</v>
      </c>
      <c r="E550" s="56" t="s">
        <v>6480</v>
      </c>
      <c r="F550" s="26" t="s">
        <v>3923</v>
      </c>
      <c r="G550" s="26" t="s">
        <v>16</v>
      </c>
      <c r="H550" s="26" t="s">
        <v>13</v>
      </c>
      <c r="I550" s="26" t="s">
        <v>3924</v>
      </c>
      <c r="J550" s="26" t="s">
        <v>7597</v>
      </c>
      <c r="K550" s="26" t="s">
        <v>6434</v>
      </c>
      <c r="L550" s="26" t="s">
        <v>6805</v>
      </c>
      <c r="M550" s="55" t="s">
        <v>7599</v>
      </c>
      <c r="N550" s="26" t="s">
        <v>3924</v>
      </c>
    </row>
    <row r="551" spans="1:14" ht="75" customHeight="1" thickTop="1" thickBot="1">
      <c r="A551" s="34">
        <v>549</v>
      </c>
      <c r="B551" s="34">
        <v>553</v>
      </c>
      <c r="C551" s="55" t="s">
        <v>7597</v>
      </c>
      <c r="D551" s="56" t="s">
        <v>26</v>
      </c>
      <c r="E551" s="56" t="s">
        <v>6480</v>
      </c>
      <c r="F551" s="26" t="s">
        <v>3923</v>
      </c>
      <c r="G551" s="26" t="s">
        <v>16</v>
      </c>
      <c r="H551" s="26" t="s">
        <v>13</v>
      </c>
      <c r="I551" s="26" t="s">
        <v>3924</v>
      </c>
      <c r="J551" s="26" t="s">
        <v>7600</v>
      </c>
      <c r="K551" s="26" t="s">
        <v>6434</v>
      </c>
      <c r="L551" s="26" t="s">
        <v>6805</v>
      </c>
      <c r="M551" s="55" t="s">
        <v>7601</v>
      </c>
      <c r="N551" s="26" t="s">
        <v>3924</v>
      </c>
    </row>
    <row r="552" spans="1:14" ht="75" customHeight="1" thickTop="1" thickBot="1">
      <c r="A552" s="26">
        <v>550</v>
      </c>
      <c r="B552" s="26">
        <v>554</v>
      </c>
      <c r="C552" s="55" t="s">
        <v>7602</v>
      </c>
      <c r="D552" s="56" t="s">
        <v>26</v>
      </c>
      <c r="E552" s="56" t="s">
        <v>6480</v>
      </c>
      <c r="F552" s="26" t="s">
        <v>3923</v>
      </c>
      <c r="G552" s="26" t="s">
        <v>16</v>
      </c>
      <c r="H552" s="26" t="s">
        <v>13</v>
      </c>
      <c r="I552" s="26" t="s">
        <v>3924</v>
      </c>
      <c r="J552" s="26" t="s">
        <v>7602</v>
      </c>
      <c r="K552" s="26" t="s">
        <v>7603</v>
      </c>
      <c r="L552" s="26" t="s">
        <v>6451</v>
      </c>
      <c r="M552" s="55" t="s">
        <v>7604</v>
      </c>
      <c r="N552" s="26" t="s">
        <v>3924</v>
      </c>
    </row>
    <row r="553" spans="1:14" ht="75" customHeight="1" thickTop="1" thickBot="1">
      <c r="A553" s="34">
        <v>551</v>
      </c>
      <c r="B553" s="34">
        <v>555</v>
      </c>
      <c r="C553" s="55" t="s">
        <v>7605</v>
      </c>
      <c r="D553" s="56" t="s">
        <v>26</v>
      </c>
      <c r="E553" s="56" t="s">
        <v>6480</v>
      </c>
      <c r="F553" s="26" t="s">
        <v>3923</v>
      </c>
      <c r="G553" s="26" t="s">
        <v>16</v>
      </c>
      <c r="H553" s="26" t="s">
        <v>13</v>
      </c>
      <c r="I553" s="26" t="s">
        <v>3924</v>
      </c>
      <c r="J553" s="26" t="s">
        <v>7605</v>
      </c>
      <c r="K553" s="26" t="s">
        <v>6440</v>
      </c>
      <c r="L553" s="26" t="s">
        <v>7249</v>
      </c>
      <c r="M553" s="55" t="s">
        <v>7606</v>
      </c>
      <c r="N553" s="26" t="s">
        <v>3924</v>
      </c>
    </row>
    <row r="554" spans="1:14" ht="75" customHeight="1" thickTop="1" thickBot="1">
      <c r="A554" s="26">
        <v>552</v>
      </c>
      <c r="B554" s="26">
        <v>556</v>
      </c>
      <c r="C554" s="55" t="s">
        <v>7607</v>
      </c>
      <c r="D554" s="56" t="s">
        <v>26</v>
      </c>
      <c r="E554" s="56" t="s">
        <v>6480</v>
      </c>
      <c r="F554" s="26" t="s">
        <v>3923</v>
      </c>
      <c r="G554" s="26" t="s">
        <v>16</v>
      </c>
      <c r="H554" s="26" t="s">
        <v>13</v>
      </c>
      <c r="I554" s="26" t="s">
        <v>3924</v>
      </c>
      <c r="J554" s="26" t="s">
        <v>7607</v>
      </c>
      <c r="K554" s="26" t="s">
        <v>6434</v>
      </c>
      <c r="L554" s="26" t="s">
        <v>7608</v>
      </c>
      <c r="M554" s="55" t="s">
        <v>7609</v>
      </c>
      <c r="N554" s="26" t="s">
        <v>3924</v>
      </c>
    </row>
    <row r="555" spans="1:14" ht="75" customHeight="1" thickTop="1" thickBot="1">
      <c r="A555" s="34">
        <v>553</v>
      </c>
      <c r="B555" s="34">
        <v>557</v>
      </c>
      <c r="C555" s="55" t="s">
        <v>7610</v>
      </c>
      <c r="D555" s="56" t="s">
        <v>26</v>
      </c>
      <c r="E555" s="56" t="s">
        <v>6480</v>
      </c>
      <c r="F555" s="26" t="s">
        <v>3923</v>
      </c>
      <c r="G555" s="26" t="s">
        <v>16</v>
      </c>
      <c r="H555" s="26" t="s">
        <v>13</v>
      </c>
      <c r="I555" s="26" t="s">
        <v>3924</v>
      </c>
      <c r="J555" s="26" t="s">
        <v>7610</v>
      </c>
      <c r="K555" s="26" t="s">
        <v>6434</v>
      </c>
      <c r="L555" s="26" t="s">
        <v>7561</v>
      </c>
      <c r="M555" s="55" t="s">
        <v>7611</v>
      </c>
      <c r="N555" s="26" t="s">
        <v>3924</v>
      </c>
    </row>
    <row r="556" spans="1:14" ht="75" customHeight="1" thickTop="1" thickBot="1">
      <c r="A556" s="26">
        <v>554</v>
      </c>
      <c r="B556" s="26">
        <v>558</v>
      </c>
      <c r="C556" s="55" t="s">
        <v>7612</v>
      </c>
      <c r="D556" s="56" t="s">
        <v>26</v>
      </c>
      <c r="E556" s="56" t="s">
        <v>6480</v>
      </c>
      <c r="F556" s="26" t="s">
        <v>3923</v>
      </c>
      <c r="G556" s="26" t="s">
        <v>16</v>
      </c>
      <c r="H556" s="26" t="s">
        <v>13</v>
      </c>
      <c r="I556" s="26" t="s">
        <v>3924</v>
      </c>
      <c r="J556" s="26" t="s">
        <v>7612</v>
      </c>
      <c r="K556" s="26" t="s">
        <v>6434</v>
      </c>
      <c r="L556" s="26" t="s">
        <v>6435</v>
      </c>
      <c r="M556" s="55" t="s">
        <v>7613</v>
      </c>
      <c r="N556" s="26" t="s">
        <v>3924</v>
      </c>
    </row>
    <row r="557" spans="1:14" ht="75" customHeight="1" thickTop="1" thickBot="1">
      <c r="A557" s="34">
        <v>555</v>
      </c>
      <c r="B557" s="34">
        <v>559</v>
      </c>
      <c r="C557" s="55" t="s">
        <v>7614</v>
      </c>
      <c r="D557" s="56" t="s">
        <v>26</v>
      </c>
      <c r="E557" s="56" t="s">
        <v>6480</v>
      </c>
      <c r="F557" s="26" t="s">
        <v>3923</v>
      </c>
      <c r="G557" s="26" t="s">
        <v>16</v>
      </c>
      <c r="H557" s="26" t="s">
        <v>13</v>
      </c>
      <c r="I557" s="26" t="s">
        <v>3924</v>
      </c>
      <c r="J557" s="26" t="s">
        <v>7614</v>
      </c>
      <c r="K557" s="26" t="s">
        <v>6434</v>
      </c>
      <c r="L557" s="26" t="s">
        <v>6469</v>
      </c>
      <c r="M557" s="55" t="s">
        <v>7615</v>
      </c>
      <c r="N557" s="26" t="s">
        <v>3924</v>
      </c>
    </row>
    <row r="558" spans="1:14" ht="75" customHeight="1" thickTop="1" thickBot="1">
      <c r="A558" s="26">
        <v>556</v>
      </c>
      <c r="B558" s="26">
        <v>560</v>
      </c>
      <c r="C558" s="55" t="s">
        <v>7616</v>
      </c>
      <c r="D558" s="56" t="s">
        <v>26</v>
      </c>
      <c r="E558" s="56" t="s">
        <v>6480</v>
      </c>
      <c r="F558" s="26" t="s">
        <v>3923</v>
      </c>
      <c r="G558" s="26" t="s">
        <v>16</v>
      </c>
      <c r="H558" s="26" t="s">
        <v>13</v>
      </c>
      <c r="I558" s="26" t="s">
        <v>3924</v>
      </c>
      <c r="J558" s="26" t="s">
        <v>7616</v>
      </c>
      <c r="K558" s="26" t="s">
        <v>6434</v>
      </c>
      <c r="L558" s="26" t="s">
        <v>7617</v>
      </c>
      <c r="M558" s="55" t="s">
        <v>7012</v>
      </c>
      <c r="N558" s="26" t="s">
        <v>3924</v>
      </c>
    </row>
    <row r="559" spans="1:14" ht="75" customHeight="1" thickTop="1" thickBot="1">
      <c r="A559" s="34">
        <v>557</v>
      </c>
      <c r="B559" s="34">
        <v>561</v>
      </c>
      <c r="C559" s="55" t="s">
        <v>7618</v>
      </c>
      <c r="D559" s="56" t="s">
        <v>26</v>
      </c>
      <c r="E559" s="56" t="s">
        <v>6480</v>
      </c>
      <c r="F559" s="26" t="s">
        <v>3923</v>
      </c>
      <c r="G559" s="26" t="s">
        <v>16</v>
      </c>
      <c r="H559" s="26" t="s">
        <v>13</v>
      </c>
      <c r="I559" s="26" t="s">
        <v>3924</v>
      </c>
      <c r="J559" s="26" t="s">
        <v>7618</v>
      </c>
      <c r="K559" s="26" t="s">
        <v>6440</v>
      </c>
      <c r="L559" s="26" t="s">
        <v>7619</v>
      </c>
      <c r="M559" s="55" t="s">
        <v>7620</v>
      </c>
      <c r="N559" s="26" t="s">
        <v>3924</v>
      </c>
    </row>
    <row r="560" spans="1:14" ht="75" customHeight="1" thickTop="1" thickBot="1">
      <c r="A560" s="26">
        <v>558</v>
      </c>
      <c r="B560" s="26">
        <v>562</v>
      </c>
      <c r="C560" s="55" t="s">
        <v>7618</v>
      </c>
      <c r="D560" s="56" t="s">
        <v>26</v>
      </c>
      <c r="E560" s="56" t="s">
        <v>6480</v>
      </c>
      <c r="F560" s="26" t="s">
        <v>3923</v>
      </c>
      <c r="G560" s="26" t="s">
        <v>16</v>
      </c>
      <c r="H560" s="26" t="s">
        <v>13</v>
      </c>
      <c r="I560" s="26" t="s">
        <v>3924</v>
      </c>
      <c r="J560" s="26" t="s">
        <v>7618</v>
      </c>
      <c r="K560" s="26" t="s">
        <v>6440</v>
      </c>
      <c r="L560" s="26" t="s">
        <v>7621</v>
      </c>
      <c r="M560" s="55" t="s">
        <v>7622</v>
      </c>
      <c r="N560" s="26" t="s">
        <v>3924</v>
      </c>
    </row>
    <row r="561" spans="1:14" ht="75" customHeight="1" thickTop="1" thickBot="1">
      <c r="A561" s="34">
        <v>559</v>
      </c>
      <c r="B561" s="34">
        <v>563</v>
      </c>
      <c r="C561" s="55" t="s">
        <v>7623</v>
      </c>
      <c r="D561" s="56" t="s">
        <v>26</v>
      </c>
      <c r="E561" s="56" t="s">
        <v>6480</v>
      </c>
      <c r="F561" s="26" t="s">
        <v>3923</v>
      </c>
      <c r="G561" s="26" t="s">
        <v>16</v>
      </c>
      <c r="H561" s="26" t="s">
        <v>13</v>
      </c>
      <c r="I561" s="26" t="s">
        <v>3924</v>
      </c>
      <c r="J561" s="26" t="s">
        <v>7623</v>
      </c>
      <c r="K561" s="26" t="s">
        <v>6440</v>
      </c>
      <c r="L561" s="26" t="s">
        <v>7621</v>
      </c>
      <c r="M561" s="55" t="s">
        <v>7624</v>
      </c>
      <c r="N561" s="26" t="s">
        <v>3924</v>
      </c>
    </row>
    <row r="562" spans="1:14" ht="75" customHeight="1" thickTop="1" thickBot="1">
      <c r="A562" s="26">
        <v>560</v>
      </c>
      <c r="B562" s="26">
        <v>564</v>
      </c>
      <c r="C562" s="55" t="s">
        <v>7625</v>
      </c>
      <c r="D562" s="56" t="s">
        <v>26</v>
      </c>
      <c r="E562" s="56" t="s">
        <v>6480</v>
      </c>
      <c r="F562" s="26" t="s">
        <v>3923</v>
      </c>
      <c r="G562" s="26" t="s">
        <v>16</v>
      </c>
      <c r="H562" s="26" t="s">
        <v>13</v>
      </c>
      <c r="I562" s="26" t="s">
        <v>3924</v>
      </c>
      <c r="J562" s="26" t="s">
        <v>7625</v>
      </c>
      <c r="K562" s="26" t="s">
        <v>6445</v>
      </c>
      <c r="L562" s="26" t="s">
        <v>7249</v>
      </c>
      <c r="M562" s="55" t="s">
        <v>7626</v>
      </c>
      <c r="N562" s="26" t="s">
        <v>3924</v>
      </c>
    </row>
    <row r="563" spans="1:14" ht="75" customHeight="1" thickTop="1" thickBot="1">
      <c r="A563" s="34">
        <v>561</v>
      </c>
      <c r="B563" s="34">
        <v>565</v>
      </c>
      <c r="C563" s="55" t="s">
        <v>7627</v>
      </c>
      <c r="D563" s="56" t="s">
        <v>26</v>
      </c>
      <c r="E563" s="56" t="s">
        <v>6480</v>
      </c>
      <c r="F563" s="26" t="s">
        <v>3923</v>
      </c>
      <c r="G563" s="26" t="s">
        <v>16</v>
      </c>
      <c r="H563" s="26" t="s">
        <v>13</v>
      </c>
      <c r="I563" s="26" t="s">
        <v>3924</v>
      </c>
      <c r="J563" s="26" t="s">
        <v>7627</v>
      </c>
      <c r="K563" s="26" t="s">
        <v>6440</v>
      </c>
      <c r="L563" s="26" t="s">
        <v>7628</v>
      </c>
      <c r="M563" s="55" t="s">
        <v>7629</v>
      </c>
      <c r="N563" s="26" t="s">
        <v>3924</v>
      </c>
    </row>
    <row r="564" spans="1:14" ht="75" customHeight="1" thickTop="1" thickBot="1">
      <c r="A564" s="26">
        <v>562</v>
      </c>
      <c r="B564" s="26">
        <v>566</v>
      </c>
      <c r="C564" s="55" t="s">
        <v>7630</v>
      </c>
      <c r="D564" s="56" t="s">
        <v>26</v>
      </c>
      <c r="E564" s="56" t="s">
        <v>6480</v>
      </c>
      <c r="F564" s="26" t="s">
        <v>3923</v>
      </c>
      <c r="G564" s="26" t="s">
        <v>16</v>
      </c>
      <c r="H564" s="26" t="s">
        <v>13</v>
      </c>
      <c r="I564" s="26" t="s">
        <v>3924</v>
      </c>
      <c r="J564" s="26" t="s">
        <v>7630</v>
      </c>
      <c r="K564" s="26" t="s">
        <v>6440</v>
      </c>
      <c r="L564" s="26" t="s">
        <v>7631</v>
      </c>
      <c r="M564" s="55" t="s">
        <v>7632</v>
      </c>
      <c r="N564" s="26" t="s">
        <v>3924</v>
      </c>
    </row>
    <row r="565" spans="1:14" ht="75" customHeight="1" thickTop="1" thickBot="1">
      <c r="A565" s="34">
        <v>563</v>
      </c>
      <c r="B565" s="34">
        <v>567</v>
      </c>
      <c r="C565" s="55" t="s">
        <v>7633</v>
      </c>
      <c r="D565" s="56" t="s">
        <v>26</v>
      </c>
      <c r="E565" s="56" t="s">
        <v>6461</v>
      </c>
      <c r="F565" s="26" t="s">
        <v>3923</v>
      </c>
      <c r="G565" s="26" t="s">
        <v>74</v>
      </c>
      <c r="H565" s="26" t="s">
        <v>13</v>
      </c>
      <c r="I565" s="26" t="s">
        <v>3924</v>
      </c>
      <c r="J565" s="26" t="s">
        <v>7634</v>
      </c>
      <c r="K565" s="26" t="s">
        <v>6434</v>
      </c>
      <c r="L565" s="26" t="s">
        <v>6463</v>
      </c>
      <c r="M565" s="55" t="s">
        <v>7635</v>
      </c>
      <c r="N565" s="26" t="s">
        <v>3924</v>
      </c>
    </row>
    <row r="566" spans="1:14" ht="75" customHeight="1" thickTop="1" thickBot="1">
      <c r="A566" s="26">
        <v>564</v>
      </c>
      <c r="B566" s="26">
        <v>568</v>
      </c>
      <c r="C566" s="55" t="s">
        <v>7636</v>
      </c>
      <c r="D566" s="56" t="s">
        <v>26</v>
      </c>
      <c r="E566" s="56" t="s">
        <v>6443</v>
      </c>
      <c r="F566" s="26" t="s">
        <v>3995</v>
      </c>
      <c r="G566" s="26" t="s">
        <v>1419</v>
      </c>
      <c r="H566" s="26" t="s">
        <v>13</v>
      </c>
      <c r="I566" s="26" t="s">
        <v>3924</v>
      </c>
      <c r="J566" s="26" t="s">
        <v>7637</v>
      </c>
      <c r="K566" s="26" t="s">
        <v>6445</v>
      </c>
      <c r="L566" s="26" t="s">
        <v>3927</v>
      </c>
      <c r="M566" s="55" t="s">
        <v>7638</v>
      </c>
      <c r="N566" s="26" t="s">
        <v>7639</v>
      </c>
    </row>
    <row r="567" spans="1:14" ht="75" customHeight="1" thickTop="1" thickBot="1">
      <c r="A567" s="34">
        <v>565</v>
      </c>
      <c r="B567" s="34">
        <v>569</v>
      </c>
      <c r="C567" s="55" t="s">
        <v>7640</v>
      </c>
      <c r="D567" s="56" t="s">
        <v>26</v>
      </c>
      <c r="E567" s="56" t="s">
        <v>6461</v>
      </c>
      <c r="F567" s="26" t="s">
        <v>3923</v>
      </c>
      <c r="G567" s="26" t="s">
        <v>74</v>
      </c>
      <c r="H567" s="26" t="s">
        <v>13</v>
      </c>
      <c r="I567" s="26" t="s">
        <v>3924</v>
      </c>
      <c r="J567" s="26" t="s">
        <v>7641</v>
      </c>
      <c r="K567" s="26" t="s">
        <v>6434</v>
      </c>
      <c r="L567" s="26" t="s">
        <v>6463</v>
      </c>
      <c r="M567" s="55" t="s">
        <v>7642</v>
      </c>
      <c r="N567" s="26" t="s">
        <v>3924</v>
      </c>
    </row>
    <row r="568" spans="1:14" ht="75" customHeight="1" thickTop="1" thickBot="1">
      <c r="A568" s="26">
        <v>566</v>
      </c>
      <c r="B568" s="26">
        <v>570</v>
      </c>
      <c r="C568" s="55" t="s">
        <v>7643</v>
      </c>
      <c r="D568" s="56" t="s">
        <v>26</v>
      </c>
      <c r="E568" s="56" t="s">
        <v>6443</v>
      </c>
      <c r="F568" s="26" t="s">
        <v>3995</v>
      </c>
      <c r="G568" s="26" t="s">
        <v>1419</v>
      </c>
      <c r="H568" s="26" t="s">
        <v>13</v>
      </c>
      <c r="I568" s="26" t="s">
        <v>3924</v>
      </c>
      <c r="J568" s="26" t="s">
        <v>7644</v>
      </c>
      <c r="K568" s="26" t="s">
        <v>6445</v>
      </c>
      <c r="L568" s="26" t="s">
        <v>3927</v>
      </c>
      <c r="M568" s="55" t="s">
        <v>7645</v>
      </c>
      <c r="N568" s="26" t="s">
        <v>7646</v>
      </c>
    </row>
    <row r="569" spans="1:14" ht="75" customHeight="1" thickTop="1" thickBot="1">
      <c r="A569" s="34">
        <v>567</v>
      </c>
      <c r="B569" s="34">
        <v>571</v>
      </c>
      <c r="C569" s="55" t="s">
        <v>7647</v>
      </c>
      <c r="D569" s="56" t="s">
        <v>26</v>
      </c>
      <c r="E569" s="56" t="s">
        <v>6448</v>
      </c>
      <c r="F569" s="26" t="s">
        <v>3923</v>
      </c>
      <c r="G569" s="26" t="s">
        <v>12</v>
      </c>
      <c r="H569" s="26" t="s">
        <v>13</v>
      </c>
      <c r="I569" s="26" t="s">
        <v>3924</v>
      </c>
      <c r="J569" s="26" t="s">
        <v>7647</v>
      </c>
      <c r="K569" s="26" t="s">
        <v>6552</v>
      </c>
      <c r="L569" s="26" t="s">
        <v>6877</v>
      </c>
      <c r="M569" s="55" t="s">
        <v>7648</v>
      </c>
      <c r="N569" s="26" t="s">
        <v>3924</v>
      </c>
    </row>
    <row r="570" spans="1:14" ht="75" customHeight="1" thickTop="1" thickBot="1">
      <c r="A570" s="26">
        <v>568</v>
      </c>
      <c r="B570" s="26">
        <v>572</v>
      </c>
      <c r="C570" s="55" t="s">
        <v>7649</v>
      </c>
      <c r="D570" s="56" t="s">
        <v>26</v>
      </c>
      <c r="E570" s="56" t="s">
        <v>6448</v>
      </c>
      <c r="F570" s="26" t="s">
        <v>3923</v>
      </c>
      <c r="G570" s="26" t="s">
        <v>12</v>
      </c>
      <c r="H570" s="26" t="s">
        <v>13</v>
      </c>
      <c r="I570" s="26" t="s">
        <v>3924</v>
      </c>
      <c r="J570" s="26" t="s">
        <v>7637</v>
      </c>
      <c r="K570" s="26" t="s">
        <v>6440</v>
      </c>
      <c r="L570" s="26" t="s">
        <v>6435</v>
      </c>
      <c r="M570" s="55" t="s">
        <v>7650</v>
      </c>
      <c r="N570" s="26" t="s">
        <v>3924</v>
      </c>
    </row>
    <row r="571" spans="1:14" ht="75" customHeight="1" thickTop="1" thickBot="1">
      <c r="A571" s="34">
        <v>569</v>
      </c>
      <c r="B571" s="34">
        <v>573</v>
      </c>
      <c r="C571" s="55" t="s">
        <v>7651</v>
      </c>
      <c r="D571" s="56" t="s">
        <v>26</v>
      </c>
      <c r="E571" s="56" t="s">
        <v>6448</v>
      </c>
      <c r="F571" s="26" t="s">
        <v>3923</v>
      </c>
      <c r="G571" s="26" t="s">
        <v>12</v>
      </c>
      <c r="H571" s="26" t="s">
        <v>13</v>
      </c>
      <c r="I571" s="26" t="s">
        <v>3924</v>
      </c>
      <c r="J571" s="26" t="s">
        <v>7637</v>
      </c>
      <c r="K571" s="26" t="s">
        <v>3954</v>
      </c>
      <c r="L571" s="26" t="s">
        <v>6435</v>
      </c>
      <c r="M571" s="55" t="s">
        <v>7652</v>
      </c>
      <c r="N571" s="26" t="s">
        <v>3924</v>
      </c>
    </row>
    <row r="572" spans="1:14" ht="75" customHeight="1" thickTop="1" thickBot="1">
      <c r="A572" s="26">
        <v>570</v>
      </c>
      <c r="B572" s="26">
        <v>574</v>
      </c>
      <c r="C572" s="55" t="s">
        <v>7651</v>
      </c>
      <c r="D572" s="56" t="s">
        <v>26</v>
      </c>
      <c r="E572" s="56" t="s">
        <v>6448</v>
      </c>
      <c r="F572" s="26" t="s">
        <v>3923</v>
      </c>
      <c r="G572" s="26" t="s">
        <v>12</v>
      </c>
      <c r="H572" s="26" t="s">
        <v>13</v>
      </c>
      <c r="I572" s="26" t="s">
        <v>3924</v>
      </c>
      <c r="J572" s="26" t="s">
        <v>7637</v>
      </c>
      <c r="K572" s="26" t="s">
        <v>3954</v>
      </c>
      <c r="L572" s="26" t="s">
        <v>6493</v>
      </c>
      <c r="M572" s="55" t="s">
        <v>7234</v>
      </c>
      <c r="N572" s="26" t="s">
        <v>3924</v>
      </c>
    </row>
    <row r="573" spans="1:14" ht="75" customHeight="1" thickTop="1" thickBot="1">
      <c r="A573" s="34">
        <v>571</v>
      </c>
      <c r="B573" s="34">
        <v>575</v>
      </c>
      <c r="C573" s="55" t="s">
        <v>7653</v>
      </c>
      <c r="D573" s="56" t="s">
        <v>26</v>
      </c>
      <c r="E573" s="56" t="s">
        <v>6448</v>
      </c>
      <c r="F573" s="26" t="s">
        <v>3923</v>
      </c>
      <c r="G573" s="26" t="s">
        <v>12</v>
      </c>
      <c r="H573" s="26" t="s">
        <v>13</v>
      </c>
      <c r="I573" s="26" t="s">
        <v>3924</v>
      </c>
      <c r="J573" s="26" t="s">
        <v>7637</v>
      </c>
      <c r="K573" s="26" t="s">
        <v>6440</v>
      </c>
      <c r="L573" s="26" t="s">
        <v>6493</v>
      </c>
      <c r="M573" s="55" t="s">
        <v>7654</v>
      </c>
      <c r="N573" s="26" t="s">
        <v>3924</v>
      </c>
    </row>
    <row r="574" spans="1:14" ht="75" customHeight="1" thickTop="1" thickBot="1">
      <c r="A574" s="26">
        <v>572</v>
      </c>
      <c r="B574" s="26">
        <v>576</v>
      </c>
      <c r="C574" s="55" t="s">
        <v>7637</v>
      </c>
      <c r="D574" s="56" t="s">
        <v>26</v>
      </c>
      <c r="E574" s="56" t="s">
        <v>6448</v>
      </c>
      <c r="F574" s="26" t="s">
        <v>3923</v>
      </c>
      <c r="G574" s="26" t="s">
        <v>12</v>
      </c>
      <c r="H574" s="26" t="s">
        <v>13</v>
      </c>
      <c r="I574" s="26" t="s">
        <v>3924</v>
      </c>
      <c r="J574" s="26" t="s">
        <v>7637</v>
      </c>
      <c r="K574" s="26" t="s">
        <v>6463</v>
      </c>
      <c r="L574" s="26" t="s">
        <v>6463</v>
      </c>
      <c r="M574" s="55" t="s">
        <v>7655</v>
      </c>
      <c r="N574" s="26" t="s">
        <v>3924</v>
      </c>
    </row>
    <row r="575" spans="1:14" ht="75" customHeight="1" thickTop="1" thickBot="1">
      <c r="A575" s="34">
        <v>573</v>
      </c>
      <c r="B575" s="34">
        <v>577</v>
      </c>
      <c r="C575" s="55" t="s">
        <v>7656</v>
      </c>
      <c r="D575" s="56" t="s">
        <v>26</v>
      </c>
      <c r="E575" s="56" t="s">
        <v>6448</v>
      </c>
      <c r="F575" s="26" t="s">
        <v>3923</v>
      </c>
      <c r="G575" s="26" t="s">
        <v>12</v>
      </c>
      <c r="H575" s="26" t="s">
        <v>13</v>
      </c>
      <c r="I575" s="26" t="s">
        <v>3924</v>
      </c>
      <c r="J575" s="26" t="s">
        <v>7657</v>
      </c>
      <c r="K575" s="26" t="s">
        <v>6440</v>
      </c>
      <c r="L575" s="26" t="s">
        <v>6493</v>
      </c>
      <c r="M575" s="55" t="s">
        <v>7658</v>
      </c>
      <c r="N575" s="26" t="s">
        <v>3924</v>
      </c>
    </row>
    <row r="576" spans="1:14" ht="75" customHeight="1" thickTop="1" thickBot="1">
      <c r="A576" s="26">
        <v>574</v>
      </c>
      <c r="B576" s="26">
        <v>578</v>
      </c>
      <c r="C576" s="55" t="s">
        <v>7659</v>
      </c>
      <c r="D576" s="56" t="s">
        <v>26</v>
      </c>
      <c r="E576" s="56" t="s">
        <v>6448</v>
      </c>
      <c r="F576" s="26" t="s">
        <v>3923</v>
      </c>
      <c r="G576" s="26" t="s">
        <v>12</v>
      </c>
      <c r="H576" s="26" t="s">
        <v>13</v>
      </c>
      <c r="I576" s="26" t="s">
        <v>3924</v>
      </c>
      <c r="J576" s="26" t="s">
        <v>7657</v>
      </c>
      <c r="K576" s="26" t="s">
        <v>6434</v>
      </c>
      <c r="L576" s="26" t="s">
        <v>7660</v>
      </c>
      <c r="M576" s="55" t="s">
        <v>7661</v>
      </c>
      <c r="N576" s="26" t="s">
        <v>3924</v>
      </c>
    </row>
    <row r="577" spans="1:14" ht="75" customHeight="1" thickTop="1" thickBot="1">
      <c r="A577" s="34">
        <v>575</v>
      </c>
      <c r="B577" s="34">
        <v>579</v>
      </c>
      <c r="C577" s="55" t="s">
        <v>7662</v>
      </c>
      <c r="D577" s="56" t="s">
        <v>26</v>
      </c>
      <c r="E577" s="56" t="s">
        <v>6448</v>
      </c>
      <c r="F577" s="26" t="s">
        <v>3923</v>
      </c>
      <c r="G577" s="26" t="s">
        <v>12</v>
      </c>
      <c r="H577" s="26" t="s">
        <v>13</v>
      </c>
      <c r="I577" s="26" t="s">
        <v>3924</v>
      </c>
      <c r="J577" s="26" t="s">
        <v>7657</v>
      </c>
      <c r="K577" s="26" t="s">
        <v>6483</v>
      </c>
      <c r="L577" s="26" t="s">
        <v>6463</v>
      </c>
      <c r="M577" s="55" t="s">
        <v>7663</v>
      </c>
      <c r="N577" s="26" t="s">
        <v>3924</v>
      </c>
    </row>
    <row r="578" spans="1:14" ht="75" customHeight="1" thickTop="1" thickBot="1">
      <c r="A578" s="26">
        <v>576</v>
      </c>
      <c r="B578" s="26">
        <v>580</v>
      </c>
      <c r="C578" s="55" t="s">
        <v>7657</v>
      </c>
      <c r="D578" s="56" t="s">
        <v>26</v>
      </c>
      <c r="E578" s="56" t="s">
        <v>6448</v>
      </c>
      <c r="F578" s="26" t="s">
        <v>3923</v>
      </c>
      <c r="G578" s="26" t="s">
        <v>12</v>
      </c>
      <c r="H578" s="26" t="s">
        <v>13</v>
      </c>
      <c r="I578" s="26" t="s">
        <v>3924</v>
      </c>
      <c r="J578" s="26" t="s">
        <v>7657</v>
      </c>
      <c r="K578" s="26" t="s">
        <v>6445</v>
      </c>
      <c r="L578" s="26" t="s">
        <v>6493</v>
      </c>
      <c r="M578" s="55" t="s">
        <v>7664</v>
      </c>
      <c r="N578" s="26" t="s">
        <v>3924</v>
      </c>
    </row>
    <row r="579" spans="1:14" ht="75" customHeight="1" thickTop="1" thickBot="1">
      <c r="A579" s="34">
        <v>577</v>
      </c>
      <c r="B579" s="34">
        <v>581</v>
      </c>
      <c r="C579" s="55" t="s">
        <v>7665</v>
      </c>
      <c r="D579" s="56" t="s">
        <v>26</v>
      </c>
      <c r="E579" s="56" t="s">
        <v>7451</v>
      </c>
      <c r="F579" s="26" t="s">
        <v>3923</v>
      </c>
      <c r="G579" s="26" t="s">
        <v>1419</v>
      </c>
      <c r="H579" s="26" t="s">
        <v>13</v>
      </c>
      <c r="I579" s="26" t="s">
        <v>3924</v>
      </c>
      <c r="J579" s="26" t="s">
        <v>7666</v>
      </c>
      <c r="K579" s="26" t="s">
        <v>6440</v>
      </c>
      <c r="L579" s="26" t="s">
        <v>6435</v>
      </c>
      <c r="M579" s="55" t="s">
        <v>7667</v>
      </c>
      <c r="N579" s="26" t="s">
        <v>3924</v>
      </c>
    </row>
    <row r="580" spans="1:14" ht="75" customHeight="1" thickTop="1" thickBot="1">
      <c r="A580" s="26">
        <v>578</v>
      </c>
      <c r="B580" s="26">
        <v>582</v>
      </c>
      <c r="C580" s="55" t="s">
        <v>7668</v>
      </c>
      <c r="D580" s="56" t="s">
        <v>26</v>
      </c>
      <c r="E580" s="56" t="s">
        <v>7451</v>
      </c>
      <c r="F580" s="26" t="s">
        <v>3923</v>
      </c>
      <c r="G580" s="26" t="s">
        <v>1419</v>
      </c>
      <c r="H580" s="26" t="s">
        <v>13</v>
      </c>
      <c r="I580" s="26" t="s">
        <v>3924</v>
      </c>
      <c r="J580" s="26" t="s">
        <v>7666</v>
      </c>
      <c r="K580" s="26" t="s">
        <v>6440</v>
      </c>
      <c r="L580" s="26" t="s">
        <v>6435</v>
      </c>
      <c r="M580" s="55" t="s">
        <v>6913</v>
      </c>
      <c r="N580" s="26" t="s">
        <v>3924</v>
      </c>
    </row>
    <row r="581" spans="1:14" ht="75" customHeight="1" thickTop="1" thickBot="1">
      <c r="A581" s="34">
        <v>579</v>
      </c>
      <c r="B581" s="34">
        <v>583</v>
      </c>
      <c r="C581" s="55" t="s">
        <v>7666</v>
      </c>
      <c r="D581" s="56" t="s">
        <v>26</v>
      </c>
      <c r="E581" s="56" t="s">
        <v>7451</v>
      </c>
      <c r="F581" s="26" t="s">
        <v>3923</v>
      </c>
      <c r="G581" s="26" t="s">
        <v>1419</v>
      </c>
      <c r="H581" s="26" t="s">
        <v>13</v>
      </c>
      <c r="I581" s="26" t="s">
        <v>3924</v>
      </c>
      <c r="J581" s="26" t="s">
        <v>7666</v>
      </c>
      <c r="K581" s="26" t="s">
        <v>6440</v>
      </c>
      <c r="L581" s="26" t="s">
        <v>6435</v>
      </c>
      <c r="M581" s="55" t="s">
        <v>7669</v>
      </c>
      <c r="N581" s="26" t="s">
        <v>3924</v>
      </c>
    </row>
    <row r="582" spans="1:14" ht="75" customHeight="1" thickTop="1" thickBot="1">
      <c r="A582" s="26">
        <v>580</v>
      </c>
      <c r="B582" s="26">
        <v>584</v>
      </c>
      <c r="C582" s="55" t="s">
        <v>7666</v>
      </c>
      <c r="D582" s="56" t="s">
        <v>26</v>
      </c>
      <c r="E582" s="56" t="s">
        <v>7451</v>
      </c>
      <c r="F582" s="26" t="s">
        <v>3923</v>
      </c>
      <c r="G582" s="26" t="s">
        <v>1419</v>
      </c>
      <c r="H582" s="26" t="s">
        <v>13</v>
      </c>
      <c r="I582" s="26" t="s">
        <v>3924</v>
      </c>
      <c r="J582" s="26" t="s">
        <v>7670</v>
      </c>
      <c r="K582" s="26" t="s">
        <v>6440</v>
      </c>
      <c r="L582" s="26" t="s">
        <v>6469</v>
      </c>
      <c r="M582" s="55" t="s">
        <v>7671</v>
      </c>
      <c r="N582" s="26" t="s">
        <v>3924</v>
      </c>
    </row>
    <row r="583" spans="1:14" ht="75" customHeight="1" thickTop="1" thickBot="1">
      <c r="A583" s="34">
        <v>581</v>
      </c>
      <c r="B583" s="34">
        <v>585</v>
      </c>
      <c r="C583" s="55" t="s">
        <v>7666</v>
      </c>
      <c r="D583" s="56" t="s">
        <v>26</v>
      </c>
      <c r="E583" s="56" t="s">
        <v>7451</v>
      </c>
      <c r="F583" s="26" t="s">
        <v>3923</v>
      </c>
      <c r="G583" s="26" t="s">
        <v>1419</v>
      </c>
      <c r="H583" s="26" t="s">
        <v>13</v>
      </c>
      <c r="I583" s="26" t="s">
        <v>3924</v>
      </c>
      <c r="J583" s="26" t="s">
        <v>7670</v>
      </c>
      <c r="K583" s="26" t="s">
        <v>6440</v>
      </c>
      <c r="L583" s="26" t="s">
        <v>6493</v>
      </c>
      <c r="M583" s="55" t="s">
        <v>7672</v>
      </c>
      <c r="N583" s="26" t="s">
        <v>3924</v>
      </c>
    </row>
    <row r="584" spans="1:14" ht="75" customHeight="1" thickTop="1" thickBot="1">
      <c r="A584" s="26">
        <v>582</v>
      </c>
      <c r="B584" s="26">
        <v>586</v>
      </c>
      <c r="C584" s="55" t="s">
        <v>7670</v>
      </c>
      <c r="D584" s="56" t="s">
        <v>26</v>
      </c>
      <c r="E584" s="56" t="s">
        <v>7451</v>
      </c>
      <c r="F584" s="26" t="s">
        <v>3923</v>
      </c>
      <c r="G584" s="26" t="s">
        <v>1419</v>
      </c>
      <c r="H584" s="26" t="s">
        <v>13</v>
      </c>
      <c r="I584" s="26" t="s">
        <v>3924</v>
      </c>
      <c r="J584" s="26" t="s">
        <v>7670</v>
      </c>
      <c r="K584" s="26" t="s">
        <v>6434</v>
      </c>
      <c r="L584" s="26" t="s">
        <v>6805</v>
      </c>
      <c r="M584" s="55" t="s">
        <v>7673</v>
      </c>
      <c r="N584" s="26" t="s">
        <v>3924</v>
      </c>
    </row>
    <row r="585" spans="1:14" ht="75" customHeight="1" thickTop="1" thickBot="1">
      <c r="A585" s="34">
        <v>583</v>
      </c>
      <c r="B585" s="34">
        <v>587</v>
      </c>
      <c r="C585" s="55" t="s">
        <v>7670</v>
      </c>
      <c r="D585" s="56" t="s">
        <v>26</v>
      </c>
      <c r="E585" s="56" t="s">
        <v>7451</v>
      </c>
      <c r="F585" s="26" t="s">
        <v>3923</v>
      </c>
      <c r="G585" s="26" t="s">
        <v>1419</v>
      </c>
      <c r="H585" s="26" t="s">
        <v>13</v>
      </c>
      <c r="I585" s="26" t="s">
        <v>3924</v>
      </c>
      <c r="J585" s="26" t="s">
        <v>7674</v>
      </c>
      <c r="K585" s="26" t="s">
        <v>6434</v>
      </c>
      <c r="L585" s="26" t="s">
        <v>6723</v>
      </c>
      <c r="M585" s="55" t="s">
        <v>7675</v>
      </c>
      <c r="N585" s="26" t="s">
        <v>3924</v>
      </c>
    </row>
    <row r="586" spans="1:14" ht="75" customHeight="1" thickTop="1" thickBot="1">
      <c r="A586" s="26">
        <v>584</v>
      </c>
      <c r="B586" s="26">
        <v>588</v>
      </c>
      <c r="C586" s="55" t="s">
        <v>7674</v>
      </c>
      <c r="D586" s="56" t="s">
        <v>26</v>
      </c>
      <c r="E586" s="56" t="s">
        <v>7451</v>
      </c>
      <c r="F586" s="26" t="s">
        <v>3923</v>
      </c>
      <c r="G586" s="26" t="s">
        <v>1419</v>
      </c>
      <c r="H586" s="26" t="s">
        <v>13</v>
      </c>
      <c r="I586" s="26" t="s">
        <v>3924</v>
      </c>
      <c r="J586" s="26" t="s">
        <v>7676</v>
      </c>
      <c r="K586" s="26" t="s">
        <v>6434</v>
      </c>
      <c r="L586" s="26" t="s">
        <v>6723</v>
      </c>
      <c r="M586" s="55" t="s">
        <v>7677</v>
      </c>
      <c r="N586" s="26" t="s">
        <v>3924</v>
      </c>
    </row>
    <row r="587" spans="1:14" ht="75" customHeight="1" thickTop="1" thickBot="1">
      <c r="A587" s="34">
        <v>585</v>
      </c>
      <c r="B587" s="34">
        <v>589</v>
      </c>
      <c r="C587" s="55" t="s">
        <v>7676</v>
      </c>
      <c r="D587" s="56" t="s">
        <v>26</v>
      </c>
      <c r="E587" s="56" t="s">
        <v>7451</v>
      </c>
      <c r="F587" s="26" t="s">
        <v>3923</v>
      </c>
      <c r="G587" s="26" t="s">
        <v>1419</v>
      </c>
      <c r="H587" s="26" t="s">
        <v>13</v>
      </c>
      <c r="I587" s="26" t="s">
        <v>3924</v>
      </c>
      <c r="J587" s="26" t="s">
        <v>7676</v>
      </c>
      <c r="K587" s="26" t="s">
        <v>6440</v>
      </c>
      <c r="L587" s="26" t="s">
        <v>6493</v>
      </c>
      <c r="M587" s="55" t="s">
        <v>7678</v>
      </c>
      <c r="N587" s="26" t="s">
        <v>3924</v>
      </c>
    </row>
    <row r="588" spans="1:14" ht="75" customHeight="1" thickTop="1" thickBot="1">
      <c r="A588" s="26">
        <v>586</v>
      </c>
      <c r="B588" s="26">
        <v>590</v>
      </c>
      <c r="C588" s="55" t="s">
        <v>7676</v>
      </c>
      <c r="D588" s="56" t="s">
        <v>26</v>
      </c>
      <c r="E588" s="56" t="s">
        <v>7451</v>
      </c>
      <c r="F588" s="26" t="s">
        <v>3923</v>
      </c>
      <c r="G588" s="26" t="s">
        <v>1419</v>
      </c>
      <c r="H588" s="26" t="s">
        <v>13</v>
      </c>
      <c r="I588" s="26" t="s">
        <v>3924</v>
      </c>
      <c r="J588" s="26" t="s">
        <v>7679</v>
      </c>
      <c r="K588" s="26" t="s">
        <v>6440</v>
      </c>
      <c r="L588" s="26" t="s">
        <v>6493</v>
      </c>
      <c r="M588" s="55" t="s">
        <v>7675</v>
      </c>
      <c r="N588" s="26" t="s">
        <v>3924</v>
      </c>
    </row>
    <row r="589" spans="1:14" ht="75" customHeight="1" thickTop="1" thickBot="1">
      <c r="A589" s="34">
        <v>587</v>
      </c>
      <c r="B589" s="34">
        <v>591</v>
      </c>
      <c r="C589" s="55" t="s">
        <v>7679</v>
      </c>
      <c r="D589" s="56" t="s">
        <v>26</v>
      </c>
      <c r="E589" s="56" t="s">
        <v>7451</v>
      </c>
      <c r="F589" s="26" t="s">
        <v>3923</v>
      </c>
      <c r="G589" s="26" t="s">
        <v>1419</v>
      </c>
      <c r="H589" s="26" t="s">
        <v>13</v>
      </c>
      <c r="I589" s="26" t="s">
        <v>3924</v>
      </c>
      <c r="J589" s="26" t="s">
        <v>7680</v>
      </c>
      <c r="K589" s="26" t="s">
        <v>6440</v>
      </c>
      <c r="L589" s="26" t="s">
        <v>6493</v>
      </c>
      <c r="M589" s="55" t="s">
        <v>6799</v>
      </c>
      <c r="N589" s="26" t="s">
        <v>3924</v>
      </c>
    </row>
    <row r="590" spans="1:14" ht="75" customHeight="1" thickTop="1" thickBot="1">
      <c r="A590" s="26">
        <v>588</v>
      </c>
      <c r="B590" s="26">
        <v>592</v>
      </c>
      <c r="C590" s="55" t="s">
        <v>7679</v>
      </c>
      <c r="D590" s="56" t="s">
        <v>26</v>
      </c>
      <c r="E590" s="56" t="s">
        <v>7451</v>
      </c>
      <c r="F590" s="26" t="s">
        <v>3923</v>
      </c>
      <c r="G590" s="26" t="s">
        <v>1419</v>
      </c>
      <c r="H590" s="26" t="s">
        <v>13</v>
      </c>
      <c r="I590" s="26" t="s">
        <v>3924</v>
      </c>
      <c r="J590" s="26" t="s">
        <v>7680</v>
      </c>
      <c r="K590" s="26" t="s">
        <v>6434</v>
      </c>
      <c r="L590" s="26" t="s">
        <v>7385</v>
      </c>
      <c r="M590" s="55" t="s">
        <v>7681</v>
      </c>
      <c r="N590" s="26" t="s">
        <v>3924</v>
      </c>
    </row>
    <row r="591" spans="1:14" ht="75" customHeight="1" thickTop="1" thickBot="1">
      <c r="A591" s="34">
        <v>589</v>
      </c>
      <c r="B591" s="34">
        <v>593</v>
      </c>
      <c r="C591" s="55" t="s">
        <v>7680</v>
      </c>
      <c r="D591" s="56" t="s">
        <v>26</v>
      </c>
      <c r="E591" s="56" t="s">
        <v>7451</v>
      </c>
      <c r="F591" s="26" t="s">
        <v>3923</v>
      </c>
      <c r="G591" s="26" t="s">
        <v>1419</v>
      </c>
      <c r="H591" s="26" t="s">
        <v>13</v>
      </c>
      <c r="I591" s="26" t="s">
        <v>3924</v>
      </c>
      <c r="J591" s="26" t="s">
        <v>7682</v>
      </c>
      <c r="K591" s="26" t="s">
        <v>7683</v>
      </c>
      <c r="L591" s="26" t="s">
        <v>4942</v>
      </c>
      <c r="M591" s="55" t="s">
        <v>7684</v>
      </c>
      <c r="N591" s="26" t="s">
        <v>3924</v>
      </c>
    </row>
    <row r="592" spans="1:14" ht="75" customHeight="1" thickTop="1" thickBot="1">
      <c r="A592" s="26">
        <v>590</v>
      </c>
      <c r="B592" s="26">
        <v>594</v>
      </c>
      <c r="C592" s="55" t="s">
        <v>7680</v>
      </c>
      <c r="D592" s="56" t="s">
        <v>26</v>
      </c>
      <c r="E592" s="56" t="s">
        <v>7451</v>
      </c>
      <c r="F592" s="26" t="s">
        <v>3923</v>
      </c>
      <c r="G592" s="26" t="s">
        <v>1419</v>
      </c>
      <c r="H592" s="26" t="s">
        <v>13</v>
      </c>
      <c r="I592" s="26" t="s">
        <v>3924</v>
      </c>
      <c r="J592" s="26" t="s">
        <v>7682</v>
      </c>
      <c r="K592" s="26" t="s">
        <v>6445</v>
      </c>
      <c r="L592" s="26" t="s">
        <v>6652</v>
      </c>
      <c r="M592" s="55" t="s">
        <v>7685</v>
      </c>
      <c r="N592" s="26" t="s">
        <v>3924</v>
      </c>
    </row>
    <row r="593" spans="1:14" ht="75" customHeight="1" thickTop="1" thickBot="1">
      <c r="A593" s="34">
        <v>591</v>
      </c>
      <c r="B593" s="34">
        <v>595</v>
      </c>
      <c r="C593" s="55" t="s">
        <v>7682</v>
      </c>
      <c r="D593" s="56" t="s">
        <v>26</v>
      </c>
      <c r="E593" s="56" t="s">
        <v>7451</v>
      </c>
      <c r="F593" s="26" t="s">
        <v>3923</v>
      </c>
      <c r="G593" s="26" t="s">
        <v>1419</v>
      </c>
      <c r="H593" s="26" t="s">
        <v>13</v>
      </c>
      <c r="I593" s="26" t="s">
        <v>3924</v>
      </c>
      <c r="J593" s="26" t="s">
        <v>7682</v>
      </c>
      <c r="K593" s="26" t="s">
        <v>6434</v>
      </c>
      <c r="L593" s="26" t="s">
        <v>7686</v>
      </c>
      <c r="M593" s="55" t="s">
        <v>7687</v>
      </c>
      <c r="N593" s="26" t="s">
        <v>3924</v>
      </c>
    </row>
    <row r="594" spans="1:14" ht="75" customHeight="1" thickTop="1" thickBot="1">
      <c r="A594" s="26">
        <v>592</v>
      </c>
      <c r="B594" s="26">
        <v>596</v>
      </c>
      <c r="C594" s="55" t="s">
        <v>7688</v>
      </c>
      <c r="D594" s="56" t="s">
        <v>26</v>
      </c>
      <c r="E594" s="56" t="s">
        <v>6461</v>
      </c>
      <c r="F594" s="26" t="s">
        <v>3923</v>
      </c>
      <c r="G594" s="26" t="s">
        <v>74</v>
      </c>
      <c r="H594" s="26" t="s">
        <v>13</v>
      </c>
      <c r="I594" s="26" t="s">
        <v>3924</v>
      </c>
      <c r="J594" s="26" t="s">
        <v>7688</v>
      </c>
      <c r="K594" s="26" t="s">
        <v>6434</v>
      </c>
      <c r="L594" s="26" t="s">
        <v>6463</v>
      </c>
      <c r="M594" s="55" t="s">
        <v>7689</v>
      </c>
      <c r="N594" s="26" t="s">
        <v>3924</v>
      </c>
    </row>
    <row r="595" spans="1:14" ht="75" customHeight="1" thickTop="1" thickBot="1">
      <c r="A595" s="34">
        <v>593</v>
      </c>
      <c r="B595" s="34">
        <v>597</v>
      </c>
      <c r="C595" s="55" t="s">
        <v>7690</v>
      </c>
      <c r="D595" s="56" t="s">
        <v>26</v>
      </c>
      <c r="E595" s="56" t="s">
        <v>6480</v>
      </c>
      <c r="F595" s="26" t="s">
        <v>3923</v>
      </c>
      <c r="G595" s="26" t="s">
        <v>16</v>
      </c>
      <c r="H595" s="26" t="s">
        <v>13</v>
      </c>
      <c r="I595" s="26" t="s">
        <v>3924</v>
      </c>
      <c r="J595" s="26" t="s">
        <v>7691</v>
      </c>
      <c r="K595" s="26" t="s">
        <v>7603</v>
      </c>
      <c r="L595" s="26" t="s">
        <v>6451</v>
      </c>
      <c r="M595" s="55" t="s">
        <v>7692</v>
      </c>
      <c r="N595" s="26" t="s">
        <v>3924</v>
      </c>
    </row>
    <row r="596" spans="1:14" ht="75" customHeight="1" thickTop="1" thickBot="1">
      <c r="A596" s="26">
        <v>594</v>
      </c>
      <c r="B596" s="26">
        <v>598</v>
      </c>
      <c r="C596" s="55" t="s">
        <v>7693</v>
      </c>
      <c r="D596" s="56" t="s">
        <v>26</v>
      </c>
      <c r="E596" s="56" t="s">
        <v>6480</v>
      </c>
      <c r="F596" s="26" t="s">
        <v>3923</v>
      </c>
      <c r="G596" s="26" t="s">
        <v>16</v>
      </c>
      <c r="H596" s="26" t="s">
        <v>13</v>
      </c>
      <c r="I596" s="26" t="s">
        <v>3924</v>
      </c>
      <c r="J596" s="26" t="s">
        <v>7693</v>
      </c>
      <c r="K596" s="26" t="s">
        <v>6434</v>
      </c>
      <c r="L596" s="26" t="s">
        <v>7694</v>
      </c>
      <c r="M596" s="55" t="s">
        <v>1157</v>
      </c>
      <c r="N596" s="26" t="s">
        <v>3924</v>
      </c>
    </row>
    <row r="597" spans="1:14" ht="75" customHeight="1" thickTop="1" thickBot="1">
      <c r="A597" s="34">
        <v>595</v>
      </c>
      <c r="B597" s="34">
        <v>599</v>
      </c>
      <c r="C597" s="55" t="s">
        <v>7695</v>
      </c>
      <c r="D597" s="56" t="s">
        <v>26</v>
      </c>
      <c r="E597" s="56" t="s">
        <v>6480</v>
      </c>
      <c r="F597" s="26" t="s">
        <v>3923</v>
      </c>
      <c r="G597" s="26" t="s">
        <v>16</v>
      </c>
      <c r="H597" s="26" t="s">
        <v>13</v>
      </c>
      <c r="I597" s="26" t="s">
        <v>3924</v>
      </c>
      <c r="J597" s="26" t="s">
        <v>7696</v>
      </c>
      <c r="K597" s="26" t="s">
        <v>6434</v>
      </c>
      <c r="L597" s="26" t="s">
        <v>7697</v>
      </c>
      <c r="M597" s="55" t="s">
        <v>7698</v>
      </c>
      <c r="N597" s="26" t="s">
        <v>3924</v>
      </c>
    </row>
    <row r="598" spans="1:14" ht="75" customHeight="1" thickTop="1" thickBot="1">
      <c r="A598" s="26">
        <v>596</v>
      </c>
      <c r="B598" s="26">
        <v>600</v>
      </c>
      <c r="C598" s="55" t="s">
        <v>7699</v>
      </c>
      <c r="D598" s="56" t="s">
        <v>26</v>
      </c>
      <c r="E598" s="56" t="s">
        <v>6480</v>
      </c>
      <c r="F598" s="26" t="s">
        <v>3923</v>
      </c>
      <c r="G598" s="26" t="s">
        <v>16</v>
      </c>
      <c r="H598" s="26" t="s">
        <v>13</v>
      </c>
      <c r="I598" s="26" t="s">
        <v>3924</v>
      </c>
      <c r="J598" s="26" t="s">
        <v>7700</v>
      </c>
      <c r="K598" s="26" t="s">
        <v>6434</v>
      </c>
      <c r="L598" s="26" t="s">
        <v>7701</v>
      </c>
      <c r="M598" s="55" t="s">
        <v>7702</v>
      </c>
      <c r="N598" s="26" t="s">
        <v>3924</v>
      </c>
    </row>
    <row r="599" spans="1:14" ht="75" customHeight="1" thickTop="1" thickBot="1">
      <c r="A599" s="34">
        <v>597</v>
      </c>
      <c r="B599" s="34">
        <v>601</v>
      </c>
      <c r="C599" s="55" t="s">
        <v>7703</v>
      </c>
      <c r="D599" s="56" t="s">
        <v>26</v>
      </c>
      <c r="E599" s="56" t="s">
        <v>6480</v>
      </c>
      <c r="F599" s="26" t="s">
        <v>3923</v>
      </c>
      <c r="G599" s="26" t="s">
        <v>16</v>
      </c>
      <c r="H599" s="26" t="s">
        <v>13</v>
      </c>
      <c r="I599" s="26" t="s">
        <v>3924</v>
      </c>
      <c r="J599" s="26" t="s">
        <v>7703</v>
      </c>
      <c r="K599" s="26" t="s">
        <v>7603</v>
      </c>
      <c r="L599" s="26" t="s">
        <v>6451</v>
      </c>
      <c r="M599" s="55" t="s">
        <v>7704</v>
      </c>
      <c r="N599" s="26" t="s">
        <v>3924</v>
      </c>
    </row>
    <row r="600" spans="1:14" ht="75" customHeight="1" thickTop="1" thickBot="1">
      <c r="A600" s="26">
        <v>598</v>
      </c>
      <c r="B600" s="26">
        <v>602</v>
      </c>
      <c r="C600" s="55" t="s">
        <v>7705</v>
      </c>
      <c r="D600" s="56" t="s">
        <v>26</v>
      </c>
      <c r="E600" s="56" t="s">
        <v>6480</v>
      </c>
      <c r="F600" s="26" t="s">
        <v>3923</v>
      </c>
      <c r="G600" s="26" t="s">
        <v>16</v>
      </c>
      <c r="H600" s="26" t="s">
        <v>13</v>
      </c>
      <c r="I600" s="26" t="s">
        <v>3924</v>
      </c>
      <c r="J600" s="26" t="s">
        <v>7705</v>
      </c>
      <c r="K600" s="26" t="s">
        <v>6440</v>
      </c>
      <c r="L600" s="26" t="s">
        <v>7561</v>
      </c>
      <c r="M600" s="55" t="s">
        <v>7706</v>
      </c>
      <c r="N600" s="26" t="s">
        <v>3924</v>
      </c>
    </row>
    <row r="601" spans="1:14" ht="75" customHeight="1" thickTop="1" thickBot="1">
      <c r="A601" s="34">
        <v>599</v>
      </c>
      <c r="B601" s="34">
        <v>603</v>
      </c>
      <c r="C601" s="55" t="s">
        <v>7707</v>
      </c>
      <c r="D601" s="56" t="s">
        <v>26</v>
      </c>
      <c r="E601" s="56" t="s">
        <v>6480</v>
      </c>
      <c r="F601" s="26" t="s">
        <v>3923</v>
      </c>
      <c r="G601" s="26" t="s">
        <v>16</v>
      </c>
      <c r="H601" s="26" t="s">
        <v>13</v>
      </c>
      <c r="I601" s="26" t="s">
        <v>3924</v>
      </c>
      <c r="J601" s="26" t="s">
        <v>7707</v>
      </c>
      <c r="K601" s="26" t="s">
        <v>6440</v>
      </c>
      <c r="L601" s="26" t="s">
        <v>7708</v>
      </c>
      <c r="M601" s="55" t="s">
        <v>1160</v>
      </c>
      <c r="N601" s="26" t="s">
        <v>3924</v>
      </c>
    </row>
    <row r="602" spans="1:14" ht="75" customHeight="1" thickTop="1" thickBot="1">
      <c r="A602" s="26">
        <v>600</v>
      </c>
      <c r="B602" s="26">
        <v>604</v>
      </c>
      <c r="C602" s="55" t="s">
        <v>7709</v>
      </c>
      <c r="D602" s="56" t="s">
        <v>26</v>
      </c>
      <c r="E602" s="56" t="s">
        <v>6480</v>
      </c>
      <c r="F602" s="26" t="s">
        <v>3923</v>
      </c>
      <c r="G602" s="26" t="s">
        <v>16</v>
      </c>
      <c r="H602" s="26" t="s">
        <v>13</v>
      </c>
      <c r="I602" s="26" t="s">
        <v>3924</v>
      </c>
      <c r="J602" s="26" t="s">
        <v>7709</v>
      </c>
      <c r="K602" s="26" t="s">
        <v>6440</v>
      </c>
      <c r="L602" s="26" t="s">
        <v>7323</v>
      </c>
      <c r="M602" s="55" t="s">
        <v>7710</v>
      </c>
      <c r="N602" s="26" t="s">
        <v>3924</v>
      </c>
    </row>
    <row r="603" spans="1:14" ht="75" customHeight="1" thickTop="1" thickBot="1">
      <c r="A603" s="34">
        <v>601</v>
      </c>
      <c r="B603" s="34">
        <v>605</v>
      </c>
      <c r="C603" s="55" t="s">
        <v>7711</v>
      </c>
      <c r="D603" s="56" t="s">
        <v>26</v>
      </c>
      <c r="E603" s="56" t="s">
        <v>6480</v>
      </c>
      <c r="F603" s="26" t="s">
        <v>3923</v>
      </c>
      <c r="G603" s="26" t="s">
        <v>16</v>
      </c>
      <c r="H603" s="26" t="s">
        <v>13</v>
      </c>
      <c r="I603" s="26" t="s">
        <v>3924</v>
      </c>
      <c r="J603" s="26" t="s">
        <v>7711</v>
      </c>
      <c r="K603" s="26" t="s">
        <v>6440</v>
      </c>
      <c r="L603" s="26" t="s">
        <v>7323</v>
      </c>
      <c r="M603" s="55" t="s">
        <v>7712</v>
      </c>
      <c r="N603" s="26" t="s">
        <v>3924</v>
      </c>
    </row>
    <row r="604" spans="1:14" ht="75" customHeight="1" thickTop="1" thickBot="1">
      <c r="A604" s="26">
        <v>602</v>
      </c>
      <c r="B604" s="26">
        <v>606</v>
      </c>
      <c r="C604" s="55" t="s">
        <v>7713</v>
      </c>
      <c r="D604" s="56" t="s">
        <v>26</v>
      </c>
      <c r="E604" s="56" t="s">
        <v>6480</v>
      </c>
      <c r="F604" s="26" t="s">
        <v>3923</v>
      </c>
      <c r="G604" s="26" t="s">
        <v>16</v>
      </c>
      <c r="H604" s="26" t="s">
        <v>13</v>
      </c>
      <c r="I604" s="26" t="s">
        <v>3924</v>
      </c>
      <c r="J604" s="26" t="s">
        <v>7713</v>
      </c>
      <c r="K604" s="26" t="s">
        <v>6440</v>
      </c>
      <c r="L604" s="26" t="s">
        <v>7714</v>
      </c>
      <c r="M604" s="55" t="s">
        <v>874</v>
      </c>
      <c r="N604" s="26" t="s">
        <v>3924</v>
      </c>
    </row>
    <row r="605" spans="1:14" ht="75" customHeight="1" thickTop="1" thickBot="1">
      <c r="A605" s="34">
        <v>603</v>
      </c>
      <c r="B605" s="34">
        <v>607</v>
      </c>
      <c r="C605" s="55" t="s">
        <v>7715</v>
      </c>
      <c r="D605" s="56" t="s">
        <v>26</v>
      </c>
      <c r="E605" s="56" t="s">
        <v>6480</v>
      </c>
      <c r="F605" s="26" t="s">
        <v>3923</v>
      </c>
      <c r="G605" s="26" t="s">
        <v>16</v>
      </c>
      <c r="H605" s="26" t="s">
        <v>13</v>
      </c>
      <c r="I605" s="26" t="s">
        <v>3924</v>
      </c>
      <c r="J605" s="26" t="s">
        <v>7716</v>
      </c>
      <c r="K605" s="26" t="s">
        <v>7717</v>
      </c>
      <c r="L605" s="26" t="s">
        <v>7249</v>
      </c>
      <c r="M605" s="55" t="s">
        <v>7718</v>
      </c>
      <c r="N605" s="26" t="s">
        <v>3924</v>
      </c>
    </row>
    <row r="606" spans="1:14" ht="75" customHeight="1" thickTop="1" thickBot="1">
      <c r="A606" s="26">
        <v>604</v>
      </c>
      <c r="B606" s="26">
        <v>608</v>
      </c>
      <c r="C606" s="55" t="s">
        <v>7719</v>
      </c>
      <c r="D606" s="56" t="s">
        <v>26</v>
      </c>
      <c r="E606" s="56" t="s">
        <v>6448</v>
      </c>
      <c r="F606" s="26" t="s">
        <v>3923</v>
      </c>
      <c r="G606" s="26" t="s">
        <v>12</v>
      </c>
      <c r="H606" s="26" t="s">
        <v>13</v>
      </c>
      <c r="I606" s="26" t="s">
        <v>3924</v>
      </c>
      <c r="J606" s="26" t="s">
        <v>7720</v>
      </c>
      <c r="K606" s="26" t="s">
        <v>6445</v>
      </c>
      <c r="L606" s="26" t="s">
        <v>6877</v>
      </c>
      <c r="M606" s="55" t="s">
        <v>7721</v>
      </c>
      <c r="N606" s="26" t="s">
        <v>3924</v>
      </c>
    </row>
    <row r="607" spans="1:14" ht="75" customHeight="1" thickTop="1" thickBot="1">
      <c r="A607" s="34">
        <v>605</v>
      </c>
      <c r="B607" s="34">
        <v>609</v>
      </c>
      <c r="C607" s="55" t="s">
        <v>7719</v>
      </c>
      <c r="D607" s="56" t="s">
        <v>26</v>
      </c>
      <c r="E607" s="56" t="s">
        <v>6448</v>
      </c>
      <c r="F607" s="26" t="s">
        <v>3923</v>
      </c>
      <c r="G607" s="26" t="s">
        <v>12</v>
      </c>
      <c r="H607" s="26" t="s">
        <v>13</v>
      </c>
      <c r="I607" s="26" t="s">
        <v>3924</v>
      </c>
      <c r="J607" s="26" t="s">
        <v>7722</v>
      </c>
      <c r="K607" s="26" t="s">
        <v>3954</v>
      </c>
      <c r="L607" s="26" t="s">
        <v>6493</v>
      </c>
      <c r="M607" s="55" t="s">
        <v>7234</v>
      </c>
      <c r="N607" s="26" t="s">
        <v>3924</v>
      </c>
    </row>
    <row r="608" spans="1:14" ht="75" customHeight="1" thickTop="1" thickBot="1">
      <c r="A608" s="26">
        <v>606</v>
      </c>
      <c r="B608" s="26">
        <v>610</v>
      </c>
      <c r="C608" s="55" t="s">
        <v>7723</v>
      </c>
      <c r="D608" s="56" t="s">
        <v>26</v>
      </c>
      <c r="E608" s="56" t="s">
        <v>6448</v>
      </c>
      <c r="F608" s="26" t="s">
        <v>3923</v>
      </c>
      <c r="G608" s="26" t="s">
        <v>12</v>
      </c>
      <c r="H608" s="26" t="s">
        <v>13</v>
      </c>
      <c r="I608" s="26" t="s">
        <v>3924</v>
      </c>
      <c r="J608" s="26" t="s">
        <v>7722</v>
      </c>
      <c r="K608" s="26" t="s">
        <v>6440</v>
      </c>
      <c r="L608" s="26" t="s">
        <v>7724</v>
      </c>
      <c r="M608" s="55" t="s">
        <v>7725</v>
      </c>
      <c r="N608" s="26" t="s">
        <v>3924</v>
      </c>
    </row>
    <row r="609" spans="1:14" ht="75" customHeight="1" thickTop="1" thickBot="1">
      <c r="A609" s="34">
        <v>607</v>
      </c>
      <c r="B609" s="34">
        <v>611</v>
      </c>
      <c r="C609" s="55" t="s">
        <v>7726</v>
      </c>
      <c r="D609" s="56" t="s">
        <v>26</v>
      </c>
      <c r="E609" s="56" t="s">
        <v>6448</v>
      </c>
      <c r="F609" s="26" t="s">
        <v>3923</v>
      </c>
      <c r="G609" s="26" t="s">
        <v>12</v>
      </c>
      <c r="H609" s="26" t="s">
        <v>13</v>
      </c>
      <c r="I609" s="26" t="s">
        <v>3924</v>
      </c>
      <c r="J609" s="26" t="s">
        <v>7722</v>
      </c>
      <c r="K609" s="26" t="s">
        <v>3954</v>
      </c>
      <c r="L609" s="26" t="s">
        <v>6435</v>
      </c>
      <c r="M609" s="55" t="s">
        <v>7652</v>
      </c>
      <c r="N609" s="26" t="s">
        <v>3924</v>
      </c>
    </row>
    <row r="610" spans="1:14" ht="75" customHeight="1" thickTop="1" thickBot="1">
      <c r="A610" s="26">
        <v>608</v>
      </c>
      <c r="B610" s="26">
        <v>612</v>
      </c>
      <c r="C610" s="55" t="s">
        <v>7727</v>
      </c>
      <c r="D610" s="56" t="s">
        <v>26</v>
      </c>
      <c r="E610" s="56" t="s">
        <v>6448</v>
      </c>
      <c r="F610" s="26" t="s">
        <v>3923</v>
      </c>
      <c r="G610" s="26" t="s">
        <v>12</v>
      </c>
      <c r="H610" s="26" t="s">
        <v>13</v>
      </c>
      <c r="I610" s="26" t="s">
        <v>3924</v>
      </c>
      <c r="J610" s="26" t="s">
        <v>7722</v>
      </c>
      <c r="K610" s="26" t="s">
        <v>6440</v>
      </c>
      <c r="L610" s="26" t="s">
        <v>3927</v>
      </c>
      <c r="M610" s="55" t="s">
        <v>7728</v>
      </c>
      <c r="N610" s="26" t="s">
        <v>3924</v>
      </c>
    </row>
    <row r="611" spans="1:14" ht="75" customHeight="1" thickTop="1" thickBot="1">
      <c r="A611" s="34">
        <v>609</v>
      </c>
      <c r="B611" s="34">
        <v>613</v>
      </c>
      <c r="C611" s="55" t="s">
        <v>7729</v>
      </c>
      <c r="D611" s="56" t="s">
        <v>26</v>
      </c>
      <c r="E611" s="56" t="s">
        <v>6448</v>
      </c>
      <c r="F611" s="26" t="s">
        <v>3923</v>
      </c>
      <c r="G611" s="26" t="s">
        <v>12</v>
      </c>
      <c r="H611" s="26" t="s">
        <v>13</v>
      </c>
      <c r="I611" s="26" t="s">
        <v>3924</v>
      </c>
      <c r="J611" s="26" t="s">
        <v>7722</v>
      </c>
      <c r="K611" s="26" t="s">
        <v>6440</v>
      </c>
      <c r="L611" s="26" t="s">
        <v>6593</v>
      </c>
      <c r="M611" s="55" t="s">
        <v>7730</v>
      </c>
      <c r="N611" s="26" t="s">
        <v>3924</v>
      </c>
    </row>
    <row r="612" spans="1:14" ht="75" customHeight="1" thickTop="1" thickBot="1">
      <c r="A612" s="26">
        <v>610</v>
      </c>
      <c r="B612" s="26">
        <v>614</v>
      </c>
      <c r="C612" s="55" t="s">
        <v>7731</v>
      </c>
      <c r="D612" s="56" t="s">
        <v>26</v>
      </c>
      <c r="E612" s="56" t="s">
        <v>6448</v>
      </c>
      <c r="F612" s="26" t="s">
        <v>3923</v>
      </c>
      <c r="G612" s="26" t="s">
        <v>12</v>
      </c>
      <c r="H612" s="26" t="s">
        <v>13</v>
      </c>
      <c r="I612" s="26" t="s">
        <v>3924</v>
      </c>
      <c r="J612" s="26" t="s">
        <v>7732</v>
      </c>
      <c r="K612" s="26" t="s">
        <v>6434</v>
      </c>
      <c r="L612" s="26" t="s">
        <v>7724</v>
      </c>
      <c r="M612" s="55" t="s">
        <v>7733</v>
      </c>
      <c r="N612" s="26" t="s">
        <v>3924</v>
      </c>
    </row>
    <row r="613" spans="1:14" ht="75" customHeight="1" thickTop="1" thickBot="1">
      <c r="A613" s="34">
        <v>611</v>
      </c>
      <c r="B613" s="34">
        <v>615</v>
      </c>
      <c r="C613" s="55" t="s">
        <v>7731</v>
      </c>
      <c r="D613" s="56" t="s">
        <v>26</v>
      </c>
      <c r="E613" s="56" t="s">
        <v>6448</v>
      </c>
      <c r="F613" s="26" t="s">
        <v>3923</v>
      </c>
      <c r="G613" s="26" t="s">
        <v>12</v>
      </c>
      <c r="H613" s="26" t="s">
        <v>13</v>
      </c>
      <c r="I613" s="26" t="s">
        <v>3924</v>
      </c>
      <c r="J613" s="26" t="s">
        <v>7732</v>
      </c>
      <c r="K613" s="26" t="s">
        <v>3954</v>
      </c>
      <c r="L613" s="26" t="s">
        <v>6493</v>
      </c>
      <c r="M613" s="55" t="s">
        <v>7234</v>
      </c>
      <c r="N613" s="26" t="s">
        <v>3924</v>
      </c>
    </row>
    <row r="614" spans="1:14" ht="75" customHeight="1" thickTop="1" thickBot="1">
      <c r="A614" s="26">
        <v>612</v>
      </c>
      <c r="B614" s="26">
        <v>616</v>
      </c>
      <c r="C614" s="55" t="s">
        <v>7732</v>
      </c>
      <c r="D614" s="56" t="s">
        <v>26</v>
      </c>
      <c r="E614" s="56" t="s">
        <v>6448</v>
      </c>
      <c r="F614" s="26" t="s">
        <v>3923</v>
      </c>
      <c r="G614" s="26" t="s">
        <v>12</v>
      </c>
      <c r="H614" s="26" t="s">
        <v>13</v>
      </c>
      <c r="I614" s="26" t="s">
        <v>3924</v>
      </c>
      <c r="J614" s="26" t="s">
        <v>7732</v>
      </c>
      <c r="K614" s="26" t="s">
        <v>3954</v>
      </c>
      <c r="L614" s="26" t="s">
        <v>6435</v>
      </c>
      <c r="M614" s="55" t="s">
        <v>6907</v>
      </c>
      <c r="N614" s="26" t="s">
        <v>3924</v>
      </c>
    </row>
    <row r="615" spans="1:14" ht="75" customHeight="1" thickTop="1" thickBot="1">
      <c r="A615" s="34">
        <v>613</v>
      </c>
      <c r="B615" s="34">
        <v>617</v>
      </c>
      <c r="C615" s="55" t="s">
        <v>7734</v>
      </c>
      <c r="D615" s="56" t="s">
        <v>26</v>
      </c>
      <c r="E615" s="56" t="s">
        <v>6480</v>
      </c>
      <c r="F615" s="26" t="s">
        <v>3923</v>
      </c>
      <c r="G615" s="26" t="s">
        <v>16</v>
      </c>
      <c r="H615" s="26" t="s">
        <v>13</v>
      </c>
      <c r="I615" s="26" t="s">
        <v>3924</v>
      </c>
      <c r="J615" s="26" t="s">
        <v>7734</v>
      </c>
      <c r="K615" s="26" t="s">
        <v>6552</v>
      </c>
      <c r="L615" s="26" t="s">
        <v>7735</v>
      </c>
      <c r="M615" s="55" t="s">
        <v>7736</v>
      </c>
      <c r="N615" s="26" t="s">
        <v>3924</v>
      </c>
    </row>
    <row r="616" spans="1:14" ht="75" customHeight="1" thickTop="1" thickBot="1">
      <c r="A616" s="26">
        <v>614</v>
      </c>
      <c r="B616" s="26">
        <v>618</v>
      </c>
      <c r="C616" s="55" t="s">
        <v>7734</v>
      </c>
      <c r="D616" s="56" t="s">
        <v>26</v>
      </c>
      <c r="E616" s="56" t="s">
        <v>6480</v>
      </c>
      <c r="F616" s="26" t="s">
        <v>3923</v>
      </c>
      <c r="G616" s="26" t="s">
        <v>16</v>
      </c>
      <c r="H616" s="26" t="s">
        <v>13</v>
      </c>
      <c r="I616" s="26" t="s">
        <v>3924</v>
      </c>
      <c r="J616" s="26" t="s">
        <v>7737</v>
      </c>
      <c r="K616" s="26" t="s">
        <v>6552</v>
      </c>
      <c r="L616" s="26" t="s">
        <v>7738</v>
      </c>
      <c r="M616" s="55" t="s">
        <v>7739</v>
      </c>
      <c r="N616" s="26" t="s">
        <v>3924</v>
      </c>
    </row>
    <row r="617" spans="1:14" ht="75" customHeight="1" thickTop="1" thickBot="1">
      <c r="A617" s="34">
        <v>615</v>
      </c>
      <c r="B617" s="34">
        <v>619</v>
      </c>
      <c r="C617" s="55" t="s">
        <v>7737</v>
      </c>
      <c r="D617" s="56" t="s">
        <v>26</v>
      </c>
      <c r="E617" s="56" t="s">
        <v>6480</v>
      </c>
      <c r="F617" s="26" t="s">
        <v>3923</v>
      </c>
      <c r="G617" s="26" t="s">
        <v>16</v>
      </c>
      <c r="H617" s="26" t="s">
        <v>13</v>
      </c>
      <c r="I617" s="26" t="s">
        <v>3924</v>
      </c>
      <c r="J617" s="26" t="s">
        <v>7740</v>
      </c>
      <c r="K617" s="26" t="s">
        <v>6552</v>
      </c>
      <c r="L617" s="26" t="s">
        <v>7741</v>
      </c>
      <c r="M617" s="55" t="s">
        <v>7742</v>
      </c>
      <c r="N617" s="26" t="s">
        <v>3924</v>
      </c>
    </row>
    <row r="618" spans="1:14" ht="75" customHeight="1" thickTop="1" thickBot="1">
      <c r="A618" s="26">
        <v>616</v>
      </c>
      <c r="B618" s="26">
        <v>620</v>
      </c>
      <c r="C618" s="55" t="s">
        <v>7740</v>
      </c>
      <c r="D618" s="56" t="s">
        <v>26</v>
      </c>
      <c r="E618" s="56" t="s">
        <v>6480</v>
      </c>
      <c r="F618" s="26" t="s">
        <v>3923</v>
      </c>
      <c r="G618" s="26" t="s">
        <v>16</v>
      </c>
      <c r="H618" s="26" t="s">
        <v>13</v>
      </c>
      <c r="I618" s="26" t="s">
        <v>3924</v>
      </c>
      <c r="J618" s="26" t="s">
        <v>7743</v>
      </c>
      <c r="K618" s="26" t="s">
        <v>6552</v>
      </c>
      <c r="L618" s="26" t="s">
        <v>7744</v>
      </c>
      <c r="M618" s="55" t="s">
        <v>4138</v>
      </c>
      <c r="N618" s="26" t="s">
        <v>3924</v>
      </c>
    </row>
    <row r="619" spans="1:14" ht="75" customHeight="1" thickTop="1" thickBot="1">
      <c r="A619" s="34">
        <v>617</v>
      </c>
      <c r="B619" s="34">
        <v>621</v>
      </c>
      <c r="C619" s="55" t="s">
        <v>7745</v>
      </c>
      <c r="D619" s="56" t="s">
        <v>26</v>
      </c>
      <c r="E619" s="56" t="s">
        <v>27</v>
      </c>
      <c r="F619" s="26" t="s">
        <v>3995</v>
      </c>
      <c r="G619" s="26" t="s">
        <v>1419</v>
      </c>
      <c r="H619" s="26" t="s">
        <v>17</v>
      </c>
      <c r="I619" s="26" t="s">
        <v>7746</v>
      </c>
      <c r="J619" s="26" t="s">
        <v>7747</v>
      </c>
      <c r="K619" s="26" t="s">
        <v>6434</v>
      </c>
      <c r="L619" s="26" t="s">
        <v>7748</v>
      </c>
      <c r="M619" s="55" t="s">
        <v>7749</v>
      </c>
      <c r="N619" s="26" t="s">
        <v>1486</v>
      </c>
    </row>
    <row r="620" spans="1:14" ht="75" customHeight="1" thickTop="1" thickBot="1">
      <c r="A620" s="26">
        <v>618</v>
      </c>
      <c r="B620" s="26">
        <v>622</v>
      </c>
      <c r="C620" s="55" t="s">
        <v>7750</v>
      </c>
      <c r="D620" s="56" t="s">
        <v>26</v>
      </c>
      <c r="E620" s="56" t="s">
        <v>27</v>
      </c>
      <c r="F620" s="26" t="s">
        <v>3995</v>
      </c>
      <c r="G620" s="26" t="s">
        <v>1419</v>
      </c>
      <c r="H620" s="26" t="s">
        <v>13</v>
      </c>
      <c r="I620" s="26" t="s">
        <v>7751</v>
      </c>
      <c r="J620" s="26" t="s">
        <v>7752</v>
      </c>
      <c r="K620" s="26" t="s">
        <v>6434</v>
      </c>
      <c r="L620" s="26" t="s">
        <v>3927</v>
      </c>
      <c r="M620" s="55" t="s">
        <v>7753</v>
      </c>
      <c r="N620" s="26" t="s">
        <v>3924</v>
      </c>
    </row>
    <row r="621" spans="1:14" ht="75" customHeight="1" thickTop="1" thickBot="1">
      <c r="A621" s="34">
        <v>619</v>
      </c>
      <c r="B621" s="34">
        <v>623</v>
      </c>
      <c r="C621" s="55" t="s">
        <v>7754</v>
      </c>
      <c r="D621" s="56" t="s">
        <v>26</v>
      </c>
      <c r="E621" s="56" t="s">
        <v>27</v>
      </c>
      <c r="F621" s="26" t="s">
        <v>3995</v>
      </c>
      <c r="G621" s="26" t="s">
        <v>1419</v>
      </c>
      <c r="H621" s="26" t="s">
        <v>13</v>
      </c>
      <c r="I621" s="26" t="s">
        <v>3924</v>
      </c>
      <c r="J621" s="26" t="s">
        <v>7755</v>
      </c>
      <c r="K621" s="26" t="s">
        <v>6434</v>
      </c>
      <c r="L621" s="26" t="s">
        <v>3927</v>
      </c>
      <c r="M621" s="55" t="s">
        <v>7756</v>
      </c>
      <c r="N621" s="26" t="s">
        <v>3924</v>
      </c>
    </row>
    <row r="622" spans="1:14" ht="75" customHeight="1" thickTop="1" thickBot="1">
      <c r="A622" s="26">
        <v>620</v>
      </c>
      <c r="B622" s="26">
        <v>624</v>
      </c>
      <c r="C622" s="55" t="s">
        <v>7757</v>
      </c>
      <c r="D622" s="56" t="s">
        <v>26</v>
      </c>
      <c r="E622" s="56" t="s">
        <v>6480</v>
      </c>
      <c r="F622" s="26" t="s">
        <v>3923</v>
      </c>
      <c r="G622" s="26" t="s">
        <v>16</v>
      </c>
      <c r="H622" s="26" t="s">
        <v>13</v>
      </c>
      <c r="I622" s="26" t="s">
        <v>3924</v>
      </c>
      <c r="J622" s="26" t="s">
        <v>7757</v>
      </c>
      <c r="K622" s="26" t="s">
        <v>6445</v>
      </c>
      <c r="L622" s="26" t="s">
        <v>7758</v>
      </c>
      <c r="M622" s="55" t="s">
        <v>7759</v>
      </c>
      <c r="N622" s="26" t="s">
        <v>3924</v>
      </c>
    </row>
    <row r="623" spans="1:14" ht="75" customHeight="1" thickTop="1" thickBot="1">
      <c r="A623" s="34">
        <v>621</v>
      </c>
      <c r="B623" s="34">
        <v>625</v>
      </c>
      <c r="C623" s="55" t="s">
        <v>7760</v>
      </c>
      <c r="D623" s="56" t="s">
        <v>26</v>
      </c>
      <c r="E623" s="56" t="s">
        <v>6480</v>
      </c>
      <c r="F623" s="26" t="s">
        <v>3923</v>
      </c>
      <c r="G623" s="26" t="s">
        <v>16</v>
      </c>
      <c r="H623" s="26" t="s">
        <v>13</v>
      </c>
      <c r="I623" s="26" t="s">
        <v>3924</v>
      </c>
      <c r="J623" s="26" t="s">
        <v>7760</v>
      </c>
      <c r="K623" s="26" t="s">
        <v>6445</v>
      </c>
      <c r="L623" s="26" t="s">
        <v>6819</v>
      </c>
      <c r="M623" s="55" t="s">
        <v>7761</v>
      </c>
      <c r="N623" s="26" t="s">
        <v>3924</v>
      </c>
    </row>
    <row r="624" spans="1:14" ht="75" customHeight="1" thickTop="1" thickBot="1">
      <c r="A624" s="26">
        <v>622</v>
      </c>
      <c r="B624" s="26">
        <v>626</v>
      </c>
      <c r="C624" s="55" t="s">
        <v>7762</v>
      </c>
      <c r="D624" s="56" t="s">
        <v>26</v>
      </c>
      <c r="E624" s="56" t="s">
        <v>6480</v>
      </c>
      <c r="F624" s="26" t="s">
        <v>3923</v>
      </c>
      <c r="G624" s="26" t="s">
        <v>16</v>
      </c>
      <c r="H624" s="26" t="s">
        <v>13</v>
      </c>
      <c r="I624" s="26" t="s">
        <v>3924</v>
      </c>
      <c r="J624" s="26" t="s">
        <v>7762</v>
      </c>
      <c r="K624" s="26" t="s">
        <v>6445</v>
      </c>
      <c r="L624" s="26" t="s">
        <v>7763</v>
      </c>
      <c r="M624" s="55" t="s">
        <v>611</v>
      </c>
      <c r="N624" s="26" t="s">
        <v>3924</v>
      </c>
    </row>
    <row r="625" spans="1:14" ht="75" customHeight="1" thickTop="1" thickBot="1">
      <c r="A625" s="34">
        <v>623</v>
      </c>
      <c r="B625" s="34">
        <v>627</v>
      </c>
      <c r="C625" s="55" t="s">
        <v>7764</v>
      </c>
      <c r="D625" s="56" t="s">
        <v>26</v>
      </c>
      <c r="E625" s="56" t="s">
        <v>6480</v>
      </c>
      <c r="F625" s="26" t="s">
        <v>3923</v>
      </c>
      <c r="G625" s="26" t="s">
        <v>16</v>
      </c>
      <c r="H625" s="26" t="s">
        <v>13</v>
      </c>
      <c r="I625" s="26" t="s">
        <v>3924</v>
      </c>
      <c r="J625" s="26" t="s">
        <v>7764</v>
      </c>
      <c r="K625" s="26" t="s">
        <v>6445</v>
      </c>
      <c r="L625" s="26" t="s">
        <v>7765</v>
      </c>
      <c r="M625" s="55" t="s">
        <v>7766</v>
      </c>
      <c r="N625" s="26" t="s">
        <v>3924</v>
      </c>
    </row>
    <row r="626" spans="1:14" ht="75" customHeight="1" thickTop="1" thickBot="1">
      <c r="A626" s="26">
        <v>624</v>
      </c>
      <c r="B626" s="26">
        <v>628</v>
      </c>
      <c r="C626" s="55" t="s">
        <v>7767</v>
      </c>
      <c r="D626" s="56" t="s">
        <v>26</v>
      </c>
      <c r="E626" s="56" t="s">
        <v>6480</v>
      </c>
      <c r="F626" s="26" t="s">
        <v>3923</v>
      </c>
      <c r="G626" s="26" t="s">
        <v>16</v>
      </c>
      <c r="H626" s="26" t="s">
        <v>13</v>
      </c>
      <c r="I626" s="26" t="s">
        <v>3924</v>
      </c>
      <c r="J626" s="26" t="s">
        <v>7767</v>
      </c>
      <c r="K626" s="26" t="s">
        <v>6445</v>
      </c>
      <c r="L626" s="26" t="s">
        <v>7218</v>
      </c>
      <c r="M626" s="55" t="s">
        <v>7768</v>
      </c>
      <c r="N626" s="26" t="s">
        <v>3924</v>
      </c>
    </row>
    <row r="627" spans="1:14" ht="75" customHeight="1" thickTop="1" thickBot="1">
      <c r="A627" s="34">
        <v>625</v>
      </c>
      <c r="B627" s="34">
        <v>629</v>
      </c>
      <c r="C627" s="55" t="s">
        <v>7767</v>
      </c>
      <c r="D627" s="56" t="s">
        <v>26</v>
      </c>
      <c r="E627" s="56" t="s">
        <v>6480</v>
      </c>
      <c r="F627" s="26" t="s">
        <v>3923</v>
      </c>
      <c r="G627" s="26" t="s">
        <v>16</v>
      </c>
      <c r="H627" s="26" t="s">
        <v>13</v>
      </c>
      <c r="I627" s="26" t="s">
        <v>3924</v>
      </c>
      <c r="J627" s="26" t="s">
        <v>7769</v>
      </c>
      <c r="K627" s="26" t="s">
        <v>6445</v>
      </c>
      <c r="L627" s="26" t="s">
        <v>7082</v>
      </c>
      <c r="M627" s="55" t="s">
        <v>7770</v>
      </c>
      <c r="N627" s="26" t="s">
        <v>3924</v>
      </c>
    </row>
    <row r="628" spans="1:14" ht="75" customHeight="1" thickTop="1" thickBot="1">
      <c r="A628" s="26">
        <v>626</v>
      </c>
      <c r="B628" s="26">
        <v>630</v>
      </c>
      <c r="C628" s="55" t="s">
        <v>7769</v>
      </c>
      <c r="D628" s="56" t="s">
        <v>26</v>
      </c>
      <c r="E628" s="56" t="s">
        <v>6480</v>
      </c>
      <c r="F628" s="26" t="s">
        <v>3923</v>
      </c>
      <c r="G628" s="26" t="s">
        <v>16</v>
      </c>
      <c r="H628" s="26" t="s">
        <v>13</v>
      </c>
      <c r="I628" s="26" t="s">
        <v>3924</v>
      </c>
      <c r="J628" s="26" t="s">
        <v>7771</v>
      </c>
      <c r="K628" s="26" t="s">
        <v>6445</v>
      </c>
      <c r="L628" s="26" t="s">
        <v>7738</v>
      </c>
      <c r="M628" s="55" t="s">
        <v>611</v>
      </c>
      <c r="N628" s="26" t="s">
        <v>3924</v>
      </c>
    </row>
    <row r="629" spans="1:14" ht="75" customHeight="1" thickTop="1" thickBot="1">
      <c r="A629" s="34">
        <v>627</v>
      </c>
      <c r="B629" s="34">
        <v>631</v>
      </c>
      <c r="C629" s="55" t="s">
        <v>7771</v>
      </c>
      <c r="D629" s="56" t="s">
        <v>26</v>
      </c>
      <c r="E629" s="56" t="s">
        <v>6480</v>
      </c>
      <c r="F629" s="26" t="s">
        <v>3923</v>
      </c>
      <c r="G629" s="26" t="s">
        <v>16</v>
      </c>
      <c r="H629" s="26" t="s">
        <v>13</v>
      </c>
      <c r="I629" s="26" t="s">
        <v>3924</v>
      </c>
      <c r="J629" s="26" t="s">
        <v>7772</v>
      </c>
      <c r="K629" s="26" t="s">
        <v>6445</v>
      </c>
      <c r="L629" s="26" t="s">
        <v>7773</v>
      </c>
      <c r="M629" s="55" t="s">
        <v>7774</v>
      </c>
      <c r="N629" s="26" t="s">
        <v>3924</v>
      </c>
    </row>
    <row r="630" spans="1:14" ht="75" customHeight="1" thickTop="1" thickBot="1">
      <c r="A630" s="26">
        <v>628</v>
      </c>
      <c r="B630" s="26">
        <v>632</v>
      </c>
      <c r="C630" s="55" t="s">
        <v>7772</v>
      </c>
      <c r="D630" s="56" t="s">
        <v>26</v>
      </c>
      <c r="E630" s="56" t="s">
        <v>6480</v>
      </c>
      <c r="F630" s="26" t="s">
        <v>3923</v>
      </c>
      <c r="G630" s="26" t="s">
        <v>16</v>
      </c>
      <c r="H630" s="26" t="s">
        <v>13</v>
      </c>
      <c r="I630" s="26" t="s">
        <v>3924</v>
      </c>
      <c r="J630" s="26" t="s">
        <v>7775</v>
      </c>
      <c r="K630" s="26" t="s">
        <v>6434</v>
      </c>
      <c r="L630" s="26" t="s">
        <v>7082</v>
      </c>
      <c r="M630" s="55" t="s">
        <v>7776</v>
      </c>
      <c r="N630" s="26" t="s">
        <v>3924</v>
      </c>
    </row>
    <row r="631" spans="1:14" ht="75" customHeight="1" thickTop="1" thickBot="1">
      <c r="A631" s="34">
        <v>629</v>
      </c>
      <c r="B631" s="34">
        <v>633</v>
      </c>
      <c r="C631" s="55" t="s">
        <v>7775</v>
      </c>
      <c r="D631" s="56" t="s">
        <v>26</v>
      </c>
      <c r="E631" s="56" t="s">
        <v>6480</v>
      </c>
      <c r="F631" s="26" t="s">
        <v>3923</v>
      </c>
      <c r="G631" s="26" t="s">
        <v>16</v>
      </c>
      <c r="H631" s="26" t="s">
        <v>13</v>
      </c>
      <c r="I631" s="26" t="s">
        <v>3924</v>
      </c>
      <c r="J631" s="26" t="s">
        <v>7777</v>
      </c>
      <c r="K631" s="26" t="s">
        <v>6434</v>
      </c>
      <c r="L631" s="26" t="s">
        <v>7778</v>
      </c>
      <c r="M631" s="55" t="s">
        <v>7779</v>
      </c>
      <c r="N631" s="26" t="s">
        <v>3924</v>
      </c>
    </row>
    <row r="632" spans="1:14" ht="75" customHeight="1" thickTop="1" thickBot="1">
      <c r="A632" s="26">
        <v>630</v>
      </c>
      <c r="B632" s="26">
        <v>634</v>
      </c>
      <c r="C632" s="55" t="s">
        <v>7777</v>
      </c>
      <c r="D632" s="56" t="s">
        <v>26</v>
      </c>
      <c r="E632" s="56" t="s">
        <v>6480</v>
      </c>
      <c r="F632" s="26" t="s">
        <v>3923</v>
      </c>
      <c r="G632" s="26" t="s">
        <v>16</v>
      </c>
      <c r="H632" s="26" t="s">
        <v>13</v>
      </c>
      <c r="I632" s="26" t="s">
        <v>3924</v>
      </c>
      <c r="J632" s="26" t="s">
        <v>7777</v>
      </c>
      <c r="K632" s="26" t="s">
        <v>6434</v>
      </c>
      <c r="L632" s="26" t="s">
        <v>7780</v>
      </c>
      <c r="M632" s="55" t="s">
        <v>7781</v>
      </c>
      <c r="N632" s="26" t="s">
        <v>3924</v>
      </c>
    </row>
    <row r="633" spans="1:14" ht="75" customHeight="1" thickTop="1" thickBot="1">
      <c r="A633" s="34">
        <v>631</v>
      </c>
      <c r="B633" s="34">
        <v>635</v>
      </c>
      <c r="C633" s="55" t="s">
        <v>7782</v>
      </c>
      <c r="D633" s="56" t="s">
        <v>26</v>
      </c>
      <c r="E633" s="56" t="s">
        <v>6480</v>
      </c>
      <c r="F633" s="26" t="s">
        <v>3923</v>
      </c>
      <c r="G633" s="26" t="s">
        <v>16</v>
      </c>
      <c r="H633" s="26" t="s">
        <v>13</v>
      </c>
      <c r="I633" s="26" t="s">
        <v>3924</v>
      </c>
      <c r="J633" s="26" t="s">
        <v>7782</v>
      </c>
      <c r="K633" s="26" t="s">
        <v>6434</v>
      </c>
      <c r="L633" s="26" t="s">
        <v>7783</v>
      </c>
      <c r="M633" s="55" t="s">
        <v>7784</v>
      </c>
      <c r="N633" s="26" t="s">
        <v>3924</v>
      </c>
    </row>
    <row r="634" spans="1:14" ht="75" customHeight="1" thickTop="1" thickBot="1">
      <c r="A634" s="26">
        <v>632</v>
      </c>
      <c r="B634" s="26">
        <v>636</v>
      </c>
      <c r="C634" s="55" t="s">
        <v>7782</v>
      </c>
      <c r="D634" s="56" t="s">
        <v>26</v>
      </c>
      <c r="E634" s="56" t="s">
        <v>6480</v>
      </c>
      <c r="F634" s="26" t="s">
        <v>3923</v>
      </c>
      <c r="G634" s="26" t="s">
        <v>16</v>
      </c>
      <c r="H634" s="26" t="s">
        <v>13</v>
      </c>
      <c r="I634" s="26" t="s">
        <v>3924</v>
      </c>
      <c r="J634" s="26" t="s">
        <v>7785</v>
      </c>
      <c r="K634" s="26" t="s">
        <v>6440</v>
      </c>
      <c r="L634" s="26" t="s">
        <v>7082</v>
      </c>
      <c r="M634" s="55" t="s">
        <v>7786</v>
      </c>
      <c r="N634" s="26" t="s">
        <v>3924</v>
      </c>
    </row>
    <row r="635" spans="1:14" ht="75" customHeight="1" thickTop="1" thickBot="1">
      <c r="A635" s="34">
        <v>633</v>
      </c>
      <c r="B635" s="34">
        <v>637</v>
      </c>
      <c r="C635" s="55" t="s">
        <v>7785</v>
      </c>
      <c r="D635" s="56" t="s">
        <v>26</v>
      </c>
      <c r="E635" s="56" t="s">
        <v>6480</v>
      </c>
      <c r="F635" s="26" t="s">
        <v>3923</v>
      </c>
      <c r="G635" s="26" t="s">
        <v>16</v>
      </c>
      <c r="H635" s="26" t="s">
        <v>13</v>
      </c>
      <c r="I635" s="26" t="s">
        <v>3924</v>
      </c>
      <c r="J635" s="26" t="s">
        <v>7785</v>
      </c>
      <c r="K635" s="26" t="s">
        <v>6440</v>
      </c>
      <c r="L635" s="26" t="s">
        <v>7780</v>
      </c>
      <c r="M635" s="55" t="s">
        <v>7779</v>
      </c>
      <c r="N635" s="26" t="s">
        <v>3924</v>
      </c>
    </row>
    <row r="636" spans="1:14" ht="75" customHeight="1" thickTop="1" thickBot="1">
      <c r="A636" s="26">
        <v>634</v>
      </c>
      <c r="B636" s="26">
        <v>638</v>
      </c>
      <c r="C636" s="55" t="s">
        <v>7787</v>
      </c>
      <c r="D636" s="56" t="s">
        <v>26</v>
      </c>
      <c r="E636" s="56" t="s">
        <v>6480</v>
      </c>
      <c r="F636" s="26" t="s">
        <v>3923</v>
      </c>
      <c r="G636" s="26" t="s">
        <v>16</v>
      </c>
      <c r="H636" s="26" t="s">
        <v>13</v>
      </c>
      <c r="I636" s="26" t="s">
        <v>3924</v>
      </c>
      <c r="J636" s="26" t="s">
        <v>7787</v>
      </c>
      <c r="K636" s="26" t="s">
        <v>6445</v>
      </c>
      <c r="L636" s="26" t="s">
        <v>7352</v>
      </c>
      <c r="M636" s="55" t="s">
        <v>7788</v>
      </c>
      <c r="N636" s="26" t="s">
        <v>3924</v>
      </c>
    </row>
    <row r="637" spans="1:14" ht="75" customHeight="1" thickTop="1" thickBot="1">
      <c r="A637" s="34">
        <v>635</v>
      </c>
      <c r="B637" s="34">
        <v>639</v>
      </c>
      <c r="C637" s="55" t="s">
        <v>7789</v>
      </c>
      <c r="D637" s="56" t="s">
        <v>26</v>
      </c>
      <c r="E637" s="56" t="s">
        <v>6480</v>
      </c>
      <c r="F637" s="26" t="s">
        <v>3923</v>
      </c>
      <c r="G637" s="26" t="s">
        <v>16</v>
      </c>
      <c r="H637" s="26" t="s">
        <v>13</v>
      </c>
      <c r="I637" s="26" t="s">
        <v>3924</v>
      </c>
      <c r="J637" s="26" t="s">
        <v>7789</v>
      </c>
      <c r="K637" s="26" t="s">
        <v>7790</v>
      </c>
      <c r="L637" s="26" t="s">
        <v>4435</v>
      </c>
      <c r="M637" s="55" t="s">
        <v>7791</v>
      </c>
      <c r="N637" s="26" t="s">
        <v>3924</v>
      </c>
    </row>
    <row r="638" spans="1:14" ht="75" customHeight="1" thickTop="1" thickBot="1">
      <c r="A638" s="26">
        <v>636</v>
      </c>
      <c r="B638" s="26">
        <v>640</v>
      </c>
      <c r="C638" s="55" t="s">
        <v>7792</v>
      </c>
      <c r="D638" s="56" t="s">
        <v>26</v>
      </c>
      <c r="E638" s="56" t="s">
        <v>6480</v>
      </c>
      <c r="F638" s="26" t="s">
        <v>3923</v>
      </c>
      <c r="G638" s="26" t="s">
        <v>16</v>
      </c>
      <c r="H638" s="26" t="s">
        <v>13</v>
      </c>
      <c r="I638" s="26" t="s">
        <v>3924</v>
      </c>
      <c r="J638" s="26" t="s">
        <v>7792</v>
      </c>
      <c r="K638" s="26" t="s">
        <v>6434</v>
      </c>
      <c r="L638" s="26" t="s">
        <v>7738</v>
      </c>
      <c r="M638" s="55" t="s">
        <v>7793</v>
      </c>
      <c r="N638" s="26" t="s">
        <v>3924</v>
      </c>
    </row>
    <row r="639" spans="1:14" ht="75" customHeight="1" thickTop="1" thickBot="1">
      <c r="A639" s="34">
        <v>637</v>
      </c>
      <c r="B639" s="34">
        <v>641</v>
      </c>
      <c r="C639" s="55" t="s">
        <v>7794</v>
      </c>
      <c r="D639" s="56" t="s">
        <v>26</v>
      </c>
      <c r="E639" s="56" t="s">
        <v>6480</v>
      </c>
      <c r="F639" s="26" t="s">
        <v>3923</v>
      </c>
      <c r="G639" s="26" t="s">
        <v>16</v>
      </c>
      <c r="H639" s="26" t="s">
        <v>13</v>
      </c>
      <c r="I639" s="26" t="s">
        <v>3924</v>
      </c>
      <c r="J639" s="26" t="s">
        <v>7794</v>
      </c>
      <c r="K639" s="26" t="s">
        <v>6434</v>
      </c>
      <c r="L639" s="26" t="s">
        <v>7030</v>
      </c>
      <c r="M639" s="55" t="s">
        <v>7795</v>
      </c>
      <c r="N639" s="26" t="s">
        <v>3924</v>
      </c>
    </row>
    <row r="640" spans="1:14" ht="75" customHeight="1" thickTop="1" thickBot="1">
      <c r="A640" s="26">
        <v>638</v>
      </c>
      <c r="B640" s="26">
        <v>642</v>
      </c>
      <c r="C640" s="55" t="s">
        <v>7794</v>
      </c>
      <c r="D640" s="56" t="s">
        <v>26</v>
      </c>
      <c r="E640" s="56" t="s">
        <v>6480</v>
      </c>
      <c r="F640" s="26" t="s">
        <v>3923</v>
      </c>
      <c r="G640" s="26" t="s">
        <v>16</v>
      </c>
      <c r="H640" s="26" t="s">
        <v>13</v>
      </c>
      <c r="I640" s="26" t="s">
        <v>3924</v>
      </c>
      <c r="J640" s="26" t="s">
        <v>7796</v>
      </c>
      <c r="K640" s="26" t="s">
        <v>6434</v>
      </c>
      <c r="L640" s="26" t="s">
        <v>7030</v>
      </c>
      <c r="M640" s="55" t="s">
        <v>611</v>
      </c>
      <c r="N640" s="26" t="s">
        <v>3924</v>
      </c>
    </row>
    <row r="641" spans="1:14" ht="75" customHeight="1" thickTop="1" thickBot="1">
      <c r="A641" s="34">
        <v>639</v>
      </c>
      <c r="B641" s="34">
        <v>643</v>
      </c>
      <c r="C641" s="55" t="s">
        <v>7797</v>
      </c>
      <c r="D641" s="56" t="s">
        <v>26</v>
      </c>
      <c r="E641" s="56" t="s">
        <v>6480</v>
      </c>
      <c r="F641" s="26" t="s">
        <v>3923</v>
      </c>
      <c r="G641" s="26" t="s">
        <v>16</v>
      </c>
      <c r="H641" s="26" t="s">
        <v>13</v>
      </c>
      <c r="I641" s="26" t="s">
        <v>3924</v>
      </c>
      <c r="J641" s="26" t="s">
        <v>7797</v>
      </c>
      <c r="K641" s="26" t="s">
        <v>6552</v>
      </c>
      <c r="L641" s="26" t="s">
        <v>3927</v>
      </c>
      <c r="M641" s="55" t="s">
        <v>7798</v>
      </c>
      <c r="N641" s="26" t="s">
        <v>3924</v>
      </c>
    </row>
    <row r="642" spans="1:14" ht="75" customHeight="1" thickTop="1" thickBot="1">
      <c r="A642" s="26">
        <v>640</v>
      </c>
      <c r="B642" s="26">
        <v>644</v>
      </c>
      <c r="C642" s="55" t="s">
        <v>7799</v>
      </c>
      <c r="D642" s="56" t="s">
        <v>26</v>
      </c>
      <c r="E642" s="56" t="s">
        <v>6480</v>
      </c>
      <c r="F642" s="26" t="s">
        <v>3923</v>
      </c>
      <c r="G642" s="26" t="s">
        <v>16</v>
      </c>
      <c r="H642" s="26" t="s">
        <v>13</v>
      </c>
      <c r="I642" s="26" t="s">
        <v>3924</v>
      </c>
      <c r="J642" s="26" t="s">
        <v>7799</v>
      </c>
      <c r="K642" s="26" t="s">
        <v>6552</v>
      </c>
      <c r="L642" s="26" t="s">
        <v>4942</v>
      </c>
      <c r="M642" s="55" t="s">
        <v>7800</v>
      </c>
      <c r="N642" s="26" t="s">
        <v>3924</v>
      </c>
    </row>
    <row r="643" spans="1:14" ht="75" customHeight="1" thickTop="1" thickBot="1">
      <c r="A643" s="34">
        <v>641</v>
      </c>
      <c r="B643" s="34">
        <v>645</v>
      </c>
      <c r="C643" s="55" t="s">
        <v>7801</v>
      </c>
      <c r="D643" s="56" t="s">
        <v>26</v>
      </c>
      <c r="E643" s="56" t="s">
        <v>6480</v>
      </c>
      <c r="F643" s="26" t="s">
        <v>3923</v>
      </c>
      <c r="G643" s="26" t="s">
        <v>16</v>
      </c>
      <c r="H643" s="26" t="s">
        <v>13</v>
      </c>
      <c r="I643" s="26" t="s">
        <v>3924</v>
      </c>
      <c r="J643" s="26" t="s">
        <v>7802</v>
      </c>
      <c r="K643" s="26" t="s">
        <v>7717</v>
      </c>
      <c r="L643" s="26" t="s">
        <v>7803</v>
      </c>
      <c r="M643" s="55" t="s">
        <v>7804</v>
      </c>
      <c r="N643" s="26" t="s">
        <v>3924</v>
      </c>
    </row>
    <row r="644" spans="1:14" ht="75" customHeight="1" thickTop="1" thickBot="1">
      <c r="A644" s="26">
        <v>642</v>
      </c>
      <c r="B644" s="26">
        <v>646</v>
      </c>
      <c r="C644" s="55" t="s">
        <v>7805</v>
      </c>
      <c r="D644" s="56" t="s">
        <v>26</v>
      </c>
      <c r="E644" s="56" t="s">
        <v>6480</v>
      </c>
      <c r="F644" s="26" t="s">
        <v>3923</v>
      </c>
      <c r="G644" s="26" t="s">
        <v>16</v>
      </c>
      <c r="H644" s="26" t="s">
        <v>13</v>
      </c>
      <c r="I644" s="26" t="s">
        <v>3924</v>
      </c>
      <c r="J644" s="26" t="s">
        <v>7805</v>
      </c>
      <c r="K644" s="26" t="s">
        <v>6445</v>
      </c>
      <c r="L644" s="26" t="s">
        <v>6451</v>
      </c>
      <c r="M644" s="55" t="s">
        <v>7806</v>
      </c>
      <c r="N644" s="26" t="s">
        <v>3924</v>
      </c>
    </row>
    <row r="645" spans="1:14" ht="75" customHeight="1" thickTop="1" thickBot="1">
      <c r="A645" s="34">
        <v>643</v>
      </c>
      <c r="B645" s="34">
        <v>647</v>
      </c>
      <c r="C645" s="55" t="s">
        <v>7807</v>
      </c>
      <c r="D645" s="56" t="s">
        <v>26</v>
      </c>
      <c r="E645" s="56" t="s">
        <v>6480</v>
      </c>
      <c r="F645" s="26" t="s">
        <v>3923</v>
      </c>
      <c r="G645" s="26" t="s">
        <v>16</v>
      </c>
      <c r="H645" s="26" t="s">
        <v>13</v>
      </c>
      <c r="I645" s="26" t="s">
        <v>3924</v>
      </c>
      <c r="J645" s="26" t="s">
        <v>7807</v>
      </c>
      <c r="K645" s="26" t="s">
        <v>6552</v>
      </c>
      <c r="L645" s="26" t="s">
        <v>7808</v>
      </c>
      <c r="M645" s="55" t="s">
        <v>7809</v>
      </c>
      <c r="N645" s="26" t="s">
        <v>3924</v>
      </c>
    </row>
    <row r="646" spans="1:14" ht="75" customHeight="1" thickTop="1" thickBot="1">
      <c r="A646" s="26">
        <v>644</v>
      </c>
      <c r="B646" s="26">
        <v>648</v>
      </c>
      <c r="C646" s="55" t="s">
        <v>7810</v>
      </c>
      <c r="D646" s="56" t="s">
        <v>26</v>
      </c>
      <c r="E646" s="56" t="s">
        <v>6480</v>
      </c>
      <c r="F646" s="26" t="s">
        <v>3923</v>
      </c>
      <c r="G646" s="26" t="s">
        <v>16</v>
      </c>
      <c r="H646" s="26" t="s">
        <v>13</v>
      </c>
      <c r="I646" s="26" t="s">
        <v>3924</v>
      </c>
      <c r="J646" s="26" t="s">
        <v>7810</v>
      </c>
      <c r="K646" s="26" t="s">
        <v>6440</v>
      </c>
      <c r="L646" s="26" t="s">
        <v>7082</v>
      </c>
      <c r="M646" s="55" t="s">
        <v>821</v>
      </c>
      <c r="N646" s="26" t="s">
        <v>3924</v>
      </c>
    </row>
    <row r="647" spans="1:14" ht="75" customHeight="1" thickTop="1" thickBot="1">
      <c r="A647" s="34">
        <v>645</v>
      </c>
      <c r="B647" s="34">
        <v>649</v>
      </c>
      <c r="C647" s="55" t="s">
        <v>7811</v>
      </c>
      <c r="D647" s="56" t="s">
        <v>26</v>
      </c>
      <c r="E647" s="56" t="s">
        <v>6480</v>
      </c>
      <c r="F647" s="26" t="s">
        <v>3923</v>
      </c>
      <c r="G647" s="26" t="s">
        <v>16</v>
      </c>
      <c r="H647" s="26" t="s">
        <v>13</v>
      </c>
      <c r="I647" s="26" t="s">
        <v>3924</v>
      </c>
      <c r="J647" s="26" t="s">
        <v>7811</v>
      </c>
      <c r="K647" s="26" t="s">
        <v>6445</v>
      </c>
      <c r="L647" s="26" t="s">
        <v>6451</v>
      </c>
      <c r="M647" s="55" t="s">
        <v>7812</v>
      </c>
      <c r="N647" s="26" t="s">
        <v>3924</v>
      </c>
    </row>
    <row r="648" spans="1:14" ht="75" customHeight="1" thickTop="1" thickBot="1">
      <c r="A648" s="26">
        <v>646</v>
      </c>
      <c r="B648" s="26">
        <v>650</v>
      </c>
      <c r="C648" s="55" t="s">
        <v>7813</v>
      </c>
      <c r="D648" s="56" t="s">
        <v>26</v>
      </c>
      <c r="E648" s="56" t="s">
        <v>6480</v>
      </c>
      <c r="F648" s="26" t="s">
        <v>3923</v>
      </c>
      <c r="G648" s="26" t="s">
        <v>16</v>
      </c>
      <c r="H648" s="26" t="s">
        <v>13</v>
      </c>
      <c r="I648" s="26" t="s">
        <v>3924</v>
      </c>
      <c r="J648" s="26" t="s">
        <v>7813</v>
      </c>
      <c r="K648" s="26" t="s">
        <v>6445</v>
      </c>
      <c r="L648" s="26" t="s">
        <v>6493</v>
      </c>
      <c r="M648" s="55" t="s">
        <v>7814</v>
      </c>
      <c r="N648" s="26" t="s">
        <v>3924</v>
      </c>
    </row>
    <row r="649" spans="1:14" ht="75" customHeight="1" thickTop="1" thickBot="1">
      <c r="A649" s="34">
        <v>647</v>
      </c>
      <c r="B649" s="34">
        <v>651</v>
      </c>
      <c r="C649" s="55" t="s">
        <v>7813</v>
      </c>
      <c r="D649" s="56" t="s">
        <v>26</v>
      </c>
      <c r="E649" s="56" t="s">
        <v>6480</v>
      </c>
      <c r="F649" s="26" t="s">
        <v>3923</v>
      </c>
      <c r="G649" s="26" t="s">
        <v>16</v>
      </c>
      <c r="H649" s="26" t="s">
        <v>13</v>
      </c>
      <c r="I649" s="26" t="s">
        <v>3924</v>
      </c>
      <c r="J649" s="26" t="s">
        <v>7815</v>
      </c>
      <c r="K649" s="26" t="s">
        <v>6445</v>
      </c>
      <c r="L649" s="26" t="s">
        <v>6493</v>
      </c>
      <c r="M649" s="55" t="s">
        <v>7816</v>
      </c>
      <c r="N649" s="26" t="s">
        <v>3924</v>
      </c>
    </row>
    <row r="650" spans="1:14" ht="75" customHeight="1" thickTop="1" thickBot="1">
      <c r="A650" s="26">
        <v>648</v>
      </c>
      <c r="B650" s="26">
        <v>652</v>
      </c>
      <c r="C650" s="55" t="s">
        <v>7815</v>
      </c>
      <c r="D650" s="56" t="s">
        <v>26</v>
      </c>
      <c r="E650" s="56" t="s">
        <v>6480</v>
      </c>
      <c r="F650" s="26" t="s">
        <v>3923</v>
      </c>
      <c r="G650" s="26" t="s">
        <v>16</v>
      </c>
      <c r="H650" s="26" t="s">
        <v>13</v>
      </c>
      <c r="I650" s="26" t="s">
        <v>3924</v>
      </c>
      <c r="J650" s="26" t="s">
        <v>7817</v>
      </c>
      <c r="K650" s="26" t="s">
        <v>6445</v>
      </c>
      <c r="L650" s="26" t="s">
        <v>6493</v>
      </c>
      <c r="M650" s="55" t="s">
        <v>7818</v>
      </c>
      <c r="N650" s="26" t="s">
        <v>3924</v>
      </c>
    </row>
    <row r="651" spans="1:14" ht="75" customHeight="1" thickTop="1" thickBot="1">
      <c r="A651" s="34">
        <v>649</v>
      </c>
      <c r="B651" s="34">
        <v>653</v>
      </c>
      <c r="C651" s="55" t="s">
        <v>7817</v>
      </c>
      <c r="D651" s="56" t="s">
        <v>26</v>
      </c>
      <c r="E651" s="56" t="s">
        <v>6480</v>
      </c>
      <c r="F651" s="26" t="s">
        <v>3923</v>
      </c>
      <c r="G651" s="26" t="s">
        <v>16</v>
      </c>
      <c r="H651" s="26" t="s">
        <v>13</v>
      </c>
      <c r="I651" s="26" t="s">
        <v>3924</v>
      </c>
      <c r="J651" s="26" t="s">
        <v>7819</v>
      </c>
      <c r="K651" s="26" t="s">
        <v>6445</v>
      </c>
      <c r="L651" s="26" t="s">
        <v>6493</v>
      </c>
      <c r="M651" s="55" t="s">
        <v>7820</v>
      </c>
      <c r="N651" s="26" t="s">
        <v>3924</v>
      </c>
    </row>
    <row r="652" spans="1:14" ht="75" customHeight="1" thickTop="1" thickBot="1">
      <c r="A652" s="26">
        <v>650</v>
      </c>
      <c r="B652" s="26">
        <v>654</v>
      </c>
      <c r="C652" s="55" t="s">
        <v>7821</v>
      </c>
      <c r="D652" s="56" t="s">
        <v>26</v>
      </c>
      <c r="E652" s="56" t="s">
        <v>6480</v>
      </c>
      <c r="F652" s="26" t="s">
        <v>3923</v>
      </c>
      <c r="G652" s="26" t="s">
        <v>16</v>
      </c>
      <c r="H652" s="26" t="s">
        <v>13</v>
      </c>
      <c r="I652" s="26" t="s">
        <v>3924</v>
      </c>
      <c r="J652" s="26" t="s">
        <v>7821</v>
      </c>
      <c r="K652" s="26" t="s">
        <v>6445</v>
      </c>
      <c r="L652" s="26" t="s">
        <v>7822</v>
      </c>
      <c r="M652" s="55" t="s">
        <v>821</v>
      </c>
      <c r="N652" s="26" t="s">
        <v>3924</v>
      </c>
    </row>
    <row r="653" spans="1:14" ht="75" customHeight="1" thickTop="1" thickBot="1">
      <c r="A653" s="34">
        <v>651</v>
      </c>
      <c r="B653" s="34">
        <v>655</v>
      </c>
      <c r="C653" s="55" t="s">
        <v>7823</v>
      </c>
      <c r="D653" s="56" t="s">
        <v>26</v>
      </c>
      <c r="E653" s="56" t="s">
        <v>6480</v>
      </c>
      <c r="F653" s="26" t="s">
        <v>3923</v>
      </c>
      <c r="G653" s="26" t="s">
        <v>16</v>
      </c>
      <c r="H653" s="26" t="s">
        <v>13</v>
      </c>
      <c r="I653" s="26" t="s">
        <v>3924</v>
      </c>
      <c r="J653" s="26" t="s">
        <v>7823</v>
      </c>
      <c r="K653" s="26" t="s">
        <v>6445</v>
      </c>
      <c r="L653" s="26" t="s">
        <v>6493</v>
      </c>
      <c r="M653" s="55" t="s">
        <v>7824</v>
      </c>
      <c r="N653" s="26" t="s">
        <v>3924</v>
      </c>
    </row>
    <row r="654" spans="1:14" ht="75" customHeight="1" thickTop="1" thickBot="1">
      <c r="A654" s="26">
        <v>652</v>
      </c>
      <c r="B654" s="26">
        <v>656</v>
      </c>
      <c r="C654" s="55" t="s">
        <v>7825</v>
      </c>
      <c r="D654" s="56" t="s">
        <v>26</v>
      </c>
      <c r="E654" s="56" t="s">
        <v>27</v>
      </c>
      <c r="F654" s="26" t="s">
        <v>3995</v>
      </c>
      <c r="G654" s="26" t="s">
        <v>1419</v>
      </c>
      <c r="H654" s="26" t="s">
        <v>13</v>
      </c>
      <c r="I654" s="26" t="s">
        <v>3924</v>
      </c>
      <c r="J654" s="26" t="s">
        <v>7826</v>
      </c>
      <c r="K654" s="26" t="s">
        <v>7683</v>
      </c>
      <c r="L654" s="26" t="s">
        <v>3927</v>
      </c>
      <c r="M654" s="55" t="s">
        <v>7827</v>
      </c>
      <c r="N654" s="26" t="s">
        <v>3924</v>
      </c>
    </row>
    <row r="655" spans="1:14" ht="75" customHeight="1" thickTop="1" thickBot="1">
      <c r="A655" s="34">
        <v>653</v>
      </c>
      <c r="B655" s="34">
        <v>657</v>
      </c>
      <c r="C655" s="55" t="s">
        <v>7828</v>
      </c>
      <c r="D655" s="56" t="s">
        <v>26</v>
      </c>
      <c r="E655" s="56" t="s">
        <v>27</v>
      </c>
      <c r="F655" s="26" t="s">
        <v>3995</v>
      </c>
      <c r="G655" s="26" t="s">
        <v>1419</v>
      </c>
      <c r="H655" s="26" t="s">
        <v>13</v>
      </c>
      <c r="I655" s="26" t="s">
        <v>3924</v>
      </c>
      <c r="J655" s="26" t="s">
        <v>7829</v>
      </c>
      <c r="K655" s="26" t="s">
        <v>6434</v>
      </c>
      <c r="L655" s="26" t="s">
        <v>6493</v>
      </c>
      <c r="M655" s="55" t="s">
        <v>7830</v>
      </c>
      <c r="N655" s="26" t="s">
        <v>7831</v>
      </c>
    </row>
    <row r="656" spans="1:14" ht="75" customHeight="1" thickTop="1" thickBot="1">
      <c r="A656" s="26">
        <v>654</v>
      </c>
      <c r="B656" s="26">
        <v>658</v>
      </c>
      <c r="C656" s="55" t="s">
        <v>7832</v>
      </c>
      <c r="D656" s="56" t="s">
        <v>26</v>
      </c>
      <c r="E656" s="56" t="s">
        <v>6448</v>
      </c>
      <c r="F656" s="26" t="s">
        <v>3923</v>
      </c>
      <c r="G656" s="26" t="s">
        <v>12</v>
      </c>
      <c r="H656" s="26" t="s">
        <v>13</v>
      </c>
      <c r="I656" s="26" t="s">
        <v>3924</v>
      </c>
      <c r="J656" s="26" t="s">
        <v>7833</v>
      </c>
      <c r="K656" s="26" t="s">
        <v>6440</v>
      </c>
      <c r="L656" s="26" t="s">
        <v>6723</v>
      </c>
      <c r="M656" s="55" t="s">
        <v>7834</v>
      </c>
      <c r="N656" s="26" t="s">
        <v>3924</v>
      </c>
    </row>
    <row r="657" spans="1:14" ht="75" customHeight="1" thickTop="1" thickBot="1">
      <c r="A657" s="34">
        <v>655</v>
      </c>
      <c r="B657" s="34">
        <v>659</v>
      </c>
      <c r="C657" s="55" t="s">
        <v>7835</v>
      </c>
      <c r="D657" s="56" t="s">
        <v>26</v>
      </c>
      <c r="E657" s="56" t="s">
        <v>6448</v>
      </c>
      <c r="F657" s="26" t="s">
        <v>3923</v>
      </c>
      <c r="G657" s="26" t="s">
        <v>12</v>
      </c>
      <c r="H657" s="26" t="s">
        <v>13</v>
      </c>
      <c r="I657" s="26" t="s">
        <v>3924</v>
      </c>
      <c r="J657" s="26" t="s">
        <v>7836</v>
      </c>
      <c r="K657" s="26" t="s">
        <v>6434</v>
      </c>
      <c r="L657" s="26" t="s">
        <v>6493</v>
      </c>
      <c r="M657" s="55" t="s">
        <v>7837</v>
      </c>
      <c r="N657" s="26" t="s">
        <v>3924</v>
      </c>
    </row>
    <row r="658" spans="1:14" ht="75" customHeight="1" thickTop="1" thickBot="1">
      <c r="A658" s="26">
        <v>656</v>
      </c>
      <c r="B658" s="26">
        <v>660</v>
      </c>
      <c r="C658" s="55" t="s">
        <v>7838</v>
      </c>
      <c r="D658" s="56" t="s">
        <v>26</v>
      </c>
      <c r="E658" s="56" t="s">
        <v>6448</v>
      </c>
      <c r="F658" s="26" t="s">
        <v>3923</v>
      </c>
      <c r="G658" s="26" t="s">
        <v>12</v>
      </c>
      <c r="H658" s="26" t="s">
        <v>13</v>
      </c>
      <c r="I658" s="26" t="s">
        <v>3924</v>
      </c>
      <c r="J658" s="26" t="s">
        <v>7836</v>
      </c>
      <c r="K658" s="26" t="s">
        <v>6434</v>
      </c>
      <c r="L658" s="26" t="s">
        <v>6593</v>
      </c>
      <c r="M658" s="55" t="s">
        <v>7839</v>
      </c>
      <c r="N658" s="26" t="s">
        <v>3924</v>
      </c>
    </row>
    <row r="659" spans="1:14" ht="75" customHeight="1" thickTop="1" thickBot="1">
      <c r="A659" s="34">
        <v>657</v>
      </c>
      <c r="B659" s="34">
        <v>661</v>
      </c>
      <c r="C659" s="55" t="s">
        <v>7838</v>
      </c>
      <c r="D659" s="56" t="s">
        <v>26</v>
      </c>
      <c r="E659" s="56" t="s">
        <v>6448</v>
      </c>
      <c r="F659" s="26" t="s">
        <v>3923</v>
      </c>
      <c r="G659" s="26" t="s">
        <v>12</v>
      </c>
      <c r="H659" s="26" t="s">
        <v>13</v>
      </c>
      <c r="I659" s="26" t="s">
        <v>3924</v>
      </c>
      <c r="J659" s="26" t="s">
        <v>7836</v>
      </c>
      <c r="K659" s="26" t="s">
        <v>3954</v>
      </c>
      <c r="L659" s="26" t="s">
        <v>6435</v>
      </c>
      <c r="M659" s="55" t="s">
        <v>6907</v>
      </c>
      <c r="N659" s="26" t="s">
        <v>3924</v>
      </c>
    </row>
    <row r="660" spans="1:14" ht="75" customHeight="1" thickTop="1" thickBot="1">
      <c r="A660" s="26">
        <v>658</v>
      </c>
      <c r="B660" s="26">
        <v>662</v>
      </c>
      <c r="C660" s="55" t="s">
        <v>7838</v>
      </c>
      <c r="D660" s="56" t="s">
        <v>26</v>
      </c>
      <c r="E660" s="56" t="s">
        <v>6448</v>
      </c>
      <c r="F660" s="26" t="s">
        <v>3923</v>
      </c>
      <c r="G660" s="26" t="s">
        <v>12</v>
      </c>
      <c r="H660" s="26" t="s">
        <v>13</v>
      </c>
      <c r="I660" s="26" t="s">
        <v>3924</v>
      </c>
      <c r="J660" s="26" t="s">
        <v>7836</v>
      </c>
      <c r="K660" s="26" t="s">
        <v>6434</v>
      </c>
      <c r="L660" s="26" t="s">
        <v>6593</v>
      </c>
      <c r="M660" s="55" t="s">
        <v>7840</v>
      </c>
      <c r="N660" s="26" t="s">
        <v>3924</v>
      </c>
    </row>
    <row r="661" spans="1:14" ht="75" customHeight="1" thickTop="1" thickBot="1">
      <c r="A661" s="34">
        <v>659</v>
      </c>
      <c r="B661" s="34">
        <v>663</v>
      </c>
      <c r="C661" s="55" t="s">
        <v>7841</v>
      </c>
      <c r="D661" s="56" t="s">
        <v>26</v>
      </c>
      <c r="E661" s="56" t="s">
        <v>6448</v>
      </c>
      <c r="F661" s="26" t="s">
        <v>3923</v>
      </c>
      <c r="G661" s="26" t="s">
        <v>12</v>
      </c>
      <c r="H661" s="26" t="s">
        <v>13</v>
      </c>
      <c r="I661" s="26" t="s">
        <v>3924</v>
      </c>
      <c r="J661" s="26" t="s">
        <v>7836</v>
      </c>
      <c r="K661" s="26" t="s">
        <v>3954</v>
      </c>
      <c r="L661" s="26" t="s">
        <v>6493</v>
      </c>
      <c r="M661" s="55" t="s">
        <v>7842</v>
      </c>
      <c r="N661" s="26" t="s">
        <v>3924</v>
      </c>
    </row>
    <row r="662" spans="1:14" ht="75" customHeight="1" thickTop="1" thickBot="1">
      <c r="A662" s="26">
        <v>660</v>
      </c>
      <c r="B662" s="26">
        <v>664</v>
      </c>
      <c r="C662" s="55" t="s">
        <v>7843</v>
      </c>
      <c r="D662" s="56" t="s">
        <v>26</v>
      </c>
      <c r="E662" s="56" t="s">
        <v>6448</v>
      </c>
      <c r="F662" s="26" t="s">
        <v>3923</v>
      </c>
      <c r="G662" s="26" t="s">
        <v>12</v>
      </c>
      <c r="H662" s="26" t="s">
        <v>13</v>
      </c>
      <c r="I662" s="26" t="s">
        <v>3924</v>
      </c>
      <c r="J662" s="26" t="s">
        <v>7844</v>
      </c>
      <c r="K662" s="26" t="s">
        <v>6483</v>
      </c>
      <c r="L662" s="26" t="s">
        <v>6451</v>
      </c>
      <c r="M662" s="55" t="s">
        <v>7845</v>
      </c>
      <c r="N662" s="26" t="s">
        <v>3924</v>
      </c>
    </row>
    <row r="663" spans="1:14" ht="75" customHeight="1" thickTop="1" thickBot="1">
      <c r="A663" s="34">
        <v>661</v>
      </c>
      <c r="B663" s="34">
        <v>665</v>
      </c>
      <c r="C663" s="55" t="s">
        <v>7843</v>
      </c>
      <c r="D663" s="56" t="s">
        <v>26</v>
      </c>
      <c r="E663" s="56" t="s">
        <v>6448</v>
      </c>
      <c r="F663" s="26" t="s">
        <v>3923</v>
      </c>
      <c r="G663" s="26" t="s">
        <v>12</v>
      </c>
      <c r="H663" s="26" t="s">
        <v>13</v>
      </c>
      <c r="I663" s="26" t="s">
        <v>3924</v>
      </c>
      <c r="J663" s="26" t="s">
        <v>7844</v>
      </c>
      <c r="K663" s="26" t="s">
        <v>6434</v>
      </c>
      <c r="L663" s="26" t="s">
        <v>6723</v>
      </c>
      <c r="M663" s="55" t="s">
        <v>7840</v>
      </c>
      <c r="N663" s="26" t="s">
        <v>3924</v>
      </c>
    </row>
    <row r="664" spans="1:14" ht="75" customHeight="1" thickTop="1" thickBot="1">
      <c r="A664" s="26">
        <v>662</v>
      </c>
      <c r="B664" s="26">
        <v>666</v>
      </c>
      <c r="C664" s="55" t="s">
        <v>7846</v>
      </c>
      <c r="D664" s="56" t="s">
        <v>26</v>
      </c>
      <c r="E664" s="56" t="s">
        <v>6448</v>
      </c>
      <c r="F664" s="26" t="s">
        <v>3923</v>
      </c>
      <c r="G664" s="26" t="s">
        <v>12</v>
      </c>
      <c r="H664" s="26" t="s">
        <v>13</v>
      </c>
      <c r="I664" s="26" t="s">
        <v>3924</v>
      </c>
      <c r="J664" s="26" t="s">
        <v>7844</v>
      </c>
      <c r="K664" s="26" t="s">
        <v>6483</v>
      </c>
      <c r="L664" s="26" t="s">
        <v>7847</v>
      </c>
      <c r="M664" s="55" t="s">
        <v>7848</v>
      </c>
      <c r="N664" s="26" t="s">
        <v>3924</v>
      </c>
    </row>
    <row r="665" spans="1:14" ht="75" customHeight="1" thickTop="1" thickBot="1">
      <c r="A665" s="34">
        <v>663</v>
      </c>
      <c r="B665" s="34">
        <v>667</v>
      </c>
      <c r="C665" s="55" t="s">
        <v>7846</v>
      </c>
      <c r="D665" s="56" t="s">
        <v>26</v>
      </c>
      <c r="E665" s="56" t="s">
        <v>6448</v>
      </c>
      <c r="F665" s="26" t="s">
        <v>3923</v>
      </c>
      <c r="G665" s="26" t="s">
        <v>12</v>
      </c>
      <c r="H665" s="26" t="s">
        <v>13</v>
      </c>
      <c r="I665" s="26" t="s">
        <v>3924</v>
      </c>
      <c r="J665" s="26" t="s">
        <v>7849</v>
      </c>
      <c r="K665" s="26" t="s">
        <v>3954</v>
      </c>
      <c r="L665" s="26" t="s">
        <v>6435</v>
      </c>
      <c r="M665" s="55" t="s">
        <v>6907</v>
      </c>
      <c r="N665" s="26" t="s">
        <v>3924</v>
      </c>
    </row>
    <row r="666" spans="1:14" ht="75" customHeight="1" thickTop="1" thickBot="1">
      <c r="A666" s="26">
        <v>664</v>
      </c>
      <c r="B666" s="26">
        <v>668</v>
      </c>
      <c r="C666" s="55" t="s">
        <v>7850</v>
      </c>
      <c r="D666" s="56" t="s">
        <v>26</v>
      </c>
      <c r="E666" s="56" t="s">
        <v>6448</v>
      </c>
      <c r="F666" s="26" t="s">
        <v>3923</v>
      </c>
      <c r="G666" s="26" t="s">
        <v>12</v>
      </c>
      <c r="H666" s="26" t="s">
        <v>13</v>
      </c>
      <c r="I666" s="26" t="s">
        <v>3924</v>
      </c>
      <c r="J666" s="26" t="s">
        <v>7849</v>
      </c>
      <c r="K666" s="26" t="s">
        <v>3954</v>
      </c>
      <c r="L666" s="26" t="s">
        <v>7561</v>
      </c>
      <c r="M666" s="55" t="s">
        <v>7234</v>
      </c>
      <c r="N666" s="26" t="s">
        <v>3924</v>
      </c>
    </row>
    <row r="667" spans="1:14" ht="75" customHeight="1" thickTop="1" thickBot="1">
      <c r="A667" s="34">
        <v>665</v>
      </c>
      <c r="B667" s="34">
        <v>669</v>
      </c>
      <c r="C667" s="55" t="s">
        <v>7851</v>
      </c>
      <c r="D667" s="56" t="s">
        <v>26</v>
      </c>
      <c r="E667" s="56" t="s">
        <v>6448</v>
      </c>
      <c r="F667" s="26" t="s">
        <v>3923</v>
      </c>
      <c r="G667" s="26" t="s">
        <v>12</v>
      </c>
      <c r="H667" s="26" t="s">
        <v>13</v>
      </c>
      <c r="I667" s="26" t="s">
        <v>3924</v>
      </c>
      <c r="J667" s="26" t="s">
        <v>7852</v>
      </c>
      <c r="K667" s="26" t="s">
        <v>6445</v>
      </c>
      <c r="L667" s="26" t="s">
        <v>6493</v>
      </c>
      <c r="M667" s="55" t="s">
        <v>7840</v>
      </c>
      <c r="N667" s="26" t="s">
        <v>3924</v>
      </c>
    </row>
    <row r="668" spans="1:14" ht="75" customHeight="1" thickTop="1" thickBot="1">
      <c r="A668" s="26">
        <v>666</v>
      </c>
      <c r="B668" s="26">
        <v>670</v>
      </c>
      <c r="C668" s="55" t="s">
        <v>7853</v>
      </c>
      <c r="D668" s="56" t="s">
        <v>26</v>
      </c>
      <c r="E668" s="56" t="s">
        <v>6448</v>
      </c>
      <c r="F668" s="26" t="s">
        <v>3923</v>
      </c>
      <c r="G668" s="26" t="s">
        <v>12</v>
      </c>
      <c r="H668" s="26" t="s">
        <v>13</v>
      </c>
      <c r="I668" s="26" t="s">
        <v>3924</v>
      </c>
      <c r="J668" s="26" t="s">
        <v>7852</v>
      </c>
      <c r="K668" s="26" t="s">
        <v>6445</v>
      </c>
      <c r="L668" s="26" t="s">
        <v>7025</v>
      </c>
      <c r="M668" s="55" t="s">
        <v>7854</v>
      </c>
      <c r="N668" s="26" t="s">
        <v>3924</v>
      </c>
    </row>
    <row r="669" spans="1:14" ht="75" customHeight="1" thickTop="1" thickBot="1">
      <c r="A669" s="34">
        <v>667</v>
      </c>
      <c r="B669" s="34">
        <v>671</v>
      </c>
      <c r="C669" s="55" t="s">
        <v>7853</v>
      </c>
      <c r="D669" s="56" t="s">
        <v>26</v>
      </c>
      <c r="E669" s="56" t="s">
        <v>6448</v>
      </c>
      <c r="F669" s="26" t="s">
        <v>3923</v>
      </c>
      <c r="G669" s="26" t="s">
        <v>12</v>
      </c>
      <c r="H669" s="26" t="s">
        <v>13</v>
      </c>
      <c r="I669" s="26" t="s">
        <v>3924</v>
      </c>
      <c r="J669" s="26" t="s">
        <v>7852</v>
      </c>
      <c r="K669" s="26" t="s">
        <v>6440</v>
      </c>
      <c r="L669" s="26" t="s">
        <v>6559</v>
      </c>
      <c r="M669" s="55" t="s">
        <v>7855</v>
      </c>
      <c r="N669" s="26" t="s">
        <v>3924</v>
      </c>
    </row>
    <row r="670" spans="1:14" ht="75" customHeight="1" thickTop="1" thickBot="1">
      <c r="A670" s="26">
        <v>668</v>
      </c>
      <c r="B670" s="26">
        <v>672</v>
      </c>
      <c r="C670" s="55" t="s">
        <v>7856</v>
      </c>
      <c r="D670" s="56" t="s">
        <v>26</v>
      </c>
      <c r="E670" s="56" t="s">
        <v>6448</v>
      </c>
      <c r="F670" s="26" t="s">
        <v>3923</v>
      </c>
      <c r="G670" s="26" t="s">
        <v>12</v>
      </c>
      <c r="H670" s="26" t="s">
        <v>13</v>
      </c>
      <c r="I670" s="26" t="s">
        <v>3924</v>
      </c>
      <c r="J670" s="26" t="s">
        <v>7857</v>
      </c>
      <c r="K670" s="26" t="s">
        <v>3954</v>
      </c>
      <c r="L670" s="26" t="s">
        <v>6435</v>
      </c>
      <c r="M670" s="55" t="s">
        <v>7858</v>
      </c>
      <c r="N670" s="26" t="s">
        <v>3924</v>
      </c>
    </row>
    <row r="671" spans="1:14" ht="75" customHeight="1" thickTop="1" thickBot="1">
      <c r="A671" s="34">
        <v>669</v>
      </c>
      <c r="B671" s="34">
        <v>673</v>
      </c>
      <c r="C671" s="55" t="s">
        <v>7856</v>
      </c>
      <c r="D671" s="56" t="s">
        <v>26</v>
      </c>
      <c r="E671" s="56" t="s">
        <v>6448</v>
      </c>
      <c r="F671" s="26" t="s">
        <v>3923</v>
      </c>
      <c r="G671" s="26" t="s">
        <v>12</v>
      </c>
      <c r="H671" s="26" t="s">
        <v>13</v>
      </c>
      <c r="I671" s="26" t="s">
        <v>3924</v>
      </c>
      <c r="J671" s="26" t="s">
        <v>7857</v>
      </c>
      <c r="K671" s="26" t="s">
        <v>6440</v>
      </c>
      <c r="L671" s="26" t="s">
        <v>6469</v>
      </c>
      <c r="M671" s="55" t="s">
        <v>7859</v>
      </c>
      <c r="N671" s="26" t="s">
        <v>3924</v>
      </c>
    </row>
    <row r="672" spans="1:14" ht="75" customHeight="1" thickTop="1" thickBot="1">
      <c r="A672" s="26">
        <v>670</v>
      </c>
      <c r="B672" s="26">
        <v>674</v>
      </c>
      <c r="C672" s="55" t="s">
        <v>7860</v>
      </c>
      <c r="D672" s="56" t="s">
        <v>26</v>
      </c>
      <c r="E672" s="56" t="s">
        <v>6448</v>
      </c>
      <c r="F672" s="26" t="s">
        <v>3923</v>
      </c>
      <c r="G672" s="26" t="s">
        <v>12</v>
      </c>
      <c r="H672" s="26" t="s">
        <v>13</v>
      </c>
      <c r="I672" s="26" t="s">
        <v>3924</v>
      </c>
      <c r="J672" s="26" t="s">
        <v>7857</v>
      </c>
      <c r="K672" s="26" t="s">
        <v>3954</v>
      </c>
      <c r="L672" s="26" t="s">
        <v>6493</v>
      </c>
      <c r="M672" s="55" t="s">
        <v>7234</v>
      </c>
      <c r="N672" s="26" t="s">
        <v>3924</v>
      </c>
    </row>
    <row r="673" spans="1:14" ht="75" customHeight="1" thickTop="1" thickBot="1">
      <c r="A673" s="34">
        <v>671</v>
      </c>
      <c r="B673" s="34">
        <v>675</v>
      </c>
      <c r="C673" s="55" t="s">
        <v>7860</v>
      </c>
      <c r="D673" s="56" t="s">
        <v>26</v>
      </c>
      <c r="E673" s="56" t="s">
        <v>6448</v>
      </c>
      <c r="F673" s="26" t="s">
        <v>3923</v>
      </c>
      <c r="G673" s="26" t="s">
        <v>12</v>
      </c>
      <c r="H673" s="26" t="s">
        <v>13</v>
      </c>
      <c r="I673" s="26" t="s">
        <v>3924</v>
      </c>
      <c r="J673" s="26" t="s">
        <v>7857</v>
      </c>
      <c r="K673" s="26" t="s">
        <v>6445</v>
      </c>
      <c r="L673" s="26" t="s">
        <v>6593</v>
      </c>
      <c r="M673" s="55" t="s">
        <v>7840</v>
      </c>
      <c r="N673" s="26" t="s">
        <v>3924</v>
      </c>
    </row>
    <row r="674" spans="1:14" ht="75" customHeight="1" thickTop="1" thickBot="1">
      <c r="A674" s="26">
        <v>672</v>
      </c>
      <c r="B674" s="26">
        <v>676</v>
      </c>
      <c r="C674" s="55" t="s">
        <v>7860</v>
      </c>
      <c r="D674" s="56" t="s">
        <v>26</v>
      </c>
      <c r="E674" s="56" t="s">
        <v>6448</v>
      </c>
      <c r="F674" s="26" t="s">
        <v>3923</v>
      </c>
      <c r="G674" s="26" t="s">
        <v>12</v>
      </c>
      <c r="H674" s="26" t="s">
        <v>13</v>
      </c>
      <c r="I674" s="26" t="s">
        <v>3924</v>
      </c>
      <c r="J674" s="26" t="s">
        <v>7861</v>
      </c>
      <c r="K674" s="26" t="s">
        <v>6552</v>
      </c>
      <c r="L674" s="26" t="s">
        <v>4082</v>
      </c>
      <c r="M674" s="55" t="s">
        <v>7862</v>
      </c>
      <c r="N674" s="26" t="s">
        <v>3924</v>
      </c>
    </row>
    <row r="675" spans="1:14" ht="75" customHeight="1" thickTop="1" thickBot="1">
      <c r="A675" s="34">
        <v>673</v>
      </c>
      <c r="B675" s="34">
        <v>677</v>
      </c>
      <c r="C675" s="55" t="s">
        <v>7863</v>
      </c>
      <c r="D675" s="56" t="s">
        <v>26</v>
      </c>
      <c r="E675" s="56" t="s">
        <v>6448</v>
      </c>
      <c r="F675" s="26" t="s">
        <v>3923</v>
      </c>
      <c r="G675" s="26" t="s">
        <v>12</v>
      </c>
      <c r="H675" s="26" t="s">
        <v>13</v>
      </c>
      <c r="I675" s="26" t="s">
        <v>3924</v>
      </c>
      <c r="J675" s="26" t="s">
        <v>7861</v>
      </c>
      <c r="K675" s="26" t="s">
        <v>6445</v>
      </c>
      <c r="L675" s="26" t="s">
        <v>6723</v>
      </c>
      <c r="M675" s="55" t="s">
        <v>7840</v>
      </c>
      <c r="N675" s="26" t="s">
        <v>3924</v>
      </c>
    </row>
    <row r="676" spans="1:14" ht="75" customHeight="1" thickTop="1" thickBot="1">
      <c r="A676" s="26">
        <v>674</v>
      </c>
      <c r="B676" s="26">
        <v>678</v>
      </c>
      <c r="C676" s="55" t="s">
        <v>7864</v>
      </c>
      <c r="D676" s="56" t="s">
        <v>26</v>
      </c>
      <c r="E676" s="56" t="s">
        <v>6448</v>
      </c>
      <c r="F676" s="26" t="s">
        <v>3923</v>
      </c>
      <c r="G676" s="26" t="s">
        <v>12</v>
      </c>
      <c r="H676" s="26" t="s">
        <v>13</v>
      </c>
      <c r="I676" s="26" t="s">
        <v>3924</v>
      </c>
      <c r="J676" s="26" t="s">
        <v>7861</v>
      </c>
      <c r="K676" s="26" t="s">
        <v>3954</v>
      </c>
      <c r="L676" s="26" t="s">
        <v>6435</v>
      </c>
      <c r="M676" s="55" t="s">
        <v>7652</v>
      </c>
      <c r="N676" s="26" t="s">
        <v>3924</v>
      </c>
    </row>
    <row r="677" spans="1:14" ht="75" customHeight="1" thickTop="1" thickBot="1">
      <c r="A677" s="34">
        <v>675</v>
      </c>
      <c r="B677" s="34">
        <v>679</v>
      </c>
      <c r="C677" s="55" t="s">
        <v>7865</v>
      </c>
      <c r="D677" s="56" t="s">
        <v>26</v>
      </c>
      <c r="E677" s="56" t="s">
        <v>6448</v>
      </c>
      <c r="F677" s="26" t="s">
        <v>3923</v>
      </c>
      <c r="G677" s="26" t="s">
        <v>12</v>
      </c>
      <c r="H677" s="26" t="s">
        <v>13</v>
      </c>
      <c r="I677" s="26" t="s">
        <v>3924</v>
      </c>
      <c r="J677" s="26" t="s">
        <v>7861</v>
      </c>
      <c r="K677" s="26" t="s">
        <v>6445</v>
      </c>
      <c r="L677" s="26" t="s">
        <v>7502</v>
      </c>
      <c r="M677" s="55" t="s">
        <v>7866</v>
      </c>
      <c r="N677" s="26" t="s">
        <v>3924</v>
      </c>
    </row>
    <row r="678" spans="1:14" ht="75" customHeight="1" thickTop="1" thickBot="1">
      <c r="A678" s="26">
        <v>676</v>
      </c>
      <c r="B678" s="26">
        <v>680</v>
      </c>
      <c r="C678" s="55" t="s">
        <v>7865</v>
      </c>
      <c r="D678" s="56" t="s">
        <v>26</v>
      </c>
      <c r="E678" s="56" t="s">
        <v>6448</v>
      </c>
      <c r="F678" s="26" t="s">
        <v>3923</v>
      </c>
      <c r="G678" s="26" t="s">
        <v>12</v>
      </c>
      <c r="H678" s="26" t="s">
        <v>13</v>
      </c>
      <c r="I678" s="26" t="s">
        <v>3924</v>
      </c>
      <c r="J678" s="26" t="s">
        <v>7861</v>
      </c>
      <c r="K678" s="26" t="s">
        <v>6445</v>
      </c>
      <c r="L678" s="26" t="s">
        <v>7502</v>
      </c>
      <c r="M678" s="55" t="s">
        <v>7867</v>
      </c>
      <c r="N678" s="26" t="s">
        <v>3924</v>
      </c>
    </row>
    <row r="679" spans="1:14" ht="75" customHeight="1" thickTop="1" thickBot="1">
      <c r="A679" s="34">
        <v>677</v>
      </c>
      <c r="B679" s="34">
        <v>681</v>
      </c>
      <c r="C679" s="55" t="s">
        <v>7868</v>
      </c>
      <c r="D679" s="56" t="s">
        <v>26</v>
      </c>
      <c r="E679" s="56" t="s">
        <v>6448</v>
      </c>
      <c r="F679" s="26" t="s">
        <v>3923</v>
      </c>
      <c r="G679" s="26" t="s">
        <v>12</v>
      </c>
      <c r="H679" s="26" t="s">
        <v>13</v>
      </c>
      <c r="I679" s="26" t="s">
        <v>3924</v>
      </c>
      <c r="J679" s="26" t="s">
        <v>7869</v>
      </c>
      <c r="K679" s="26" t="s">
        <v>3954</v>
      </c>
      <c r="L679" s="26" t="s">
        <v>6493</v>
      </c>
      <c r="M679" s="55" t="s">
        <v>7234</v>
      </c>
      <c r="N679" s="26" t="s">
        <v>3924</v>
      </c>
    </row>
    <row r="680" spans="1:14" ht="75" customHeight="1" thickTop="1" thickBot="1">
      <c r="A680" s="26">
        <v>678</v>
      </c>
      <c r="B680" s="26">
        <v>682</v>
      </c>
      <c r="C680" s="55" t="s">
        <v>7868</v>
      </c>
      <c r="D680" s="56" t="s">
        <v>26</v>
      </c>
      <c r="E680" s="56" t="s">
        <v>6448</v>
      </c>
      <c r="F680" s="26" t="s">
        <v>3923</v>
      </c>
      <c r="G680" s="26" t="s">
        <v>12</v>
      </c>
      <c r="H680" s="26" t="s">
        <v>13</v>
      </c>
      <c r="I680" s="26" t="s">
        <v>3924</v>
      </c>
      <c r="J680" s="26" t="s">
        <v>7869</v>
      </c>
      <c r="K680" s="26" t="s">
        <v>6552</v>
      </c>
      <c r="L680" s="26" t="s">
        <v>7249</v>
      </c>
      <c r="M680" s="55" t="s">
        <v>6431</v>
      </c>
      <c r="N680" s="26" t="s">
        <v>3924</v>
      </c>
    </row>
    <row r="681" spans="1:14" ht="75" customHeight="1" thickTop="1" thickBot="1">
      <c r="A681" s="34">
        <v>679</v>
      </c>
      <c r="B681" s="34">
        <v>683</v>
      </c>
      <c r="C681" s="55" t="s">
        <v>7870</v>
      </c>
      <c r="D681" s="56" t="s">
        <v>26</v>
      </c>
      <c r="E681" s="56" t="s">
        <v>6448</v>
      </c>
      <c r="F681" s="26" t="s">
        <v>3923</v>
      </c>
      <c r="G681" s="26" t="s">
        <v>12</v>
      </c>
      <c r="H681" s="26" t="s">
        <v>13</v>
      </c>
      <c r="I681" s="26" t="s">
        <v>3924</v>
      </c>
      <c r="J681" s="26" t="s">
        <v>7869</v>
      </c>
      <c r="K681" s="26" t="s">
        <v>6552</v>
      </c>
      <c r="L681" s="26" t="s">
        <v>7249</v>
      </c>
      <c r="M681" s="55" t="s">
        <v>7871</v>
      </c>
      <c r="N681" s="26" t="s">
        <v>3924</v>
      </c>
    </row>
    <row r="682" spans="1:14" ht="75" customHeight="1" thickTop="1" thickBot="1">
      <c r="A682" s="26">
        <v>680</v>
      </c>
      <c r="B682" s="26">
        <v>684</v>
      </c>
      <c r="C682" s="55" t="s">
        <v>7872</v>
      </c>
      <c r="D682" s="56" t="s">
        <v>26</v>
      </c>
      <c r="E682" s="56" t="s">
        <v>6448</v>
      </c>
      <c r="F682" s="26" t="s">
        <v>3923</v>
      </c>
      <c r="G682" s="26" t="s">
        <v>12</v>
      </c>
      <c r="H682" s="26" t="s">
        <v>13</v>
      </c>
      <c r="I682" s="26" t="s">
        <v>3924</v>
      </c>
      <c r="J682" s="26" t="s">
        <v>7869</v>
      </c>
      <c r="K682" s="26" t="s">
        <v>3954</v>
      </c>
      <c r="L682" s="26" t="s">
        <v>4082</v>
      </c>
      <c r="M682" s="55" t="s">
        <v>7873</v>
      </c>
      <c r="N682" s="26" t="s">
        <v>3924</v>
      </c>
    </row>
    <row r="683" spans="1:14" ht="75" customHeight="1" thickTop="1" thickBot="1">
      <c r="A683" s="34">
        <v>681</v>
      </c>
      <c r="B683" s="34">
        <v>685</v>
      </c>
      <c r="C683" s="55" t="s">
        <v>7872</v>
      </c>
      <c r="D683" s="56" t="s">
        <v>26</v>
      </c>
      <c r="E683" s="56" t="s">
        <v>6448</v>
      </c>
      <c r="F683" s="26" t="s">
        <v>3923</v>
      </c>
      <c r="G683" s="26" t="s">
        <v>12</v>
      </c>
      <c r="H683" s="26" t="s">
        <v>13</v>
      </c>
      <c r="I683" s="26" t="s">
        <v>3924</v>
      </c>
      <c r="J683" s="26" t="s">
        <v>7869</v>
      </c>
      <c r="K683" s="26" t="s">
        <v>3954</v>
      </c>
      <c r="L683" s="26" t="s">
        <v>6493</v>
      </c>
      <c r="M683" s="55" t="s">
        <v>7234</v>
      </c>
      <c r="N683" s="26" t="s">
        <v>3924</v>
      </c>
    </row>
    <row r="684" spans="1:14" ht="75" customHeight="1" thickTop="1" thickBot="1">
      <c r="A684" s="26">
        <v>682</v>
      </c>
      <c r="B684" s="26">
        <v>686</v>
      </c>
      <c r="C684" s="55" t="s">
        <v>7874</v>
      </c>
      <c r="D684" s="56" t="s">
        <v>26</v>
      </c>
      <c r="E684" s="56" t="s">
        <v>6448</v>
      </c>
      <c r="F684" s="26" t="s">
        <v>3923</v>
      </c>
      <c r="G684" s="26" t="s">
        <v>12</v>
      </c>
      <c r="H684" s="26" t="s">
        <v>13</v>
      </c>
      <c r="I684" s="26" t="s">
        <v>3924</v>
      </c>
      <c r="J684" s="26" t="s">
        <v>7869</v>
      </c>
      <c r="K684" s="26" t="s">
        <v>6483</v>
      </c>
      <c r="L684" s="26" t="s">
        <v>6451</v>
      </c>
      <c r="M684" s="55" t="s">
        <v>7875</v>
      </c>
      <c r="N684" s="26" t="s">
        <v>3924</v>
      </c>
    </row>
    <row r="685" spans="1:14" ht="75" customHeight="1" thickTop="1" thickBot="1">
      <c r="A685" s="34">
        <v>683</v>
      </c>
      <c r="B685" s="34">
        <v>687</v>
      </c>
      <c r="C685" s="55" t="s">
        <v>7874</v>
      </c>
      <c r="D685" s="56" t="s">
        <v>26</v>
      </c>
      <c r="E685" s="56" t="s">
        <v>6448</v>
      </c>
      <c r="F685" s="26" t="s">
        <v>3923</v>
      </c>
      <c r="G685" s="26" t="s">
        <v>12</v>
      </c>
      <c r="H685" s="26" t="s">
        <v>13</v>
      </c>
      <c r="I685" s="26" t="s">
        <v>3924</v>
      </c>
      <c r="J685" s="26" t="s">
        <v>7869</v>
      </c>
      <c r="K685" s="26" t="s">
        <v>3954</v>
      </c>
      <c r="L685" s="26" t="s">
        <v>6435</v>
      </c>
      <c r="M685" s="55" t="s">
        <v>6907</v>
      </c>
      <c r="N685" s="26" t="s">
        <v>3924</v>
      </c>
    </row>
    <row r="686" spans="1:14" ht="75" customHeight="1" thickTop="1" thickBot="1">
      <c r="A686" s="26">
        <v>684</v>
      </c>
      <c r="B686" s="26">
        <v>688</v>
      </c>
      <c r="C686" s="55" t="s">
        <v>7849</v>
      </c>
      <c r="D686" s="56" t="s">
        <v>26</v>
      </c>
      <c r="E686" s="56" t="s">
        <v>1694</v>
      </c>
      <c r="F686" s="26" t="s">
        <v>3923</v>
      </c>
      <c r="G686" s="26" t="s">
        <v>1419</v>
      </c>
      <c r="H686" s="26" t="s">
        <v>13</v>
      </c>
      <c r="I686" s="26" t="s">
        <v>3924</v>
      </c>
      <c r="J686" s="26" t="s">
        <v>7849</v>
      </c>
      <c r="K686" s="26" t="s">
        <v>6552</v>
      </c>
      <c r="L686" s="26" t="s">
        <v>4082</v>
      </c>
      <c r="M686" s="55" t="s">
        <v>7876</v>
      </c>
      <c r="N686" s="26" t="s">
        <v>3924</v>
      </c>
    </row>
    <row r="687" spans="1:14" ht="75" customHeight="1" thickTop="1" thickBot="1">
      <c r="A687" s="34">
        <v>685</v>
      </c>
      <c r="B687" s="34">
        <v>689</v>
      </c>
      <c r="C687" s="55" t="s">
        <v>7877</v>
      </c>
      <c r="D687" s="56" t="s">
        <v>26</v>
      </c>
      <c r="E687" s="56" t="s">
        <v>1694</v>
      </c>
      <c r="F687" s="26" t="s">
        <v>3923</v>
      </c>
      <c r="G687" s="26" t="s">
        <v>1419</v>
      </c>
      <c r="H687" s="26" t="s">
        <v>13</v>
      </c>
      <c r="I687" s="26" t="s">
        <v>3924</v>
      </c>
      <c r="J687" s="26" t="s">
        <v>7877</v>
      </c>
      <c r="K687" s="26" t="s">
        <v>6440</v>
      </c>
      <c r="L687" s="26" t="s">
        <v>6455</v>
      </c>
      <c r="M687" s="55" t="s">
        <v>7878</v>
      </c>
      <c r="N687" s="26" t="s">
        <v>3924</v>
      </c>
    </row>
    <row r="688" spans="1:14" ht="75" customHeight="1" thickTop="1" thickBot="1">
      <c r="A688" s="26">
        <v>686</v>
      </c>
      <c r="B688" s="26">
        <v>690</v>
      </c>
      <c r="C688" s="55" t="s">
        <v>7879</v>
      </c>
      <c r="D688" s="56" t="s">
        <v>26</v>
      </c>
      <c r="E688" s="56" t="s">
        <v>1694</v>
      </c>
      <c r="F688" s="26" t="s">
        <v>3923</v>
      </c>
      <c r="G688" s="26" t="s">
        <v>1419</v>
      </c>
      <c r="H688" s="26" t="s">
        <v>13</v>
      </c>
      <c r="I688" s="26" t="s">
        <v>3924</v>
      </c>
      <c r="J688" s="26" t="s">
        <v>7880</v>
      </c>
      <c r="K688" s="26" t="s">
        <v>6445</v>
      </c>
      <c r="L688" s="26" t="s">
        <v>7502</v>
      </c>
      <c r="M688" s="55" t="s">
        <v>7881</v>
      </c>
      <c r="N688" s="26" t="s">
        <v>3924</v>
      </c>
    </row>
    <row r="689" spans="1:14" ht="75" customHeight="1" thickTop="1" thickBot="1">
      <c r="A689" s="34">
        <v>687</v>
      </c>
      <c r="B689" s="34">
        <v>691</v>
      </c>
      <c r="C689" s="55" t="s">
        <v>7879</v>
      </c>
      <c r="D689" s="56" t="s">
        <v>26</v>
      </c>
      <c r="E689" s="56" t="s">
        <v>1694</v>
      </c>
      <c r="F689" s="26" t="s">
        <v>3923</v>
      </c>
      <c r="G689" s="26" t="s">
        <v>1419</v>
      </c>
      <c r="H689" s="26" t="s">
        <v>13</v>
      </c>
      <c r="I689" s="26" t="s">
        <v>3924</v>
      </c>
      <c r="J689" s="26" t="s">
        <v>7882</v>
      </c>
      <c r="K689" s="26" t="s">
        <v>6552</v>
      </c>
      <c r="L689" s="26" t="s">
        <v>4942</v>
      </c>
      <c r="M689" s="55" t="s">
        <v>7883</v>
      </c>
      <c r="N689" s="26" t="s">
        <v>3924</v>
      </c>
    </row>
    <row r="690" spans="1:14" ht="75" customHeight="1" thickTop="1" thickBot="1">
      <c r="A690" s="26">
        <v>688</v>
      </c>
      <c r="B690" s="26">
        <v>692</v>
      </c>
      <c r="C690" s="55" t="s">
        <v>7884</v>
      </c>
      <c r="D690" s="56" t="s">
        <v>26</v>
      </c>
      <c r="E690" s="56" t="s">
        <v>1694</v>
      </c>
      <c r="F690" s="26" t="s">
        <v>3923</v>
      </c>
      <c r="G690" s="26" t="s">
        <v>1419</v>
      </c>
      <c r="H690" s="26" t="s">
        <v>13</v>
      </c>
      <c r="I690" s="26" t="s">
        <v>3924</v>
      </c>
      <c r="J690" s="26" t="s">
        <v>7882</v>
      </c>
      <c r="K690" s="26" t="s">
        <v>6445</v>
      </c>
      <c r="L690" s="26" t="s">
        <v>6559</v>
      </c>
      <c r="M690" s="55" t="s">
        <v>7885</v>
      </c>
      <c r="N690" s="26" t="s">
        <v>3924</v>
      </c>
    </row>
    <row r="691" spans="1:14" ht="75" customHeight="1" thickTop="1" thickBot="1">
      <c r="A691" s="34">
        <v>689</v>
      </c>
      <c r="B691" s="34">
        <v>693</v>
      </c>
      <c r="C691" s="55" t="s">
        <v>7886</v>
      </c>
      <c r="D691" s="56" t="s">
        <v>26</v>
      </c>
      <c r="E691" s="56" t="s">
        <v>1694</v>
      </c>
      <c r="F691" s="26" t="s">
        <v>3923</v>
      </c>
      <c r="G691" s="26" t="s">
        <v>1419</v>
      </c>
      <c r="H691" s="26" t="s">
        <v>13</v>
      </c>
      <c r="I691" s="26" t="s">
        <v>3924</v>
      </c>
      <c r="J691" s="26" t="s">
        <v>7882</v>
      </c>
      <c r="K691" s="26" t="s">
        <v>6434</v>
      </c>
      <c r="L691" s="26" t="s">
        <v>7502</v>
      </c>
      <c r="M691" s="55" t="s">
        <v>7887</v>
      </c>
      <c r="N691" s="26" t="s">
        <v>3924</v>
      </c>
    </row>
    <row r="692" spans="1:14" ht="75" customHeight="1" thickTop="1" thickBot="1">
      <c r="A692" s="26">
        <v>690</v>
      </c>
      <c r="B692" s="26">
        <v>694</v>
      </c>
      <c r="C692" s="55" t="s">
        <v>7886</v>
      </c>
      <c r="D692" s="56" t="s">
        <v>26</v>
      </c>
      <c r="E692" s="56" t="s">
        <v>1694</v>
      </c>
      <c r="F692" s="26" t="s">
        <v>3923</v>
      </c>
      <c r="G692" s="26" t="s">
        <v>1419</v>
      </c>
      <c r="H692" s="26" t="s">
        <v>13</v>
      </c>
      <c r="I692" s="26" t="s">
        <v>3924</v>
      </c>
      <c r="J692" s="26" t="s">
        <v>7882</v>
      </c>
      <c r="K692" s="26" t="s">
        <v>6434</v>
      </c>
      <c r="L692" s="26" t="s">
        <v>6559</v>
      </c>
      <c r="M692" s="55" t="s">
        <v>7888</v>
      </c>
      <c r="N692" s="26" t="s">
        <v>3924</v>
      </c>
    </row>
    <row r="693" spans="1:14" ht="75" customHeight="1" thickTop="1" thickBot="1">
      <c r="A693" s="34">
        <v>691</v>
      </c>
      <c r="B693" s="34">
        <v>695</v>
      </c>
      <c r="C693" s="55" t="s">
        <v>7889</v>
      </c>
      <c r="D693" s="56" t="s">
        <v>26</v>
      </c>
      <c r="E693" s="56" t="s">
        <v>1694</v>
      </c>
      <c r="F693" s="26" t="s">
        <v>3923</v>
      </c>
      <c r="G693" s="26" t="s">
        <v>1419</v>
      </c>
      <c r="H693" s="26" t="s">
        <v>13</v>
      </c>
      <c r="I693" s="26" t="s">
        <v>3924</v>
      </c>
      <c r="J693" s="26" t="s">
        <v>7890</v>
      </c>
      <c r="K693" s="26" t="s">
        <v>6483</v>
      </c>
      <c r="L693" s="26" t="s">
        <v>7891</v>
      </c>
      <c r="M693" s="55" t="s">
        <v>7892</v>
      </c>
      <c r="N693" s="26" t="s">
        <v>3924</v>
      </c>
    </row>
    <row r="694" spans="1:14" ht="75" customHeight="1" thickTop="1" thickBot="1">
      <c r="A694" s="26">
        <v>692</v>
      </c>
      <c r="B694" s="26">
        <v>696</v>
      </c>
      <c r="C694" s="55" t="s">
        <v>7893</v>
      </c>
      <c r="D694" s="56" t="s">
        <v>26</v>
      </c>
      <c r="E694" s="56" t="s">
        <v>1694</v>
      </c>
      <c r="F694" s="26" t="s">
        <v>3923</v>
      </c>
      <c r="G694" s="26" t="s">
        <v>1419</v>
      </c>
      <c r="H694" s="26" t="s">
        <v>13</v>
      </c>
      <c r="I694" s="26" t="s">
        <v>3924</v>
      </c>
      <c r="J694" s="26" t="s">
        <v>7890</v>
      </c>
      <c r="K694" s="26" t="s">
        <v>6440</v>
      </c>
      <c r="L694" s="26" t="s">
        <v>6805</v>
      </c>
      <c r="M694" s="55" t="s">
        <v>7894</v>
      </c>
      <c r="N694" s="26" t="s">
        <v>3924</v>
      </c>
    </row>
    <row r="695" spans="1:14" ht="75" customHeight="1" thickTop="1" thickBot="1">
      <c r="A695" s="34">
        <v>693</v>
      </c>
      <c r="B695" s="34">
        <v>697</v>
      </c>
      <c r="C695" s="55" t="s">
        <v>7893</v>
      </c>
      <c r="D695" s="56" t="s">
        <v>26</v>
      </c>
      <c r="E695" s="56" t="s">
        <v>1694</v>
      </c>
      <c r="F695" s="26" t="s">
        <v>3923</v>
      </c>
      <c r="G695" s="26" t="s">
        <v>1419</v>
      </c>
      <c r="H695" s="26" t="s">
        <v>13</v>
      </c>
      <c r="I695" s="26" t="s">
        <v>3924</v>
      </c>
      <c r="J695" s="26" t="s">
        <v>7890</v>
      </c>
      <c r="K695" s="26" t="s">
        <v>6434</v>
      </c>
      <c r="L695" s="26" t="s">
        <v>4082</v>
      </c>
      <c r="M695" s="55" t="s">
        <v>7895</v>
      </c>
      <c r="N695" s="26" t="s">
        <v>3924</v>
      </c>
    </row>
    <row r="696" spans="1:14" ht="75" customHeight="1" thickTop="1" thickBot="1">
      <c r="A696" s="26">
        <v>694</v>
      </c>
      <c r="B696" s="26">
        <v>698</v>
      </c>
      <c r="C696" s="55" t="s">
        <v>7896</v>
      </c>
      <c r="D696" s="56" t="s">
        <v>26</v>
      </c>
      <c r="E696" s="56" t="s">
        <v>1694</v>
      </c>
      <c r="F696" s="26" t="s">
        <v>3923</v>
      </c>
      <c r="G696" s="26" t="s">
        <v>1419</v>
      </c>
      <c r="H696" s="26" t="s">
        <v>13</v>
      </c>
      <c r="I696" s="26" t="s">
        <v>3924</v>
      </c>
      <c r="J696" s="26" t="s">
        <v>7890</v>
      </c>
      <c r="K696" s="26" t="s">
        <v>6445</v>
      </c>
      <c r="L696" s="26" t="s">
        <v>7897</v>
      </c>
      <c r="M696" s="55" t="s">
        <v>7898</v>
      </c>
      <c r="N696" s="26" t="s">
        <v>3924</v>
      </c>
    </row>
    <row r="697" spans="1:14" ht="75" customHeight="1" thickTop="1" thickBot="1">
      <c r="A697" s="34">
        <v>695</v>
      </c>
      <c r="B697" s="34">
        <v>699</v>
      </c>
      <c r="C697" s="55" t="s">
        <v>7899</v>
      </c>
      <c r="D697" s="56" t="s">
        <v>26</v>
      </c>
      <c r="E697" s="56" t="s">
        <v>1694</v>
      </c>
      <c r="F697" s="26" t="s">
        <v>3923</v>
      </c>
      <c r="G697" s="26" t="s">
        <v>1419</v>
      </c>
      <c r="H697" s="26" t="s">
        <v>13</v>
      </c>
      <c r="I697" s="26" t="s">
        <v>3924</v>
      </c>
      <c r="J697" s="26" t="s">
        <v>7890</v>
      </c>
      <c r="K697" s="26" t="s">
        <v>6434</v>
      </c>
      <c r="L697" s="26" t="s">
        <v>7561</v>
      </c>
      <c r="M697" s="55" t="s">
        <v>7900</v>
      </c>
      <c r="N697" s="26" t="s">
        <v>3924</v>
      </c>
    </row>
    <row r="698" spans="1:14" ht="75" customHeight="1" thickTop="1" thickBot="1">
      <c r="A698" s="26">
        <v>696</v>
      </c>
      <c r="B698" s="26">
        <v>700</v>
      </c>
      <c r="C698" s="55" t="s">
        <v>7901</v>
      </c>
      <c r="D698" s="56" t="s">
        <v>26</v>
      </c>
      <c r="E698" s="56" t="s">
        <v>1694</v>
      </c>
      <c r="F698" s="26" t="s">
        <v>3923</v>
      </c>
      <c r="G698" s="26" t="s">
        <v>1419</v>
      </c>
      <c r="H698" s="26" t="s">
        <v>13</v>
      </c>
      <c r="I698" s="26" t="s">
        <v>3924</v>
      </c>
      <c r="J698" s="26" t="s">
        <v>7902</v>
      </c>
      <c r="K698" s="26" t="s">
        <v>6440</v>
      </c>
      <c r="L698" s="26" t="s">
        <v>4082</v>
      </c>
      <c r="M698" s="55" t="s">
        <v>7903</v>
      </c>
      <c r="N698" s="26" t="s">
        <v>3924</v>
      </c>
    </row>
    <row r="699" spans="1:14" ht="75" customHeight="1" thickTop="1" thickBot="1">
      <c r="A699" s="34">
        <v>697</v>
      </c>
      <c r="B699" s="34">
        <v>701</v>
      </c>
      <c r="C699" s="55" t="s">
        <v>7901</v>
      </c>
      <c r="D699" s="56" t="s">
        <v>26</v>
      </c>
      <c r="E699" s="56" t="s">
        <v>1694</v>
      </c>
      <c r="F699" s="26" t="s">
        <v>3923</v>
      </c>
      <c r="G699" s="26" t="s">
        <v>1419</v>
      </c>
      <c r="H699" s="26" t="s">
        <v>13</v>
      </c>
      <c r="I699" s="26" t="s">
        <v>3924</v>
      </c>
      <c r="J699" s="26" t="s">
        <v>7902</v>
      </c>
      <c r="K699" s="26" t="s">
        <v>6440</v>
      </c>
      <c r="L699" s="26" t="s">
        <v>4082</v>
      </c>
      <c r="M699" s="55" t="s">
        <v>7904</v>
      </c>
      <c r="N699" s="26" t="s">
        <v>3924</v>
      </c>
    </row>
    <row r="700" spans="1:14" ht="75" customHeight="1" thickTop="1" thickBot="1">
      <c r="A700" s="26">
        <v>698</v>
      </c>
      <c r="B700" s="26">
        <v>702</v>
      </c>
      <c r="C700" s="55" t="s">
        <v>7905</v>
      </c>
      <c r="D700" s="56" t="s">
        <v>26</v>
      </c>
      <c r="E700" s="56" t="s">
        <v>1694</v>
      </c>
      <c r="F700" s="26" t="s">
        <v>3923</v>
      </c>
      <c r="G700" s="26" t="s">
        <v>1419</v>
      </c>
      <c r="H700" s="26" t="s">
        <v>13</v>
      </c>
      <c r="I700" s="26" t="s">
        <v>3924</v>
      </c>
      <c r="J700" s="26" t="s">
        <v>7902</v>
      </c>
      <c r="K700" s="26" t="s">
        <v>6440</v>
      </c>
      <c r="L700" s="26" t="s">
        <v>7906</v>
      </c>
      <c r="M700" s="55" t="s">
        <v>7907</v>
      </c>
      <c r="N700" s="26" t="s">
        <v>3924</v>
      </c>
    </row>
    <row r="701" spans="1:14" ht="75" customHeight="1" thickTop="1" thickBot="1">
      <c r="A701" s="34">
        <v>699</v>
      </c>
      <c r="B701" s="34">
        <v>703</v>
      </c>
      <c r="C701" s="55" t="s">
        <v>7908</v>
      </c>
      <c r="D701" s="56" t="s">
        <v>26</v>
      </c>
      <c r="E701" s="56" t="s">
        <v>1694</v>
      </c>
      <c r="F701" s="26" t="s">
        <v>3923</v>
      </c>
      <c r="G701" s="26" t="s">
        <v>1419</v>
      </c>
      <c r="H701" s="26" t="s">
        <v>13</v>
      </c>
      <c r="I701" s="26" t="s">
        <v>3924</v>
      </c>
      <c r="J701" s="26" t="s">
        <v>7902</v>
      </c>
      <c r="K701" s="26" t="s">
        <v>6552</v>
      </c>
      <c r="L701" s="26" t="s">
        <v>4082</v>
      </c>
      <c r="M701" s="55" t="s">
        <v>7909</v>
      </c>
      <c r="N701" s="26" t="s">
        <v>3924</v>
      </c>
    </row>
    <row r="702" spans="1:14" ht="75" customHeight="1" thickTop="1" thickBot="1">
      <c r="A702" s="26">
        <v>700</v>
      </c>
      <c r="B702" s="26">
        <v>704</v>
      </c>
      <c r="C702" s="55" t="s">
        <v>7910</v>
      </c>
      <c r="D702" s="56" t="s">
        <v>26</v>
      </c>
      <c r="E702" s="56" t="s">
        <v>1694</v>
      </c>
      <c r="F702" s="26" t="s">
        <v>3923</v>
      </c>
      <c r="G702" s="26" t="s">
        <v>1419</v>
      </c>
      <c r="H702" s="26" t="s">
        <v>13</v>
      </c>
      <c r="I702" s="26" t="s">
        <v>3924</v>
      </c>
      <c r="J702" s="26" t="s">
        <v>7902</v>
      </c>
      <c r="K702" s="26" t="s">
        <v>6440</v>
      </c>
      <c r="L702" s="26" t="s">
        <v>6805</v>
      </c>
      <c r="M702" s="55" t="s">
        <v>7911</v>
      </c>
      <c r="N702" s="26" t="s">
        <v>3924</v>
      </c>
    </row>
    <row r="703" spans="1:14" ht="75" customHeight="1" thickTop="1" thickBot="1">
      <c r="A703" s="34">
        <v>701</v>
      </c>
      <c r="B703" s="34">
        <v>705</v>
      </c>
      <c r="C703" s="55" t="s">
        <v>7912</v>
      </c>
      <c r="D703" s="56" t="s">
        <v>26</v>
      </c>
      <c r="E703" s="56" t="s">
        <v>1694</v>
      </c>
      <c r="F703" s="26" t="s">
        <v>3923</v>
      </c>
      <c r="G703" s="26" t="s">
        <v>1419</v>
      </c>
      <c r="H703" s="26" t="s">
        <v>13</v>
      </c>
      <c r="I703" s="26" t="s">
        <v>3924</v>
      </c>
      <c r="J703" s="26" t="s">
        <v>7902</v>
      </c>
      <c r="K703" s="26" t="s">
        <v>6445</v>
      </c>
      <c r="L703" s="26" t="s">
        <v>4082</v>
      </c>
      <c r="M703" s="55" t="s">
        <v>7913</v>
      </c>
      <c r="N703" s="26" t="s">
        <v>3924</v>
      </c>
    </row>
    <row r="704" spans="1:14" ht="75" customHeight="1" thickTop="1" thickBot="1">
      <c r="A704" s="26">
        <v>702</v>
      </c>
      <c r="B704" s="26">
        <v>706</v>
      </c>
      <c r="C704" s="55" t="s">
        <v>7914</v>
      </c>
      <c r="D704" s="56" t="s">
        <v>26</v>
      </c>
      <c r="E704" s="56" t="s">
        <v>1694</v>
      </c>
      <c r="F704" s="26" t="s">
        <v>3923</v>
      </c>
      <c r="G704" s="26" t="s">
        <v>1419</v>
      </c>
      <c r="H704" s="26" t="s">
        <v>13</v>
      </c>
      <c r="I704" s="26" t="s">
        <v>3924</v>
      </c>
      <c r="J704" s="26" t="s">
        <v>7915</v>
      </c>
      <c r="K704" s="26" t="s">
        <v>7717</v>
      </c>
      <c r="L704" s="26" t="s">
        <v>7502</v>
      </c>
      <c r="M704" s="55" t="s">
        <v>7916</v>
      </c>
      <c r="N704" s="26" t="s">
        <v>3924</v>
      </c>
    </row>
    <row r="705" spans="1:14" ht="75" customHeight="1" thickTop="1" thickBot="1">
      <c r="A705" s="34">
        <v>703</v>
      </c>
      <c r="B705" s="34">
        <v>707</v>
      </c>
      <c r="C705" s="55" t="s">
        <v>7917</v>
      </c>
      <c r="D705" s="56" t="s">
        <v>26</v>
      </c>
      <c r="E705" s="56" t="s">
        <v>27</v>
      </c>
      <c r="F705" s="26" t="s">
        <v>3995</v>
      </c>
      <c r="G705" s="26" t="s">
        <v>16</v>
      </c>
      <c r="H705" s="26" t="s">
        <v>13</v>
      </c>
      <c r="I705" s="26" t="s">
        <v>3924</v>
      </c>
      <c r="J705" s="26" t="s">
        <v>7918</v>
      </c>
      <c r="K705" s="26" t="s">
        <v>6434</v>
      </c>
      <c r="L705" s="26" t="s">
        <v>6435</v>
      </c>
      <c r="M705" s="55" t="s">
        <v>7919</v>
      </c>
      <c r="N705" s="26" t="s">
        <v>3924</v>
      </c>
    </row>
    <row r="706" spans="1:14" ht="75" customHeight="1" thickTop="1" thickBot="1">
      <c r="A706" s="26">
        <v>704</v>
      </c>
      <c r="B706" s="26">
        <v>708</v>
      </c>
      <c r="C706" s="55" t="s">
        <v>7920</v>
      </c>
      <c r="D706" s="56" t="s">
        <v>26</v>
      </c>
      <c r="E706" s="56" t="s">
        <v>6438</v>
      </c>
      <c r="F706" s="26" t="s">
        <v>3995</v>
      </c>
      <c r="G706" s="26" t="s">
        <v>1419</v>
      </c>
      <c r="H706" s="26" t="s">
        <v>13</v>
      </c>
      <c r="I706" s="26" t="s">
        <v>3924</v>
      </c>
      <c r="J706" s="26" t="s">
        <v>7921</v>
      </c>
      <c r="K706" s="26" t="s">
        <v>6440</v>
      </c>
      <c r="L706" s="26" t="s">
        <v>6455</v>
      </c>
      <c r="M706" s="55" t="s">
        <v>7922</v>
      </c>
      <c r="N706" s="26" t="s">
        <v>3924</v>
      </c>
    </row>
    <row r="707" spans="1:14" ht="75" customHeight="1" thickTop="1" thickBot="1">
      <c r="A707" s="34">
        <v>705</v>
      </c>
      <c r="B707" s="34">
        <v>709</v>
      </c>
      <c r="C707" s="55" t="s">
        <v>7923</v>
      </c>
      <c r="D707" s="56" t="s">
        <v>26</v>
      </c>
      <c r="E707" s="56" t="s">
        <v>2894</v>
      </c>
      <c r="F707" s="26" t="s">
        <v>3995</v>
      </c>
      <c r="G707" s="26" t="s">
        <v>16</v>
      </c>
      <c r="H707" s="26" t="s">
        <v>13</v>
      </c>
      <c r="I707" s="26" t="s">
        <v>3924</v>
      </c>
      <c r="J707" s="26" t="s">
        <v>7924</v>
      </c>
      <c r="K707" s="26" t="s">
        <v>6552</v>
      </c>
      <c r="L707" s="26" t="s">
        <v>3927</v>
      </c>
      <c r="M707" s="55" t="s">
        <v>7925</v>
      </c>
      <c r="N707" s="26" t="s">
        <v>3924</v>
      </c>
    </row>
    <row r="708" spans="1:14" ht="75" customHeight="1" thickTop="1" thickBot="1">
      <c r="A708" s="26">
        <v>706</v>
      </c>
      <c r="B708" s="26">
        <v>710</v>
      </c>
      <c r="C708" s="55" t="s">
        <v>7926</v>
      </c>
      <c r="D708" s="56" t="s">
        <v>26</v>
      </c>
      <c r="E708" s="56" t="s">
        <v>2894</v>
      </c>
      <c r="F708" s="26" t="s">
        <v>3995</v>
      </c>
      <c r="G708" s="26" t="s">
        <v>16</v>
      </c>
      <c r="H708" s="26" t="s">
        <v>13</v>
      </c>
      <c r="I708" s="26" t="s">
        <v>3924</v>
      </c>
      <c r="J708" s="26" t="s">
        <v>7924</v>
      </c>
      <c r="K708" s="26" t="s">
        <v>6552</v>
      </c>
      <c r="L708" s="26" t="s">
        <v>3927</v>
      </c>
      <c r="M708" s="55" t="s">
        <v>7927</v>
      </c>
      <c r="N708" s="26" t="s">
        <v>3924</v>
      </c>
    </row>
    <row r="709" spans="1:14" ht="75" customHeight="1" thickTop="1" thickBot="1">
      <c r="A709" s="34">
        <v>707</v>
      </c>
      <c r="B709" s="34">
        <v>711</v>
      </c>
      <c r="C709" s="55" t="s">
        <v>7928</v>
      </c>
      <c r="D709" s="56" t="s">
        <v>26</v>
      </c>
      <c r="E709" s="56" t="s">
        <v>6480</v>
      </c>
      <c r="F709" s="26" t="s">
        <v>3923</v>
      </c>
      <c r="G709" s="26" t="s">
        <v>16</v>
      </c>
      <c r="H709" s="26" t="s">
        <v>13</v>
      </c>
      <c r="I709" s="26" t="s">
        <v>3924</v>
      </c>
      <c r="J709" s="26" t="s">
        <v>7928</v>
      </c>
      <c r="K709" s="26" t="s">
        <v>6445</v>
      </c>
      <c r="L709" s="26" t="s">
        <v>7929</v>
      </c>
      <c r="M709" s="55" t="s">
        <v>7930</v>
      </c>
      <c r="N709" s="26" t="s">
        <v>3924</v>
      </c>
    </row>
    <row r="710" spans="1:14" ht="75" customHeight="1" thickTop="1" thickBot="1">
      <c r="A710" s="26">
        <v>708</v>
      </c>
      <c r="B710" s="26">
        <v>712</v>
      </c>
      <c r="C710" s="55" t="s">
        <v>7931</v>
      </c>
      <c r="D710" s="56" t="s">
        <v>26</v>
      </c>
      <c r="E710" s="56" t="s">
        <v>6480</v>
      </c>
      <c r="F710" s="26" t="s">
        <v>3923</v>
      </c>
      <c r="G710" s="26" t="s">
        <v>16</v>
      </c>
      <c r="H710" s="26" t="s">
        <v>13</v>
      </c>
      <c r="I710" s="26" t="s">
        <v>3924</v>
      </c>
      <c r="J710" s="26" t="s">
        <v>7931</v>
      </c>
      <c r="K710" s="26" t="s">
        <v>6445</v>
      </c>
      <c r="L710" s="26" t="s">
        <v>7932</v>
      </c>
      <c r="M710" s="55" t="s">
        <v>7770</v>
      </c>
      <c r="N710" s="26" t="s">
        <v>3924</v>
      </c>
    </row>
    <row r="711" spans="1:14" ht="75" customHeight="1" thickTop="1" thickBot="1">
      <c r="A711" s="34">
        <v>709</v>
      </c>
      <c r="B711" s="34">
        <v>713</v>
      </c>
      <c r="C711" s="55" t="s">
        <v>7933</v>
      </c>
      <c r="D711" s="56" t="s">
        <v>26</v>
      </c>
      <c r="E711" s="56" t="s">
        <v>6480</v>
      </c>
      <c r="F711" s="26" t="s">
        <v>3923</v>
      </c>
      <c r="G711" s="26" t="s">
        <v>16</v>
      </c>
      <c r="H711" s="26" t="s">
        <v>13</v>
      </c>
      <c r="I711" s="26" t="s">
        <v>3924</v>
      </c>
      <c r="J711" s="26" t="s">
        <v>7934</v>
      </c>
      <c r="K711" s="26" t="s">
        <v>6445</v>
      </c>
      <c r="L711" s="26" t="s">
        <v>7078</v>
      </c>
      <c r="M711" s="55" t="s">
        <v>7935</v>
      </c>
      <c r="N711" s="26" t="s">
        <v>3924</v>
      </c>
    </row>
    <row r="712" spans="1:14" ht="75" customHeight="1" thickTop="1" thickBot="1">
      <c r="A712" s="26">
        <v>710</v>
      </c>
      <c r="B712" s="26">
        <v>714</v>
      </c>
      <c r="C712" s="55" t="s">
        <v>7936</v>
      </c>
      <c r="D712" s="56" t="s">
        <v>26</v>
      </c>
      <c r="E712" s="56" t="s">
        <v>6480</v>
      </c>
      <c r="F712" s="26" t="s">
        <v>3923</v>
      </c>
      <c r="G712" s="26" t="s">
        <v>16</v>
      </c>
      <c r="H712" s="26" t="s">
        <v>13</v>
      </c>
      <c r="I712" s="26" t="s">
        <v>3924</v>
      </c>
      <c r="J712" s="26" t="s">
        <v>7936</v>
      </c>
      <c r="K712" s="26" t="s">
        <v>6440</v>
      </c>
      <c r="L712" s="26" t="s">
        <v>6723</v>
      </c>
      <c r="M712" s="55" t="s">
        <v>7937</v>
      </c>
      <c r="N712" s="26" t="s">
        <v>3924</v>
      </c>
    </row>
    <row r="713" spans="1:14" ht="75" customHeight="1" thickTop="1" thickBot="1">
      <c r="A713" s="34">
        <v>711</v>
      </c>
      <c r="B713" s="34">
        <v>715</v>
      </c>
      <c r="C713" s="55" t="s">
        <v>7936</v>
      </c>
      <c r="D713" s="56" t="s">
        <v>26</v>
      </c>
      <c r="E713" s="56" t="s">
        <v>2894</v>
      </c>
      <c r="F713" s="26" t="s">
        <v>3995</v>
      </c>
      <c r="G713" s="26" t="s">
        <v>16</v>
      </c>
      <c r="H713" s="26" t="s">
        <v>13</v>
      </c>
      <c r="I713" s="26" t="s">
        <v>3924</v>
      </c>
      <c r="J713" s="26" t="s">
        <v>7924</v>
      </c>
      <c r="K713" s="26" t="s">
        <v>6552</v>
      </c>
      <c r="L713" s="26" t="s">
        <v>3927</v>
      </c>
      <c r="M713" s="55" t="s">
        <v>7938</v>
      </c>
      <c r="N713" s="26" t="s">
        <v>3924</v>
      </c>
    </row>
    <row r="714" spans="1:14" ht="75" customHeight="1" thickTop="1" thickBot="1">
      <c r="A714" s="26">
        <v>712</v>
      </c>
      <c r="B714" s="26">
        <v>716</v>
      </c>
      <c r="C714" s="55" t="s">
        <v>7939</v>
      </c>
      <c r="D714" s="56" t="s">
        <v>26</v>
      </c>
      <c r="E714" s="56" t="s">
        <v>6480</v>
      </c>
      <c r="F714" s="26" t="s">
        <v>3923</v>
      </c>
      <c r="G714" s="26" t="s">
        <v>16</v>
      </c>
      <c r="H714" s="26" t="s">
        <v>13</v>
      </c>
      <c r="I714" s="26" t="s">
        <v>3924</v>
      </c>
      <c r="J714" s="26" t="s">
        <v>7939</v>
      </c>
      <c r="K714" s="26" t="s">
        <v>6440</v>
      </c>
      <c r="L714" s="26" t="s">
        <v>6723</v>
      </c>
      <c r="M714" s="55" t="s">
        <v>7940</v>
      </c>
      <c r="N714" s="26" t="s">
        <v>3924</v>
      </c>
    </row>
    <row r="715" spans="1:14" ht="75" customHeight="1" thickTop="1" thickBot="1">
      <c r="A715" s="34">
        <v>713</v>
      </c>
      <c r="B715" s="34">
        <v>717</v>
      </c>
      <c r="C715" s="55" t="s">
        <v>7941</v>
      </c>
      <c r="D715" s="56" t="s">
        <v>26</v>
      </c>
      <c r="E715" s="56" t="s">
        <v>6480</v>
      </c>
      <c r="F715" s="26" t="s">
        <v>3923</v>
      </c>
      <c r="G715" s="26" t="s">
        <v>16</v>
      </c>
      <c r="H715" s="26" t="s">
        <v>13</v>
      </c>
      <c r="I715" s="26" t="s">
        <v>3924</v>
      </c>
      <c r="J715" s="26" t="s">
        <v>7941</v>
      </c>
      <c r="K715" s="26" t="s">
        <v>6440</v>
      </c>
      <c r="L715" s="26" t="s">
        <v>6593</v>
      </c>
      <c r="M715" s="55" t="s">
        <v>7942</v>
      </c>
      <c r="N715" s="26" t="s">
        <v>3924</v>
      </c>
    </row>
    <row r="716" spans="1:14" ht="75" customHeight="1" thickTop="1" thickBot="1">
      <c r="A716" s="26">
        <v>714</v>
      </c>
      <c r="B716" s="26">
        <v>718</v>
      </c>
      <c r="C716" s="55" t="s">
        <v>7941</v>
      </c>
      <c r="D716" s="56" t="s">
        <v>26</v>
      </c>
      <c r="E716" s="56" t="s">
        <v>6480</v>
      </c>
      <c r="F716" s="26" t="s">
        <v>3923</v>
      </c>
      <c r="G716" s="26" t="s">
        <v>16</v>
      </c>
      <c r="H716" s="26" t="s">
        <v>13</v>
      </c>
      <c r="I716" s="26" t="s">
        <v>3924</v>
      </c>
      <c r="J716" s="26" t="s">
        <v>7943</v>
      </c>
      <c r="K716" s="26" t="s">
        <v>6440</v>
      </c>
      <c r="L716" s="26" t="s">
        <v>6593</v>
      </c>
      <c r="M716" s="55" t="s">
        <v>7944</v>
      </c>
      <c r="N716" s="26" t="s">
        <v>3924</v>
      </c>
    </row>
    <row r="717" spans="1:14" ht="75" customHeight="1" thickTop="1" thickBot="1">
      <c r="A717" s="34">
        <v>715</v>
      </c>
      <c r="B717" s="34">
        <v>719</v>
      </c>
      <c r="C717" s="55" t="s">
        <v>7945</v>
      </c>
      <c r="D717" s="56" t="s">
        <v>26</v>
      </c>
      <c r="E717" s="56" t="s">
        <v>2894</v>
      </c>
      <c r="F717" s="26" t="s">
        <v>3995</v>
      </c>
      <c r="G717" s="26" t="s">
        <v>1419</v>
      </c>
      <c r="H717" s="26" t="s">
        <v>17</v>
      </c>
      <c r="I717" s="26" t="s">
        <v>3924</v>
      </c>
      <c r="J717" s="26" t="s">
        <v>7946</v>
      </c>
      <c r="K717" s="26" t="s">
        <v>6552</v>
      </c>
      <c r="L717" s="26" t="s">
        <v>3927</v>
      </c>
      <c r="M717" s="55" t="s">
        <v>7947</v>
      </c>
      <c r="N717" s="26" t="s">
        <v>3924</v>
      </c>
    </row>
    <row r="718" spans="1:14" ht="75" customHeight="1" thickTop="1" thickBot="1">
      <c r="A718" s="26">
        <v>716</v>
      </c>
      <c r="B718" s="26">
        <v>720</v>
      </c>
      <c r="C718" s="55" t="s">
        <v>7945</v>
      </c>
      <c r="D718" s="56" t="s">
        <v>26</v>
      </c>
      <c r="E718" s="56" t="s">
        <v>6480</v>
      </c>
      <c r="F718" s="26" t="s">
        <v>3923</v>
      </c>
      <c r="G718" s="26" t="s">
        <v>16</v>
      </c>
      <c r="H718" s="26" t="s">
        <v>13</v>
      </c>
      <c r="I718" s="26" t="s">
        <v>3924</v>
      </c>
      <c r="J718" s="26" t="s">
        <v>7945</v>
      </c>
      <c r="K718" s="26" t="s">
        <v>6440</v>
      </c>
      <c r="L718" s="26" t="s">
        <v>6493</v>
      </c>
      <c r="M718" s="55" t="s">
        <v>7948</v>
      </c>
      <c r="N718" s="26" t="s">
        <v>3924</v>
      </c>
    </row>
    <row r="719" spans="1:14" ht="75" customHeight="1" thickTop="1" thickBot="1">
      <c r="A719" s="34">
        <v>717</v>
      </c>
      <c r="B719" s="34">
        <v>721</v>
      </c>
      <c r="C719" s="55" t="s">
        <v>7949</v>
      </c>
      <c r="D719" s="56" t="s">
        <v>26</v>
      </c>
      <c r="E719" s="56" t="s">
        <v>6480</v>
      </c>
      <c r="F719" s="26" t="s">
        <v>3923</v>
      </c>
      <c r="G719" s="26" t="s">
        <v>16</v>
      </c>
      <c r="H719" s="26" t="s">
        <v>13</v>
      </c>
      <c r="I719" s="26" t="s">
        <v>3924</v>
      </c>
      <c r="J719" s="26" t="s">
        <v>7949</v>
      </c>
      <c r="K719" s="26" t="s">
        <v>6440</v>
      </c>
      <c r="L719" s="26" t="s">
        <v>6493</v>
      </c>
      <c r="M719" s="55" t="s">
        <v>7950</v>
      </c>
      <c r="N719" s="26" t="s">
        <v>3924</v>
      </c>
    </row>
    <row r="720" spans="1:14" ht="75" customHeight="1" thickTop="1" thickBot="1">
      <c r="A720" s="26">
        <v>718</v>
      </c>
      <c r="B720" s="26">
        <v>722</v>
      </c>
      <c r="C720" s="55" t="s">
        <v>7951</v>
      </c>
      <c r="D720" s="56" t="s">
        <v>26</v>
      </c>
      <c r="E720" s="56" t="s">
        <v>6480</v>
      </c>
      <c r="F720" s="26" t="s">
        <v>3923</v>
      </c>
      <c r="G720" s="26" t="s">
        <v>16</v>
      </c>
      <c r="H720" s="26" t="s">
        <v>13</v>
      </c>
      <c r="I720" s="26" t="s">
        <v>3924</v>
      </c>
      <c r="J720" s="26" t="s">
        <v>7951</v>
      </c>
      <c r="K720" s="26" t="s">
        <v>6434</v>
      </c>
      <c r="L720" s="26" t="s">
        <v>6723</v>
      </c>
      <c r="M720" s="55" t="s">
        <v>7952</v>
      </c>
      <c r="N720" s="26" t="s">
        <v>3924</v>
      </c>
    </row>
    <row r="721" spans="1:14" ht="75" customHeight="1" thickTop="1" thickBot="1">
      <c r="A721" s="34">
        <v>719</v>
      </c>
      <c r="B721" s="34">
        <v>723</v>
      </c>
      <c r="C721" s="55" t="s">
        <v>7953</v>
      </c>
      <c r="D721" s="56" t="s">
        <v>26</v>
      </c>
      <c r="E721" s="56" t="s">
        <v>6480</v>
      </c>
      <c r="F721" s="26" t="s">
        <v>3923</v>
      </c>
      <c r="G721" s="26" t="s">
        <v>16</v>
      </c>
      <c r="H721" s="26" t="s">
        <v>13</v>
      </c>
      <c r="I721" s="26" t="s">
        <v>3924</v>
      </c>
      <c r="J721" s="26" t="s">
        <v>7953</v>
      </c>
      <c r="K721" s="26" t="s">
        <v>6434</v>
      </c>
      <c r="L721" s="26" t="s">
        <v>6723</v>
      </c>
      <c r="M721" s="55" t="s">
        <v>7950</v>
      </c>
      <c r="N721" s="26" t="s">
        <v>3924</v>
      </c>
    </row>
    <row r="722" spans="1:14" ht="75" customHeight="1" thickTop="1" thickBot="1">
      <c r="A722" s="26">
        <v>720</v>
      </c>
      <c r="B722" s="26">
        <v>724</v>
      </c>
      <c r="C722" s="55" t="s">
        <v>7953</v>
      </c>
      <c r="D722" s="56" t="s">
        <v>26</v>
      </c>
      <c r="E722" s="56" t="s">
        <v>6480</v>
      </c>
      <c r="F722" s="26" t="s">
        <v>3923</v>
      </c>
      <c r="G722" s="26" t="s">
        <v>16</v>
      </c>
      <c r="H722" s="26" t="s">
        <v>13</v>
      </c>
      <c r="I722" s="26" t="s">
        <v>3924</v>
      </c>
      <c r="J722" s="26" t="s">
        <v>7954</v>
      </c>
      <c r="K722" s="26" t="s">
        <v>6434</v>
      </c>
      <c r="L722" s="26" t="s">
        <v>6593</v>
      </c>
      <c r="M722" s="55" t="s">
        <v>7955</v>
      </c>
      <c r="N722" s="26" t="s">
        <v>3924</v>
      </c>
    </row>
    <row r="723" spans="1:14" ht="75" customHeight="1" thickTop="1" thickBot="1">
      <c r="A723" s="34">
        <v>721</v>
      </c>
      <c r="B723" s="34">
        <v>725</v>
      </c>
      <c r="C723" s="55" t="s">
        <v>7954</v>
      </c>
      <c r="D723" s="56" t="s">
        <v>26</v>
      </c>
      <c r="E723" s="56" t="s">
        <v>6480</v>
      </c>
      <c r="F723" s="26" t="s">
        <v>3923</v>
      </c>
      <c r="G723" s="26" t="s">
        <v>16</v>
      </c>
      <c r="H723" s="26" t="s">
        <v>13</v>
      </c>
      <c r="I723" s="26" t="s">
        <v>3924</v>
      </c>
      <c r="J723" s="26" t="s">
        <v>7956</v>
      </c>
      <c r="K723" s="26" t="s">
        <v>6434</v>
      </c>
      <c r="L723" s="26" t="s">
        <v>6593</v>
      </c>
      <c r="M723" s="55" t="s">
        <v>7957</v>
      </c>
      <c r="N723" s="26" t="s">
        <v>3924</v>
      </c>
    </row>
    <row r="724" spans="1:14" ht="75" customHeight="1" thickTop="1" thickBot="1">
      <c r="A724" s="26">
        <v>722</v>
      </c>
      <c r="B724" s="26">
        <v>726</v>
      </c>
      <c r="C724" s="55" t="s">
        <v>7956</v>
      </c>
      <c r="D724" s="56" t="s">
        <v>26</v>
      </c>
      <c r="E724" s="56" t="s">
        <v>6480</v>
      </c>
      <c r="F724" s="26" t="s">
        <v>3923</v>
      </c>
      <c r="G724" s="26" t="s">
        <v>16</v>
      </c>
      <c r="H724" s="26" t="s">
        <v>13</v>
      </c>
      <c r="I724" s="26" t="s">
        <v>3924</v>
      </c>
      <c r="J724" s="26" t="s">
        <v>7956</v>
      </c>
      <c r="K724" s="26" t="s">
        <v>6434</v>
      </c>
      <c r="L724" s="26" t="s">
        <v>6493</v>
      </c>
      <c r="M724" s="55" t="s">
        <v>7958</v>
      </c>
      <c r="N724" s="26" t="s">
        <v>3924</v>
      </c>
    </row>
    <row r="725" spans="1:14" ht="75" customHeight="1" thickTop="1" thickBot="1">
      <c r="A725" s="34">
        <v>723</v>
      </c>
      <c r="B725" s="34">
        <v>727</v>
      </c>
      <c r="C725" s="55" t="s">
        <v>7959</v>
      </c>
      <c r="D725" s="56" t="s">
        <v>26</v>
      </c>
      <c r="E725" s="56" t="s">
        <v>6480</v>
      </c>
      <c r="F725" s="26" t="s">
        <v>3923</v>
      </c>
      <c r="G725" s="26" t="s">
        <v>16</v>
      </c>
      <c r="H725" s="26" t="s">
        <v>13</v>
      </c>
      <c r="I725" s="26" t="s">
        <v>3924</v>
      </c>
      <c r="J725" s="26" t="s">
        <v>7959</v>
      </c>
      <c r="K725" s="26" t="s">
        <v>6434</v>
      </c>
      <c r="L725" s="26" t="s">
        <v>6493</v>
      </c>
      <c r="M725" s="55" t="s">
        <v>7960</v>
      </c>
      <c r="N725" s="26" t="s">
        <v>3924</v>
      </c>
    </row>
    <row r="726" spans="1:14" ht="75" customHeight="1" thickTop="1" thickBot="1">
      <c r="A726" s="26">
        <v>724</v>
      </c>
      <c r="B726" s="26">
        <v>728</v>
      </c>
      <c r="C726" s="55" t="s">
        <v>7961</v>
      </c>
      <c r="D726" s="56" t="s">
        <v>26</v>
      </c>
      <c r="E726" s="56" t="s">
        <v>6480</v>
      </c>
      <c r="F726" s="26" t="s">
        <v>3923</v>
      </c>
      <c r="G726" s="26" t="s">
        <v>16</v>
      </c>
      <c r="H726" s="26" t="s">
        <v>13</v>
      </c>
      <c r="I726" s="26" t="s">
        <v>3924</v>
      </c>
      <c r="J726" s="26" t="s">
        <v>7961</v>
      </c>
      <c r="K726" s="26" t="s">
        <v>6434</v>
      </c>
      <c r="L726" s="26" t="s">
        <v>7352</v>
      </c>
      <c r="M726" s="55" t="s">
        <v>611</v>
      </c>
      <c r="N726" s="26" t="s">
        <v>3924</v>
      </c>
    </row>
    <row r="727" spans="1:14" ht="75" customHeight="1" thickTop="1" thickBot="1">
      <c r="A727" s="34">
        <v>725</v>
      </c>
      <c r="B727" s="34">
        <v>729</v>
      </c>
      <c r="C727" s="55" t="s">
        <v>7962</v>
      </c>
      <c r="D727" s="56" t="s">
        <v>26</v>
      </c>
      <c r="E727" s="56" t="s">
        <v>6480</v>
      </c>
      <c r="F727" s="26" t="s">
        <v>3923</v>
      </c>
      <c r="G727" s="26" t="s">
        <v>16</v>
      </c>
      <c r="H727" s="26" t="s">
        <v>13</v>
      </c>
      <c r="I727" s="26" t="s">
        <v>3924</v>
      </c>
      <c r="J727" s="26" t="s">
        <v>7962</v>
      </c>
      <c r="K727" s="26" t="s">
        <v>6434</v>
      </c>
      <c r="L727" s="26" t="s">
        <v>7963</v>
      </c>
      <c r="M727" s="55" t="s">
        <v>7964</v>
      </c>
      <c r="N727" s="26" t="s">
        <v>3924</v>
      </c>
    </row>
    <row r="728" spans="1:14" ht="75" customHeight="1" thickTop="1" thickBot="1">
      <c r="A728" s="26">
        <v>726</v>
      </c>
      <c r="B728" s="26">
        <v>730</v>
      </c>
      <c r="C728" s="55" t="s">
        <v>7965</v>
      </c>
      <c r="D728" s="56" t="s">
        <v>26</v>
      </c>
      <c r="E728" s="56" t="s">
        <v>6480</v>
      </c>
      <c r="F728" s="26" t="s">
        <v>3923</v>
      </c>
      <c r="G728" s="26" t="s">
        <v>16</v>
      </c>
      <c r="H728" s="26" t="s">
        <v>13</v>
      </c>
      <c r="I728" s="26" t="s">
        <v>3924</v>
      </c>
      <c r="J728" s="26" t="s">
        <v>7965</v>
      </c>
      <c r="K728" s="26" t="s">
        <v>6434</v>
      </c>
      <c r="L728" s="26" t="s">
        <v>7289</v>
      </c>
      <c r="M728" s="55" t="s">
        <v>4588</v>
      </c>
      <c r="N728" s="26" t="s">
        <v>3924</v>
      </c>
    </row>
    <row r="729" spans="1:14" ht="75" customHeight="1" thickTop="1" thickBot="1">
      <c r="A729" s="34">
        <v>727</v>
      </c>
      <c r="B729" s="34">
        <v>731</v>
      </c>
      <c r="C729" s="55" t="s">
        <v>7966</v>
      </c>
      <c r="D729" s="56" t="s">
        <v>26</v>
      </c>
      <c r="E729" s="56" t="s">
        <v>6480</v>
      </c>
      <c r="F729" s="26" t="s">
        <v>3923</v>
      </c>
      <c r="G729" s="26" t="s">
        <v>16</v>
      </c>
      <c r="H729" s="26" t="s">
        <v>13</v>
      </c>
      <c r="I729" s="26" t="s">
        <v>3924</v>
      </c>
      <c r="J729" s="26" t="s">
        <v>7966</v>
      </c>
      <c r="K729" s="26" t="s">
        <v>6434</v>
      </c>
      <c r="L729" s="26" t="s">
        <v>6469</v>
      </c>
      <c r="M729" s="55" t="s">
        <v>7967</v>
      </c>
      <c r="N729" s="26" t="s">
        <v>3924</v>
      </c>
    </row>
    <row r="730" spans="1:14" ht="75" customHeight="1" thickTop="1" thickBot="1">
      <c r="A730" s="26">
        <v>728</v>
      </c>
      <c r="B730" s="26">
        <v>732</v>
      </c>
      <c r="C730" s="55" t="s">
        <v>7968</v>
      </c>
      <c r="D730" s="56" t="s">
        <v>26</v>
      </c>
      <c r="E730" s="56" t="s">
        <v>6480</v>
      </c>
      <c r="F730" s="26" t="s">
        <v>3923</v>
      </c>
      <c r="G730" s="26" t="s">
        <v>16</v>
      </c>
      <c r="H730" s="26" t="s">
        <v>13</v>
      </c>
      <c r="I730" s="26" t="s">
        <v>3924</v>
      </c>
      <c r="J730" s="26" t="s">
        <v>7968</v>
      </c>
      <c r="K730" s="26" t="s">
        <v>6434</v>
      </c>
      <c r="L730" s="26" t="s">
        <v>7082</v>
      </c>
      <c r="M730" s="55" t="s">
        <v>5532</v>
      </c>
      <c r="N730" s="26" t="s">
        <v>3924</v>
      </c>
    </row>
    <row r="731" spans="1:14" ht="75" customHeight="1" thickTop="1" thickBot="1">
      <c r="A731" s="34">
        <v>729</v>
      </c>
      <c r="B731" s="34">
        <v>733</v>
      </c>
      <c r="C731" s="55" t="s">
        <v>7969</v>
      </c>
      <c r="D731" s="56" t="s">
        <v>26</v>
      </c>
      <c r="E731" s="56" t="s">
        <v>6480</v>
      </c>
      <c r="F731" s="26" t="s">
        <v>3923</v>
      </c>
      <c r="G731" s="26" t="s">
        <v>16</v>
      </c>
      <c r="H731" s="26" t="s">
        <v>13</v>
      </c>
      <c r="I731" s="26" t="s">
        <v>3924</v>
      </c>
      <c r="J731" s="26" t="s">
        <v>7970</v>
      </c>
      <c r="K731" s="26" t="s">
        <v>6434</v>
      </c>
      <c r="L731" s="26" t="s">
        <v>7082</v>
      </c>
      <c r="M731" s="55" t="s">
        <v>1341</v>
      </c>
      <c r="N731" s="26" t="s">
        <v>3924</v>
      </c>
    </row>
    <row r="732" spans="1:14" ht="75" customHeight="1" thickTop="1" thickBot="1">
      <c r="A732" s="26">
        <v>730</v>
      </c>
      <c r="B732" s="26">
        <v>734</v>
      </c>
      <c r="C732" s="55" t="s">
        <v>7971</v>
      </c>
      <c r="D732" s="56" t="s">
        <v>26</v>
      </c>
      <c r="E732" s="56" t="s">
        <v>6480</v>
      </c>
      <c r="F732" s="26" t="s">
        <v>3923</v>
      </c>
      <c r="G732" s="26" t="s">
        <v>16</v>
      </c>
      <c r="H732" s="26" t="s">
        <v>13</v>
      </c>
      <c r="I732" s="26" t="s">
        <v>3924</v>
      </c>
      <c r="J732" s="26" t="s">
        <v>7971</v>
      </c>
      <c r="K732" s="26" t="s">
        <v>6434</v>
      </c>
      <c r="L732" s="26" t="s">
        <v>6435</v>
      </c>
      <c r="M732" s="55" t="s">
        <v>7972</v>
      </c>
      <c r="N732" s="26" t="s">
        <v>3924</v>
      </c>
    </row>
    <row r="733" spans="1:14" ht="75" customHeight="1" thickTop="1" thickBot="1">
      <c r="A733" s="34">
        <v>731</v>
      </c>
      <c r="B733" s="34">
        <v>735</v>
      </c>
      <c r="C733" s="55" t="s">
        <v>7973</v>
      </c>
      <c r="D733" s="56" t="s">
        <v>26</v>
      </c>
      <c r="E733" s="56" t="s">
        <v>6480</v>
      </c>
      <c r="F733" s="26" t="s">
        <v>3923</v>
      </c>
      <c r="G733" s="26" t="s">
        <v>16</v>
      </c>
      <c r="H733" s="26" t="s">
        <v>13</v>
      </c>
      <c r="I733" s="26" t="s">
        <v>3924</v>
      </c>
      <c r="J733" s="26" t="s">
        <v>7973</v>
      </c>
      <c r="K733" s="26" t="s">
        <v>6440</v>
      </c>
      <c r="L733" s="26" t="s">
        <v>6469</v>
      </c>
      <c r="M733" s="55" t="s">
        <v>638</v>
      </c>
      <c r="N733" s="26" t="s">
        <v>3924</v>
      </c>
    </row>
    <row r="734" spans="1:14" ht="75" customHeight="1" thickTop="1" thickBot="1">
      <c r="A734" s="26">
        <v>732</v>
      </c>
      <c r="B734" s="26">
        <v>736</v>
      </c>
      <c r="C734" s="55" t="s">
        <v>7973</v>
      </c>
      <c r="D734" s="56" t="s">
        <v>26</v>
      </c>
      <c r="E734" s="56" t="s">
        <v>6480</v>
      </c>
      <c r="F734" s="26" t="s">
        <v>3923</v>
      </c>
      <c r="G734" s="26" t="s">
        <v>16</v>
      </c>
      <c r="H734" s="26" t="s">
        <v>13</v>
      </c>
      <c r="I734" s="26" t="s">
        <v>3924</v>
      </c>
      <c r="J734" s="26" t="s">
        <v>7974</v>
      </c>
      <c r="K734" s="26" t="s">
        <v>6440</v>
      </c>
      <c r="L734" s="26" t="s">
        <v>6493</v>
      </c>
      <c r="M734" s="55" t="s">
        <v>7975</v>
      </c>
      <c r="N734" s="26" t="s">
        <v>3924</v>
      </c>
    </row>
    <row r="735" spans="1:14" ht="75" customHeight="1" thickTop="1" thickBot="1">
      <c r="A735" s="34">
        <v>733</v>
      </c>
      <c r="B735" s="34">
        <v>737</v>
      </c>
      <c r="C735" s="55" t="s">
        <v>7974</v>
      </c>
      <c r="D735" s="56" t="s">
        <v>26</v>
      </c>
      <c r="E735" s="56" t="s">
        <v>6480</v>
      </c>
      <c r="F735" s="26" t="s">
        <v>3923</v>
      </c>
      <c r="G735" s="26" t="s">
        <v>16</v>
      </c>
      <c r="H735" s="26" t="s">
        <v>13</v>
      </c>
      <c r="I735" s="26" t="s">
        <v>3924</v>
      </c>
      <c r="J735" s="26" t="s">
        <v>7974</v>
      </c>
      <c r="K735" s="26" t="s">
        <v>6440</v>
      </c>
      <c r="L735" s="26" t="s">
        <v>6593</v>
      </c>
      <c r="M735" s="55" t="s">
        <v>7031</v>
      </c>
      <c r="N735" s="26" t="s">
        <v>3924</v>
      </c>
    </row>
    <row r="736" spans="1:14" ht="75" customHeight="1" thickTop="1" thickBot="1">
      <c r="A736" s="26">
        <v>734</v>
      </c>
      <c r="B736" s="26">
        <v>738</v>
      </c>
      <c r="C736" s="55" t="s">
        <v>7976</v>
      </c>
      <c r="D736" s="56" t="s">
        <v>26</v>
      </c>
      <c r="E736" s="56" t="s">
        <v>6480</v>
      </c>
      <c r="F736" s="26" t="s">
        <v>3923</v>
      </c>
      <c r="G736" s="26" t="s">
        <v>16</v>
      </c>
      <c r="H736" s="26" t="s">
        <v>13</v>
      </c>
      <c r="I736" s="26" t="s">
        <v>3924</v>
      </c>
      <c r="J736" s="26" t="s">
        <v>7976</v>
      </c>
      <c r="K736" s="26" t="s">
        <v>6440</v>
      </c>
      <c r="L736" s="26" t="s">
        <v>7822</v>
      </c>
      <c r="M736" s="55" t="s">
        <v>821</v>
      </c>
      <c r="N736" s="26" t="s">
        <v>3924</v>
      </c>
    </row>
    <row r="737" spans="1:14" ht="75" customHeight="1" thickTop="1" thickBot="1">
      <c r="A737" s="34">
        <v>735</v>
      </c>
      <c r="B737" s="34">
        <v>739</v>
      </c>
      <c r="C737" s="55" t="s">
        <v>7976</v>
      </c>
      <c r="D737" s="56" t="s">
        <v>26</v>
      </c>
      <c r="E737" s="56" t="s">
        <v>6480</v>
      </c>
      <c r="F737" s="26" t="s">
        <v>3923</v>
      </c>
      <c r="G737" s="26" t="s">
        <v>16</v>
      </c>
      <c r="H737" s="26" t="s">
        <v>13</v>
      </c>
      <c r="I737" s="26" t="s">
        <v>3924</v>
      </c>
      <c r="J737" s="26" t="s">
        <v>7976</v>
      </c>
      <c r="K737" s="26" t="s">
        <v>6440</v>
      </c>
      <c r="L737" s="26" t="s">
        <v>6469</v>
      </c>
      <c r="M737" s="55" t="s">
        <v>7977</v>
      </c>
      <c r="N737" s="26" t="s">
        <v>3924</v>
      </c>
    </row>
    <row r="738" spans="1:14" ht="75" customHeight="1" thickTop="1" thickBot="1">
      <c r="A738" s="26">
        <v>736</v>
      </c>
      <c r="B738" s="26">
        <v>740</v>
      </c>
      <c r="C738" s="55" t="s">
        <v>7978</v>
      </c>
      <c r="D738" s="56" t="s">
        <v>26</v>
      </c>
      <c r="E738" s="56" t="s">
        <v>6480</v>
      </c>
      <c r="F738" s="26" t="s">
        <v>3923</v>
      </c>
      <c r="G738" s="26" t="s">
        <v>16</v>
      </c>
      <c r="H738" s="26" t="s">
        <v>13</v>
      </c>
      <c r="I738" s="26" t="s">
        <v>3924</v>
      </c>
      <c r="J738" s="26" t="s">
        <v>7978</v>
      </c>
      <c r="K738" s="26" t="s">
        <v>6440</v>
      </c>
      <c r="L738" s="26" t="s">
        <v>6435</v>
      </c>
      <c r="M738" s="55" t="s">
        <v>7979</v>
      </c>
      <c r="N738" s="26" t="s">
        <v>3924</v>
      </c>
    </row>
    <row r="739" spans="1:14" ht="75" customHeight="1" thickTop="1" thickBot="1">
      <c r="A739" s="34">
        <v>737</v>
      </c>
      <c r="B739" s="34">
        <v>741</v>
      </c>
      <c r="C739" s="55" t="s">
        <v>7980</v>
      </c>
      <c r="D739" s="56" t="s">
        <v>26</v>
      </c>
      <c r="E739" s="56" t="s">
        <v>6480</v>
      </c>
      <c r="F739" s="26" t="s">
        <v>3923</v>
      </c>
      <c r="G739" s="26" t="s">
        <v>16</v>
      </c>
      <c r="H739" s="26" t="s">
        <v>13</v>
      </c>
      <c r="I739" s="26" t="s">
        <v>3924</v>
      </c>
      <c r="J739" s="26" t="s">
        <v>7980</v>
      </c>
      <c r="K739" s="26" t="s">
        <v>7603</v>
      </c>
      <c r="L739" s="26" t="s">
        <v>6451</v>
      </c>
      <c r="M739" s="55" t="s">
        <v>7981</v>
      </c>
      <c r="N739" s="26" t="s">
        <v>3924</v>
      </c>
    </row>
    <row r="740" spans="1:14" ht="75" customHeight="1" thickTop="1" thickBot="1">
      <c r="A740" s="26">
        <v>738</v>
      </c>
      <c r="B740" s="26">
        <v>742</v>
      </c>
      <c r="C740" s="55" t="s">
        <v>7982</v>
      </c>
      <c r="D740" s="56" t="s">
        <v>26</v>
      </c>
      <c r="E740" s="56" t="s">
        <v>6480</v>
      </c>
      <c r="F740" s="26" t="s">
        <v>3923</v>
      </c>
      <c r="G740" s="26" t="s">
        <v>16</v>
      </c>
      <c r="H740" s="26" t="s">
        <v>13</v>
      </c>
      <c r="I740" s="26" t="s">
        <v>3924</v>
      </c>
      <c r="J740" s="26" t="s">
        <v>7982</v>
      </c>
      <c r="K740" s="26" t="s">
        <v>7603</v>
      </c>
      <c r="L740" s="26" t="s">
        <v>6451</v>
      </c>
      <c r="M740" s="55" t="s">
        <v>7983</v>
      </c>
      <c r="N740" s="26" t="s">
        <v>3924</v>
      </c>
    </row>
    <row r="741" spans="1:14" ht="75" customHeight="1" thickTop="1" thickBot="1">
      <c r="A741" s="34">
        <v>739</v>
      </c>
      <c r="B741" s="34">
        <v>743</v>
      </c>
      <c r="C741" s="55" t="s">
        <v>7984</v>
      </c>
      <c r="D741" s="56" t="s">
        <v>26</v>
      </c>
      <c r="E741" s="56" t="s">
        <v>2894</v>
      </c>
      <c r="F741" s="26" t="s">
        <v>3995</v>
      </c>
      <c r="G741" s="26" t="s">
        <v>16</v>
      </c>
      <c r="H741" s="26" t="s">
        <v>13</v>
      </c>
      <c r="I741" s="26" t="s">
        <v>3924</v>
      </c>
      <c r="J741" s="26" t="s">
        <v>7924</v>
      </c>
      <c r="K741" s="26" t="s">
        <v>6552</v>
      </c>
      <c r="L741" s="26" t="s">
        <v>3927</v>
      </c>
      <c r="M741" s="55" t="s">
        <v>7985</v>
      </c>
      <c r="N741" s="26" t="s">
        <v>3924</v>
      </c>
    </row>
    <row r="742" spans="1:14" ht="75" customHeight="1" thickTop="1" thickBot="1">
      <c r="A742" s="26">
        <v>740</v>
      </c>
      <c r="B742" s="26">
        <v>744</v>
      </c>
      <c r="C742" s="55" t="s">
        <v>7986</v>
      </c>
      <c r="D742" s="56" t="s">
        <v>26</v>
      </c>
      <c r="E742" s="56" t="s">
        <v>6438</v>
      </c>
      <c r="F742" s="26" t="s">
        <v>3995</v>
      </c>
      <c r="G742" s="26" t="s">
        <v>1419</v>
      </c>
      <c r="H742" s="26" t="s">
        <v>13</v>
      </c>
      <c r="I742" s="26" t="s">
        <v>7987</v>
      </c>
      <c r="J742" s="26" t="s">
        <v>7988</v>
      </c>
      <c r="K742" s="26" t="s">
        <v>6440</v>
      </c>
      <c r="L742" s="26" t="s">
        <v>6435</v>
      </c>
      <c r="M742" s="55" t="s">
        <v>7989</v>
      </c>
      <c r="N742" s="26" t="s">
        <v>3924</v>
      </c>
    </row>
    <row r="743" spans="1:14" ht="75" customHeight="1" thickTop="1" thickBot="1">
      <c r="A743" s="34">
        <v>741</v>
      </c>
      <c r="B743" s="34">
        <v>745</v>
      </c>
      <c r="C743" s="55" t="s">
        <v>7990</v>
      </c>
      <c r="D743" s="56" t="s">
        <v>26</v>
      </c>
      <c r="E743" s="56" t="s">
        <v>2894</v>
      </c>
      <c r="F743" s="26" t="s">
        <v>3995</v>
      </c>
      <c r="G743" s="26" t="s">
        <v>16</v>
      </c>
      <c r="H743" s="26" t="s">
        <v>13</v>
      </c>
      <c r="I743" s="26" t="s">
        <v>3924</v>
      </c>
      <c r="J743" s="26" t="s">
        <v>7991</v>
      </c>
      <c r="K743" s="26" t="s">
        <v>6552</v>
      </c>
      <c r="L743" s="26" t="s">
        <v>3927</v>
      </c>
      <c r="M743" s="55" t="s">
        <v>7992</v>
      </c>
      <c r="N743" s="26" t="s">
        <v>3924</v>
      </c>
    </row>
    <row r="744" spans="1:14" ht="75" customHeight="1" thickTop="1" thickBot="1">
      <c r="A744" s="26">
        <v>742</v>
      </c>
      <c r="B744" s="26">
        <v>746</v>
      </c>
      <c r="C744" s="55" t="s">
        <v>7993</v>
      </c>
      <c r="D744" s="56" t="s">
        <v>26</v>
      </c>
      <c r="E744" s="56" t="s">
        <v>7451</v>
      </c>
      <c r="F744" s="26" t="s">
        <v>3923</v>
      </c>
      <c r="G744" s="26" t="s">
        <v>1419</v>
      </c>
      <c r="H744" s="26" t="s">
        <v>13</v>
      </c>
      <c r="I744" s="26" t="s">
        <v>3924</v>
      </c>
      <c r="J744" s="26" t="s">
        <v>7994</v>
      </c>
      <c r="K744" s="26" t="s">
        <v>6552</v>
      </c>
      <c r="L744" s="26" t="s">
        <v>3927</v>
      </c>
      <c r="M744" s="55" t="s">
        <v>7995</v>
      </c>
      <c r="N744" s="26" t="s">
        <v>3924</v>
      </c>
    </row>
    <row r="745" spans="1:14" ht="75" customHeight="1" thickTop="1" thickBot="1">
      <c r="A745" s="34">
        <v>743</v>
      </c>
      <c r="B745" s="34">
        <v>747</v>
      </c>
      <c r="C745" s="55" t="s">
        <v>7996</v>
      </c>
      <c r="D745" s="56" t="s">
        <v>26</v>
      </c>
      <c r="E745" s="56" t="s">
        <v>7451</v>
      </c>
      <c r="F745" s="26" t="s">
        <v>3923</v>
      </c>
      <c r="G745" s="26" t="s">
        <v>1419</v>
      </c>
      <c r="H745" s="26" t="s">
        <v>13</v>
      </c>
      <c r="I745" s="26" t="s">
        <v>3924</v>
      </c>
      <c r="J745" s="26" t="s">
        <v>7994</v>
      </c>
      <c r="K745" s="26" t="s">
        <v>6552</v>
      </c>
      <c r="L745" s="26" t="s">
        <v>6455</v>
      </c>
      <c r="M745" s="55" t="s">
        <v>7997</v>
      </c>
      <c r="N745" s="26" t="s">
        <v>3924</v>
      </c>
    </row>
    <row r="746" spans="1:14" ht="75" customHeight="1" thickTop="1" thickBot="1">
      <c r="A746" s="26">
        <v>744</v>
      </c>
      <c r="B746" s="26">
        <v>748</v>
      </c>
      <c r="C746" s="55" t="s">
        <v>7998</v>
      </c>
      <c r="D746" s="56" t="s">
        <v>26</v>
      </c>
      <c r="E746" s="56" t="s">
        <v>7451</v>
      </c>
      <c r="F746" s="26" t="s">
        <v>3923</v>
      </c>
      <c r="G746" s="26" t="s">
        <v>1419</v>
      </c>
      <c r="H746" s="26" t="s">
        <v>13</v>
      </c>
      <c r="I746" s="26" t="s">
        <v>3924</v>
      </c>
      <c r="J746" s="26" t="s">
        <v>7999</v>
      </c>
      <c r="K746" s="26" t="s">
        <v>6440</v>
      </c>
      <c r="L746" s="26" t="s">
        <v>6469</v>
      </c>
      <c r="M746" s="55" t="s">
        <v>8000</v>
      </c>
      <c r="N746" s="26" t="s">
        <v>3924</v>
      </c>
    </row>
    <row r="747" spans="1:14" ht="75" customHeight="1" thickTop="1" thickBot="1">
      <c r="A747" s="34">
        <v>745</v>
      </c>
      <c r="B747" s="34">
        <v>749</v>
      </c>
      <c r="C747" s="55" t="s">
        <v>8001</v>
      </c>
      <c r="D747" s="56" t="s">
        <v>26</v>
      </c>
      <c r="E747" s="56" t="s">
        <v>7451</v>
      </c>
      <c r="F747" s="26" t="s">
        <v>3923</v>
      </c>
      <c r="G747" s="26" t="s">
        <v>1419</v>
      </c>
      <c r="H747" s="26" t="s">
        <v>13</v>
      </c>
      <c r="I747" s="26" t="s">
        <v>3924</v>
      </c>
      <c r="J747" s="26" t="s">
        <v>7999</v>
      </c>
      <c r="K747" s="26" t="s">
        <v>6440</v>
      </c>
      <c r="L747" s="26" t="s">
        <v>6469</v>
      </c>
      <c r="M747" s="55" t="s">
        <v>8002</v>
      </c>
      <c r="N747" s="26" t="s">
        <v>3924</v>
      </c>
    </row>
    <row r="748" spans="1:14" ht="75" customHeight="1" thickTop="1" thickBot="1">
      <c r="A748" s="26">
        <v>746</v>
      </c>
      <c r="B748" s="26">
        <v>750</v>
      </c>
      <c r="C748" s="55" t="s">
        <v>8003</v>
      </c>
      <c r="D748" s="56" t="s">
        <v>26</v>
      </c>
      <c r="E748" s="56" t="s">
        <v>7451</v>
      </c>
      <c r="F748" s="26" t="s">
        <v>3923</v>
      </c>
      <c r="G748" s="26" t="s">
        <v>1419</v>
      </c>
      <c r="H748" s="26" t="s">
        <v>13</v>
      </c>
      <c r="I748" s="26" t="s">
        <v>3924</v>
      </c>
      <c r="J748" s="26" t="s">
        <v>8004</v>
      </c>
      <c r="K748" s="26" t="s">
        <v>6440</v>
      </c>
      <c r="L748" s="26" t="s">
        <v>6805</v>
      </c>
      <c r="M748" s="55" t="s">
        <v>8005</v>
      </c>
      <c r="N748" s="26" t="s">
        <v>3924</v>
      </c>
    </row>
    <row r="749" spans="1:14" ht="75" customHeight="1" thickTop="1" thickBot="1">
      <c r="A749" s="34">
        <v>747</v>
      </c>
      <c r="B749" s="34">
        <v>751</v>
      </c>
      <c r="C749" s="55" t="s">
        <v>8006</v>
      </c>
      <c r="D749" s="56" t="s">
        <v>26</v>
      </c>
      <c r="E749" s="56" t="s">
        <v>7451</v>
      </c>
      <c r="F749" s="26" t="s">
        <v>3923</v>
      </c>
      <c r="G749" s="26" t="s">
        <v>1419</v>
      </c>
      <c r="H749" s="26" t="s">
        <v>13</v>
      </c>
      <c r="I749" s="26" t="s">
        <v>3924</v>
      </c>
      <c r="J749" s="26" t="s">
        <v>8004</v>
      </c>
      <c r="K749" s="26" t="s">
        <v>6434</v>
      </c>
      <c r="L749" s="26" t="s">
        <v>6805</v>
      </c>
      <c r="M749" s="55" t="s">
        <v>8007</v>
      </c>
      <c r="N749" s="26" t="s">
        <v>3924</v>
      </c>
    </row>
    <row r="750" spans="1:14" ht="75" customHeight="1" thickTop="1" thickBot="1">
      <c r="A750" s="26">
        <v>748</v>
      </c>
      <c r="B750" s="26">
        <v>752</v>
      </c>
      <c r="C750" s="55" t="s">
        <v>7999</v>
      </c>
      <c r="D750" s="56" t="s">
        <v>26</v>
      </c>
      <c r="E750" s="56" t="s">
        <v>7451</v>
      </c>
      <c r="F750" s="26" t="s">
        <v>3923</v>
      </c>
      <c r="G750" s="26" t="s">
        <v>1419</v>
      </c>
      <c r="H750" s="26" t="s">
        <v>13</v>
      </c>
      <c r="I750" s="26" t="s">
        <v>3924</v>
      </c>
      <c r="J750" s="26" t="s">
        <v>8008</v>
      </c>
      <c r="K750" s="26" t="s">
        <v>6440</v>
      </c>
      <c r="L750" s="26" t="s">
        <v>7509</v>
      </c>
      <c r="M750" s="55" t="s">
        <v>8009</v>
      </c>
      <c r="N750" s="26" t="s">
        <v>3924</v>
      </c>
    </row>
    <row r="751" spans="1:14" ht="75" customHeight="1" thickTop="1" thickBot="1">
      <c r="A751" s="34">
        <v>749</v>
      </c>
      <c r="B751" s="34">
        <v>753</v>
      </c>
      <c r="C751" s="55" t="s">
        <v>8010</v>
      </c>
      <c r="D751" s="56" t="s">
        <v>26</v>
      </c>
      <c r="E751" s="56" t="s">
        <v>7451</v>
      </c>
      <c r="F751" s="26" t="s">
        <v>3923</v>
      </c>
      <c r="G751" s="26" t="s">
        <v>1419</v>
      </c>
      <c r="H751" s="26" t="s">
        <v>13</v>
      </c>
      <c r="I751" s="26" t="s">
        <v>3924</v>
      </c>
      <c r="J751" s="26" t="s">
        <v>8008</v>
      </c>
      <c r="K751" s="26" t="s">
        <v>6440</v>
      </c>
      <c r="L751" s="26" t="s">
        <v>6723</v>
      </c>
      <c r="M751" s="55" t="s">
        <v>8011</v>
      </c>
      <c r="N751" s="26" t="s">
        <v>3924</v>
      </c>
    </row>
    <row r="752" spans="1:14" ht="75" customHeight="1" thickTop="1" thickBot="1">
      <c r="A752" s="26">
        <v>750</v>
      </c>
      <c r="B752" s="26">
        <v>754</v>
      </c>
      <c r="C752" s="55" t="s">
        <v>8012</v>
      </c>
      <c r="D752" s="56" t="s">
        <v>26</v>
      </c>
      <c r="E752" s="56" t="s">
        <v>7451</v>
      </c>
      <c r="F752" s="26" t="s">
        <v>3923</v>
      </c>
      <c r="G752" s="26" t="s">
        <v>1419</v>
      </c>
      <c r="H752" s="26" t="s">
        <v>13</v>
      </c>
      <c r="I752" s="26" t="s">
        <v>3924</v>
      </c>
      <c r="J752" s="26" t="s">
        <v>8013</v>
      </c>
      <c r="K752" s="26" t="s">
        <v>6440</v>
      </c>
      <c r="L752" s="26" t="s">
        <v>4942</v>
      </c>
      <c r="M752" s="55" t="s">
        <v>8014</v>
      </c>
      <c r="N752" s="26" t="s">
        <v>3924</v>
      </c>
    </row>
    <row r="753" spans="1:14" ht="75" customHeight="1" thickTop="1" thickBot="1">
      <c r="A753" s="34">
        <v>751</v>
      </c>
      <c r="B753" s="34">
        <v>755</v>
      </c>
      <c r="C753" s="55" t="s">
        <v>8012</v>
      </c>
      <c r="D753" s="56" t="s">
        <v>26</v>
      </c>
      <c r="E753" s="56" t="s">
        <v>7451</v>
      </c>
      <c r="F753" s="26" t="s">
        <v>3923</v>
      </c>
      <c r="G753" s="26" t="s">
        <v>1419</v>
      </c>
      <c r="H753" s="26" t="s">
        <v>13</v>
      </c>
      <c r="I753" s="26" t="s">
        <v>3924</v>
      </c>
      <c r="J753" s="26" t="s">
        <v>8013</v>
      </c>
      <c r="K753" s="26" t="s">
        <v>6440</v>
      </c>
      <c r="L753" s="26" t="s">
        <v>4942</v>
      </c>
      <c r="M753" s="55" t="s">
        <v>8015</v>
      </c>
      <c r="N753" s="26" t="s">
        <v>3924</v>
      </c>
    </row>
    <row r="754" spans="1:14" ht="75" customHeight="1" thickTop="1" thickBot="1">
      <c r="A754" s="26">
        <v>752</v>
      </c>
      <c r="B754" s="26">
        <v>756</v>
      </c>
      <c r="C754" s="55" t="s">
        <v>8016</v>
      </c>
      <c r="D754" s="56" t="s">
        <v>26</v>
      </c>
      <c r="E754" s="56" t="s">
        <v>7451</v>
      </c>
      <c r="F754" s="26" t="s">
        <v>3923</v>
      </c>
      <c r="G754" s="26" t="s">
        <v>1419</v>
      </c>
      <c r="H754" s="26" t="s">
        <v>13</v>
      </c>
      <c r="I754" s="26" t="s">
        <v>3924</v>
      </c>
      <c r="J754" s="26" t="s">
        <v>8013</v>
      </c>
      <c r="K754" s="26" t="s">
        <v>6440</v>
      </c>
      <c r="L754" s="26" t="s">
        <v>4942</v>
      </c>
      <c r="M754" s="55" t="s">
        <v>8017</v>
      </c>
      <c r="N754" s="26" t="s">
        <v>3924</v>
      </c>
    </row>
    <row r="755" spans="1:14" ht="75" customHeight="1" thickTop="1" thickBot="1">
      <c r="A755" s="34">
        <v>753</v>
      </c>
      <c r="B755" s="34">
        <v>757</v>
      </c>
      <c r="C755" s="55" t="s">
        <v>8018</v>
      </c>
      <c r="D755" s="56" t="s">
        <v>26</v>
      </c>
      <c r="E755" s="56" t="s">
        <v>7451</v>
      </c>
      <c r="F755" s="26" t="s">
        <v>3923</v>
      </c>
      <c r="G755" s="26" t="s">
        <v>1419</v>
      </c>
      <c r="H755" s="26" t="s">
        <v>13</v>
      </c>
      <c r="I755" s="26" t="s">
        <v>3924</v>
      </c>
      <c r="J755" s="26" t="s">
        <v>8013</v>
      </c>
      <c r="K755" s="26" t="s">
        <v>6434</v>
      </c>
      <c r="L755" s="26" t="s">
        <v>8019</v>
      </c>
      <c r="M755" s="55" t="s">
        <v>8020</v>
      </c>
      <c r="N755" s="26" t="s">
        <v>3924</v>
      </c>
    </row>
    <row r="756" spans="1:14" ht="75" customHeight="1" thickTop="1" thickBot="1">
      <c r="A756" s="26">
        <v>754</v>
      </c>
      <c r="B756" s="26">
        <v>758</v>
      </c>
      <c r="C756" s="55" t="s">
        <v>8021</v>
      </c>
      <c r="D756" s="56" t="s">
        <v>26</v>
      </c>
      <c r="E756" s="56" t="s">
        <v>7451</v>
      </c>
      <c r="F756" s="26" t="s">
        <v>3923</v>
      </c>
      <c r="G756" s="26" t="s">
        <v>1419</v>
      </c>
      <c r="H756" s="26" t="s">
        <v>13</v>
      </c>
      <c r="I756" s="26" t="s">
        <v>3924</v>
      </c>
      <c r="J756" s="26" t="s">
        <v>8022</v>
      </c>
      <c r="K756" s="26" t="s">
        <v>6440</v>
      </c>
      <c r="L756" s="26" t="s">
        <v>7352</v>
      </c>
      <c r="M756" s="55" t="s">
        <v>8023</v>
      </c>
      <c r="N756" s="26" t="s">
        <v>3924</v>
      </c>
    </row>
    <row r="757" spans="1:14" ht="75" customHeight="1" thickTop="1" thickBot="1">
      <c r="A757" s="34">
        <v>755</v>
      </c>
      <c r="B757" s="34">
        <v>759</v>
      </c>
      <c r="C757" s="55" t="s">
        <v>8004</v>
      </c>
      <c r="D757" s="56" t="s">
        <v>26</v>
      </c>
      <c r="E757" s="56" t="s">
        <v>7451</v>
      </c>
      <c r="F757" s="26" t="s">
        <v>3923</v>
      </c>
      <c r="G757" s="26" t="s">
        <v>1419</v>
      </c>
      <c r="H757" s="26" t="s">
        <v>13</v>
      </c>
      <c r="I757" s="26" t="s">
        <v>3924</v>
      </c>
      <c r="J757" s="26" t="s">
        <v>8022</v>
      </c>
      <c r="K757" s="26" t="s">
        <v>6440</v>
      </c>
      <c r="L757" s="26" t="s">
        <v>7509</v>
      </c>
      <c r="M757" s="55" t="s">
        <v>8024</v>
      </c>
      <c r="N757" s="26" t="s">
        <v>3924</v>
      </c>
    </row>
    <row r="758" spans="1:14" ht="75" customHeight="1" thickTop="1" thickBot="1">
      <c r="A758" s="26">
        <v>756</v>
      </c>
      <c r="B758" s="26">
        <v>760</v>
      </c>
      <c r="C758" s="55" t="s">
        <v>8013</v>
      </c>
      <c r="D758" s="56" t="s">
        <v>26</v>
      </c>
      <c r="E758" s="56" t="s">
        <v>7451</v>
      </c>
      <c r="F758" s="26" t="s">
        <v>3923</v>
      </c>
      <c r="G758" s="26" t="s">
        <v>1419</v>
      </c>
      <c r="H758" s="26" t="s">
        <v>13</v>
      </c>
      <c r="I758" s="26" t="s">
        <v>3924</v>
      </c>
      <c r="J758" s="26" t="s">
        <v>8022</v>
      </c>
      <c r="K758" s="26" t="s">
        <v>6445</v>
      </c>
      <c r="L758" s="26" t="s">
        <v>8025</v>
      </c>
      <c r="M758" s="55" t="s">
        <v>8026</v>
      </c>
      <c r="N758" s="26" t="s">
        <v>3924</v>
      </c>
    </row>
    <row r="759" spans="1:14" ht="75" customHeight="1" thickTop="1" thickBot="1">
      <c r="A759" s="34">
        <v>757</v>
      </c>
      <c r="B759" s="34">
        <v>761</v>
      </c>
      <c r="C759" s="55" t="s">
        <v>8022</v>
      </c>
      <c r="D759" s="56" t="s">
        <v>26</v>
      </c>
      <c r="E759" s="56" t="s">
        <v>7451</v>
      </c>
      <c r="F759" s="26" t="s">
        <v>3923</v>
      </c>
      <c r="G759" s="26" t="s">
        <v>1419</v>
      </c>
      <c r="H759" s="26" t="s">
        <v>13</v>
      </c>
      <c r="I759" s="26" t="s">
        <v>3924</v>
      </c>
      <c r="J759" s="26" t="s">
        <v>8022</v>
      </c>
      <c r="K759" s="26" t="s">
        <v>7683</v>
      </c>
      <c r="L759" s="26" t="s">
        <v>4942</v>
      </c>
      <c r="M759" s="55" t="s">
        <v>8027</v>
      </c>
      <c r="N759" s="26" t="s">
        <v>3924</v>
      </c>
    </row>
    <row r="760" spans="1:14" ht="75" customHeight="1" thickTop="1" thickBot="1">
      <c r="A760" s="26">
        <v>758</v>
      </c>
      <c r="B760" s="26">
        <v>762</v>
      </c>
      <c r="C760" s="55" t="s">
        <v>8028</v>
      </c>
      <c r="D760" s="56" t="s">
        <v>26</v>
      </c>
      <c r="E760" s="56" t="s">
        <v>7451</v>
      </c>
      <c r="F760" s="26" t="s">
        <v>3923</v>
      </c>
      <c r="G760" s="26" t="s">
        <v>1419</v>
      </c>
      <c r="H760" s="26" t="s">
        <v>13</v>
      </c>
      <c r="I760" s="26" t="s">
        <v>3924</v>
      </c>
      <c r="J760" s="26" t="s">
        <v>8028</v>
      </c>
      <c r="K760" s="26" t="s">
        <v>6445</v>
      </c>
      <c r="L760" s="26" t="s">
        <v>6435</v>
      </c>
      <c r="M760" s="55" t="s">
        <v>8029</v>
      </c>
      <c r="N760" s="26" t="s">
        <v>3924</v>
      </c>
    </row>
    <row r="761" spans="1:14" ht="75" customHeight="1" thickTop="1" thickBot="1">
      <c r="A761" s="34">
        <v>759</v>
      </c>
      <c r="B761" s="34">
        <v>763</v>
      </c>
      <c r="C761" s="55" t="s">
        <v>8030</v>
      </c>
      <c r="D761" s="56" t="s">
        <v>26</v>
      </c>
      <c r="E761" s="56" t="s">
        <v>7451</v>
      </c>
      <c r="F761" s="26" t="s">
        <v>3923</v>
      </c>
      <c r="G761" s="26" t="s">
        <v>1419</v>
      </c>
      <c r="H761" s="26" t="s">
        <v>13</v>
      </c>
      <c r="I761" s="26" t="s">
        <v>3924</v>
      </c>
      <c r="J761" s="26" t="s">
        <v>8031</v>
      </c>
      <c r="K761" s="26" t="s">
        <v>6434</v>
      </c>
      <c r="L761" s="26" t="s">
        <v>8032</v>
      </c>
      <c r="M761" s="55" t="s">
        <v>8033</v>
      </c>
      <c r="N761" s="26" t="s">
        <v>3924</v>
      </c>
    </row>
    <row r="762" spans="1:14" ht="75" customHeight="1" thickTop="1" thickBot="1">
      <c r="A762" s="26">
        <v>760</v>
      </c>
      <c r="B762" s="26">
        <v>764</v>
      </c>
      <c r="C762" s="55" t="s">
        <v>8034</v>
      </c>
      <c r="D762" s="56" t="s">
        <v>26</v>
      </c>
      <c r="E762" s="56" t="s">
        <v>7451</v>
      </c>
      <c r="F762" s="26" t="s">
        <v>3923</v>
      </c>
      <c r="G762" s="26" t="s">
        <v>1419</v>
      </c>
      <c r="H762" s="26" t="s">
        <v>13</v>
      </c>
      <c r="I762" s="26" t="s">
        <v>3924</v>
      </c>
      <c r="J762" s="26" t="s">
        <v>8031</v>
      </c>
      <c r="K762" s="26" t="s">
        <v>8035</v>
      </c>
      <c r="L762" s="26" t="s">
        <v>8032</v>
      </c>
      <c r="M762" s="55" t="s">
        <v>8036</v>
      </c>
      <c r="N762" s="26" t="s">
        <v>3924</v>
      </c>
    </row>
    <row r="763" spans="1:14" ht="75" customHeight="1" thickTop="1" thickBot="1">
      <c r="A763" s="34">
        <v>761</v>
      </c>
      <c r="B763" s="34">
        <v>765</v>
      </c>
      <c r="C763" s="55" t="s">
        <v>8037</v>
      </c>
      <c r="D763" s="56" t="s">
        <v>26</v>
      </c>
      <c r="E763" s="56" t="s">
        <v>7451</v>
      </c>
      <c r="F763" s="26" t="s">
        <v>3923</v>
      </c>
      <c r="G763" s="26" t="s">
        <v>1419</v>
      </c>
      <c r="H763" s="26" t="s">
        <v>13</v>
      </c>
      <c r="I763" s="26" t="s">
        <v>3924</v>
      </c>
      <c r="J763" s="26" t="s">
        <v>8038</v>
      </c>
      <c r="K763" s="26" t="s">
        <v>8035</v>
      </c>
      <c r="L763" s="26" t="s">
        <v>8032</v>
      </c>
      <c r="M763" s="55" t="s">
        <v>8039</v>
      </c>
      <c r="N763" s="26" t="s">
        <v>3924</v>
      </c>
    </row>
    <row r="764" spans="1:14" ht="75" customHeight="1" thickTop="1" thickBot="1">
      <c r="A764" s="26">
        <v>762</v>
      </c>
      <c r="B764" s="26">
        <v>766</v>
      </c>
      <c r="C764" s="55" t="s">
        <v>8040</v>
      </c>
      <c r="D764" s="56" t="s">
        <v>26</v>
      </c>
      <c r="E764" s="56" t="s">
        <v>7451</v>
      </c>
      <c r="F764" s="26" t="s">
        <v>3923</v>
      </c>
      <c r="G764" s="26" t="s">
        <v>1419</v>
      </c>
      <c r="H764" s="26" t="s">
        <v>13</v>
      </c>
      <c r="I764" s="26" t="s">
        <v>3924</v>
      </c>
      <c r="J764" s="26" t="s">
        <v>8031</v>
      </c>
      <c r="K764" s="26" t="s">
        <v>8035</v>
      </c>
      <c r="L764" s="26" t="s">
        <v>8032</v>
      </c>
      <c r="M764" s="55" t="s">
        <v>8041</v>
      </c>
      <c r="N764" s="26" t="s">
        <v>3924</v>
      </c>
    </row>
    <row r="765" spans="1:14" ht="75" customHeight="1" thickTop="1" thickBot="1">
      <c r="A765" s="34">
        <v>763</v>
      </c>
      <c r="B765" s="34">
        <v>767</v>
      </c>
      <c r="C765" s="55" t="s">
        <v>8040</v>
      </c>
      <c r="D765" s="56" t="s">
        <v>26</v>
      </c>
      <c r="E765" s="56" t="s">
        <v>7451</v>
      </c>
      <c r="F765" s="26" t="s">
        <v>3923</v>
      </c>
      <c r="G765" s="26" t="s">
        <v>1419</v>
      </c>
      <c r="H765" s="26" t="s">
        <v>13</v>
      </c>
      <c r="I765" s="26" t="s">
        <v>3924</v>
      </c>
      <c r="J765" s="26" t="s">
        <v>8038</v>
      </c>
      <c r="K765" s="26" t="s">
        <v>6445</v>
      </c>
      <c r="L765" s="26" t="s">
        <v>8042</v>
      </c>
      <c r="M765" s="55" t="s">
        <v>8043</v>
      </c>
      <c r="N765" s="26" t="s">
        <v>3924</v>
      </c>
    </row>
    <row r="766" spans="1:14" ht="75" customHeight="1" thickTop="1" thickBot="1">
      <c r="A766" s="26">
        <v>764</v>
      </c>
      <c r="B766" s="26">
        <v>768</v>
      </c>
      <c r="C766" s="55" t="s">
        <v>8040</v>
      </c>
      <c r="D766" s="56" t="s">
        <v>26</v>
      </c>
      <c r="E766" s="56" t="s">
        <v>7451</v>
      </c>
      <c r="F766" s="26" t="s">
        <v>3923</v>
      </c>
      <c r="G766" s="26" t="s">
        <v>1419</v>
      </c>
      <c r="H766" s="26" t="s">
        <v>13</v>
      </c>
      <c r="I766" s="26" t="s">
        <v>3924</v>
      </c>
      <c r="J766" s="26" t="s">
        <v>8031</v>
      </c>
      <c r="K766" s="26" t="s">
        <v>6445</v>
      </c>
      <c r="L766" s="26" t="s">
        <v>8042</v>
      </c>
      <c r="M766" s="55" t="s">
        <v>8044</v>
      </c>
      <c r="N766" s="26" t="s">
        <v>3924</v>
      </c>
    </row>
    <row r="767" spans="1:14" ht="75" customHeight="1" thickTop="1" thickBot="1">
      <c r="A767" s="34">
        <v>765</v>
      </c>
      <c r="B767" s="34">
        <v>769</v>
      </c>
      <c r="C767" s="55" t="s">
        <v>8045</v>
      </c>
      <c r="D767" s="56" t="s">
        <v>26</v>
      </c>
      <c r="E767" s="56" t="s">
        <v>7451</v>
      </c>
      <c r="F767" s="26" t="s">
        <v>3923</v>
      </c>
      <c r="G767" s="26" t="s">
        <v>1419</v>
      </c>
      <c r="H767" s="26" t="s">
        <v>13</v>
      </c>
      <c r="I767" s="26" t="s">
        <v>3924</v>
      </c>
      <c r="J767" s="26" t="s">
        <v>8031</v>
      </c>
      <c r="K767" s="26" t="s">
        <v>6445</v>
      </c>
      <c r="L767" s="26" t="s">
        <v>8042</v>
      </c>
      <c r="M767" s="55" t="s">
        <v>8046</v>
      </c>
      <c r="N767" s="26" t="s">
        <v>3924</v>
      </c>
    </row>
    <row r="768" spans="1:14" ht="75" customHeight="1" thickTop="1" thickBot="1">
      <c r="A768" s="26">
        <v>766</v>
      </c>
      <c r="B768" s="26">
        <v>770</v>
      </c>
      <c r="C768" s="55" t="s">
        <v>8045</v>
      </c>
      <c r="D768" s="56" t="s">
        <v>26</v>
      </c>
      <c r="E768" s="56" t="s">
        <v>7451</v>
      </c>
      <c r="F768" s="26" t="s">
        <v>3923</v>
      </c>
      <c r="G768" s="26" t="s">
        <v>1419</v>
      </c>
      <c r="H768" s="26" t="s">
        <v>13</v>
      </c>
      <c r="I768" s="26" t="s">
        <v>3924</v>
      </c>
      <c r="J768" s="26" t="s">
        <v>8047</v>
      </c>
      <c r="K768" s="26" t="s">
        <v>6434</v>
      </c>
      <c r="L768" s="26" t="s">
        <v>4082</v>
      </c>
      <c r="M768" s="55" t="s">
        <v>8048</v>
      </c>
      <c r="N768" s="26" t="s">
        <v>3924</v>
      </c>
    </row>
    <row r="769" spans="1:14" ht="75" customHeight="1" thickTop="1" thickBot="1">
      <c r="A769" s="34">
        <v>767</v>
      </c>
      <c r="B769" s="34">
        <v>771</v>
      </c>
      <c r="C769" s="55" t="s">
        <v>8045</v>
      </c>
      <c r="D769" s="56" t="s">
        <v>26</v>
      </c>
      <c r="E769" s="56" t="s">
        <v>7451</v>
      </c>
      <c r="F769" s="26" t="s">
        <v>3923</v>
      </c>
      <c r="G769" s="26" t="s">
        <v>1419</v>
      </c>
      <c r="H769" s="26" t="s">
        <v>13</v>
      </c>
      <c r="I769" s="26" t="s">
        <v>3924</v>
      </c>
      <c r="J769" s="26" t="s">
        <v>8047</v>
      </c>
      <c r="K769" s="26" t="s">
        <v>6445</v>
      </c>
      <c r="L769" s="26" t="s">
        <v>8042</v>
      </c>
      <c r="M769" s="55" t="s">
        <v>8049</v>
      </c>
      <c r="N769" s="26" t="s">
        <v>3924</v>
      </c>
    </row>
    <row r="770" spans="1:14" ht="75" customHeight="1" thickTop="1" thickBot="1">
      <c r="A770" s="26">
        <v>768</v>
      </c>
      <c r="B770" s="26">
        <v>772</v>
      </c>
      <c r="C770" s="55" t="s">
        <v>8050</v>
      </c>
      <c r="D770" s="56" t="s">
        <v>26</v>
      </c>
      <c r="E770" s="56" t="s">
        <v>2894</v>
      </c>
      <c r="F770" s="26" t="s">
        <v>3995</v>
      </c>
      <c r="G770" s="26" t="s">
        <v>16</v>
      </c>
      <c r="H770" s="26" t="s">
        <v>13</v>
      </c>
      <c r="I770" s="26" t="s">
        <v>3924</v>
      </c>
      <c r="J770" s="26" t="s">
        <v>8051</v>
      </c>
      <c r="K770" s="26" t="s">
        <v>6552</v>
      </c>
      <c r="L770" s="26" t="s">
        <v>3927</v>
      </c>
      <c r="M770" s="55" t="s">
        <v>8052</v>
      </c>
      <c r="N770" s="26" t="s">
        <v>3924</v>
      </c>
    </row>
    <row r="771" spans="1:14" ht="75" customHeight="1" thickTop="1" thickBot="1">
      <c r="A771" s="34">
        <v>769</v>
      </c>
      <c r="B771" s="34">
        <v>773</v>
      </c>
      <c r="C771" s="55" t="s">
        <v>8053</v>
      </c>
      <c r="D771" s="56" t="s">
        <v>26</v>
      </c>
      <c r="E771" s="56" t="s">
        <v>27</v>
      </c>
      <c r="F771" s="26" t="s">
        <v>3995</v>
      </c>
      <c r="G771" s="26" t="s">
        <v>1419</v>
      </c>
      <c r="H771" s="26" t="s">
        <v>13</v>
      </c>
      <c r="I771" s="26" t="s">
        <v>3924</v>
      </c>
      <c r="J771" s="26" t="s">
        <v>8054</v>
      </c>
      <c r="K771" s="26" t="s">
        <v>6434</v>
      </c>
      <c r="L771" s="26" t="s">
        <v>8055</v>
      </c>
      <c r="M771" s="55" t="s">
        <v>8056</v>
      </c>
      <c r="N771" s="26" t="s">
        <v>3924</v>
      </c>
    </row>
    <row r="772" spans="1:14" ht="75" customHeight="1" thickTop="1" thickBot="1">
      <c r="A772" s="26">
        <v>770</v>
      </c>
      <c r="B772" s="26">
        <v>774</v>
      </c>
      <c r="C772" s="55" t="s">
        <v>8057</v>
      </c>
      <c r="D772" s="56" t="s">
        <v>26</v>
      </c>
      <c r="E772" s="56" t="s">
        <v>27</v>
      </c>
      <c r="F772" s="26" t="s">
        <v>3995</v>
      </c>
      <c r="G772" s="26" t="s">
        <v>16</v>
      </c>
      <c r="H772" s="26" t="s">
        <v>13</v>
      </c>
      <c r="I772" s="26" t="s">
        <v>3924</v>
      </c>
      <c r="J772" s="26" t="s">
        <v>8058</v>
      </c>
      <c r="K772" s="26" t="s">
        <v>6434</v>
      </c>
      <c r="L772" s="26" t="s">
        <v>6805</v>
      </c>
      <c r="M772" s="55" t="s">
        <v>8059</v>
      </c>
      <c r="N772" s="26" t="s">
        <v>3924</v>
      </c>
    </row>
    <row r="773" spans="1:14" ht="75" customHeight="1" thickTop="1" thickBot="1">
      <c r="A773" s="34">
        <v>771</v>
      </c>
      <c r="B773" s="34">
        <v>775</v>
      </c>
      <c r="C773" s="55" t="s">
        <v>8060</v>
      </c>
      <c r="D773" s="56" t="s">
        <v>26</v>
      </c>
      <c r="E773" s="56" t="s">
        <v>27</v>
      </c>
      <c r="F773" s="26" t="s">
        <v>3995</v>
      </c>
      <c r="G773" s="26" t="s">
        <v>1419</v>
      </c>
      <c r="H773" s="26" t="s">
        <v>13</v>
      </c>
      <c r="I773" s="26" t="s">
        <v>3924</v>
      </c>
      <c r="J773" s="26" t="s">
        <v>8061</v>
      </c>
      <c r="K773" s="26" t="s">
        <v>6434</v>
      </c>
      <c r="L773" s="26" t="s">
        <v>6723</v>
      </c>
      <c r="M773" s="55" t="s">
        <v>8062</v>
      </c>
      <c r="N773" s="26" t="s">
        <v>3924</v>
      </c>
    </row>
    <row r="774" spans="1:14" ht="75" customHeight="1" thickTop="1" thickBot="1">
      <c r="A774" s="26">
        <v>772</v>
      </c>
      <c r="B774" s="26">
        <v>776</v>
      </c>
      <c r="C774" s="55" t="s">
        <v>8063</v>
      </c>
      <c r="D774" s="56" t="s">
        <v>26</v>
      </c>
      <c r="E774" s="56" t="s">
        <v>7451</v>
      </c>
      <c r="F774" s="26" t="s">
        <v>3923</v>
      </c>
      <c r="G774" s="26" t="s">
        <v>1419</v>
      </c>
      <c r="H774" s="26" t="s">
        <v>13</v>
      </c>
      <c r="I774" s="26" t="s">
        <v>3924</v>
      </c>
      <c r="J774" s="26" t="s">
        <v>8064</v>
      </c>
      <c r="K774" s="26" t="s">
        <v>6552</v>
      </c>
      <c r="L774" s="26" t="s">
        <v>6469</v>
      </c>
      <c r="M774" s="55" t="s">
        <v>8065</v>
      </c>
      <c r="N774" s="26" t="s">
        <v>3924</v>
      </c>
    </row>
    <row r="775" spans="1:14" ht="75" customHeight="1" thickTop="1" thickBot="1">
      <c r="A775" s="34">
        <v>773</v>
      </c>
      <c r="B775" s="34">
        <v>777</v>
      </c>
      <c r="C775" s="55" t="s">
        <v>8063</v>
      </c>
      <c r="D775" s="56" t="s">
        <v>26</v>
      </c>
      <c r="E775" s="56" t="s">
        <v>7451</v>
      </c>
      <c r="F775" s="26" t="s">
        <v>3923</v>
      </c>
      <c r="G775" s="26" t="s">
        <v>1419</v>
      </c>
      <c r="H775" s="26" t="s">
        <v>13</v>
      </c>
      <c r="I775" s="26" t="s">
        <v>3924</v>
      </c>
      <c r="J775" s="26" t="s">
        <v>8064</v>
      </c>
      <c r="K775" s="26" t="s">
        <v>6552</v>
      </c>
      <c r="L775" s="26" t="s">
        <v>6469</v>
      </c>
      <c r="M775" s="55" t="s">
        <v>8066</v>
      </c>
      <c r="N775" s="26" t="s">
        <v>3924</v>
      </c>
    </row>
    <row r="776" spans="1:14" ht="75" customHeight="1" thickTop="1" thickBot="1">
      <c r="A776" s="26">
        <v>774</v>
      </c>
      <c r="B776" s="26">
        <v>778</v>
      </c>
      <c r="C776" s="55" t="s">
        <v>8067</v>
      </c>
      <c r="D776" s="56" t="s">
        <v>26</v>
      </c>
      <c r="E776" s="56" t="s">
        <v>7451</v>
      </c>
      <c r="F776" s="26" t="s">
        <v>3923</v>
      </c>
      <c r="G776" s="26" t="s">
        <v>1419</v>
      </c>
      <c r="H776" s="26" t="s">
        <v>13</v>
      </c>
      <c r="I776" s="26" t="s">
        <v>3924</v>
      </c>
      <c r="J776" s="26" t="s">
        <v>8064</v>
      </c>
      <c r="K776" s="26" t="s">
        <v>6552</v>
      </c>
      <c r="L776" s="26" t="s">
        <v>6805</v>
      </c>
      <c r="M776" s="55" t="s">
        <v>8068</v>
      </c>
      <c r="N776" s="26" t="s">
        <v>3924</v>
      </c>
    </row>
    <row r="777" spans="1:14" ht="75" customHeight="1" thickTop="1" thickBot="1">
      <c r="A777" s="34">
        <v>775</v>
      </c>
      <c r="B777" s="34">
        <v>779</v>
      </c>
      <c r="C777" s="55" t="s">
        <v>8067</v>
      </c>
      <c r="D777" s="56" t="s">
        <v>26</v>
      </c>
      <c r="E777" s="56" t="s">
        <v>7451</v>
      </c>
      <c r="F777" s="26" t="s">
        <v>3923</v>
      </c>
      <c r="G777" s="26" t="s">
        <v>1419</v>
      </c>
      <c r="H777" s="26" t="s">
        <v>13</v>
      </c>
      <c r="I777" s="26" t="s">
        <v>3924</v>
      </c>
      <c r="J777" s="26" t="s">
        <v>8069</v>
      </c>
      <c r="K777" s="26" t="s">
        <v>6552</v>
      </c>
      <c r="L777" s="26" t="s">
        <v>6805</v>
      </c>
      <c r="M777" s="55" t="s">
        <v>8070</v>
      </c>
      <c r="N777" s="26" t="s">
        <v>3924</v>
      </c>
    </row>
    <row r="778" spans="1:14" ht="75" customHeight="1" thickTop="1" thickBot="1">
      <c r="A778" s="26">
        <v>776</v>
      </c>
      <c r="B778" s="26">
        <v>780</v>
      </c>
      <c r="C778" s="55" t="s">
        <v>8067</v>
      </c>
      <c r="D778" s="56" t="s">
        <v>26</v>
      </c>
      <c r="E778" s="56" t="s">
        <v>7451</v>
      </c>
      <c r="F778" s="26" t="s">
        <v>3923</v>
      </c>
      <c r="G778" s="26" t="s">
        <v>1419</v>
      </c>
      <c r="H778" s="26" t="s">
        <v>13</v>
      </c>
      <c r="I778" s="26" t="s">
        <v>3924</v>
      </c>
      <c r="J778" s="26" t="s">
        <v>8071</v>
      </c>
      <c r="K778" s="26" t="s">
        <v>6445</v>
      </c>
      <c r="L778" s="26" t="s">
        <v>6435</v>
      </c>
      <c r="M778" s="55" t="s">
        <v>8072</v>
      </c>
      <c r="N778" s="26" t="s">
        <v>3924</v>
      </c>
    </row>
    <row r="779" spans="1:14" ht="75" customHeight="1" thickTop="1" thickBot="1">
      <c r="A779" s="34">
        <v>777</v>
      </c>
      <c r="B779" s="34">
        <v>781</v>
      </c>
      <c r="C779" s="55" t="s">
        <v>8071</v>
      </c>
      <c r="D779" s="56" t="s">
        <v>26</v>
      </c>
      <c r="E779" s="56" t="s">
        <v>7451</v>
      </c>
      <c r="F779" s="26" t="s">
        <v>3923</v>
      </c>
      <c r="G779" s="26" t="s">
        <v>1419</v>
      </c>
      <c r="H779" s="26" t="s">
        <v>13</v>
      </c>
      <c r="I779" s="26" t="s">
        <v>3924</v>
      </c>
      <c r="J779" s="26" t="s">
        <v>8069</v>
      </c>
      <c r="K779" s="26" t="s">
        <v>6440</v>
      </c>
      <c r="L779" s="26" t="s">
        <v>6493</v>
      </c>
      <c r="M779" s="55" t="s">
        <v>8073</v>
      </c>
      <c r="N779" s="26" t="s">
        <v>3924</v>
      </c>
    </row>
    <row r="780" spans="1:14" ht="75" customHeight="1" thickTop="1" thickBot="1">
      <c r="A780" s="26">
        <v>778</v>
      </c>
      <c r="B780" s="26">
        <v>782</v>
      </c>
      <c r="C780" s="55" t="s">
        <v>8069</v>
      </c>
      <c r="D780" s="56" t="s">
        <v>26</v>
      </c>
      <c r="E780" s="56" t="s">
        <v>7451</v>
      </c>
      <c r="F780" s="26" t="s">
        <v>3923</v>
      </c>
      <c r="G780" s="26" t="s">
        <v>1419</v>
      </c>
      <c r="H780" s="26" t="s">
        <v>13</v>
      </c>
      <c r="I780" s="26" t="s">
        <v>3924</v>
      </c>
      <c r="J780" s="26" t="s">
        <v>8069</v>
      </c>
      <c r="K780" s="26" t="s">
        <v>6552</v>
      </c>
      <c r="L780" s="26" t="s">
        <v>7408</v>
      </c>
      <c r="M780" s="55" t="s">
        <v>8074</v>
      </c>
      <c r="N780" s="26" t="s">
        <v>3924</v>
      </c>
    </row>
    <row r="781" spans="1:14" ht="75" customHeight="1" thickTop="1" thickBot="1">
      <c r="A781" s="34">
        <v>779</v>
      </c>
      <c r="B781" s="34">
        <v>783</v>
      </c>
      <c r="C781" s="55" t="s">
        <v>8064</v>
      </c>
      <c r="D781" s="56" t="s">
        <v>26</v>
      </c>
      <c r="E781" s="56" t="s">
        <v>7451</v>
      </c>
      <c r="F781" s="26" t="s">
        <v>3923</v>
      </c>
      <c r="G781" s="26" t="s">
        <v>1419</v>
      </c>
      <c r="H781" s="26" t="s">
        <v>13</v>
      </c>
      <c r="I781" s="26" t="s">
        <v>3924</v>
      </c>
      <c r="J781" s="26" t="s">
        <v>8064</v>
      </c>
      <c r="K781" s="26" t="s">
        <v>6552</v>
      </c>
      <c r="L781" s="26" t="s">
        <v>8075</v>
      </c>
      <c r="M781" s="55" t="s">
        <v>8076</v>
      </c>
      <c r="N781" s="26" t="s">
        <v>3924</v>
      </c>
    </row>
    <row r="782" spans="1:14" ht="75" customHeight="1" thickTop="1" thickBot="1">
      <c r="A782" s="26">
        <v>780</v>
      </c>
      <c r="B782" s="26">
        <v>784</v>
      </c>
      <c r="C782" s="55" t="s">
        <v>8077</v>
      </c>
      <c r="D782" s="56" t="s">
        <v>26</v>
      </c>
      <c r="E782" s="56" t="s">
        <v>7451</v>
      </c>
      <c r="F782" s="26" t="s">
        <v>3923</v>
      </c>
      <c r="G782" s="26" t="s">
        <v>1419</v>
      </c>
      <c r="H782" s="26" t="s">
        <v>13</v>
      </c>
      <c r="I782" s="26" t="s">
        <v>3924</v>
      </c>
      <c r="J782" s="26" t="s">
        <v>8077</v>
      </c>
      <c r="K782" s="26" t="s">
        <v>6440</v>
      </c>
      <c r="L782" s="26" t="s">
        <v>6805</v>
      </c>
      <c r="M782" s="55" t="s">
        <v>8078</v>
      </c>
      <c r="N782" s="26" t="s">
        <v>3924</v>
      </c>
    </row>
    <row r="783" spans="1:14" ht="75" customHeight="1" thickTop="1" thickBot="1">
      <c r="A783" s="34">
        <v>781</v>
      </c>
      <c r="B783" s="34">
        <v>785</v>
      </c>
      <c r="C783" s="55" t="s">
        <v>8077</v>
      </c>
      <c r="D783" s="56" t="s">
        <v>26</v>
      </c>
      <c r="E783" s="56" t="s">
        <v>7451</v>
      </c>
      <c r="F783" s="26" t="s">
        <v>3923</v>
      </c>
      <c r="G783" s="26" t="s">
        <v>1419</v>
      </c>
      <c r="H783" s="26" t="s">
        <v>13</v>
      </c>
      <c r="I783" s="26" t="s">
        <v>3924</v>
      </c>
      <c r="J783" s="26" t="s">
        <v>8077</v>
      </c>
      <c r="K783" s="26" t="s">
        <v>6440</v>
      </c>
      <c r="L783" s="26" t="s">
        <v>6469</v>
      </c>
      <c r="M783" s="55" t="s">
        <v>8079</v>
      </c>
      <c r="N783" s="26" t="s">
        <v>3924</v>
      </c>
    </row>
    <row r="784" spans="1:14" ht="75" customHeight="1" thickTop="1" thickBot="1">
      <c r="A784" s="26">
        <v>782</v>
      </c>
      <c r="B784" s="26">
        <v>786</v>
      </c>
      <c r="C784" s="55" t="s">
        <v>8080</v>
      </c>
      <c r="D784" s="56" t="s">
        <v>26</v>
      </c>
      <c r="E784" s="56" t="s">
        <v>7451</v>
      </c>
      <c r="F784" s="26" t="s">
        <v>3923</v>
      </c>
      <c r="G784" s="26" t="s">
        <v>1419</v>
      </c>
      <c r="H784" s="26" t="s">
        <v>13</v>
      </c>
      <c r="I784" s="26" t="s">
        <v>3924</v>
      </c>
      <c r="J784" s="26" t="s">
        <v>8080</v>
      </c>
      <c r="K784" s="26" t="s">
        <v>6552</v>
      </c>
      <c r="L784" s="26" t="s">
        <v>6435</v>
      </c>
      <c r="M784" s="55" t="s">
        <v>8081</v>
      </c>
      <c r="N784" s="26" t="s">
        <v>3924</v>
      </c>
    </row>
    <row r="785" spans="1:14" ht="75" customHeight="1" thickTop="1" thickBot="1">
      <c r="A785" s="34">
        <v>783</v>
      </c>
      <c r="B785" s="34">
        <v>787</v>
      </c>
      <c r="C785" s="55" t="s">
        <v>8080</v>
      </c>
      <c r="D785" s="56" t="s">
        <v>26</v>
      </c>
      <c r="E785" s="56" t="s">
        <v>7451</v>
      </c>
      <c r="F785" s="26" t="s">
        <v>3923</v>
      </c>
      <c r="G785" s="26" t="s">
        <v>1419</v>
      </c>
      <c r="H785" s="26" t="s">
        <v>13</v>
      </c>
      <c r="I785" s="26" t="s">
        <v>3924</v>
      </c>
      <c r="J785" s="26" t="s">
        <v>8082</v>
      </c>
      <c r="K785" s="26" t="s">
        <v>6552</v>
      </c>
      <c r="L785" s="26" t="s">
        <v>6469</v>
      </c>
      <c r="M785" s="55" t="s">
        <v>8083</v>
      </c>
      <c r="N785" s="26" t="s">
        <v>3924</v>
      </c>
    </row>
    <row r="786" spans="1:14" ht="75" customHeight="1" thickTop="1" thickBot="1">
      <c r="A786" s="26">
        <v>784</v>
      </c>
      <c r="B786" s="26">
        <v>788</v>
      </c>
      <c r="C786" s="55" t="s">
        <v>8082</v>
      </c>
      <c r="D786" s="56" t="s">
        <v>26</v>
      </c>
      <c r="E786" s="56" t="s">
        <v>7451</v>
      </c>
      <c r="F786" s="26" t="s">
        <v>3923</v>
      </c>
      <c r="G786" s="26" t="s">
        <v>1419</v>
      </c>
      <c r="H786" s="26" t="s">
        <v>13</v>
      </c>
      <c r="I786" s="26" t="s">
        <v>3924</v>
      </c>
      <c r="J786" s="26" t="s">
        <v>8082</v>
      </c>
      <c r="K786" s="26" t="s">
        <v>6552</v>
      </c>
      <c r="L786" s="26" t="s">
        <v>6469</v>
      </c>
      <c r="M786" s="55" t="s">
        <v>8084</v>
      </c>
      <c r="N786" s="26" t="s">
        <v>3924</v>
      </c>
    </row>
    <row r="787" spans="1:14" ht="75" customHeight="1" thickTop="1" thickBot="1">
      <c r="A787" s="34">
        <v>785</v>
      </c>
      <c r="B787" s="34">
        <v>789</v>
      </c>
      <c r="C787" s="55" t="s">
        <v>8082</v>
      </c>
      <c r="D787" s="56" t="s">
        <v>26</v>
      </c>
      <c r="E787" s="56" t="s">
        <v>7451</v>
      </c>
      <c r="F787" s="26" t="s">
        <v>3923</v>
      </c>
      <c r="G787" s="26" t="s">
        <v>1419</v>
      </c>
      <c r="H787" s="26" t="s">
        <v>13</v>
      </c>
      <c r="I787" s="26" t="s">
        <v>3924</v>
      </c>
      <c r="J787" s="26" t="s">
        <v>8085</v>
      </c>
      <c r="K787" s="26" t="s">
        <v>6552</v>
      </c>
      <c r="L787" s="26" t="s">
        <v>6469</v>
      </c>
      <c r="M787" s="55" t="s">
        <v>8086</v>
      </c>
      <c r="N787" s="26" t="s">
        <v>3924</v>
      </c>
    </row>
    <row r="788" spans="1:14" ht="75" customHeight="1" thickTop="1" thickBot="1">
      <c r="A788" s="26">
        <v>786</v>
      </c>
      <c r="B788" s="26">
        <v>790</v>
      </c>
      <c r="C788" s="55" t="s">
        <v>8085</v>
      </c>
      <c r="D788" s="56" t="s">
        <v>26</v>
      </c>
      <c r="E788" s="56" t="s">
        <v>7451</v>
      </c>
      <c r="F788" s="26" t="s">
        <v>3923</v>
      </c>
      <c r="G788" s="26" t="s">
        <v>1419</v>
      </c>
      <c r="H788" s="26" t="s">
        <v>13</v>
      </c>
      <c r="I788" s="26" t="s">
        <v>3924</v>
      </c>
      <c r="J788" s="26" t="s">
        <v>8085</v>
      </c>
      <c r="K788" s="26" t="s">
        <v>6552</v>
      </c>
      <c r="L788" s="26" t="s">
        <v>6805</v>
      </c>
      <c r="M788" s="55" t="s">
        <v>8087</v>
      </c>
      <c r="N788" s="26" t="s">
        <v>3924</v>
      </c>
    </row>
    <row r="789" spans="1:14" ht="75" customHeight="1" thickTop="1" thickBot="1">
      <c r="A789" s="34">
        <v>787</v>
      </c>
      <c r="B789" s="34">
        <v>791</v>
      </c>
      <c r="C789" s="55" t="s">
        <v>8088</v>
      </c>
      <c r="D789" s="56" t="s">
        <v>26</v>
      </c>
      <c r="E789" s="56" t="s">
        <v>7451</v>
      </c>
      <c r="F789" s="26" t="s">
        <v>3923</v>
      </c>
      <c r="G789" s="26" t="s">
        <v>1419</v>
      </c>
      <c r="H789" s="26" t="s">
        <v>13</v>
      </c>
      <c r="I789" s="26" t="s">
        <v>3924</v>
      </c>
      <c r="J789" s="26" t="s">
        <v>8089</v>
      </c>
      <c r="K789" s="26" t="s">
        <v>6440</v>
      </c>
      <c r="L789" s="26" t="s">
        <v>6805</v>
      </c>
      <c r="M789" s="55" t="s">
        <v>8090</v>
      </c>
      <c r="N789" s="26" t="s">
        <v>3924</v>
      </c>
    </row>
    <row r="790" spans="1:14" ht="75" customHeight="1" thickTop="1" thickBot="1">
      <c r="A790" s="26">
        <v>788</v>
      </c>
      <c r="B790" s="26">
        <v>792</v>
      </c>
      <c r="C790" s="55" t="s">
        <v>8088</v>
      </c>
      <c r="D790" s="56" t="s">
        <v>26</v>
      </c>
      <c r="E790" s="56" t="s">
        <v>7451</v>
      </c>
      <c r="F790" s="26" t="s">
        <v>3923</v>
      </c>
      <c r="G790" s="26" t="s">
        <v>1419</v>
      </c>
      <c r="H790" s="26" t="s">
        <v>13</v>
      </c>
      <c r="I790" s="26" t="s">
        <v>3924</v>
      </c>
      <c r="J790" s="26" t="s">
        <v>8089</v>
      </c>
      <c r="K790" s="26" t="s">
        <v>6440</v>
      </c>
      <c r="L790" s="26" t="s">
        <v>6805</v>
      </c>
      <c r="M790" s="55" t="s">
        <v>8091</v>
      </c>
      <c r="N790" s="26" t="s">
        <v>3924</v>
      </c>
    </row>
    <row r="791" spans="1:14" ht="75" customHeight="1" thickTop="1" thickBot="1">
      <c r="A791" s="34">
        <v>789</v>
      </c>
      <c r="B791" s="34">
        <v>793</v>
      </c>
      <c r="C791" s="55" t="s">
        <v>8088</v>
      </c>
      <c r="D791" s="56" t="s">
        <v>26</v>
      </c>
      <c r="E791" s="56" t="s">
        <v>7451</v>
      </c>
      <c r="F791" s="26" t="s">
        <v>3923</v>
      </c>
      <c r="G791" s="26" t="s">
        <v>1419</v>
      </c>
      <c r="H791" s="26" t="s">
        <v>13</v>
      </c>
      <c r="I791" s="26" t="s">
        <v>3924</v>
      </c>
      <c r="J791" s="26" t="s">
        <v>8089</v>
      </c>
      <c r="K791" s="26" t="s">
        <v>6434</v>
      </c>
      <c r="L791" s="26" t="s">
        <v>3927</v>
      </c>
      <c r="M791" s="55" t="s">
        <v>8092</v>
      </c>
      <c r="N791" s="26" t="s">
        <v>3924</v>
      </c>
    </row>
    <row r="792" spans="1:14" ht="75" customHeight="1" thickTop="1" thickBot="1">
      <c r="A792" s="26">
        <v>790</v>
      </c>
      <c r="B792" s="26">
        <v>794</v>
      </c>
      <c r="C792" s="55" t="s">
        <v>8093</v>
      </c>
      <c r="D792" s="56" t="s">
        <v>26</v>
      </c>
      <c r="E792" s="56" t="s">
        <v>7451</v>
      </c>
      <c r="F792" s="26" t="s">
        <v>3923</v>
      </c>
      <c r="G792" s="26" t="s">
        <v>1419</v>
      </c>
      <c r="H792" s="26" t="s">
        <v>13</v>
      </c>
      <c r="I792" s="26" t="s">
        <v>3924</v>
      </c>
      <c r="J792" s="26" t="s">
        <v>8089</v>
      </c>
      <c r="K792" s="26" t="s">
        <v>6434</v>
      </c>
      <c r="L792" s="26" t="s">
        <v>6435</v>
      </c>
      <c r="M792" s="55" t="s">
        <v>8094</v>
      </c>
      <c r="N792" s="26" t="s">
        <v>3924</v>
      </c>
    </row>
    <row r="793" spans="1:14" ht="75" customHeight="1" thickTop="1" thickBot="1">
      <c r="A793" s="34">
        <v>791</v>
      </c>
      <c r="B793" s="34">
        <v>795</v>
      </c>
      <c r="C793" s="55" t="s">
        <v>8093</v>
      </c>
      <c r="D793" s="56" t="s">
        <v>26</v>
      </c>
      <c r="E793" s="56" t="s">
        <v>7451</v>
      </c>
      <c r="F793" s="26" t="s">
        <v>3923</v>
      </c>
      <c r="G793" s="26" t="s">
        <v>1419</v>
      </c>
      <c r="H793" s="26" t="s">
        <v>13</v>
      </c>
      <c r="I793" s="26" t="s">
        <v>3924</v>
      </c>
      <c r="J793" s="26" t="s">
        <v>8089</v>
      </c>
      <c r="K793" s="26" t="s">
        <v>6445</v>
      </c>
      <c r="L793" s="26" t="s">
        <v>6435</v>
      </c>
      <c r="M793" s="55" t="s">
        <v>8095</v>
      </c>
      <c r="N793" s="26" t="s">
        <v>3924</v>
      </c>
    </row>
    <row r="794" spans="1:14" ht="75" customHeight="1" thickTop="1" thickBot="1">
      <c r="A794" s="26">
        <v>792</v>
      </c>
      <c r="B794" s="26">
        <v>796</v>
      </c>
      <c r="C794" s="55" t="s">
        <v>8096</v>
      </c>
      <c r="D794" s="56" t="s">
        <v>26</v>
      </c>
      <c r="E794" s="56" t="s">
        <v>7451</v>
      </c>
      <c r="F794" s="26" t="s">
        <v>3923</v>
      </c>
      <c r="G794" s="26" t="s">
        <v>1419</v>
      </c>
      <c r="H794" s="26" t="s">
        <v>13</v>
      </c>
      <c r="I794" s="26" t="s">
        <v>3924</v>
      </c>
      <c r="J794" s="26" t="s">
        <v>8096</v>
      </c>
      <c r="K794" s="26" t="s">
        <v>6434</v>
      </c>
      <c r="L794" s="26" t="s">
        <v>6435</v>
      </c>
      <c r="M794" s="55" t="s">
        <v>8097</v>
      </c>
      <c r="N794" s="26" t="s">
        <v>3924</v>
      </c>
    </row>
    <row r="795" spans="1:14" ht="75" customHeight="1" thickTop="1" thickBot="1">
      <c r="A795" s="34">
        <v>793</v>
      </c>
      <c r="B795" s="34">
        <v>797</v>
      </c>
      <c r="C795" s="55" t="s">
        <v>8096</v>
      </c>
      <c r="D795" s="56" t="s">
        <v>26</v>
      </c>
      <c r="E795" s="56" t="s">
        <v>7451</v>
      </c>
      <c r="F795" s="26" t="s">
        <v>3923</v>
      </c>
      <c r="G795" s="26" t="s">
        <v>1419</v>
      </c>
      <c r="H795" s="26" t="s">
        <v>13</v>
      </c>
      <c r="I795" s="26" t="s">
        <v>3924</v>
      </c>
      <c r="J795" s="26" t="s">
        <v>8098</v>
      </c>
      <c r="K795" s="26" t="s">
        <v>6552</v>
      </c>
      <c r="L795" s="26" t="s">
        <v>6469</v>
      </c>
      <c r="M795" s="55" t="s">
        <v>8099</v>
      </c>
      <c r="N795" s="26" t="s">
        <v>3924</v>
      </c>
    </row>
    <row r="796" spans="1:14" ht="75" customHeight="1" thickTop="1" thickBot="1">
      <c r="A796" s="26">
        <v>794</v>
      </c>
      <c r="B796" s="26">
        <v>798</v>
      </c>
      <c r="C796" s="55" t="s">
        <v>8098</v>
      </c>
      <c r="D796" s="56" t="s">
        <v>26</v>
      </c>
      <c r="E796" s="56" t="s">
        <v>7451</v>
      </c>
      <c r="F796" s="26" t="s">
        <v>3923</v>
      </c>
      <c r="G796" s="26" t="s">
        <v>1419</v>
      </c>
      <c r="H796" s="26" t="s">
        <v>13</v>
      </c>
      <c r="I796" s="26" t="s">
        <v>3924</v>
      </c>
      <c r="J796" s="26" t="s">
        <v>8100</v>
      </c>
      <c r="K796" s="26" t="s">
        <v>6445</v>
      </c>
      <c r="L796" s="26" t="s">
        <v>6435</v>
      </c>
      <c r="M796" s="55" t="s">
        <v>8101</v>
      </c>
      <c r="N796" s="26" t="s">
        <v>3924</v>
      </c>
    </row>
    <row r="797" spans="1:14" ht="75" customHeight="1" thickTop="1" thickBot="1">
      <c r="A797" s="34">
        <v>795</v>
      </c>
      <c r="B797" s="34">
        <v>799</v>
      </c>
      <c r="C797" s="55" t="s">
        <v>8098</v>
      </c>
      <c r="D797" s="56" t="s">
        <v>26</v>
      </c>
      <c r="E797" s="56" t="s">
        <v>7451</v>
      </c>
      <c r="F797" s="26" t="s">
        <v>3923</v>
      </c>
      <c r="G797" s="26" t="s">
        <v>1419</v>
      </c>
      <c r="H797" s="26" t="s">
        <v>13</v>
      </c>
      <c r="I797" s="26" t="s">
        <v>3924</v>
      </c>
      <c r="J797" s="26" t="s">
        <v>8100</v>
      </c>
      <c r="K797" s="26" t="s">
        <v>6476</v>
      </c>
      <c r="L797" s="26" t="s">
        <v>4942</v>
      </c>
      <c r="M797" s="55" t="s">
        <v>8102</v>
      </c>
      <c r="N797" s="26" t="s">
        <v>3924</v>
      </c>
    </row>
    <row r="798" spans="1:14" ht="75" customHeight="1" thickTop="1" thickBot="1">
      <c r="A798" s="26">
        <v>796</v>
      </c>
      <c r="B798" s="26">
        <v>800</v>
      </c>
      <c r="C798" s="55" t="s">
        <v>8100</v>
      </c>
      <c r="D798" s="56" t="s">
        <v>26</v>
      </c>
      <c r="E798" s="56" t="s">
        <v>7451</v>
      </c>
      <c r="F798" s="26" t="s">
        <v>3923</v>
      </c>
      <c r="G798" s="26" t="s">
        <v>1419</v>
      </c>
      <c r="H798" s="26" t="s">
        <v>13</v>
      </c>
      <c r="I798" s="26" t="s">
        <v>3924</v>
      </c>
      <c r="J798" s="26" t="s">
        <v>8100</v>
      </c>
      <c r="K798" s="26" t="s">
        <v>6445</v>
      </c>
      <c r="L798" s="26" t="s">
        <v>6469</v>
      </c>
      <c r="M798" s="55" t="s">
        <v>8103</v>
      </c>
      <c r="N798" s="26" t="s">
        <v>3924</v>
      </c>
    </row>
    <row r="799" spans="1:14" ht="75" customHeight="1" thickTop="1" thickBot="1">
      <c r="A799" s="34">
        <v>797</v>
      </c>
      <c r="B799" s="34">
        <v>801</v>
      </c>
      <c r="C799" s="55" t="s">
        <v>8100</v>
      </c>
      <c r="D799" s="56" t="s">
        <v>26</v>
      </c>
      <c r="E799" s="56" t="s">
        <v>7451</v>
      </c>
      <c r="F799" s="26" t="s">
        <v>3923</v>
      </c>
      <c r="G799" s="26" t="s">
        <v>1419</v>
      </c>
      <c r="H799" s="26" t="s">
        <v>13</v>
      </c>
      <c r="I799" s="26" t="s">
        <v>3924</v>
      </c>
      <c r="J799" s="26" t="s">
        <v>8100</v>
      </c>
      <c r="K799" s="26" t="s">
        <v>6440</v>
      </c>
      <c r="L799" s="26" t="s">
        <v>6805</v>
      </c>
      <c r="M799" s="55" t="s">
        <v>8104</v>
      </c>
      <c r="N799" s="26" t="s">
        <v>3924</v>
      </c>
    </row>
    <row r="800" spans="1:14" ht="75" customHeight="1" thickTop="1" thickBot="1">
      <c r="A800" s="26">
        <v>798</v>
      </c>
      <c r="B800" s="26">
        <v>802</v>
      </c>
      <c r="C800" s="55" t="s">
        <v>8100</v>
      </c>
      <c r="D800" s="56" t="s">
        <v>26</v>
      </c>
      <c r="E800" s="56" t="s">
        <v>7451</v>
      </c>
      <c r="F800" s="26" t="s">
        <v>3923</v>
      </c>
      <c r="G800" s="26" t="s">
        <v>1419</v>
      </c>
      <c r="H800" s="26" t="s">
        <v>13</v>
      </c>
      <c r="I800" s="26" t="s">
        <v>3924</v>
      </c>
      <c r="J800" s="26" t="s">
        <v>8105</v>
      </c>
      <c r="K800" s="26" t="s">
        <v>6440</v>
      </c>
      <c r="L800" s="26" t="s">
        <v>6469</v>
      </c>
      <c r="M800" s="55" t="s">
        <v>8106</v>
      </c>
      <c r="N800" s="26" t="s">
        <v>3924</v>
      </c>
    </row>
    <row r="801" spans="1:14" ht="75" customHeight="1" thickTop="1" thickBot="1">
      <c r="A801" s="34">
        <v>799</v>
      </c>
      <c r="B801" s="34">
        <v>803</v>
      </c>
      <c r="C801" s="55" t="s">
        <v>8105</v>
      </c>
      <c r="D801" s="56" t="s">
        <v>26</v>
      </c>
      <c r="E801" s="56" t="s">
        <v>7451</v>
      </c>
      <c r="F801" s="26" t="s">
        <v>3923</v>
      </c>
      <c r="G801" s="26" t="s">
        <v>1419</v>
      </c>
      <c r="H801" s="26" t="s">
        <v>13</v>
      </c>
      <c r="I801" s="26" t="s">
        <v>3924</v>
      </c>
      <c r="J801" s="26" t="s">
        <v>8107</v>
      </c>
      <c r="K801" s="26" t="s">
        <v>6434</v>
      </c>
      <c r="L801" s="26" t="s">
        <v>6469</v>
      </c>
      <c r="M801" s="55" t="s">
        <v>8106</v>
      </c>
      <c r="N801" s="26" t="s">
        <v>3924</v>
      </c>
    </row>
    <row r="802" spans="1:14" ht="75" customHeight="1" thickTop="1" thickBot="1">
      <c r="A802" s="26">
        <v>800</v>
      </c>
      <c r="B802" s="26">
        <v>804</v>
      </c>
      <c r="C802" s="55" t="s">
        <v>8107</v>
      </c>
      <c r="D802" s="56" t="s">
        <v>26</v>
      </c>
      <c r="E802" s="56" t="s">
        <v>7451</v>
      </c>
      <c r="F802" s="26" t="s">
        <v>3923</v>
      </c>
      <c r="G802" s="26" t="s">
        <v>1419</v>
      </c>
      <c r="H802" s="26" t="s">
        <v>13</v>
      </c>
      <c r="I802" s="26" t="s">
        <v>3924</v>
      </c>
      <c r="J802" s="26" t="s">
        <v>8107</v>
      </c>
      <c r="K802" s="26" t="s">
        <v>6552</v>
      </c>
      <c r="L802" s="26" t="s">
        <v>6877</v>
      </c>
      <c r="M802" s="55" t="s">
        <v>8108</v>
      </c>
      <c r="N802" s="26" t="s">
        <v>3924</v>
      </c>
    </row>
    <row r="803" spans="1:14" ht="75" customHeight="1" thickTop="1" thickBot="1">
      <c r="A803" s="34">
        <v>801</v>
      </c>
      <c r="B803" s="34">
        <v>805</v>
      </c>
      <c r="C803" s="55" t="s">
        <v>8107</v>
      </c>
      <c r="D803" s="56" t="s">
        <v>26</v>
      </c>
      <c r="E803" s="56" t="s">
        <v>7451</v>
      </c>
      <c r="F803" s="26" t="s">
        <v>3923</v>
      </c>
      <c r="G803" s="26" t="s">
        <v>1419</v>
      </c>
      <c r="H803" s="26" t="s">
        <v>13</v>
      </c>
      <c r="I803" s="26" t="s">
        <v>3924</v>
      </c>
      <c r="J803" s="26" t="s">
        <v>8109</v>
      </c>
      <c r="K803" s="26" t="s">
        <v>6552</v>
      </c>
      <c r="L803" s="26" t="s">
        <v>6877</v>
      </c>
      <c r="M803" s="55" t="s">
        <v>8110</v>
      </c>
      <c r="N803" s="26" t="s">
        <v>3924</v>
      </c>
    </row>
    <row r="804" spans="1:14" ht="75" customHeight="1" thickTop="1" thickBot="1">
      <c r="A804" s="26">
        <v>802</v>
      </c>
      <c r="B804" s="26">
        <v>806</v>
      </c>
      <c r="C804" s="55" t="s">
        <v>8111</v>
      </c>
      <c r="D804" s="56" t="s">
        <v>26</v>
      </c>
      <c r="E804" s="56" t="s">
        <v>6438</v>
      </c>
      <c r="F804" s="26" t="s">
        <v>3995</v>
      </c>
      <c r="G804" s="26" t="s">
        <v>12</v>
      </c>
      <c r="H804" s="26" t="s">
        <v>13</v>
      </c>
      <c r="I804" s="26" t="s">
        <v>3924</v>
      </c>
      <c r="J804" s="26" t="s">
        <v>8112</v>
      </c>
      <c r="K804" s="26" t="s">
        <v>6440</v>
      </c>
      <c r="L804" s="26" t="s">
        <v>6435</v>
      </c>
      <c r="M804" s="55" t="s">
        <v>8113</v>
      </c>
      <c r="N804" s="26" t="s">
        <v>3924</v>
      </c>
    </row>
    <row r="805" spans="1:14" ht="75" customHeight="1" thickTop="1" thickBot="1">
      <c r="A805" s="34">
        <v>803</v>
      </c>
      <c r="B805" s="34">
        <v>807</v>
      </c>
      <c r="C805" s="55" t="s">
        <v>8114</v>
      </c>
      <c r="D805" s="56" t="s">
        <v>26</v>
      </c>
      <c r="E805" s="56" t="s">
        <v>27</v>
      </c>
      <c r="F805" s="26" t="s">
        <v>3995</v>
      </c>
      <c r="G805" s="26" t="s">
        <v>16</v>
      </c>
      <c r="H805" s="26" t="s">
        <v>13</v>
      </c>
      <c r="I805" s="26" t="s">
        <v>3924</v>
      </c>
      <c r="J805" s="26" t="s">
        <v>8115</v>
      </c>
      <c r="K805" s="26" t="s">
        <v>6434</v>
      </c>
      <c r="L805" s="26" t="s">
        <v>6435</v>
      </c>
      <c r="M805" s="55" t="s">
        <v>8116</v>
      </c>
      <c r="N805" s="26" t="s">
        <v>3924</v>
      </c>
    </row>
    <row r="806" spans="1:14" ht="75" customHeight="1" thickTop="1" thickBot="1">
      <c r="A806" s="26">
        <v>804</v>
      </c>
      <c r="B806" s="26">
        <v>808</v>
      </c>
      <c r="C806" s="55" t="s">
        <v>8117</v>
      </c>
      <c r="D806" s="56" t="s">
        <v>26</v>
      </c>
      <c r="E806" s="56" t="s">
        <v>27</v>
      </c>
      <c r="F806" s="26" t="s">
        <v>3995</v>
      </c>
      <c r="G806" s="26" t="s">
        <v>16</v>
      </c>
      <c r="H806" s="26" t="s">
        <v>13</v>
      </c>
      <c r="I806" s="26" t="s">
        <v>3924</v>
      </c>
      <c r="J806" s="26" t="s">
        <v>8118</v>
      </c>
      <c r="K806" s="26" t="s">
        <v>6434</v>
      </c>
      <c r="L806" s="26" t="s">
        <v>6435</v>
      </c>
      <c r="M806" s="55" t="s">
        <v>8119</v>
      </c>
      <c r="N806" s="26" t="s">
        <v>3924</v>
      </c>
    </row>
    <row r="807" spans="1:14" ht="75" customHeight="1" thickTop="1" thickBot="1">
      <c r="A807" s="34">
        <v>805</v>
      </c>
      <c r="B807" s="34">
        <v>809</v>
      </c>
      <c r="C807" s="55" t="s">
        <v>8120</v>
      </c>
      <c r="D807" s="56" t="s">
        <v>26</v>
      </c>
      <c r="E807" s="56" t="s">
        <v>27</v>
      </c>
      <c r="F807" s="26" t="s">
        <v>3995</v>
      </c>
      <c r="G807" s="26" t="s">
        <v>16</v>
      </c>
      <c r="H807" s="26" t="s">
        <v>13</v>
      </c>
      <c r="I807" s="26" t="s">
        <v>3924</v>
      </c>
      <c r="J807" s="26" t="s">
        <v>8118</v>
      </c>
      <c r="K807" s="26" t="s">
        <v>6434</v>
      </c>
      <c r="L807" s="26" t="s">
        <v>6435</v>
      </c>
      <c r="M807" s="55" t="s">
        <v>8121</v>
      </c>
      <c r="N807" s="26" t="s">
        <v>3924</v>
      </c>
    </row>
    <row r="808" spans="1:14" ht="75" customHeight="1" thickTop="1" thickBot="1">
      <c r="A808" s="26">
        <v>806</v>
      </c>
      <c r="B808" s="26">
        <v>810</v>
      </c>
      <c r="C808" s="55" t="s">
        <v>8122</v>
      </c>
      <c r="D808" s="56" t="s">
        <v>26</v>
      </c>
      <c r="E808" s="56" t="s">
        <v>27</v>
      </c>
      <c r="F808" s="26" t="s">
        <v>3995</v>
      </c>
      <c r="G808" s="26" t="s">
        <v>1419</v>
      </c>
      <c r="H808" s="26" t="s">
        <v>13</v>
      </c>
      <c r="I808" s="26" t="s">
        <v>3924</v>
      </c>
      <c r="J808" s="26" t="s">
        <v>8123</v>
      </c>
      <c r="K808" s="26" t="s">
        <v>6434</v>
      </c>
      <c r="L808" s="26" t="s">
        <v>6435</v>
      </c>
      <c r="M808" s="55" t="s">
        <v>8124</v>
      </c>
      <c r="N808" s="26" t="s">
        <v>3924</v>
      </c>
    </row>
    <row r="809" spans="1:14" ht="75" customHeight="1" thickTop="1" thickBot="1">
      <c r="A809" s="34">
        <v>807</v>
      </c>
      <c r="B809" s="34">
        <v>811</v>
      </c>
      <c r="C809" s="55" t="s">
        <v>8125</v>
      </c>
      <c r="D809" s="56" t="s">
        <v>26</v>
      </c>
      <c r="E809" s="56" t="s">
        <v>7451</v>
      </c>
      <c r="F809" s="26" t="s">
        <v>3923</v>
      </c>
      <c r="G809" s="26" t="s">
        <v>1419</v>
      </c>
      <c r="H809" s="26" t="s">
        <v>13</v>
      </c>
      <c r="I809" s="26" t="s">
        <v>3924</v>
      </c>
      <c r="J809" s="26" t="s">
        <v>8126</v>
      </c>
      <c r="K809" s="26" t="s">
        <v>7717</v>
      </c>
      <c r="L809" s="26" t="s">
        <v>4942</v>
      </c>
      <c r="M809" s="55" t="s">
        <v>8127</v>
      </c>
      <c r="N809" s="26" t="s">
        <v>3924</v>
      </c>
    </row>
    <row r="810" spans="1:14" ht="75" customHeight="1" thickTop="1" thickBot="1">
      <c r="A810" s="26">
        <v>808</v>
      </c>
      <c r="B810" s="26">
        <v>812</v>
      </c>
      <c r="C810" s="55" t="s">
        <v>8128</v>
      </c>
      <c r="D810" s="56" t="s">
        <v>26</v>
      </c>
      <c r="E810" s="56" t="s">
        <v>7451</v>
      </c>
      <c r="F810" s="26" t="s">
        <v>3923</v>
      </c>
      <c r="G810" s="26" t="s">
        <v>1419</v>
      </c>
      <c r="H810" s="26" t="s">
        <v>13</v>
      </c>
      <c r="I810" s="26" t="s">
        <v>3924</v>
      </c>
      <c r="J810" s="26" t="s">
        <v>8126</v>
      </c>
      <c r="K810" s="26" t="s">
        <v>8035</v>
      </c>
      <c r="L810" s="26" t="s">
        <v>3927</v>
      </c>
      <c r="M810" s="55" t="s">
        <v>8129</v>
      </c>
      <c r="N810" s="26" t="s">
        <v>3924</v>
      </c>
    </row>
    <row r="811" spans="1:14" ht="75" customHeight="1" thickTop="1" thickBot="1">
      <c r="A811" s="34">
        <v>809</v>
      </c>
      <c r="B811" s="34">
        <v>813</v>
      </c>
      <c r="C811" s="55" t="s">
        <v>8128</v>
      </c>
      <c r="D811" s="56" t="s">
        <v>26</v>
      </c>
      <c r="E811" s="56" t="s">
        <v>7451</v>
      </c>
      <c r="F811" s="26" t="s">
        <v>3923</v>
      </c>
      <c r="G811" s="26" t="s">
        <v>1419</v>
      </c>
      <c r="H811" s="26" t="s">
        <v>13</v>
      </c>
      <c r="I811" s="26" t="s">
        <v>3924</v>
      </c>
      <c r="J811" s="26" t="s">
        <v>8130</v>
      </c>
      <c r="K811" s="26" t="s">
        <v>6440</v>
      </c>
      <c r="L811" s="26" t="s">
        <v>6469</v>
      </c>
      <c r="M811" s="55" t="s">
        <v>8131</v>
      </c>
      <c r="N811" s="26" t="s">
        <v>3924</v>
      </c>
    </row>
    <row r="812" spans="1:14" ht="75" customHeight="1" thickTop="1" thickBot="1">
      <c r="A812" s="26">
        <v>810</v>
      </c>
      <c r="B812" s="26">
        <v>814</v>
      </c>
      <c r="C812" s="55" t="s">
        <v>8132</v>
      </c>
      <c r="D812" s="56" t="s">
        <v>26</v>
      </c>
      <c r="E812" s="56" t="s">
        <v>7451</v>
      </c>
      <c r="F812" s="26" t="s">
        <v>3923</v>
      </c>
      <c r="G812" s="26" t="s">
        <v>1419</v>
      </c>
      <c r="H812" s="26" t="s">
        <v>13</v>
      </c>
      <c r="I812" s="26" t="s">
        <v>3924</v>
      </c>
      <c r="J812" s="26" t="s">
        <v>8130</v>
      </c>
      <c r="K812" s="26" t="s">
        <v>6445</v>
      </c>
      <c r="L812" s="26" t="s">
        <v>6593</v>
      </c>
      <c r="M812" s="55" t="s">
        <v>8131</v>
      </c>
      <c r="N812" s="26" t="s">
        <v>3924</v>
      </c>
    </row>
    <row r="813" spans="1:14" ht="75" customHeight="1" thickTop="1" thickBot="1">
      <c r="A813" s="34">
        <v>811</v>
      </c>
      <c r="B813" s="34">
        <v>815</v>
      </c>
      <c r="C813" s="55" t="s">
        <v>8133</v>
      </c>
      <c r="D813" s="56" t="s">
        <v>26</v>
      </c>
      <c r="E813" s="56" t="s">
        <v>7451</v>
      </c>
      <c r="F813" s="26" t="s">
        <v>3923</v>
      </c>
      <c r="G813" s="26" t="s">
        <v>1419</v>
      </c>
      <c r="H813" s="26" t="s">
        <v>13</v>
      </c>
      <c r="I813" s="26" t="s">
        <v>3924</v>
      </c>
      <c r="J813" s="26" t="s">
        <v>8130</v>
      </c>
      <c r="K813" s="26" t="s">
        <v>7717</v>
      </c>
      <c r="L813" s="26" t="s">
        <v>4942</v>
      </c>
      <c r="M813" s="55" t="s">
        <v>8134</v>
      </c>
      <c r="N813" s="26" t="s">
        <v>3924</v>
      </c>
    </row>
    <row r="814" spans="1:14" ht="75" customHeight="1" thickTop="1" thickBot="1">
      <c r="A814" s="26">
        <v>812</v>
      </c>
      <c r="B814" s="26">
        <v>816</v>
      </c>
      <c r="C814" s="55" t="s">
        <v>8133</v>
      </c>
      <c r="D814" s="56" t="s">
        <v>26</v>
      </c>
      <c r="E814" s="56" t="s">
        <v>7451</v>
      </c>
      <c r="F814" s="26" t="s">
        <v>3923</v>
      </c>
      <c r="G814" s="26" t="s">
        <v>1419</v>
      </c>
      <c r="H814" s="26" t="s">
        <v>13</v>
      </c>
      <c r="I814" s="26" t="s">
        <v>3924</v>
      </c>
      <c r="J814" s="26" t="s">
        <v>8130</v>
      </c>
      <c r="K814" s="26" t="s">
        <v>6434</v>
      </c>
      <c r="L814" s="26" t="s">
        <v>8032</v>
      </c>
      <c r="M814" s="55" t="s">
        <v>8135</v>
      </c>
      <c r="N814" s="26" t="s">
        <v>3924</v>
      </c>
    </row>
    <row r="815" spans="1:14" ht="75" customHeight="1" thickTop="1" thickBot="1">
      <c r="A815" s="34">
        <v>813</v>
      </c>
      <c r="B815" s="34">
        <v>817</v>
      </c>
      <c r="C815" s="55" t="s">
        <v>8133</v>
      </c>
      <c r="D815" s="56" t="s">
        <v>26</v>
      </c>
      <c r="E815" s="56" t="s">
        <v>7451</v>
      </c>
      <c r="F815" s="26" t="s">
        <v>3923</v>
      </c>
      <c r="G815" s="26" t="s">
        <v>1419</v>
      </c>
      <c r="H815" s="26" t="s">
        <v>13</v>
      </c>
      <c r="I815" s="26" t="s">
        <v>3924</v>
      </c>
      <c r="J815" s="26" t="s">
        <v>8130</v>
      </c>
      <c r="K815" s="26" t="s">
        <v>6440</v>
      </c>
      <c r="L815" s="26" t="s">
        <v>6435</v>
      </c>
      <c r="M815" s="55" t="s">
        <v>8136</v>
      </c>
      <c r="N815" s="26" t="s">
        <v>3924</v>
      </c>
    </row>
    <row r="816" spans="1:14" ht="75" customHeight="1" thickTop="1" thickBot="1">
      <c r="A816" s="26">
        <v>814</v>
      </c>
      <c r="B816" s="26">
        <v>818</v>
      </c>
      <c r="C816" s="55" t="s">
        <v>8137</v>
      </c>
      <c r="D816" s="56" t="s">
        <v>26</v>
      </c>
      <c r="E816" s="56" t="s">
        <v>7451</v>
      </c>
      <c r="F816" s="26" t="s">
        <v>3923</v>
      </c>
      <c r="G816" s="26" t="s">
        <v>1419</v>
      </c>
      <c r="H816" s="26" t="s">
        <v>13</v>
      </c>
      <c r="I816" s="26" t="s">
        <v>3924</v>
      </c>
      <c r="J816" s="26" t="s">
        <v>8138</v>
      </c>
      <c r="K816" s="26" t="s">
        <v>6440</v>
      </c>
      <c r="L816" s="26" t="s">
        <v>6469</v>
      </c>
      <c r="M816" s="55" t="s">
        <v>8139</v>
      </c>
      <c r="N816" s="26" t="s">
        <v>3924</v>
      </c>
    </row>
    <row r="817" spans="1:14" ht="75" customHeight="1" thickTop="1" thickBot="1">
      <c r="A817" s="34">
        <v>815</v>
      </c>
      <c r="B817" s="34">
        <v>819</v>
      </c>
      <c r="C817" s="55" t="s">
        <v>8137</v>
      </c>
      <c r="D817" s="56" t="s">
        <v>26</v>
      </c>
      <c r="E817" s="56" t="s">
        <v>7451</v>
      </c>
      <c r="F817" s="26" t="s">
        <v>3923</v>
      </c>
      <c r="G817" s="26" t="s">
        <v>1419</v>
      </c>
      <c r="H817" s="26" t="s">
        <v>13</v>
      </c>
      <c r="I817" s="26" t="s">
        <v>3924</v>
      </c>
      <c r="J817" s="26" t="s">
        <v>8138</v>
      </c>
      <c r="K817" s="26" t="s">
        <v>6445</v>
      </c>
      <c r="L817" s="26" t="s">
        <v>4082</v>
      </c>
      <c r="M817" s="55" t="s">
        <v>8140</v>
      </c>
      <c r="N817" s="26" t="s">
        <v>3924</v>
      </c>
    </row>
    <row r="818" spans="1:14" ht="75" customHeight="1" thickTop="1" thickBot="1">
      <c r="A818" s="26">
        <v>816</v>
      </c>
      <c r="B818" s="26">
        <v>820</v>
      </c>
      <c r="C818" s="55" t="s">
        <v>8141</v>
      </c>
      <c r="D818" s="56" t="s">
        <v>26</v>
      </c>
      <c r="E818" s="56" t="s">
        <v>7451</v>
      </c>
      <c r="F818" s="26" t="s">
        <v>3923</v>
      </c>
      <c r="G818" s="26" t="s">
        <v>1419</v>
      </c>
      <c r="H818" s="26" t="s">
        <v>13</v>
      </c>
      <c r="I818" s="26" t="s">
        <v>3924</v>
      </c>
      <c r="J818" s="26" t="s">
        <v>8138</v>
      </c>
      <c r="K818" s="26" t="s">
        <v>6483</v>
      </c>
      <c r="L818" s="26" t="s">
        <v>8142</v>
      </c>
      <c r="M818" s="55" t="s">
        <v>8143</v>
      </c>
      <c r="N818" s="26" t="s">
        <v>3924</v>
      </c>
    </row>
    <row r="819" spans="1:14" ht="75" customHeight="1" thickTop="1" thickBot="1">
      <c r="A819" s="34">
        <v>817</v>
      </c>
      <c r="B819" s="34">
        <v>821</v>
      </c>
      <c r="C819" s="55" t="s">
        <v>8141</v>
      </c>
      <c r="D819" s="56" t="s">
        <v>26</v>
      </c>
      <c r="E819" s="56" t="s">
        <v>7451</v>
      </c>
      <c r="F819" s="26" t="s">
        <v>3923</v>
      </c>
      <c r="G819" s="26" t="s">
        <v>1419</v>
      </c>
      <c r="H819" s="26" t="s">
        <v>13</v>
      </c>
      <c r="I819" s="26" t="s">
        <v>3924</v>
      </c>
      <c r="J819" s="26" t="s">
        <v>8138</v>
      </c>
      <c r="K819" s="26" t="s">
        <v>3954</v>
      </c>
      <c r="L819" s="26" t="s">
        <v>4942</v>
      </c>
      <c r="M819" s="55" t="s">
        <v>8144</v>
      </c>
      <c r="N819" s="26" t="s">
        <v>3924</v>
      </c>
    </row>
    <row r="820" spans="1:14" ht="75" customHeight="1" thickTop="1" thickBot="1">
      <c r="A820" s="26">
        <v>818</v>
      </c>
      <c r="B820" s="26">
        <v>822</v>
      </c>
      <c r="C820" s="55" t="s">
        <v>8145</v>
      </c>
      <c r="D820" s="56" t="s">
        <v>26</v>
      </c>
      <c r="E820" s="56" t="s">
        <v>7451</v>
      </c>
      <c r="F820" s="26" t="s">
        <v>3923</v>
      </c>
      <c r="G820" s="26" t="s">
        <v>1419</v>
      </c>
      <c r="H820" s="26" t="s">
        <v>13</v>
      </c>
      <c r="I820" s="26" t="s">
        <v>3924</v>
      </c>
      <c r="J820" s="26" t="s">
        <v>8146</v>
      </c>
      <c r="K820" s="26" t="s">
        <v>6434</v>
      </c>
      <c r="L820" s="26" t="s">
        <v>6469</v>
      </c>
      <c r="M820" s="55" t="s">
        <v>8147</v>
      </c>
      <c r="N820" s="26" t="s">
        <v>3924</v>
      </c>
    </row>
    <row r="821" spans="1:14" ht="75" customHeight="1" thickTop="1" thickBot="1">
      <c r="A821" s="34">
        <v>819</v>
      </c>
      <c r="B821" s="34">
        <v>823</v>
      </c>
      <c r="C821" s="55" t="s">
        <v>8148</v>
      </c>
      <c r="D821" s="56" t="s">
        <v>26</v>
      </c>
      <c r="E821" s="56" t="s">
        <v>7451</v>
      </c>
      <c r="F821" s="26" t="s">
        <v>3923</v>
      </c>
      <c r="G821" s="26" t="s">
        <v>1419</v>
      </c>
      <c r="H821" s="26" t="s">
        <v>13</v>
      </c>
      <c r="I821" s="26" t="s">
        <v>3924</v>
      </c>
      <c r="J821" s="26" t="s">
        <v>8138</v>
      </c>
      <c r="K821" s="26" t="s">
        <v>6434</v>
      </c>
      <c r="L821" s="26" t="s">
        <v>6469</v>
      </c>
      <c r="M821" s="55" t="s">
        <v>8149</v>
      </c>
      <c r="N821" s="26" t="s">
        <v>3924</v>
      </c>
    </row>
    <row r="822" spans="1:14" ht="75" customHeight="1" thickTop="1" thickBot="1">
      <c r="A822" s="26">
        <v>820</v>
      </c>
      <c r="B822" s="26">
        <v>824</v>
      </c>
      <c r="C822" s="55" t="s">
        <v>8148</v>
      </c>
      <c r="D822" s="56" t="s">
        <v>26</v>
      </c>
      <c r="E822" s="56" t="s">
        <v>7451</v>
      </c>
      <c r="F822" s="26" t="s">
        <v>3923</v>
      </c>
      <c r="G822" s="26" t="s">
        <v>1419</v>
      </c>
      <c r="H822" s="26" t="s">
        <v>13</v>
      </c>
      <c r="I822" s="64" t="s">
        <v>3924</v>
      </c>
      <c r="J822" s="26" t="s">
        <v>8146</v>
      </c>
      <c r="K822" s="26" t="s">
        <v>6434</v>
      </c>
      <c r="L822" s="26" t="s">
        <v>6469</v>
      </c>
      <c r="M822" s="55" t="s">
        <v>8150</v>
      </c>
      <c r="N822" s="26" t="s">
        <v>3924</v>
      </c>
    </row>
    <row r="823" spans="1:14" ht="75" customHeight="1" thickTop="1" thickBot="1">
      <c r="A823" s="34">
        <v>821</v>
      </c>
      <c r="B823" s="34">
        <v>825</v>
      </c>
      <c r="C823" s="55" t="s">
        <v>8151</v>
      </c>
      <c r="D823" s="56" t="s">
        <v>26</v>
      </c>
      <c r="E823" s="56" t="s">
        <v>7451</v>
      </c>
      <c r="F823" s="26" t="s">
        <v>3923</v>
      </c>
      <c r="G823" s="26" t="s">
        <v>1419</v>
      </c>
      <c r="H823" s="26" t="s">
        <v>13</v>
      </c>
      <c r="I823" s="64" t="s">
        <v>3924</v>
      </c>
      <c r="J823" s="26" t="s">
        <v>8146</v>
      </c>
      <c r="K823" s="26" t="s">
        <v>6434</v>
      </c>
      <c r="L823" s="26" t="s">
        <v>8152</v>
      </c>
      <c r="M823" s="55" t="s">
        <v>8153</v>
      </c>
      <c r="N823" s="26" t="s">
        <v>3924</v>
      </c>
    </row>
    <row r="824" spans="1:14" ht="75" customHeight="1" thickTop="1" thickBot="1">
      <c r="A824" s="26">
        <v>822</v>
      </c>
      <c r="B824" s="26">
        <v>826</v>
      </c>
      <c r="C824" s="55" t="s">
        <v>8151</v>
      </c>
      <c r="D824" s="56" t="s">
        <v>26</v>
      </c>
      <c r="E824" s="56" t="s">
        <v>7451</v>
      </c>
      <c r="F824" s="26" t="s">
        <v>3923</v>
      </c>
      <c r="G824" s="26" t="s">
        <v>1419</v>
      </c>
      <c r="H824" s="26" t="s">
        <v>13</v>
      </c>
      <c r="I824" s="26" t="s">
        <v>3924</v>
      </c>
      <c r="J824" s="26" t="s">
        <v>8146</v>
      </c>
      <c r="K824" s="26" t="s">
        <v>6483</v>
      </c>
      <c r="L824" s="26" t="s">
        <v>8152</v>
      </c>
      <c r="M824" s="55" t="s">
        <v>8154</v>
      </c>
      <c r="N824" s="26" t="s">
        <v>3924</v>
      </c>
    </row>
    <row r="825" spans="1:14" ht="75" customHeight="1" thickTop="1" thickBot="1">
      <c r="A825" s="34">
        <v>823</v>
      </c>
      <c r="B825" s="34">
        <v>827</v>
      </c>
      <c r="C825" s="55" t="s">
        <v>8155</v>
      </c>
      <c r="D825" s="56" t="s">
        <v>26</v>
      </c>
      <c r="E825" s="56" t="s">
        <v>7451</v>
      </c>
      <c r="F825" s="26" t="s">
        <v>3923</v>
      </c>
      <c r="G825" s="26" t="s">
        <v>1419</v>
      </c>
      <c r="H825" s="26" t="s">
        <v>13</v>
      </c>
      <c r="I825" s="26" t="s">
        <v>3924</v>
      </c>
      <c r="J825" s="26" t="s">
        <v>8146</v>
      </c>
      <c r="K825" s="26" t="s">
        <v>6483</v>
      </c>
      <c r="L825" s="26" t="s">
        <v>8156</v>
      </c>
      <c r="M825" s="55" t="s">
        <v>8157</v>
      </c>
      <c r="N825" s="26" t="s">
        <v>3924</v>
      </c>
    </row>
    <row r="826" spans="1:14" ht="75" customHeight="1" thickTop="1" thickBot="1">
      <c r="A826" s="26">
        <v>824</v>
      </c>
      <c r="B826" s="26">
        <v>828</v>
      </c>
      <c r="C826" s="55" t="s">
        <v>8155</v>
      </c>
      <c r="D826" s="56" t="s">
        <v>26</v>
      </c>
      <c r="E826" s="56" t="s">
        <v>7451</v>
      </c>
      <c r="F826" s="26" t="s">
        <v>3923</v>
      </c>
      <c r="G826" s="26" t="s">
        <v>1419</v>
      </c>
      <c r="H826" s="26" t="s">
        <v>13</v>
      </c>
      <c r="I826" s="26" t="s">
        <v>3924</v>
      </c>
      <c r="J826" s="26" t="s">
        <v>8146</v>
      </c>
      <c r="K826" s="26" t="s">
        <v>6440</v>
      </c>
      <c r="L826" s="26" t="s">
        <v>4082</v>
      </c>
      <c r="M826" s="55" t="s">
        <v>8158</v>
      </c>
      <c r="N826" s="26" t="s">
        <v>3924</v>
      </c>
    </row>
    <row r="827" spans="1:14" ht="75" customHeight="1" thickTop="1" thickBot="1">
      <c r="A827" s="34">
        <v>825</v>
      </c>
      <c r="B827" s="34">
        <v>829</v>
      </c>
      <c r="C827" s="55" t="s">
        <v>8159</v>
      </c>
      <c r="D827" s="56" t="s">
        <v>26</v>
      </c>
      <c r="E827" s="56" t="s">
        <v>7451</v>
      </c>
      <c r="F827" s="26" t="s">
        <v>3923</v>
      </c>
      <c r="G827" s="26" t="s">
        <v>1419</v>
      </c>
      <c r="H827" s="26" t="s">
        <v>13</v>
      </c>
      <c r="I827" s="26" t="s">
        <v>3924</v>
      </c>
      <c r="J827" s="26" t="s">
        <v>8160</v>
      </c>
      <c r="K827" s="26" t="s">
        <v>6445</v>
      </c>
      <c r="L827" s="26" t="s">
        <v>8042</v>
      </c>
      <c r="M827" s="55" t="s">
        <v>8161</v>
      </c>
      <c r="N827" s="26" t="s">
        <v>3924</v>
      </c>
    </row>
    <row r="828" spans="1:14" ht="75" customHeight="1" thickTop="1" thickBot="1">
      <c r="A828" s="26">
        <v>826</v>
      </c>
      <c r="B828" s="26">
        <v>830</v>
      </c>
      <c r="C828" s="55" t="s">
        <v>8159</v>
      </c>
      <c r="D828" s="56" t="s">
        <v>26</v>
      </c>
      <c r="E828" s="56" t="s">
        <v>7451</v>
      </c>
      <c r="F828" s="26" t="s">
        <v>3923</v>
      </c>
      <c r="G828" s="26" t="s">
        <v>1419</v>
      </c>
      <c r="H828" s="26" t="s">
        <v>13</v>
      </c>
      <c r="I828" s="26" t="s">
        <v>3924</v>
      </c>
      <c r="J828" s="26" t="s">
        <v>8162</v>
      </c>
      <c r="K828" s="26" t="s">
        <v>6445</v>
      </c>
      <c r="L828" s="26" t="s">
        <v>8042</v>
      </c>
      <c r="M828" s="55" t="s">
        <v>8163</v>
      </c>
      <c r="N828" s="26" t="s">
        <v>3924</v>
      </c>
    </row>
    <row r="829" spans="1:14" ht="75" customHeight="1" thickTop="1" thickBot="1">
      <c r="A829" s="34">
        <v>827</v>
      </c>
      <c r="B829" s="34">
        <v>831</v>
      </c>
      <c r="C829" s="55" t="s">
        <v>8159</v>
      </c>
      <c r="D829" s="56" t="s">
        <v>26</v>
      </c>
      <c r="E829" s="56" t="s">
        <v>7451</v>
      </c>
      <c r="F829" s="26" t="s">
        <v>3923</v>
      </c>
      <c r="G829" s="26" t="s">
        <v>1419</v>
      </c>
      <c r="H829" s="26" t="s">
        <v>13</v>
      </c>
      <c r="I829" s="26" t="s">
        <v>3924</v>
      </c>
      <c r="J829" s="26" t="s">
        <v>8160</v>
      </c>
      <c r="K829" s="26" t="s">
        <v>6445</v>
      </c>
      <c r="L829" s="26" t="s">
        <v>8042</v>
      </c>
      <c r="M829" s="55" t="s">
        <v>8164</v>
      </c>
      <c r="N829" s="26" t="s">
        <v>3924</v>
      </c>
    </row>
    <row r="830" spans="1:14" ht="75" customHeight="1" thickTop="1" thickBot="1">
      <c r="A830" s="26">
        <v>828</v>
      </c>
      <c r="B830" s="26">
        <v>832</v>
      </c>
      <c r="C830" s="55" t="s">
        <v>8165</v>
      </c>
      <c r="D830" s="56" t="s">
        <v>26</v>
      </c>
      <c r="E830" s="56" t="s">
        <v>7451</v>
      </c>
      <c r="F830" s="26" t="s">
        <v>3923</v>
      </c>
      <c r="G830" s="26" t="s">
        <v>1419</v>
      </c>
      <c r="H830" s="26" t="s">
        <v>13</v>
      </c>
      <c r="I830" s="26" t="s">
        <v>3924</v>
      </c>
      <c r="J830" s="26" t="s">
        <v>8162</v>
      </c>
      <c r="K830" s="26" t="s">
        <v>6445</v>
      </c>
      <c r="L830" s="26" t="s">
        <v>8042</v>
      </c>
      <c r="M830" s="55" t="s">
        <v>8166</v>
      </c>
      <c r="N830" s="26" t="s">
        <v>3924</v>
      </c>
    </row>
    <row r="831" spans="1:14" ht="75" customHeight="1" thickTop="1" thickBot="1">
      <c r="A831" s="34">
        <v>829</v>
      </c>
      <c r="B831" s="34">
        <v>833</v>
      </c>
      <c r="C831" s="55" t="s">
        <v>8165</v>
      </c>
      <c r="D831" s="56" t="s">
        <v>26</v>
      </c>
      <c r="E831" s="56" t="s">
        <v>7451</v>
      </c>
      <c r="F831" s="26" t="s">
        <v>3923</v>
      </c>
      <c r="G831" s="26" t="s">
        <v>1419</v>
      </c>
      <c r="H831" s="26" t="s">
        <v>13</v>
      </c>
      <c r="I831" s="26" t="s">
        <v>3924</v>
      </c>
      <c r="J831" s="26" t="s">
        <v>8162</v>
      </c>
      <c r="K831" s="26" t="s">
        <v>6445</v>
      </c>
      <c r="L831" s="26" t="s">
        <v>8042</v>
      </c>
      <c r="M831" s="55" t="s">
        <v>8167</v>
      </c>
      <c r="N831" s="26" t="s">
        <v>3924</v>
      </c>
    </row>
    <row r="832" spans="1:14" ht="75" customHeight="1" thickTop="1" thickBot="1">
      <c r="A832" s="26">
        <v>830</v>
      </c>
      <c r="B832" s="26">
        <v>834</v>
      </c>
      <c r="C832" s="55" t="s">
        <v>8165</v>
      </c>
      <c r="D832" s="56" t="s">
        <v>26</v>
      </c>
      <c r="E832" s="56" t="s">
        <v>7451</v>
      </c>
      <c r="F832" s="26" t="s">
        <v>3923</v>
      </c>
      <c r="G832" s="26" t="s">
        <v>1419</v>
      </c>
      <c r="H832" s="26" t="s">
        <v>13</v>
      </c>
      <c r="I832" s="26" t="s">
        <v>3924</v>
      </c>
      <c r="J832" s="26" t="s">
        <v>8162</v>
      </c>
      <c r="K832" s="26" t="s">
        <v>6445</v>
      </c>
      <c r="L832" s="26" t="s">
        <v>8042</v>
      </c>
      <c r="M832" s="55" t="s">
        <v>8168</v>
      </c>
      <c r="N832" s="26" t="s">
        <v>3924</v>
      </c>
    </row>
    <row r="833" spans="1:14" ht="75" customHeight="1" thickTop="1" thickBot="1">
      <c r="A833" s="34">
        <v>831</v>
      </c>
      <c r="B833" s="34">
        <v>835</v>
      </c>
      <c r="C833" s="55" t="s">
        <v>8169</v>
      </c>
      <c r="D833" s="56" t="s">
        <v>26</v>
      </c>
      <c r="E833" s="56" t="s">
        <v>7451</v>
      </c>
      <c r="F833" s="26" t="s">
        <v>3923</v>
      </c>
      <c r="G833" s="26" t="s">
        <v>1419</v>
      </c>
      <c r="H833" s="26" t="s">
        <v>13</v>
      </c>
      <c r="I833" s="26" t="s">
        <v>3924</v>
      </c>
      <c r="J833" s="26" t="s">
        <v>8162</v>
      </c>
      <c r="K833" s="26" t="s">
        <v>6445</v>
      </c>
      <c r="L833" s="26" t="s">
        <v>8042</v>
      </c>
      <c r="M833" s="55" t="s">
        <v>8170</v>
      </c>
      <c r="N833" s="26" t="s">
        <v>3924</v>
      </c>
    </row>
    <row r="834" spans="1:14" ht="75" customHeight="1" thickTop="1" thickBot="1">
      <c r="A834" s="26">
        <v>832</v>
      </c>
      <c r="B834" s="26">
        <v>836</v>
      </c>
      <c r="C834" s="55" t="s">
        <v>8169</v>
      </c>
      <c r="D834" s="56" t="s">
        <v>26</v>
      </c>
      <c r="E834" s="56" t="s">
        <v>7451</v>
      </c>
      <c r="F834" s="26" t="s">
        <v>3923</v>
      </c>
      <c r="G834" s="26" t="s">
        <v>1419</v>
      </c>
      <c r="H834" s="26" t="s">
        <v>13</v>
      </c>
      <c r="I834" s="26" t="s">
        <v>3924</v>
      </c>
      <c r="J834" s="26" t="s">
        <v>8171</v>
      </c>
      <c r="K834" s="26" t="s">
        <v>6434</v>
      </c>
      <c r="L834" s="26" t="s">
        <v>4082</v>
      </c>
      <c r="M834" s="55" t="s">
        <v>8172</v>
      </c>
      <c r="N834" s="26" t="s">
        <v>3924</v>
      </c>
    </row>
    <row r="835" spans="1:14" ht="75" customHeight="1" thickTop="1" thickBot="1">
      <c r="A835" s="34">
        <v>833</v>
      </c>
      <c r="B835" s="34">
        <v>837</v>
      </c>
      <c r="C835" s="55" t="s">
        <v>8169</v>
      </c>
      <c r="D835" s="56" t="s">
        <v>26</v>
      </c>
      <c r="E835" s="56" t="s">
        <v>7451</v>
      </c>
      <c r="F835" s="26" t="s">
        <v>3923</v>
      </c>
      <c r="G835" s="26" t="s">
        <v>1419</v>
      </c>
      <c r="H835" s="26" t="s">
        <v>13</v>
      </c>
      <c r="I835" s="26" t="s">
        <v>3924</v>
      </c>
      <c r="J835" s="26" t="s">
        <v>8171</v>
      </c>
      <c r="K835" s="26" t="s">
        <v>6434</v>
      </c>
      <c r="L835" s="26" t="s">
        <v>4082</v>
      </c>
      <c r="M835" s="55" t="s">
        <v>8173</v>
      </c>
      <c r="N835" s="26" t="s">
        <v>3924</v>
      </c>
    </row>
    <row r="836" spans="1:14" ht="75" customHeight="1" thickTop="1" thickBot="1">
      <c r="A836" s="26">
        <v>834</v>
      </c>
      <c r="B836" s="26">
        <v>838</v>
      </c>
      <c r="C836" s="55" t="s">
        <v>8174</v>
      </c>
      <c r="D836" s="56" t="s">
        <v>26</v>
      </c>
      <c r="E836" s="56" t="s">
        <v>7451</v>
      </c>
      <c r="F836" s="26" t="s">
        <v>3923</v>
      </c>
      <c r="G836" s="26" t="s">
        <v>1419</v>
      </c>
      <c r="H836" s="26" t="s">
        <v>13</v>
      </c>
      <c r="I836" s="26" t="s">
        <v>3924</v>
      </c>
      <c r="J836" s="26" t="s">
        <v>8171</v>
      </c>
      <c r="K836" s="26" t="s">
        <v>6445</v>
      </c>
      <c r="L836" s="26" t="s">
        <v>8042</v>
      </c>
      <c r="M836" s="55" t="s">
        <v>8175</v>
      </c>
      <c r="N836" s="26" t="s">
        <v>3924</v>
      </c>
    </row>
    <row r="837" spans="1:14" ht="75" customHeight="1" thickTop="1" thickBot="1">
      <c r="A837" s="34">
        <v>835</v>
      </c>
      <c r="B837" s="34">
        <v>839</v>
      </c>
      <c r="C837" s="55" t="s">
        <v>8174</v>
      </c>
      <c r="D837" s="56" t="s">
        <v>26</v>
      </c>
      <c r="E837" s="56" t="s">
        <v>7451</v>
      </c>
      <c r="F837" s="26" t="s">
        <v>3923</v>
      </c>
      <c r="G837" s="26" t="s">
        <v>1419</v>
      </c>
      <c r="H837" s="26" t="s">
        <v>13</v>
      </c>
      <c r="I837" s="26" t="s">
        <v>3924</v>
      </c>
      <c r="J837" s="26" t="s">
        <v>8171</v>
      </c>
      <c r="K837" s="26" t="s">
        <v>6552</v>
      </c>
      <c r="L837" s="26" t="s">
        <v>4082</v>
      </c>
      <c r="M837" s="55" t="s">
        <v>8176</v>
      </c>
      <c r="N837" s="26" t="s">
        <v>3924</v>
      </c>
    </row>
    <row r="838" spans="1:14" ht="75" customHeight="1" thickTop="1" thickBot="1">
      <c r="A838" s="26">
        <v>836</v>
      </c>
      <c r="B838" s="26">
        <v>840</v>
      </c>
      <c r="C838" s="55" t="s">
        <v>8177</v>
      </c>
      <c r="D838" s="56" t="s">
        <v>26</v>
      </c>
      <c r="E838" s="56" t="s">
        <v>7451</v>
      </c>
      <c r="F838" s="26" t="s">
        <v>3923</v>
      </c>
      <c r="G838" s="26" t="s">
        <v>1419</v>
      </c>
      <c r="H838" s="26" t="s">
        <v>13</v>
      </c>
      <c r="I838" s="26" t="s">
        <v>3924</v>
      </c>
      <c r="J838" s="26" t="s">
        <v>8171</v>
      </c>
      <c r="K838" s="26" t="s">
        <v>6440</v>
      </c>
      <c r="L838" s="26" t="s">
        <v>6469</v>
      </c>
      <c r="M838" s="55" t="s">
        <v>8178</v>
      </c>
      <c r="N838" s="26" t="s">
        <v>3924</v>
      </c>
    </row>
    <row r="839" spans="1:14" ht="75" customHeight="1" thickTop="1" thickBot="1">
      <c r="A839" s="34">
        <v>837</v>
      </c>
      <c r="B839" s="34">
        <v>841</v>
      </c>
      <c r="C839" s="55" t="s">
        <v>8177</v>
      </c>
      <c r="D839" s="56" t="s">
        <v>26</v>
      </c>
      <c r="E839" s="56" t="s">
        <v>7451</v>
      </c>
      <c r="F839" s="26" t="s">
        <v>3923</v>
      </c>
      <c r="G839" s="26" t="s">
        <v>1419</v>
      </c>
      <c r="H839" s="26" t="s">
        <v>13</v>
      </c>
      <c r="I839" s="26" t="s">
        <v>3924</v>
      </c>
      <c r="J839" s="26" t="s">
        <v>8171</v>
      </c>
      <c r="K839" s="26" t="s">
        <v>6445</v>
      </c>
      <c r="L839" s="26" t="s">
        <v>7561</v>
      </c>
      <c r="M839" s="55" t="s">
        <v>8179</v>
      </c>
      <c r="N839" s="26" t="s">
        <v>3924</v>
      </c>
    </row>
    <row r="840" spans="1:14" ht="75" customHeight="1" thickTop="1" thickBot="1">
      <c r="A840" s="26">
        <v>838</v>
      </c>
      <c r="B840" s="26">
        <v>842</v>
      </c>
      <c r="C840" s="55" t="s">
        <v>8180</v>
      </c>
      <c r="D840" s="56" t="s">
        <v>26</v>
      </c>
      <c r="E840" s="56" t="s">
        <v>7451</v>
      </c>
      <c r="F840" s="26" t="s">
        <v>3923</v>
      </c>
      <c r="G840" s="26" t="s">
        <v>1419</v>
      </c>
      <c r="H840" s="26" t="s">
        <v>13</v>
      </c>
      <c r="I840" s="26" t="s">
        <v>3924</v>
      </c>
      <c r="J840" s="26" t="s">
        <v>8181</v>
      </c>
      <c r="K840" s="26" t="s">
        <v>3954</v>
      </c>
      <c r="L840" s="26" t="s">
        <v>8182</v>
      </c>
      <c r="M840" s="55" t="s">
        <v>8183</v>
      </c>
      <c r="N840" s="26" t="s">
        <v>3924</v>
      </c>
    </row>
    <row r="841" spans="1:14" ht="75" customHeight="1" thickTop="1" thickBot="1">
      <c r="A841" s="34">
        <v>839</v>
      </c>
      <c r="B841" s="34">
        <v>843</v>
      </c>
      <c r="C841" s="55" t="s">
        <v>8184</v>
      </c>
      <c r="D841" s="56" t="s">
        <v>26</v>
      </c>
      <c r="E841" s="56" t="s">
        <v>6438</v>
      </c>
      <c r="F841" s="26" t="s">
        <v>3995</v>
      </c>
      <c r="G841" s="26" t="s">
        <v>16</v>
      </c>
      <c r="H841" s="26" t="s">
        <v>13</v>
      </c>
      <c r="I841" s="26" t="s">
        <v>3924</v>
      </c>
      <c r="J841" s="26" t="s">
        <v>8118</v>
      </c>
      <c r="K841" s="26" t="s">
        <v>6440</v>
      </c>
      <c r="L841" s="26" t="s">
        <v>6805</v>
      </c>
      <c r="M841" s="55" t="s">
        <v>8185</v>
      </c>
      <c r="N841" s="26" t="s">
        <v>3924</v>
      </c>
    </row>
    <row r="842" spans="1:14" ht="75" customHeight="1" thickTop="1" thickBot="1">
      <c r="A842" s="26">
        <v>840</v>
      </c>
      <c r="B842" s="26">
        <v>844</v>
      </c>
      <c r="C842" s="55" t="s">
        <v>8186</v>
      </c>
      <c r="D842" s="56" t="s">
        <v>26</v>
      </c>
      <c r="E842" s="56" t="s">
        <v>2894</v>
      </c>
      <c r="F842" s="26" t="s">
        <v>3995</v>
      </c>
      <c r="G842" s="26" t="s">
        <v>16</v>
      </c>
      <c r="H842" s="26" t="s">
        <v>13</v>
      </c>
      <c r="I842" s="26" t="s">
        <v>3924</v>
      </c>
      <c r="J842" s="26" t="s">
        <v>8118</v>
      </c>
      <c r="K842" s="26" t="s">
        <v>6445</v>
      </c>
      <c r="L842" s="26" t="s">
        <v>3927</v>
      </c>
      <c r="M842" s="55" t="s">
        <v>8187</v>
      </c>
      <c r="N842" s="26" t="s">
        <v>3924</v>
      </c>
    </row>
    <row r="843" spans="1:14" ht="75" customHeight="1" thickTop="1" thickBot="1">
      <c r="A843" s="34">
        <v>841</v>
      </c>
      <c r="B843" s="34">
        <v>845</v>
      </c>
      <c r="C843" s="55" t="s">
        <v>8188</v>
      </c>
      <c r="D843" s="56" t="s">
        <v>26</v>
      </c>
      <c r="E843" s="56" t="s">
        <v>6438</v>
      </c>
      <c r="F843" s="26" t="s">
        <v>3995</v>
      </c>
      <c r="G843" s="26" t="s">
        <v>1419</v>
      </c>
      <c r="H843" s="26" t="s">
        <v>13</v>
      </c>
      <c r="I843" s="26" t="s">
        <v>3924</v>
      </c>
      <c r="J843" s="26" t="s">
        <v>8189</v>
      </c>
      <c r="K843" s="26" t="s">
        <v>6440</v>
      </c>
      <c r="L843" s="26" t="s">
        <v>6435</v>
      </c>
      <c r="M843" s="55" t="s">
        <v>8190</v>
      </c>
      <c r="N843" s="26" t="s">
        <v>3924</v>
      </c>
    </row>
    <row r="844" spans="1:14" ht="75" customHeight="1" thickTop="1" thickBot="1">
      <c r="A844" s="26">
        <v>842</v>
      </c>
      <c r="B844" s="26">
        <v>846</v>
      </c>
      <c r="C844" s="55" t="s">
        <v>8191</v>
      </c>
      <c r="D844" s="56" t="s">
        <v>26</v>
      </c>
      <c r="E844" s="56" t="s">
        <v>2894</v>
      </c>
      <c r="F844" s="26" t="s">
        <v>3995</v>
      </c>
      <c r="G844" s="26" t="s">
        <v>16</v>
      </c>
      <c r="H844" s="26" t="s">
        <v>13</v>
      </c>
      <c r="I844" s="26" t="s">
        <v>3924</v>
      </c>
      <c r="J844" s="26" t="s">
        <v>8192</v>
      </c>
      <c r="K844" s="26" t="s">
        <v>6445</v>
      </c>
      <c r="L844" s="26" t="s">
        <v>8193</v>
      </c>
      <c r="M844" s="55" t="s">
        <v>8194</v>
      </c>
      <c r="N844" s="26" t="s">
        <v>3924</v>
      </c>
    </row>
    <row r="845" spans="1:14" ht="75" customHeight="1" thickTop="1" thickBot="1">
      <c r="A845" s="34">
        <v>843</v>
      </c>
      <c r="B845" s="34">
        <v>847</v>
      </c>
      <c r="C845" s="55" t="s">
        <v>8195</v>
      </c>
      <c r="D845" s="56" t="s">
        <v>26</v>
      </c>
      <c r="E845" s="56" t="s">
        <v>6438</v>
      </c>
      <c r="F845" s="26" t="s">
        <v>3995</v>
      </c>
      <c r="G845" s="26" t="s">
        <v>16</v>
      </c>
      <c r="H845" s="26" t="s">
        <v>13</v>
      </c>
      <c r="I845" s="26" t="s">
        <v>3924</v>
      </c>
      <c r="J845" s="26" t="s">
        <v>8196</v>
      </c>
      <c r="K845" s="26" t="s">
        <v>6440</v>
      </c>
      <c r="L845" s="26" t="s">
        <v>6435</v>
      </c>
      <c r="M845" s="55" t="s">
        <v>8197</v>
      </c>
      <c r="N845" s="26" t="s">
        <v>3924</v>
      </c>
    </row>
    <row r="846" spans="1:14" ht="75" customHeight="1" thickTop="1" thickBot="1">
      <c r="A846" s="26">
        <v>844</v>
      </c>
      <c r="B846" s="26">
        <v>848</v>
      </c>
      <c r="C846" s="55" t="s">
        <v>8198</v>
      </c>
      <c r="D846" s="56" t="s">
        <v>26</v>
      </c>
      <c r="E846" s="56" t="s">
        <v>6438</v>
      </c>
      <c r="F846" s="26" t="s">
        <v>3995</v>
      </c>
      <c r="G846" s="26" t="s">
        <v>16</v>
      </c>
      <c r="H846" s="26" t="s">
        <v>13</v>
      </c>
      <c r="I846" s="26" t="s">
        <v>3924</v>
      </c>
      <c r="J846" s="26" t="s">
        <v>8196</v>
      </c>
      <c r="K846" s="26" t="s">
        <v>6440</v>
      </c>
      <c r="L846" s="26" t="s">
        <v>6435</v>
      </c>
      <c r="M846" s="55" t="s">
        <v>8199</v>
      </c>
      <c r="N846" s="26" t="s">
        <v>3924</v>
      </c>
    </row>
    <row r="847" spans="1:14" ht="75" customHeight="1" thickTop="1" thickBot="1">
      <c r="A847" s="34">
        <v>845</v>
      </c>
      <c r="B847" s="34">
        <v>849</v>
      </c>
      <c r="C847" s="55" t="s">
        <v>8200</v>
      </c>
      <c r="D847" s="56" t="s">
        <v>26</v>
      </c>
      <c r="E847" s="56" t="s">
        <v>2894</v>
      </c>
      <c r="F847" s="26" t="s">
        <v>3995</v>
      </c>
      <c r="G847" s="26" t="s">
        <v>1419</v>
      </c>
      <c r="H847" s="26" t="s">
        <v>17</v>
      </c>
      <c r="I847" s="26" t="s">
        <v>3924</v>
      </c>
      <c r="J847" s="26" t="s">
        <v>8201</v>
      </c>
      <c r="K847" s="26" t="s">
        <v>6445</v>
      </c>
      <c r="L847" s="26" t="s">
        <v>3927</v>
      </c>
      <c r="M847" s="55" t="s">
        <v>8202</v>
      </c>
      <c r="N847" s="26" t="s">
        <v>3924</v>
      </c>
    </row>
    <row r="848" spans="1:14" ht="75" customHeight="1" thickTop="1" thickBot="1">
      <c r="A848" s="26">
        <v>846</v>
      </c>
      <c r="B848" s="26">
        <v>850</v>
      </c>
      <c r="C848" s="55" t="s">
        <v>8203</v>
      </c>
      <c r="D848" s="56" t="s">
        <v>26</v>
      </c>
      <c r="E848" s="56" t="s">
        <v>27</v>
      </c>
      <c r="F848" s="26" t="s">
        <v>3995</v>
      </c>
      <c r="G848" s="26" t="s">
        <v>16</v>
      </c>
      <c r="H848" s="26" t="s">
        <v>13</v>
      </c>
      <c r="I848" s="26" t="s">
        <v>3924</v>
      </c>
      <c r="J848" s="26" t="s">
        <v>4874</v>
      </c>
      <c r="K848" s="26" t="s">
        <v>6434</v>
      </c>
      <c r="L848" s="26" t="s">
        <v>6723</v>
      </c>
      <c r="M848" s="55" t="s">
        <v>8204</v>
      </c>
      <c r="N848" s="26" t="s">
        <v>3924</v>
      </c>
    </row>
    <row r="849" spans="1:14" ht="75" customHeight="1" thickTop="1" thickBot="1">
      <c r="A849" s="34">
        <v>847</v>
      </c>
      <c r="B849" s="34">
        <v>851</v>
      </c>
      <c r="C849" s="55" t="s">
        <v>8205</v>
      </c>
      <c r="D849" s="56" t="s">
        <v>26</v>
      </c>
      <c r="E849" s="56" t="s">
        <v>2894</v>
      </c>
      <c r="F849" s="26" t="s">
        <v>3995</v>
      </c>
      <c r="G849" s="26" t="s">
        <v>12</v>
      </c>
      <c r="H849" s="26" t="s">
        <v>13</v>
      </c>
      <c r="I849" s="26" t="s">
        <v>3924</v>
      </c>
      <c r="J849" s="26" t="s">
        <v>8206</v>
      </c>
      <c r="K849" s="26" t="s">
        <v>6445</v>
      </c>
      <c r="L849" s="26" t="s">
        <v>8207</v>
      </c>
      <c r="M849" s="55" t="s">
        <v>8208</v>
      </c>
      <c r="N849" s="26" t="s">
        <v>3924</v>
      </c>
    </row>
    <row r="850" spans="1:14" ht="75" customHeight="1" thickTop="1" thickBot="1">
      <c r="A850" s="26">
        <v>848</v>
      </c>
      <c r="B850" s="26">
        <v>852</v>
      </c>
      <c r="C850" s="55" t="s">
        <v>8209</v>
      </c>
      <c r="D850" s="56" t="s">
        <v>26</v>
      </c>
      <c r="E850" s="56" t="s">
        <v>2894</v>
      </c>
      <c r="F850" s="26" t="s">
        <v>3995</v>
      </c>
      <c r="G850" s="26" t="s">
        <v>12</v>
      </c>
      <c r="H850" s="26" t="s">
        <v>717</v>
      </c>
      <c r="I850" s="26" t="s">
        <v>3924</v>
      </c>
      <c r="J850" s="26" t="s">
        <v>8210</v>
      </c>
      <c r="K850" s="26" t="s">
        <v>6445</v>
      </c>
      <c r="L850" s="26" t="s">
        <v>6455</v>
      </c>
      <c r="M850" s="55" t="s">
        <v>8211</v>
      </c>
      <c r="N850" s="26" t="s">
        <v>3924</v>
      </c>
    </row>
    <row r="851" spans="1:14" ht="75" customHeight="1" thickTop="1" thickBot="1">
      <c r="A851" s="34">
        <v>849</v>
      </c>
      <c r="B851" s="34">
        <v>853</v>
      </c>
      <c r="C851" s="55" t="s">
        <v>8212</v>
      </c>
      <c r="D851" s="56" t="s">
        <v>26</v>
      </c>
      <c r="E851" s="56" t="s">
        <v>6438</v>
      </c>
      <c r="F851" s="26" t="s">
        <v>3995</v>
      </c>
      <c r="G851" s="26" t="s">
        <v>16</v>
      </c>
      <c r="H851" s="26" t="s">
        <v>13</v>
      </c>
      <c r="I851" s="26" t="s">
        <v>3924</v>
      </c>
      <c r="J851" s="26" t="s">
        <v>8213</v>
      </c>
      <c r="K851" s="26" t="s">
        <v>6440</v>
      </c>
      <c r="L851" s="26" t="s">
        <v>6435</v>
      </c>
      <c r="M851" s="55" t="s">
        <v>8214</v>
      </c>
      <c r="N851" s="26" t="s">
        <v>3924</v>
      </c>
    </row>
    <row r="852" spans="1:14" ht="75" customHeight="1" thickTop="1" thickBot="1">
      <c r="A852" s="26">
        <v>850</v>
      </c>
      <c r="B852" s="26">
        <v>854</v>
      </c>
      <c r="C852" s="55" t="s">
        <v>8215</v>
      </c>
      <c r="D852" s="56" t="s">
        <v>26</v>
      </c>
      <c r="E852" s="56" t="s">
        <v>27</v>
      </c>
      <c r="F852" s="26" t="s">
        <v>3995</v>
      </c>
      <c r="G852" s="26" t="s">
        <v>16</v>
      </c>
      <c r="H852" s="26" t="s">
        <v>13</v>
      </c>
      <c r="I852" s="26" t="s">
        <v>3924</v>
      </c>
      <c r="J852" s="26" t="s">
        <v>8216</v>
      </c>
      <c r="K852" s="26" t="s">
        <v>6434</v>
      </c>
      <c r="L852" s="26" t="s">
        <v>6435</v>
      </c>
      <c r="M852" s="55" t="s">
        <v>8217</v>
      </c>
      <c r="N852" s="26" t="s">
        <v>3924</v>
      </c>
    </row>
    <row r="853" spans="1:14" ht="75" customHeight="1" thickTop="1" thickBot="1">
      <c r="A853" s="34">
        <v>851</v>
      </c>
      <c r="B853" s="34">
        <v>855</v>
      </c>
      <c r="C853" s="55" t="s">
        <v>8218</v>
      </c>
      <c r="D853" s="56" t="s">
        <v>26</v>
      </c>
      <c r="E853" s="56" t="s">
        <v>27</v>
      </c>
      <c r="F853" s="26" t="s">
        <v>3995</v>
      </c>
      <c r="G853" s="26" t="s">
        <v>16</v>
      </c>
      <c r="H853" s="26" t="s">
        <v>13</v>
      </c>
      <c r="I853" s="26" t="s">
        <v>3924</v>
      </c>
      <c r="J853" s="26" t="s">
        <v>8219</v>
      </c>
      <c r="K853" s="26" t="s">
        <v>6434</v>
      </c>
      <c r="L853" s="26" t="s">
        <v>6593</v>
      </c>
      <c r="M853" s="55" t="s">
        <v>8220</v>
      </c>
      <c r="N853" s="26" t="s">
        <v>3924</v>
      </c>
    </row>
    <row r="854" spans="1:14" ht="75" customHeight="1" thickTop="1" thickBot="1">
      <c r="A854" s="26">
        <v>852</v>
      </c>
      <c r="B854" s="26">
        <v>856</v>
      </c>
      <c r="C854" s="55" t="s">
        <v>8221</v>
      </c>
      <c r="D854" s="56" t="s">
        <v>26</v>
      </c>
      <c r="E854" s="56" t="s">
        <v>27</v>
      </c>
      <c r="F854" s="26" t="s">
        <v>3995</v>
      </c>
      <c r="G854" s="26" t="s">
        <v>16</v>
      </c>
      <c r="H854" s="26" t="s">
        <v>717</v>
      </c>
      <c r="I854" s="26" t="s">
        <v>3924</v>
      </c>
      <c r="J854" s="26" t="s">
        <v>8222</v>
      </c>
      <c r="K854" s="26" t="s">
        <v>6434</v>
      </c>
      <c r="L854" s="26" t="s">
        <v>6469</v>
      </c>
      <c r="M854" s="55" t="s">
        <v>8223</v>
      </c>
      <c r="N854" s="26" t="s">
        <v>3924</v>
      </c>
    </row>
    <row r="855" spans="1:14" ht="75" customHeight="1" thickTop="1" thickBot="1">
      <c r="A855" s="34">
        <v>853</v>
      </c>
      <c r="B855" s="34">
        <v>857</v>
      </c>
      <c r="C855" s="55" t="s">
        <v>8224</v>
      </c>
      <c r="D855" s="56" t="s">
        <v>26</v>
      </c>
      <c r="E855" s="56" t="s">
        <v>6438</v>
      </c>
      <c r="F855" s="26" t="s">
        <v>3995</v>
      </c>
      <c r="G855" s="26" t="s">
        <v>1419</v>
      </c>
      <c r="H855" s="26" t="s">
        <v>13</v>
      </c>
      <c r="I855" s="26" t="s">
        <v>3924</v>
      </c>
      <c r="J855" s="26" t="s">
        <v>8213</v>
      </c>
      <c r="K855" s="26" t="s">
        <v>6440</v>
      </c>
      <c r="L855" s="26" t="s">
        <v>6805</v>
      </c>
      <c r="M855" s="55" t="s">
        <v>8225</v>
      </c>
      <c r="N855" s="26" t="s">
        <v>3924</v>
      </c>
    </row>
    <row r="856" spans="1:14" ht="75" customHeight="1" thickTop="1" thickBot="1">
      <c r="A856" s="26">
        <v>854</v>
      </c>
      <c r="B856" s="26">
        <v>858</v>
      </c>
      <c r="C856" s="55" t="s">
        <v>8226</v>
      </c>
      <c r="D856" s="56" t="s">
        <v>26</v>
      </c>
      <c r="E856" s="56" t="s">
        <v>27</v>
      </c>
      <c r="F856" s="26" t="s">
        <v>3995</v>
      </c>
      <c r="G856" s="26" t="s">
        <v>1419</v>
      </c>
      <c r="H856" s="26" t="s">
        <v>750</v>
      </c>
      <c r="I856" s="26" t="s">
        <v>3924</v>
      </c>
      <c r="J856" s="26" t="s">
        <v>3924</v>
      </c>
      <c r="K856" s="26" t="s">
        <v>6434</v>
      </c>
      <c r="L856" s="26" t="s">
        <v>6469</v>
      </c>
      <c r="M856" s="55" t="s">
        <v>8227</v>
      </c>
      <c r="N856" s="26" t="s">
        <v>14</v>
      </c>
    </row>
    <row r="857" spans="1:14" ht="75" customHeight="1" thickTop="1" thickBot="1">
      <c r="A857" s="34">
        <v>855</v>
      </c>
      <c r="B857" s="34">
        <v>859</v>
      </c>
      <c r="C857" s="55" t="s">
        <v>8228</v>
      </c>
      <c r="D857" s="56" t="s">
        <v>26</v>
      </c>
      <c r="E857" s="56" t="s">
        <v>27</v>
      </c>
      <c r="F857" s="26" t="s">
        <v>3995</v>
      </c>
      <c r="G857" s="26" t="s">
        <v>16</v>
      </c>
      <c r="H857" s="26" t="s">
        <v>13</v>
      </c>
      <c r="I857" s="26" t="s">
        <v>3924</v>
      </c>
      <c r="J857" s="26" t="s">
        <v>8229</v>
      </c>
      <c r="K857" s="26" t="s">
        <v>6434</v>
      </c>
      <c r="L857" s="26" t="s">
        <v>6469</v>
      </c>
      <c r="M857" s="55" t="s">
        <v>8230</v>
      </c>
      <c r="N857" s="26" t="s">
        <v>16</v>
      </c>
    </row>
    <row r="858" spans="1:14" ht="75" customHeight="1" thickTop="1" thickBot="1">
      <c r="A858" s="26">
        <v>856</v>
      </c>
      <c r="B858" s="26">
        <v>860</v>
      </c>
      <c r="C858" s="55" t="s">
        <v>8231</v>
      </c>
      <c r="D858" s="56" t="s">
        <v>26</v>
      </c>
      <c r="E858" s="56" t="s">
        <v>27</v>
      </c>
      <c r="F858" s="26" t="s">
        <v>3995</v>
      </c>
      <c r="G858" s="26" t="s">
        <v>16</v>
      </c>
      <c r="H858" s="26" t="s">
        <v>13</v>
      </c>
      <c r="I858" s="26" t="s">
        <v>3924</v>
      </c>
      <c r="J858" s="26" t="s">
        <v>8229</v>
      </c>
      <c r="K858" s="26" t="s">
        <v>6434</v>
      </c>
      <c r="L858" s="26" t="s">
        <v>6723</v>
      </c>
      <c r="M858" s="55" t="s">
        <v>8232</v>
      </c>
      <c r="N858" s="26" t="s">
        <v>16</v>
      </c>
    </row>
    <row r="859" spans="1:14" ht="75" customHeight="1" thickTop="1" thickBot="1">
      <c r="A859" s="34">
        <v>857</v>
      </c>
      <c r="B859" s="34">
        <v>861</v>
      </c>
      <c r="C859" s="55" t="s">
        <v>8233</v>
      </c>
      <c r="D859" s="56" t="s">
        <v>26</v>
      </c>
      <c r="E859" s="56" t="s">
        <v>6480</v>
      </c>
      <c r="F859" s="26" t="s">
        <v>3923</v>
      </c>
      <c r="G859" s="26" t="s">
        <v>16</v>
      </c>
      <c r="H859" s="26" t="s">
        <v>13</v>
      </c>
      <c r="I859" s="26" t="s">
        <v>3924</v>
      </c>
      <c r="J859" s="26" t="s">
        <v>8233</v>
      </c>
      <c r="K859" s="26" t="s">
        <v>6552</v>
      </c>
      <c r="L859" s="26" t="s">
        <v>6451</v>
      </c>
      <c r="M859" s="55" t="s">
        <v>8234</v>
      </c>
      <c r="N859" s="26" t="s">
        <v>3924</v>
      </c>
    </row>
    <row r="860" spans="1:14" ht="75" customHeight="1" thickTop="1" thickBot="1">
      <c r="A860" s="26">
        <v>858</v>
      </c>
      <c r="B860" s="26">
        <v>862</v>
      </c>
      <c r="C860" s="55" t="s">
        <v>8235</v>
      </c>
      <c r="D860" s="56" t="s">
        <v>26</v>
      </c>
      <c r="E860" s="56" t="s">
        <v>6480</v>
      </c>
      <c r="F860" s="26" t="s">
        <v>3923</v>
      </c>
      <c r="G860" s="26" t="s">
        <v>16</v>
      </c>
      <c r="H860" s="26" t="s">
        <v>13</v>
      </c>
      <c r="I860" s="26" t="s">
        <v>3924</v>
      </c>
      <c r="J860" s="26" t="s">
        <v>8235</v>
      </c>
      <c r="K860" s="26" t="s">
        <v>6434</v>
      </c>
      <c r="L860" s="26" t="s">
        <v>7778</v>
      </c>
      <c r="M860" s="55" t="s">
        <v>7770</v>
      </c>
      <c r="N860" s="26" t="s">
        <v>3924</v>
      </c>
    </row>
    <row r="861" spans="1:14" ht="75" customHeight="1" thickTop="1" thickBot="1">
      <c r="A861" s="34">
        <v>859</v>
      </c>
      <c r="B861" s="34">
        <v>863</v>
      </c>
      <c r="C861" s="55" t="s">
        <v>8236</v>
      </c>
      <c r="D861" s="56" t="s">
        <v>26</v>
      </c>
      <c r="E861" s="56" t="s">
        <v>6480</v>
      </c>
      <c r="F861" s="26" t="s">
        <v>3923</v>
      </c>
      <c r="G861" s="26" t="s">
        <v>16</v>
      </c>
      <c r="H861" s="26" t="s">
        <v>13</v>
      </c>
      <c r="I861" s="26" t="s">
        <v>3924</v>
      </c>
      <c r="J861" s="26" t="s">
        <v>8236</v>
      </c>
      <c r="K861" s="26" t="s">
        <v>6440</v>
      </c>
      <c r="L861" s="26" t="s">
        <v>8237</v>
      </c>
      <c r="M861" s="55" t="s">
        <v>8238</v>
      </c>
      <c r="N861" s="26" t="s">
        <v>3924</v>
      </c>
    </row>
    <row r="862" spans="1:14" ht="75" customHeight="1" thickTop="1" thickBot="1">
      <c r="A862" s="26">
        <v>860</v>
      </c>
      <c r="B862" s="26">
        <v>864</v>
      </c>
      <c r="C862" s="55" t="s">
        <v>8239</v>
      </c>
      <c r="D862" s="56" t="s">
        <v>26</v>
      </c>
      <c r="E862" s="56" t="s">
        <v>6480</v>
      </c>
      <c r="F862" s="26" t="s">
        <v>3923</v>
      </c>
      <c r="G862" s="26" t="s">
        <v>16</v>
      </c>
      <c r="H862" s="26" t="s">
        <v>13</v>
      </c>
      <c r="I862" s="26" t="s">
        <v>3924</v>
      </c>
      <c r="J862" s="26" t="s">
        <v>8239</v>
      </c>
      <c r="K862" s="26" t="s">
        <v>6440</v>
      </c>
      <c r="L862" s="26" t="s">
        <v>8237</v>
      </c>
      <c r="M862" s="55" t="s">
        <v>8240</v>
      </c>
      <c r="N862" s="26" t="s">
        <v>3924</v>
      </c>
    </row>
    <row r="863" spans="1:14" ht="75" customHeight="1" thickTop="1" thickBot="1">
      <c r="A863" s="34">
        <v>861</v>
      </c>
      <c r="B863" s="34">
        <v>865</v>
      </c>
      <c r="C863" s="55" t="s">
        <v>8241</v>
      </c>
      <c r="D863" s="56" t="s">
        <v>26</v>
      </c>
      <c r="E863" s="56" t="s">
        <v>6480</v>
      </c>
      <c r="F863" s="26" t="s">
        <v>3923</v>
      </c>
      <c r="G863" s="26" t="s">
        <v>16</v>
      </c>
      <c r="H863" s="26" t="s">
        <v>13</v>
      </c>
      <c r="I863" s="26" t="s">
        <v>3924</v>
      </c>
      <c r="J863" s="26" t="s">
        <v>8241</v>
      </c>
      <c r="K863" s="26" t="s">
        <v>6440</v>
      </c>
      <c r="L863" s="26" t="s">
        <v>7502</v>
      </c>
      <c r="M863" s="55" t="s">
        <v>8242</v>
      </c>
      <c r="N863" s="26" t="s">
        <v>3924</v>
      </c>
    </row>
    <row r="864" spans="1:14" ht="75" customHeight="1" thickTop="1" thickBot="1">
      <c r="A864" s="26">
        <v>862</v>
      </c>
      <c r="B864" s="26">
        <v>866</v>
      </c>
      <c r="C864" s="55" t="s">
        <v>8243</v>
      </c>
      <c r="D864" s="56" t="s">
        <v>26</v>
      </c>
      <c r="E864" s="56" t="s">
        <v>6480</v>
      </c>
      <c r="F864" s="26" t="s">
        <v>3923</v>
      </c>
      <c r="G864" s="26" t="s">
        <v>16</v>
      </c>
      <c r="H864" s="26" t="s">
        <v>13</v>
      </c>
      <c r="I864" s="26" t="s">
        <v>3924</v>
      </c>
      <c r="J864" s="26" t="s">
        <v>8243</v>
      </c>
      <c r="K864" s="26" t="s">
        <v>6434</v>
      </c>
      <c r="L864" s="26" t="s">
        <v>7502</v>
      </c>
      <c r="M864" s="55" t="s">
        <v>8244</v>
      </c>
      <c r="N864" s="26" t="s">
        <v>3924</v>
      </c>
    </row>
    <row r="865" spans="1:14" ht="75" customHeight="1" thickTop="1" thickBot="1">
      <c r="A865" s="34">
        <v>863</v>
      </c>
      <c r="B865" s="34">
        <v>867</v>
      </c>
      <c r="C865" s="55" t="s">
        <v>8245</v>
      </c>
      <c r="D865" s="56" t="s">
        <v>26</v>
      </c>
      <c r="E865" s="56" t="s">
        <v>6480</v>
      </c>
      <c r="F865" s="26" t="s">
        <v>3923</v>
      </c>
      <c r="G865" s="26" t="s">
        <v>16</v>
      </c>
      <c r="H865" s="26" t="s">
        <v>13</v>
      </c>
      <c r="I865" s="26" t="s">
        <v>3924</v>
      </c>
      <c r="J865" s="26" t="s">
        <v>8245</v>
      </c>
      <c r="K865" s="26" t="s">
        <v>6552</v>
      </c>
      <c r="L865" s="26" t="s">
        <v>3924</v>
      </c>
      <c r="M865" s="55" t="s">
        <v>8246</v>
      </c>
      <c r="N865" s="26" t="s">
        <v>3924</v>
      </c>
    </row>
    <row r="866" spans="1:14" ht="75" customHeight="1" thickTop="1" thickBot="1">
      <c r="A866" s="26">
        <v>864</v>
      </c>
      <c r="B866" s="26">
        <v>868</v>
      </c>
      <c r="C866" s="55" t="s">
        <v>8247</v>
      </c>
      <c r="D866" s="56" t="s">
        <v>26</v>
      </c>
      <c r="E866" s="56" t="s">
        <v>6480</v>
      </c>
      <c r="F866" s="26" t="s">
        <v>3923</v>
      </c>
      <c r="G866" s="26" t="s">
        <v>16</v>
      </c>
      <c r="H866" s="26" t="s">
        <v>13</v>
      </c>
      <c r="I866" s="26" t="s">
        <v>3924</v>
      </c>
      <c r="J866" s="26" t="s">
        <v>8247</v>
      </c>
      <c r="K866" s="26" t="s">
        <v>6552</v>
      </c>
      <c r="L866" s="26" t="s">
        <v>8248</v>
      </c>
      <c r="M866" s="55" t="s">
        <v>8249</v>
      </c>
      <c r="N866" s="26" t="s">
        <v>3924</v>
      </c>
    </row>
    <row r="867" spans="1:14" ht="75" customHeight="1" thickTop="1" thickBot="1">
      <c r="A867" s="34">
        <v>865</v>
      </c>
      <c r="B867" s="34">
        <v>869</v>
      </c>
      <c r="C867" s="55" t="s">
        <v>8250</v>
      </c>
      <c r="D867" s="56" t="s">
        <v>26</v>
      </c>
      <c r="E867" s="56" t="s">
        <v>6480</v>
      </c>
      <c r="F867" s="26" t="s">
        <v>3923</v>
      </c>
      <c r="G867" s="26" t="s">
        <v>16</v>
      </c>
      <c r="H867" s="26" t="s">
        <v>13</v>
      </c>
      <c r="I867" s="26" t="s">
        <v>3924</v>
      </c>
      <c r="J867" s="26" t="s">
        <v>8250</v>
      </c>
      <c r="K867" s="26" t="s">
        <v>6552</v>
      </c>
      <c r="L867" s="26" t="s">
        <v>8251</v>
      </c>
      <c r="M867" s="55" t="s">
        <v>8252</v>
      </c>
      <c r="N867" s="26" t="s">
        <v>3924</v>
      </c>
    </row>
    <row r="868" spans="1:14" ht="75" customHeight="1" thickTop="1" thickBot="1">
      <c r="A868" s="26">
        <v>866</v>
      </c>
      <c r="B868" s="26">
        <v>870</v>
      </c>
      <c r="C868" s="55" t="s">
        <v>8253</v>
      </c>
      <c r="D868" s="56" t="s">
        <v>26</v>
      </c>
      <c r="E868" s="56" t="s">
        <v>6480</v>
      </c>
      <c r="F868" s="26" t="s">
        <v>3923</v>
      </c>
      <c r="G868" s="26" t="s">
        <v>16</v>
      </c>
      <c r="H868" s="26" t="s">
        <v>13</v>
      </c>
      <c r="I868" s="26" t="s">
        <v>3924</v>
      </c>
      <c r="J868" s="26" t="s">
        <v>8254</v>
      </c>
      <c r="K868" s="26" t="s">
        <v>6552</v>
      </c>
      <c r="L868" s="26" t="s">
        <v>4942</v>
      </c>
      <c r="M868" s="55" t="s">
        <v>8255</v>
      </c>
      <c r="N868" s="26" t="s">
        <v>3924</v>
      </c>
    </row>
    <row r="869" spans="1:14" ht="75" customHeight="1" thickTop="1" thickBot="1">
      <c r="A869" s="34">
        <v>867</v>
      </c>
      <c r="B869" s="34">
        <v>871</v>
      </c>
      <c r="C869" s="55" t="s">
        <v>8256</v>
      </c>
      <c r="D869" s="56" t="s">
        <v>26</v>
      </c>
      <c r="E869" s="56" t="s">
        <v>6480</v>
      </c>
      <c r="F869" s="26" t="s">
        <v>3923</v>
      </c>
      <c r="G869" s="26" t="s">
        <v>16</v>
      </c>
      <c r="H869" s="26" t="s">
        <v>13</v>
      </c>
      <c r="I869" s="26" t="s">
        <v>3924</v>
      </c>
      <c r="J869" s="26" t="s">
        <v>8256</v>
      </c>
      <c r="K869" s="26" t="s">
        <v>6445</v>
      </c>
      <c r="L869" s="26" t="s">
        <v>4942</v>
      </c>
      <c r="M869" s="55" t="s">
        <v>8257</v>
      </c>
      <c r="N869" s="26" t="s">
        <v>3924</v>
      </c>
    </row>
    <row r="870" spans="1:14" ht="75" customHeight="1" thickTop="1" thickBot="1">
      <c r="A870" s="26">
        <v>868</v>
      </c>
      <c r="B870" s="26">
        <v>872</v>
      </c>
      <c r="C870" s="55" t="s">
        <v>8258</v>
      </c>
      <c r="D870" s="56" t="s">
        <v>26</v>
      </c>
      <c r="E870" s="56" t="s">
        <v>6480</v>
      </c>
      <c r="F870" s="26" t="s">
        <v>3923</v>
      </c>
      <c r="G870" s="26" t="s">
        <v>16</v>
      </c>
      <c r="H870" s="26" t="s">
        <v>13</v>
      </c>
      <c r="I870" s="26" t="s">
        <v>3924</v>
      </c>
      <c r="J870" s="26" t="s">
        <v>8258</v>
      </c>
      <c r="K870" s="26" t="s">
        <v>6434</v>
      </c>
      <c r="L870" s="26" t="s">
        <v>7323</v>
      </c>
      <c r="M870" s="55" t="s">
        <v>8259</v>
      </c>
      <c r="N870" s="26" t="s">
        <v>3924</v>
      </c>
    </row>
    <row r="871" spans="1:14" ht="75" customHeight="1" thickTop="1" thickBot="1">
      <c r="A871" s="34">
        <v>869</v>
      </c>
      <c r="B871" s="34">
        <v>873</v>
      </c>
      <c r="C871" s="55" t="s">
        <v>8258</v>
      </c>
      <c r="D871" s="56" t="s">
        <v>26</v>
      </c>
      <c r="E871" s="56" t="s">
        <v>6480</v>
      </c>
      <c r="F871" s="26" t="s">
        <v>3923</v>
      </c>
      <c r="G871" s="26" t="s">
        <v>16</v>
      </c>
      <c r="H871" s="26" t="s">
        <v>13</v>
      </c>
      <c r="I871" s="26" t="s">
        <v>3924</v>
      </c>
      <c r="J871" s="26" t="s">
        <v>8260</v>
      </c>
      <c r="K871" s="26" t="s">
        <v>6434</v>
      </c>
      <c r="L871" s="26" t="s">
        <v>7323</v>
      </c>
      <c r="M871" s="55" t="s">
        <v>8261</v>
      </c>
      <c r="N871" s="26" t="s">
        <v>3924</v>
      </c>
    </row>
    <row r="872" spans="1:14" ht="75" customHeight="1" thickTop="1" thickBot="1">
      <c r="A872" s="26">
        <v>870</v>
      </c>
      <c r="B872" s="26">
        <v>874</v>
      </c>
      <c r="C872" s="55" t="s">
        <v>8260</v>
      </c>
      <c r="D872" s="56" t="s">
        <v>26</v>
      </c>
      <c r="E872" s="56" t="s">
        <v>6480</v>
      </c>
      <c r="F872" s="26" t="s">
        <v>3923</v>
      </c>
      <c r="G872" s="26" t="s">
        <v>16</v>
      </c>
      <c r="H872" s="26" t="s">
        <v>13</v>
      </c>
      <c r="I872" s="26" t="s">
        <v>3924</v>
      </c>
      <c r="J872" s="26" t="s">
        <v>8260</v>
      </c>
      <c r="K872" s="26" t="s">
        <v>6434</v>
      </c>
      <c r="L872" s="26" t="s">
        <v>8262</v>
      </c>
      <c r="M872" s="55" t="s">
        <v>8263</v>
      </c>
      <c r="N872" s="26" t="s">
        <v>3924</v>
      </c>
    </row>
    <row r="873" spans="1:14" ht="75" customHeight="1" thickTop="1" thickBot="1">
      <c r="A873" s="34">
        <v>871</v>
      </c>
      <c r="B873" s="34">
        <v>875</v>
      </c>
      <c r="C873" s="55" t="s">
        <v>4974</v>
      </c>
      <c r="D873" s="56" t="s">
        <v>26</v>
      </c>
      <c r="E873" s="56" t="s">
        <v>6480</v>
      </c>
      <c r="F873" s="26" t="s">
        <v>3923</v>
      </c>
      <c r="G873" s="26" t="s">
        <v>16</v>
      </c>
      <c r="H873" s="26" t="s">
        <v>13</v>
      </c>
      <c r="I873" s="26" t="s">
        <v>3924</v>
      </c>
      <c r="J873" s="26" t="s">
        <v>4974</v>
      </c>
      <c r="K873" s="26" t="s">
        <v>6434</v>
      </c>
      <c r="L873" s="26" t="s">
        <v>8262</v>
      </c>
      <c r="M873" s="55" t="s">
        <v>8261</v>
      </c>
      <c r="N873" s="26" t="s">
        <v>3924</v>
      </c>
    </row>
    <row r="874" spans="1:14" ht="75" customHeight="1" thickTop="1" thickBot="1">
      <c r="A874" s="26">
        <v>872</v>
      </c>
      <c r="B874" s="26">
        <v>876</v>
      </c>
      <c r="C874" s="55" t="s">
        <v>4985</v>
      </c>
      <c r="D874" s="56" t="s">
        <v>26</v>
      </c>
      <c r="E874" s="56" t="s">
        <v>6480</v>
      </c>
      <c r="F874" s="26" t="s">
        <v>3923</v>
      </c>
      <c r="G874" s="26" t="s">
        <v>16</v>
      </c>
      <c r="H874" s="26" t="s">
        <v>13</v>
      </c>
      <c r="I874" s="26" t="s">
        <v>3924</v>
      </c>
      <c r="J874" s="26" t="s">
        <v>4985</v>
      </c>
      <c r="K874" s="26" t="s">
        <v>6434</v>
      </c>
      <c r="L874" s="26" t="s">
        <v>8264</v>
      </c>
      <c r="M874" s="55" t="s">
        <v>8265</v>
      </c>
      <c r="N874" s="26" t="s">
        <v>3924</v>
      </c>
    </row>
    <row r="875" spans="1:14" ht="75" customHeight="1" thickTop="1" thickBot="1">
      <c r="A875" s="34">
        <v>873</v>
      </c>
      <c r="B875" s="34">
        <v>877</v>
      </c>
      <c r="C875" s="55" t="s">
        <v>4989</v>
      </c>
      <c r="D875" s="56" t="s">
        <v>26</v>
      </c>
      <c r="E875" s="56" t="s">
        <v>6480</v>
      </c>
      <c r="F875" s="26" t="s">
        <v>3923</v>
      </c>
      <c r="G875" s="26" t="s">
        <v>16</v>
      </c>
      <c r="H875" s="26" t="s">
        <v>13</v>
      </c>
      <c r="I875" s="26" t="s">
        <v>3924</v>
      </c>
      <c r="J875" s="26" t="s">
        <v>4989</v>
      </c>
      <c r="K875" s="26" t="s">
        <v>7790</v>
      </c>
      <c r="L875" s="26" t="s">
        <v>3924</v>
      </c>
      <c r="M875" s="55" t="s">
        <v>8266</v>
      </c>
      <c r="N875" s="26" t="s">
        <v>3924</v>
      </c>
    </row>
    <row r="876" spans="1:14" ht="75" customHeight="1" thickTop="1" thickBot="1">
      <c r="A876" s="26">
        <v>874</v>
      </c>
      <c r="B876" s="26">
        <v>878</v>
      </c>
      <c r="C876" s="55" t="s">
        <v>4989</v>
      </c>
      <c r="D876" s="56" t="s">
        <v>26</v>
      </c>
      <c r="E876" s="56" t="s">
        <v>6480</v>
      </c>
      <c r="F876" s="26" t="s">
        <v>3923</v>
      </c>
      <c r="G876" s="26" t="s">
        <v>16</v>
      </c>
      <c r="H876" s="26" t="s">
        <v>13</v>
      </c>
      <c r="I876" s="26" t="s">
        <v>3924</v>
      </c>
      <c r="J876" s="26" t="s">
        <v>4989</v>
      </c>
      <c r="K876" s="26" t="s">
        <v>8267</v>
      </c>
      <c r="L876" s="26" t="s">
        <v>3924</v>
      </c>
      <c r="M876" s="55" t="s">
        <v>8266</v>
      </c>
      <c r="N876" s="26" t="s">
        <v>3924</v>
      </c>
    </row>
    <row r="877" spans="1:14" ht="75" customHeight="1" thickTop="1" thickBot="1">
      <c r="A877" s="34">
        <v>875</v>
      </c>
      <c r="B877" s="34">
        <v>879</v>
      </c>
      <c r="C877" s="55" t="s">
        <v>4997</v>
      </c>
      <c r="D877" s="56" t="s">
        <v>26</v>
      </c>
      <c r="E877" s="56" t="s">
        <v>6480</v>
      </c>
      <c r="F877" s="26" t="s">
        <v>3923</v>
      </c>
      <c r="G877" s="26" t="s">
        <v>16</v>
      </c>
      <c r="H877" s="26" t="s">
        <v>13</v>
      </c>
      <c r="I877" s="26" t="s">
        <v>3924</v>
      </c>
      <c r="J877" s="26" t="s">
        <v>4997</v>
      </c>
      <c r="K877" s="26" t="s">
        <v>6552</v>
      </c>
      <c r="L877" s="26" t="s">
        <v>3927</v>
      </c>
      <c r="M877" s="55" t="s">
        <v>8268</v>
      </c>
      <c r="N877" s="26" t="s">
        <v>3924</v>
      </c>
    </row>
    <row r="878" spans="1:14" ht="75" customHeight="1" thickTop="1" thickBot="1">
      <c r="A878" s="26">
        <v>876</v>
      </c>
      <c r="B878" s="26">
        <v>880</v>
      </c>
      <c r="C878" s="55" t="s">
        <v>5006</v>
      </c>
      <c r="D878" s="56" t="s">
        <v>26</v>
      </c>
      <c r="E878" s="56" t="s">
        <v>6480</v>
      </c>
      <c r="F878" s="26" t="s">
        <v>3923</v>
      </c>
      <c r="G878" s="26" t="s">
        <v>16</v>
      </c>
      <c r="H878" s="26" t="s">
        <v>13</v>
      </c>
      <c r="I878" s="26" t="s">
        <v>3924</v>
      </c>
      <c r="J878" s="26" t="s">
        <v>5006</v>
      </c>
      <c r="K878" s="26" t="s">
        <v>6434</v>
      </c>
      <c r="L878" s="26" t="s">
        <v>8269</v>
      </c>
      <c r="M878" s="55" t="s">
        <v>8259</v>
      </c>
      <c r="N878" s="26" t="s">
        <v>3924</v>
      </c>
    </row>
    <row r="879" spans="1:14" ht="75" customHeight="1" thickTop="1" thickBot="1">
      <c r="A879" s="34">
        <v>877</v>
      </c>
      <c r="B879" s="34">
        <v>881</v>
      </c>
      <c r="C879" s="55" t="s">
        <v>5006</v>
      </c>
      <c r="D879" s="56" t="s">
        <v>26</v>
      </c>
      <c r="E879" s="56" t="s">
        <v>6480</v>
      </c>
      <c r="F879" s="26" t="s">
        <v>3923</v>
      </c>
      <c r="G879" s="26" t="s">
        <v>16</v>
      </c>
      <c r="H879" s="26" t="s">
        <v>13</v>
      </c>
      <c r="I879" s="26" t="s">
        <v>3924</v>
      </c>
      <c r="J879" s="26" t="s">
        <v>5016</v>
      </c>
      <c r="K879" s="26" t="s">
        <v>6434</v>
      </c>
      <c r="L879" s="26" t="s">
        <v>8269</v>
      </c>
      <c r="M879" s="55" t="s">
        <v>8270</v>
      </c>
      <c r="N879" s="26" t="s">
        <v>3924</v>
      </c>
    </row>
    <row r="880" spans="1:14" ht="75" customHeight="1" thickTop="1" thickBot="1">
      <c r="A880" s="26">
        <v>878</v>
      </c>
      <c r="B880" s="26">
        <v>882</v>
      </c>
      <c r="C880" s="55" t="s">
        <v>5016</v>
      </c>
      <c r="D880" s="56" t="s">
        <v>26</v>
      </c>
      <c r="E880" s="56" t="s">
        <v>6480</v>
      </c>
      <c r="F880" s="26" t="s">
        <v>3923</v>
      </c>
      <c r="G880" s="26" t="s">
        <v>16</v>
      </c>
      <c r="H880" s="26" t="s">
        <v>13</v>
      </c>
      <c r="I880" s="26" t="s">
        <v>3924</v>
      </c>
      <c r="J880" s="26" t="s">
        <v>5016</v>
      </c>
      <c r="K880" s="26" t="s">
        <v>6434</v>
      </c>
      <c r="L880" s="26" t="s">
        <v>8269</v>
      </c>
      <c r="M880" s="55" t="s">
        <v>8261</v>
      </c>
      <c r="N880" s="26" t="s">
        <v>3924</v>
      </c>
    </row>
    <row r="881" spans="1:14" ht="75" customHeight="1" thickTop="1" thickBot="1">
      <c r="A881" s="34">
        <v>879</v>
      </c>
      <c r="B881" s="34">
        <v>883</v>
      </c>
      <c r="C881" s="55" t="s">
        <v>5027</v>
      </c>
      <c r="D881" s="56" t="s">
        <v>26</v>
      </c>
      <c r="E881" s="56" t="s">
        <v>6480</v>
      </c>
      <c r="F881" s="26" t="s">
        <v>3923</v>
      </c>
      <c r="G881" s="26" t="s">
        <v>16</v>
      </c>
      <c r="H881" s="26" t="s">
        <v>13</v>
      </c>
      <c r="I881" s="26" t="s">
        <v>3924</v>
      </c>
      <c r="J881" s="26" t="s">
        <v>5027</v>
      </c>
      <c r="K881" s="26" t="s">
        <v>8267</v>
      </c>
      <c r="L881" s="26" t="s">
        <v>3924</v>
      </c>
      <c r="M881" s="55" t="s">
        <v>8271</v>
      </c>
      <c r="N881" s="26" t="s">
        <v>3924</v>
      </c>
    </row>
    <row r="882" spans="1:14" ht="75" customHeight="1" thickTop="1" thickBot="1">
      <c r="A882" s="26">
        <v>880</v>
      </c>
      <c r="B882" s="26">
        <v>884</v>
      </c>
      <c r="C882" s="55" t="s">
        <v>5036</v>
      </c>
      <c r="D882" s="56" t="s">
        <v>26</v>
      </c>
      <c r="E882" s="56" t="s">
        <v>6480</v>
      </c>
      <c r="F882" s="26" t="s">
        <v>3923</v>
      </c>
      <c r="G882" s="26" t="s">
        <v>16</v>
      </c>
      <c r="H882" s="26" t="s">
        <v>13</v>
      </c>
      <c r="I882" s="26" t="s">
        <v>3924</v>
      </c>
      <c r="J882" s="26" t="s">
        <v>5036</v>
      </c>
      <c r="K882" s="26" t="s">
        <v>6552</v>
      </c>
      <c r="L882" s="26" t="s">
        <v>6451</v>
      </c>
      <c r="M882" s="55" t="s">
        <v>8272</v>
      </c>
      <c r="N882" s="26" t="s">
        <v>3924</v>
      </c>
    </row>
    <row r="883" spans="1:14" ht="75" customHeight="1" thickTop="1" thickBot="1">
      <c r="A883" s="34">
        <v>881</v>
      </c>
      <c r="B883" s="34">
        <v>885</v>
      </c>
      <c r="C883" s="55" t="s">
        <v>5084</v>
      </c>
      <c r="D883" s="56" t="s">
        <v>26</v>
      </c>
      <c r="E883" s="56" t="s">
        <v>6480</v>
      </c>
      <c r="F883" s="26" t="s">
        <v>3923</v>
      </c>
      <c r="G883" s="26" t="s">
        <v>16</v>
      </c>
      <c r="H883" s="26" t="s">
        <v>13</v>
      </c>
      <c r="I883" s="26" t="s">
        <v>3924</v>
      </c>
      <c r="J883" s="26" t="s">
        <v>5084</v>
      </c>
      <c r="K883" s="26" t="s">
        <v>6434</v>
      </c>
      <c r="L883" s="26" t="s">
        <v>8273</v>
      </c>
      <c r="M883" s="55" t="s">
        <v>8274</v>
      </c>
      <c r="N883" s="26" t="s">
        <v>3924</v>
      </c>
    </row>
    <row r="884" spans="1:14" ht="75" customHeight="1" thickTop="1" thickBot="1">
      <c r="A884" s="26">
        <v>882</v>
      </c>
      <c r="B884" s="26">
        <v>886</v>
      </c>
      <c r="C884" s="55" t="s">
        <v>5091</v>
      </c>
      <c r="D884" s="56" t="s">
        <v>26</v>
      </c>
      <c r="E884" s="56" t="s">
        <v>6480</v>
      </c>
      <c r="F884" s="26" t="s">
        <v>3923</v>
      </c>
      <c r="G884" s="26" t="s">
        <v>16</v>
      </c>
      <c r="H884" s="26" t="s">
        <v>13</v>
      </c>
      <c r="I884" s="26" t="s">
        <v>3924</v>
      </c>
      <c r="J884" s="26" t="s">
        <v>5101</v>
      </c>
      <c r="K884" s="26" t="s">
        <v>6440</v>
      </c>
      <c r="L884" s="26" t="s">
        <v>8275</v>
      </c>
      <c r="M884" s="55" t="s">
        <v>8276</v>
      </c>
      <c r="N884" s="26" t="s">
        <v>3924</v>
      </c>
    </row>
    <row r="885" spans="1:14" ht="75" customHeight="1" thickTop="1" thickBot="1">
      <c r="A885" s="34">
        <v>883</v>
      </c>
      <c r="B885" s="34">
        <v>887</v>
      </c>
      <c r="C885" s="55" t="s">
        <v>5101</v>
      </c>
      <c r="D885" s="56" t="s">
        <v>26</v>
      </c>
      <c r="E885" s="56" t="s">
        <v>6480</v>
      </c>
      <c r="F885" s="26" t="s">
        <v>3923</v>
      </c>
      <c r="G885" s="26" t="s">
        <v>16</v>
      </c>
      <c r="H885" s="26" t="s">
        <v>13</v>
      </c>
      <c r="I885" s="26" t="s">
        <v>3924</v>
      </c>
      <c r="J885" s="26" t="s">
        <v>5108</v>
      </c>
      <c r="K885" s="26" t="s">
        <v>8267</v>
      </c>
      <c r="L885" s="26" t="s">
        <v>3924</v>
      </c>
      <c r="M885" s="55" t="s">
        <v>8277</v>
      </c>
      <c r="N885" s="26" t="s">
        <v>3924</v>
      </c>
    </row>
    <row r="886" spans="1:14" ht="75" customHeight="1" thickTop="1" thickBot="1">
      <c r="A886" s="26">
        <v>884</v>
      </c>
      <c r="B886" s="26">
        <v>888</v>
      </c>
      <c r="C886" s="55" t="s">
        <v>5105</v>
      </c>
      <c r="D886" s="56" t="s">
        <v>26</v>
      </c>
      <c r="E886" s="56" t="s">
        <v>6480</v>
      </c>
      <c r="F886" s="26" t="s">
        <v>3923</v>
      </c>
      <c r="G886" s="26" t="s">
        <v>16</v>
      </c>
      <c r="H886" s="26" t="s">
        <v>13</v>
      </c>
      <c r="I886" s="26" t="s">
        <v>3924</v>
      </c>
      <c r="J886" s="26" t="s">
        <v>5105</v>
      </c>
      <c r="K886" s="26" t="s">
        <v>6434</v>
      </c>
      <c r="L886" s="26" t="s">
        <v>6469</v>
      </c>
      <c r="M886" s="55" t="s">
        <v>8278</v>
      </c>
      <c r="N886" s="26" t="s">
        <v>3924</v>
      </c>
    </row>
    <row r="887" spans="1:14" ht="75" customHeight="1" thickTop="1" thickBot="1">
      <c r="A887" s="34">
        <v>885</v>
      </c>
      <c r="B887" s="34">
        <v>889</v>
      </c>
      <c r="C887" s="55" t="s">
        <v>5105</v>
      </c>
      <c r="D887" s="56" t="s">
        <v>26</v>
      </c>
      <c r="E887" s="56" t="s">
        <v>6480</v>
      </c>
      <c r="F887" s="26" t="s">
        <v>3923</v>
      </c>
      <c r="G887" s="26" t="s">
        <v>16</v>
      </c>
      <c r="H887" s="26" t="s">
        <v>13</v>
      </c>
      <c r="I887" s="26" t="s">
        <v>3924</v>
      </c>
      <c r="J887" s="26" t="s">
        <v>5103</v>
      </c>
      <c r="K887" s="26" t="s">
        <v>8267</v>
      </c>
      <c r="L887" s="26" t="s">
        <v>3924</v>
      </c>
      <c r="M887" s="55" t="s">
        <v>8279</v>
      </c>
      <c r="N887" s="26" t="s">
        <v>3924</v>
      </c>
    </row>
    <row r="888" spans="1:14" ht="75" customHeight="1" thickTop="1" thickBot="1">
      <c r="A888" s="26">
        <v>886</v>
      </c>
      <c r="B888" s="26">
        <v>890</v>
      </c>
      <c r="C888" s="55" t="s">
        <v>5103</v>
      </c>
      <c r="D888" s="56" t="s">
        <v>26</v>
      </c>
      <c r="E888" s="56" t="s">
        <v>6480</v>
      </c>
      <c r="F888" s="26" t="s">
        <v>3923</v>
      </c>
      <c r="G888" s="26" t="s">
        <v>16</v>
      </c>
      <c r="H888" s="26" t="s">
        <v>13</v>
      </c>
      <c r="I888" s="26" t="s">
        <v>3924</v>
      </c>
      <c r="J888" s="26" t="s">
        <v>8280</v>
      </c>
      <c r="K888" s="26" t="s">
        <v>8035</v>
      </c>
      <c r="L888" s="26" t="s">
        <v>8281</v>
      </c>
      <c r="M888" s="55" t="s">
        <v>8282</v>
      </c>
      <c r="N888" s="26" t="s">
        <v>3924</v>
      </c>
    </row>
    <row r="889" spans="1:14" ht="75" customHeight="1" thickTop="1" thickBot="1">
      <c r="A889" s="34">
        <v>887</v>
      </c>
      <c r="B889" s="34">
        <v>891</v>
      </c>
      <c r="C889" s="55" t="s">
        <v>8283</v>
      </c>
      <c r="D889" s="56" t="s">
        <v>26</v>
      </c>
      <c r="E889" s="56" t="s">
        <v>6480</v>
      </c>
      <c r="F889" s="26" t="s">
        <v>3923</v>
      </c>
      <c r="G889" s="26" t="s">
        <v>16</v>
      </c>
      <c r="H889" s="26" t="s">
        <v>13</v>
      </c>
      <c r="I889" s="26" t="s">
        <v>3924</v>
      </c>
      <c r="J889" s="26" t="s">
        <v>8280</v>
      </c>
      <c r="K889" s="26" t="s">
        <v>6434</v>
      </c>
      <c r="L889" s="26" t="s">
        <v>8284</v>
      </c>
      <c r="M889" s="55" t="s">
        <v>8285</v>
      </c>
      <c r="N889" s="26" t="s">
        <v>3924</v>
      </c>
    </row>
    <row r="890" spans="1:14" ht="75" customHeight="1" thickTop="1" thickBot="1">
      <c r="A890" s="26">
        <v>888</v>
      </c>
      <c r="B890" s="26">
        <v>892</v>
      </c>
      <c r="C890" s="55" t="s">
        <v>8283</v>
      </c>
      <c r="D890" s="56" t="s">
        <v>26</v>
      </c>
      <c r="E890" s="56" t="s">
        <v>6480</v>
      </c>
      <c r="F890" s="26" t="s">
        <v>3923</v>
      </c>
      <c r="G890" s="26" t="s">
        <v>16</v>
      </c>
      <c r="H890" s="26" t="s">
        <v>13</v>
      </c>
      <c r="I890" s="26" t="s">
        <v>3924</v>
      </c>
      <c r="J890" s="26" t="s">
        <v>8280</v>
      </c>
      <c r="K890" s="26" t="s">
        <v>6445</v>
      </c>
      <c r="L890" s="26" t="s">
        <v>8286</v>
      </c>
      <c r="M890" s="55" t="s">
        <v>8287</v>
      </c>
      <c r="N890" s="26" t="s">
        <v>3924</v>
      </c>
    </row>
    <row r="891" spans="1:14" ht="75" customHeight="1" thickTop="1" thickBot="1">
      <c r="A891" s="34">
        <v>889</v>
      </c>
      <c r="B891" s="34">
        <v>893</v>
      </c>
      <c r="C891" s="55" t="s">
        <v>8288</v>
      </c>
      <c r="D891" s="56" t="s">
        <v>26</v>
      </c>
      <c r="E891" s="56" t="s">
        <v>6480</v>
      </c>
      <c r="F891" s="26" t="s">
        <v>3923</v>
      </c>
      <c r="G891" s="26" t="s">
        <v>16</v>
      </c>
      <c r="H891" s="26" t="s">
        <v>13</v>
      </c>
      <c r="I891" s="26" t="s">
        <v>3924</v>
      </c>
      <c r="J891" s="26" t="s">
        <v>8280</v>
      </c>
      <c r="K891" s="26" t="s">
        <v>6440</v>
      </c>
      <c r="L891" s="26" t="s">
        <v>8289</v>
      </c>
      <c r="M891" s="55" t="s">
        <v>8290</v>
      </c>
      <c r="N891" s="26" t="s">
        <v>3924</v>
      </c>
    </row>
    <row r="892" spans="1:14" ht="75" customHeight="1" thickTop="1" thickBot="1">
      <c r="A892" s="26">
        <v>890</v>
      </c>
      <c r="B892" s="26">
        <v>894</v>
      </c>
      <c r="C892" s="55" t="s">
        <v>8288</v>
      </c>
      <c r="D892" s="56" t="s">
        <v>26</v>
      </c>
      <c r="E892" s="56" t="s">
        <v>6480</v>
      </c>
      <c r="F892" s="26" t="s">
        <v>3923</v>
      </c>
      <c r="G892" s="26" t="s">
        <v>16</v>
      </c>
      <c r="H892" s="26" t="s">
        <v>13</v>
      </c>
      <c r="I892" s="26" t="s">
        <v>3924</v>
      </c>
      <c r="J892" s="26" t="s">
        <v>8291</v>
      </c>
      <c r="K892" s="26" t="s">
        <v>8267</v>
      </c>
      <c r="L892" s="26" t="s">
        <v>3924</v>
      </c>
      <c r="M892" s="55" t="s">
        <v>8292</v>
      </c>
      <c r="N892" s="26" t="s">
        <v>3924</v>
      </c>
    </row>
    <row r="893" spans="1:14" ht="75" customHeight="1" thickTop="1" thickBot="1">
      <c r="A893" s="34">
        <v>891</v>
      </c>
      <c r="B893" s="34">
        <v>895</v>
      </c>
      <c r="C893" s="55" t="s">
        <v>8291</v>
      </c>
      <c r="D893" s="56" t="s">
        <v>26</v>
      </c>
      <c r="E893" s="56" t="s">
        <v>6480</v>
      </c>
      <c r="F893" s="26" t="s">
        <v>3923</v>
      </c>
      <c r="G893" s="26" t="s">
        <v>16</v>
      </c>
      <c r="H893" s="26" t="s">
        <v>13</v>
      </c>
      <c r="I893" s="26" t="s">
        <v>3924</v>
      </c>
      <c r="J893" s="26" t="s">
        <v>8291</v>
      </c>
      <c r="K893" s="26" t="s">
        <v>6440</v>
      </c>
      <c r="L893" s="26" t="s">
        <v>8237</v>
      </c>
      <c r="M893" s="55" t="s">
        <v>8293</v>
      </c>
      <c r="N893" s="26" t="s">
        <v>3924</v>
      </c>
    </row>
    <row r="894" spans="1:14" ht="75" customHeight="1" thickTop="1" thickBot="1">
      <c r="A894" s="26">
        <v>892</v>
      </c>
      <c r="B894" s="26">
        <v>896</v>
      </c>
      <c r="C894" s="55" t="s">
        <v>8294</v>
      </c>
      <c r="D894" s="56" t="s">
        <v>26</v>
      </c>
      <c r="E894" s="56" t="s">
        <v>6480</v>
      </c>
      <c r="F894" s="26" t="s">
        <v>3923</v>
      </c>
      <c r="G894" s="26" t="s">
        <v>16</v>
      </c>
      <c r="H894" s="26" t="s">
        <v>13</v>
      </c>
      <c r="I894" s="26" t="s">
        <v>3924</v>
      </c>
      <c r="J894" s="26" t="s">
        <v>8294</v>
      </c>
      <c r="K894" s="26" t="s">
        <v>6440</v>
      </c>
      <c r="L894" s="26" t="s">
        <v>8295</v>
      </c>
      <c r="M894" s="55" t="s">
        <v>8296</v>
      </c>
      <c r="N894" s="26" t="s">
        <v>3924</v>
      </c>
    </row>
    <row r="895" spans="1:14" ht="75" customHeight="1" thickTop="1" thickBot="1">
      <c r="A895" s="34">
        <v>893</v>
      </c>
      <c r="B895" s="34">
        <v>897</v>
      </c>
      <c r="C895" s="55" t="s">
        <v>8297</v>
      </c>
      <c r="D895" s="56" t="s">
        <v>26</v>
      </c>
      <c r="E895" s="56" t="s">
        <v>6480</v>
      </c>
      <c r="F895" s="26" t="s">
        <v>3923</v>
      </c>
      <c r="G895" s="26" t="s">
        <v>16</v>
      </c>
      <c r="H895" s="26" t="s">
        <v>13</v>
      </c>
      <c r="I895" s="26" t="s">
        <v>3924</v>
      </c>
      <c r="J895" s="26" t="s">
        <v>8297</v>
      </c>
      <c r="K895" s="26" t="s">
        <v>6434</v>
      </c>
      <c r="L895" s="26" t="s">
        <v>6435</v>
      </c>
      <c r="M895" s="55" t="s">
        <v>8298</v>
      </c>
      <c r="N895" s="26" t="s">
        <v>3924</v>
      </c>
    </row>
    <row r="896" spans="1:14" ht="75" customHeight="1" thickTop="1" thickBot="1">
      <c r="A896" s="26">
        <v>894</v>
      </c>
      <c r="B896" s="26">
        <v>898</v>
      </c>
      <c r="C896" s="55" t="s">
        <v>8299</v>
      </c>
      <c r="D896" s="56" t="s">
        <v>26</v>
      </c>
      <c r="E896" s="56" t="s">
        <v>6480</v>
      </c>
      <c r="F896" s="26" t="s">
        <v>3923</v>
      </c>
      <c r="G896" s="26" t="s">
        <v>16</v>
      </c>
      <c r="H896" s="26" t="s">
        <v>13</v>
      </c>
      <c r="I896" s="26" t="s">
        <v>3924</v>
      </c>
      <c r="J896" s="26" t="s">
        <v>8299</v>
      </c>
      <c r="K896" s="26" t="s">
        <v>8300</v>
      </c>
      <c r="L896" s="26" t="s">
        <v>3924</v>
      </c>
      <c r="M896" s="55" t="s">
        <v>8301</v>
      </c>
      <c r="N896" s="26" t="s">
        <v>3924</v>
      </c>
    </row>
    <row r="897" spans="1:14" ht="75" customHeight="1" thickTop="1" thickBot="1">
      <c r="A897" s="34">
        <v>895</v>
      </c>
      <c r="B897" s="34">
        <v>899</v>
      </c>
      <c r="C897" s="55" t="s">
        <v>8302</v>
      </c>
      <c r="D897" s="56" t="s">
        <v>26</v>
      </c>
      <c r="E897" s="56" t="s">
        <v>6480</v>
      </c>
      <c r="F897" s="26" t="s">
        <v>3923</v>
      </c>
      <c r="G897" s="26" t="s">
        <v>16</v>
      </c>
      <c r="H897" s="26" t="s">
        <v>13</v>
      </c>
      <c r="I897" s="26" t="s">
        <v>3924</v>
      </c>
      <c r="J897" s="26" t="s">
        <v>8302</v>
      </c>
      <c r="K897" s="26" t="s">
        <v>8300</v>
      </c>
      <c r="L897" s="26" t="s">
        <v>3924</v>
      </c>
      <c r="M897" s="55" t="s">
        <v>8303</v>
      </c>
      <c r="N897" s="26" t="s">
        <v>3924</v>
      </c>
    </row>
    <row r="898" spans="1:14" ht="75" customHeight="1" thickTop="1" thickBot="1">
      <c r="A898" s="26">
        <v>896</v>
      </c>
      <c r="B898" s="26">
        <v>900</v>
      </c>
      <c r="C898" s="55" t="s">
        <v>8304</v>
      </c>
      <c r="D898" s="56" t="s">
        <v>26</v>
      </c>
      <c r="E898" s="56" t="s">
        <v>6480</v>
      </c>
      <c r="F898" s="26" t="s">
        <v>3923</v>
      </c>
      <c r="G898" s="26" t="s">
        <v>16</v>
      </c>
      <c r="H898" s="26" t="s">
        <v>13</v>
      </c>
      <c r="I898" s="26" t="s">
        <v>3924</v>
      </c>
      <c r="J898" s="26" t="s">
        <v>8304</v>
      </c>
      <c r="K898" s="26" t="s">
        <v>8300</v>
      </c>
      <c r="L898" s="26" t="s">
        <v>3924</v>
      </c>
      <c r="M898" s="55" t="s">
        <v>8305</v>
      </c>
      <c r="N898" s="26" t="s">
        <v>3924</v>
      </c>
    </row>
    <row r="899" spans="1:14" ht="75" customHeight="1" thickTop="1" thickBot="1">
      <c r="A899" s="34">
        <v>897</v>
      </c>
      <c r="B899" s="34">
        <v>901</v>
      </c>
      <c r="C899" s="55" t="s">
        <v>8306</v>
      </c>
      <c r="D899" s="56" t="s">
        <v>26</v>
      </c>
      <c r="E899" s="56" t="s">
        <v>6480</v>
      </c>
      <c r="F899" s="26" t="s">
        <v>3923</v>
      </c>
      <c r="G899" s="26" t="s">
        <v>16</v>
      </c>
      <c r="H899" s="26" t="s">
        <v>13</v>
      </c>
      <c r="I899" s="26" t="s">
        <v>3924</v>
      </c>
      <c r="J899" s="26" t="s">
        <v>8306</v>
      </c>
      <c r="K899" s="26" t="s">
        <v>8307</v>
      </c>
      <c r="L899" s="26" t="s">
        <v>8308</v>
      </c>
      <c r="M899" s="55" t="s">
        <v>8309</v>
      </c>
      <c r="N899" s="26" t="s">
        <v>3924</v>
      </c>
    </row>
    <row r="900" spans="1:14" ht="75" customHeight="1" thickTop="1" thickBot="1">
      <c r="A900" s="26">
        <v>898</v>
      </c>
      <c r="B900" s="26">
        <v>902</v>
      </c>
      <c r="C900" s="55" t="s">
        <v>8310</v>
      </c>
      <c r="D900" s="56" t="s">
        <v>26</v>
      </c>
      <c r="E900" s="56" t="s">
        <v>6480</v>
      </c>
      <c r="F900" s="26" t="s">
        <v>3923</v>
      </c>
      <c r="G900" s="26" t="s">
        <v>16</v>
      </c>
      <c r="H900" s="26" t="s">
        <v>13</v>
      </c>
      <c r="I900" s="26" t="s">
        <v>3924</v>
      </c>
      <c r="J900" s="26" t="s">
        <v>8310</v>
      </c>
      <c r="K900" s="26" t="s">
        <v>6434</v>
      </c>
      <c r="L900" s="26" t="s">
        <v>8311</v>
      </c>
      <c r="M900" s="55" t="s">
        <v>8312</v>
      </c>
      <c r="N900" s="26" t="s">
        <v>3924</v>
      </c>
    </row>
    <row r="901" spans="1:14" ht="75" customHeight="1" thickTop="1" thickBot="1">
      <c r="A901" s="34">
        <v>899</v>
      </c>
      <c r="B901" s="34">
        <v>903</v>
      </c>
      <c r="C901" s="55" t="s">
        <v>8310</v>
      </c>
      <c r="D901" s="56" t="s">
        <v>26</v>
      </c>
      <c r="E901" s="56" t="s">
        <v>6480</v>
      </c>
      <c r="F901" s="26" t="s">
        <v>3923</v>
      </c>
      <c r="G901" s="26" t="s">
        <v>16</v>
      </c>
      <c r="H901" s="26" t="s">
        <v>13</v>
      </c>
      <c r="I901" s="26" t="s">
        <v>3924</v>
      </c>
      <c r="J901" s="26" t="s">
        <v>8313</v>
      </c>
      <c r="K901" s="26" t="s">
        <v>6445</v>
      </c>
      <c r="L901" s="26" t="s">
        <v>6493</v>
      </c>
      <c r="M901" s="55" t="s">
        <v>8314</v>
      </c>
      <c r="N901" s="26" t="s">
        <v>3924</v>
      </c>
    </row>
    <row r="902" spans="1:14" ht="75" customHeight="1" thickTop="1" thickBot="1">
      <c r="A902" s="26">
        <v>900</v>
      </c>
      <c r="B902" s="26">
        <v>904</v>
      </c>
      <c r="C902" s="55" t="s">
        <v>8315</v>
      </c>
      <c r="D902" s="56" t="s">
        <v>26</v>
      </c>
      <c r="E902" s="56" t="s">
        <v>6480</v>
      </c>
      <c r="F902" s="26" t="s">
        <v>3923</v>
      </c>
      <c r="G902" s="26" t="s">
        <v>16</v>
      </c>
      <c r="H902" s="26" t="s">
        <v>13</v>
      </c>
      <c r="I902" s="26" t="s">
        <v>3924</v>
      </c>
      <c r="J902" s="26" t="s">
        <v>8313</v>
      </c>
      <c r="K902" s="26" t="s">
        <v>6445</v>
      </c>
      <c r="L902" s="26" t="s">
        <v>3927</v>
      </c>
      <c r="M902" s="55" t="s">
        <v>8316</v>
      </c>
      <c r="N902" s="26" t="s">
        <v>3924</v>
      </c>
    </row>
    <row r="903" spans="1:14" ht="75" customHeight="1" thickTop="1" thickBot="1">
      <c r="A903" s="34">
        <v>901</v>
      </c>
      <c r="B903" s="34">
        <v>905</v>
      </c>
      <c r="C903" s="55" t="s">
        <v>8315</v>
      </c>
      <c r="D903" s="56" t="s">
        <v>26</v>
      </c>
      <c r="E903" s="56" t="s">
        <v>6480</v>
      </c>
      <c r="F903" s="26" t="s">
        <v>3923</v>
      </c>
      <c r="G903" s="26" t="s">
        <v>16</v>
      </c>
      <c r="H903" s="26" t="s">
        <v>13</v>
      </c>
      <c r="I903" s="26" t="s">
        <v>3924</v>
      </c>
      <c r="J903" s="26" t="s">
        <v>8317</v>
      </c>
      <c r="K903" s="26" t="s">
        <v>6445</v>
      </c>
      <c r="L903" s="26" t="s">
        <v>6455</v>
      </c>
      <c r="M903" s="55" t="s">
        <v>8318</v>
      </c>
      <c r="N903" s="26" t="s">
        <v>3924</v>
      </c>
    </row>
    <row r="904" spans="1:14" ht="75" customHeight="1" thickTop="1" thickBot="1">
      <c r="A904" s="26">
        <v>902</v>
      </c>
      <c r="B904" s="26">
        <v>906</v>
      </c>
      <c r="C904" s="55" t="s">
        <v>8319</v>
      </c>
      <c r="D904" s="56" t="s">
        <v>26</v>
      </c>
      <c r="E904" s="56" t="s">
        <v>6480</v>
      </c>
      <c r="F904" s="26" t="s">
        <v>3923</v>
      </c>
      <c r="G904" s="26" t="s">
        <v>16</v>
      </c>
      <c r="H904" s="26" t="s">
        <v>13</v>
      </c>
      <c r="I904" s="26" t="s">
        <v>3924</v>
      </c>
      <c r="J904" s="26" t="s">
        <v>8317</v>
      </c>
      <c r="K904" s="26" t="s">
        <v>6445</v>
      </c>
      <c r="L904" s="26" t="s">
        <v>6455</v>
      </c>
      <c r="M904" s="55" t="s">
        <v>8320</v>
      </c>
      <c r="N904" s="26" t="s">
        <v>3924</v>
      </c>
    </row>
    <row r="905" spans="1:14" ht="75" customHeight="1" thickTop="1" thickBot="1">
      <c r="A905" s="34">
        <v>903</v>
      </c>
      <c r="B905" s="34">
        <v>907</v>
      </c>
      <c r="C905" s="55" t="s">
        <v>8319</v>
      </c>
      <c r="D905" s="56" t="s">
        <v>26</v>
      </c>
      <c r="E905" s="56" t="s">
        <v>6480</v>
      </c>
      <c r="F905" s="26" t="s">
        <v>3923</v>
      </c>
      <c r="G905" s="26" t="s">
        <v>16</v>
      </c>
      <c r="H905" s="26" t="s">
        <v>13</v>
      </c>
      <c r="I905" s="26" t="s">
        <v>3924</v>
      </c>
      <c r="J905" s="26" t="s">
        <v>8317</v>
      </c>
      <c r="K905" s="26" t="s">
        <v>6445</v>
      </c>
      <c r="L905" s="26" t="s">
        <v>6877</v>
      </c>
      <c r="M905" s="55" t="s">
        <v>8314</v>
      </c>
      <c r="N905" s="26" t="s">
        <v>3924</v>
      </c>
    </row>
    <row r="906" spans="1:14" ht="75" customHeight="1" thickTop="1" thickBot="1">
      <c r="A906" s="26">
        <v>904</v>
      </c>
      <c r="B906" s="26">
        <v>908</v>
      </c>
      <c r="C906" s="55" t="s">
        <v>8313</v>
      </c>
      <c r="D906" s="56" t="s">
        <v>26</v>
      </c>
      <c r="E906" s="56" t="s">
        <v>6480</v>
      </c>
      <c r="F906" s="26" t="s">
        <v>3923</v>
      </c>
      <c r="G906" s="26" t="s">
        <v>16</v>
      </c>
      <c r="H906" s="26" t="s">
        <v>13</v>
      </c>
      <c r="I906" s="26" t="s">
        <v>3924</v>
      </c>
      <c r="J906" s="26" t="s">
        <v>8317</v>
      </c>
      <c r="K906" s="26" t="s">
        <v>6445</v>
      </c>
      <c r="L906" s="26" t="s">
        <v>6877</v>
      </c>
      <c r="M906" s="55" t="s">
        <v>8321</v>
      </c>
      <c r="N906" s="26" t="s">
        <v>3924</v>
      </c>
    </row>
    <row r="907" spans="1:14" ht="75" customHeight="1" thickTop="1" thickBot="1">
      <c r="A907" s="34">
        <v>905</v>
      </c>
      <c r="B907" s="34">
        <v>909</v>
      </c>
      <c r="C907" s="55" t="s">
        <v>8322</v>
      </c>
      <c r="D907" s="56" t="s">
        <v>26</v>
      </c>
      <c r="E907" s="56" t="s">
        <v>6438</v>
      </c>
      <c r="F907" s="26" t="s">
        <v>3995</v>
      </c>
      <c r="G907" s="26" t="s">
        <v>12</v>
      </c>
      <c r="H907" s="26" t="s">
        <v>13</v>
      </c>
      <c r="I907" s="26" t="s">
        <v>3924</v>
      </c>
      <c r="J907" s="26" t="s">
        <v>8323</v>
      </c>
      <c r="K907" s="26" t="s">
        <v>6440</v>
      </c>
      <c r="L907" s="26" t="s">
        <v>6435</v>
      </c>
      <c r="M907" s="55" t="s">
        <v>8324</v>
      </c>
      <c r="N907" s="26" t="s">
        <v>3924</v>
      </c>
    </row>
    <row r="908" spans="1:14" ht="75" customHeight="1" thickTop="1" thickBot="1">
      <c r="A908" s="26">
        <v>906</v>
      </c>
      <c r="B908" s="26">
        <v>910</v>
      </c>
      <c r="C908" s="55" t="s">
        <v>8325</v>
      </c>
      <c r="D908" s="56" t="s">
        <v>26</v>
      </c>
      <c r="E908" s="56" t="s">
        <v>27</v>
      </c>
      <c r="F908" s="26" t="s">
        <v>3995</v>
      </c>
      <c r="G908" s="26" t="s">
        <v>1419</v>
      </c>
      <c r="H908" s="26" t="s">
        <v>13</v>
      </c>
      <c r="I908" s="26" t="s">
        <v>3924</v>
      </c>
      <c r="J908" s="26" t="s">
        <v>8326</v>
      </c>
      <c r="K908" s="26" t="s">
        <v>6552</v>
      </c>
      <c r="L908" s="26" t="s">
        <v>6435</v>
      </c>
      <c r="M908" s="55" t="s">
        <v>8327</v>
      </c>
      <c r="N908" s="26" t="s">
        <v>3924</v>
      </c>
    </row>
    <row r="909" spans="1:14" ht="75" customHeight="1" thickTop="1" thickBot="1">
      <c r="A909" s="34">
        <v>907</v>
      </c>
      <c r="B909" s="34">
        <v>911</v>
      </c>
      <c r="C909" s="55" t="s">
        <v>8328</v>
      </c>
      <c r="D909" s="56" t="s">
        <v>26</v>
      </c>
      <c r="E909" s="56" t="s">
        <v>27</v>
      </c>
      <c r="F909" s="26" t="s">
        <v>3995</v>
      </c>
      <c r="G909" s="26" t="s">
        <v>1419</v>
      </c>
      <c r="H909" s="26" t="s">
        <v>13</v>
      </c>
      <c r="I909" s="26" t="s">
        <v>3924</v>
      </c>
      <c r="J909" s="26" t="s">
        <v>8326</v>
      </c>
      <c r="K909" s="26" t="s">
        <v>6552</v>
      </c>
      <c r="L909" s="26" t="s">
        <v>6435</v>
      </c>
      <c r="M909" s="55" t="s">
        <v>8329</v>
      </c>
      <c r="N909" s="26" t="s">
        <v>3924</v>
      </c>
    </row>
    <row r="910" spans="1:14" ht="75" customHeight="1" thickTop="1" thickBot="1">
      <c r="A910" s="26">
        <v>908</v>
      </c>
      <c r="B910" s="26">
        <v>912</v>
      </c>
      <c r="C910" s="55" t="s">
        <v>8330</v>
      </c>
      <c r="D910" s="56" t="s">
        <v>26</v>
      </c>
      <c r="E910" s="56" t="s">
        <v>27</v>
      </c>
      <c r="F910" s="26" t="s">
        <v>3995</v>
      </c>
      <c r="G910" s="26" t="s">
        <v>1419</v>
      </c>
      <c r="H910" s="26" t="s">
        <v>13</v>
      </c>
      <c r="I910" s="26" t="s">
        <v>3924</v>
      </c>
      <c r="J910" s="26" t="s">
        <v>8326</v>
      </c>
      <c r="K910" s="26" t="s">
        <v>8331</v>
      </c>
      <c r="L910" s="26" t="s">
        <v>3924</v>
      </c>
      <c r="M910" s="55" t="s">
        <v>8332</v>
      </c>
      <c r="N910" s="26" t="s">
        <v>3924</v>
      </c>
    </row>
    <row r="911" spans="1:14" ht="75" customHeight="1" thickTop="1" thickBot="1">
      <c r="A911" s="34">
        <v>909</v>
      </c>
      <c r="B911" s="34">
        <v>913</v>
      </c>
      <c r="C911" s="55" t="s">
        <v>8333</v>
      </c>
      <c r="D911" s="56" t="s">
        <v>26</v>
      </c>
      <c r="E911" s="56" t="s">
        <v>6480</v>
      </c>
      <c r="F911" s="26" t="s">
        <v>3923</v>
      </c>
      <c r="G911" s="26" t="s">
        <v>16</v>
      </c>
      <c r="H911" s="26" t="s">
        <v>13</v>
      </c>
      <c r="I911" s="26" t="s">
        <v>3924</v>
      </c>
      <c r="J911" s="26" t="s">
        <v>8334</v>
      </c>
      <c r="K911" s="26" t="s">
        <v>6440</v>
      </c>
      <c r="L911" s="26" t="s">
        <v>7628</v>
      </c>
      <c r="M911" s="55" t="s">
        <v>8335</v>
      </c>
      <c r="N911" s="26" t="s">
        <v>3924</v>
      </c>
    </row>
    <row r="912" spans="1:14" ht="75" customHeight="1" thickTop="1" thickBot="1">
      <c r="A912" s="26">
        <v>910</v>
      </c>
      <c r="B912" s="26">
        <v>914</v>
      </c>
      <c r="C912" s="55" t="s">
        <v>8334</v>
      </c>
      <c r="D912" s="56" t="s">
        <v>26</v>
      </c>
      <c r="E912" s="56" t="s">
        <v>6480</v>
      </c>
      <c r="F912" s="26" t="s">
        <v>3923</v>
      </c>
      <c r="G912" s="26" t="s">
        <v>16</v>
      </c>
      <c r="H912" s="26" t="s">
        <v>13</v>
      </c>
      <c r="I912" s="26" t="s">
        <v>3924</v>
      </c>
      <c r="J912" s="26" t="s">
        <v>8336</v>
      </c>
      <c r="K912" s="26" t="s">
        <v>6445</v>
      </c>
      <c r="L912" s="26" t="s">
        <v>6451</v>
      </c>
      <c r="M912" s="55" t="s">
        <v>8337</v>
      </c>
      <c r="N912" s="26" t="s">
        <v>3924</v>
      </c>
    </row>
    <row r="913" spans="1:14" ht="75" customHeight="1" thickTop="1" thickBot="1">
      <c r="A913" s="34">
        <v>911</v>
      </c>
      <c r="B913" s="34">
        <v>915</v>
      </c>
      <c r="C913" s="55" t="s">
        <v>8338</v>
      </c>
      <c r="D913" s="56" t="s">
        <v>26</v>
      </c>
      <c r="E913" s="56" t="s">
        <v>6461</v>
      </c>
      <c r="F913" s="26" t="s">
        <v>3923</v>
      </c>
      <c r="G913" s="26" t="s">
        <v>16</v>
      </c>
      <c r="H913" s="26" t="s">
        <v>13</v>
      </c>
      <c r="I913" s="26" t="s">
        <v>3924</v>
      </c>
      <c r="J913" s="26" t="s">
        <v>8229</v>
      </c>
      <c r="K913" s="26" t="s">
        <v>6552</v>
      </c>
      <c r="L913" s="26" t="s">
        <v>8339</v>
      </c>
      <c r="M913" s="55" t="s">
        <v>8340</v>
      </c>
      <c r="N913" s="26" t="s">
        <v>3924</v>
      </c>
    </row>
    <row r="914" spans="1:14" ht="75" customHeight="1" thickTop="1" thickBot="1">
      <c r="A914" s="26">
        <v>912</v>
      </c>
      <c r="B914" s="26">
        <v>916</v>
      </c>
      <c r="C914" s="55" t="s">
        <v>8341</v>
      </c>
      <c r="D914" s="56" t="s">
        <v>26</v>
      </c>
      <c r="E914" s="56" t="s">
        <v>6586</v>
      </c>
      <c r="F914" s="26" t="s">
        <v>3923</v>
      </c>
      <c r="G914" s="26" t="s">
        <v>12</v>
      </c>
      <c r="H914" s="26" t="s">
        <v>13</v>
      </c>
      <c r="I914" s="26" t="s">
        <v>3924</v>
      </c>
      <c r="J914" s="26" t="s">
        <v>8342</v>
      </c>
      <c r="K914" s="26" t="s">
        <v>6434</v>
      </c>
      <c r="L914" s="26" t="s">
        <v>4942</v>
      </c>
      <c r="M914" s="55" t="s">
        <v>8343</v>
      </c>
      <c r="N914" s="26" t="s">
        <v>3924</v>
      </c>
    </row>
    <row r="915" spans="1:14" ht="75" customHeight="1" thickTop="1" thickBot="1">
      <c r="A915" s="34">
        <v>913</v>
      </c>
      <c r="B915" s="34">
        <v>917</v>
      </c>
      <c r="C915" s="55" t="s">
        <v>8344</v>
      </c>
      <c r="D915" s="56" t="s">
        <v>26</v>
      </c>
      <c r="E915" s="56" t="s">
        <v>6586</v>
      </c>
      <c r="F915" s="26" t="s">
        <v>3923</v>
      </c>
      <c r="G915" s="26" t="s">
        <v>12</v>
      </c>
      <c r="H915" s="26" t="s">
        <v>13</v>
      </c>
      <c r="I915" s="26" t="s">
        <v>3924</v>
      </c>
      <c r="J915" s="26" t="s">
        <v>8345</v>
      </c>
      <c r="K915" s="26" t="s">
        <v>7717</v>
      </c>
      <c r="L915" s="26" t="s">
        <v>8346</v>
      </c>
      <c r="M915" s="55" t="s">
        <v>8347</v>
      </c>
      <c r="N915" s="26" t="s">
        <v>3924</v>
      </c>
    </row>
    <row r="916" spans="1:14" ht="75" customHeight="1" thickTop="1" thickBot="1">
      <c r="A916" s="26">
        <v>914</v>
      </c>
      <c r="B916" s="26">
        <v>918</v>
      </c>
      <c r="C916" s="55" t="s">
        <v>8348</v>
      </c>
      <c r="D916" s="56" t="s">
        <v>26</v>
      </c>
      <c r="E916" s="56" t="s">
        <v>6586</v>
      </c>
      <c r="F916" s="26" t="s">
        <v>3923</v>
      </c>
      <c r="G916" s="26" t="s">
        <v>12</v>
      </c>
      <c r="H916" s="26" t="s">
        <v>13</v>
      </c>
      <c r="I916" s="26" t="s">
        <v>3924</v>
      </c>
      <c r="J916" s="26" t="s">
        <v>8349</v>
      </c>
      <c r="K916" s="26" t="s">
        <v>3954</v>
      </c>
      <c r="L916" s="26" t="s">
        <v>3927</v>
      </c>
      <c r="M916" s="55" t="s">
        <v>8350</v>
      </c>
      <c r="N916" s="26" t="s">
        <v>3924</v>
      </c>
    </row>
    <row r="917" spans="1:14" ht="75" customHeight="1" thickTop="1" thickBot="1">
      <c r="A917" s="34">
        <v>915</v>
      </c>
      <c r="B917" s="34">
        <v>919</v>
      </c>
      <c r="C917" s="55" t="s">
        <v>8348</v>
      </c>
      <c r="D917" s="56" t="s">
        <v>26</v>
      </c>
      <c r="E917" s="56" t="s">
        <v>6586</v>
      </c>
      <c r="F917" s="26" t="s">
        <v>3923</v>
      </c>
      <c r="G917" s="26" t="s">
        <v>12</v>
      </c>
      <c r="H917" s="26" t="s">
        <v>13</v>
      </c>
      <c r="I917" s="26" t="s">
        <v>3924</v>
      </c>
      <c r="J917" s="26" t="s">
        <v>8351</v>
      </c>
      <c r="K917" s="26" t="s">
        <v>3954</v>
      </c>
      <c r="L917" s="26" t="s">
        <v>3927</v>
      </c>
      <c r="M917" s="55" t="s">
        <v>8352</v>
      </c>
      <c r="N917" s="26" t="s">
        <v>3924</v>
      </c>
    </row>
    <row r="918" spans="1:14" ht="75" customHeight="1" thickTop="1" thickBot="1">
      <c r="A918" s="26">
        <v>916</v>
      </c>
      <c r="B918" s="26">
        <v>920</v>
      </c>
      <c r="C918" s="55" t="s">
        <v>8353</v>
      </c>
      <c r="D918" s="56" t="s">
        <v>26</v>
      </c>
      <c r="E918" s="56" t="s">
        <v>6586</v>
      </c>
      <c r="F918" s="26" t="s">
        <v>3923</v>
      </c>
      <c r="G918" s="26" t="s">
        <v>12</v>
      </c>
      <c r="H918" s="26" t="s">
        <v>13</v>
      </c>
      <c r="I918" s="26" t="s">
        <v>3924</v>
      </c>
      <c r="J918" s="26" t="s">
        <v>8354</v>
      </c>
      <c r="K918" s="26" t="s">
        <v>6440</v>
      </c>
      <c r="L918" s="26" t="s">
        <v>7561</v>
      </c>
      <c r="M918" s="55" t="s">
        <v>8355</v>
      </c>
      <c r="N918" s="26" t="s">
        <v>3924</v>
      </c>
    </row>
    <row r="919" spans="1:14" ht="75" customHeight="1" thickTop="1" thickBot="1">
      <c r="A919" s="34">
        <v>917</v>
      </c>
      <c r="B919" s="34">
        <v>921</v>
      </c>
      <c r="C919" s="55" t="s">
        <v>8353</v>
      </c>
      <c r="D919" s="56" t="s">
        <v>26</v>
      </c>
      <c r="E919" s="56" t="s">
        <v>6586</v>
      </c>
      <c r="F919" s="26" t="s">
        <v>3923</v>
      </c>
      <c r="G919" s="26" t="s">
        <v>12</v>
      </c>
      <c r="H919" s="26" t="s">
        <v>13</v>
      </c>
      <c r="I919" s="26" t="s">
        <v>3924</v>
      </c>
      <c r="J919" s="26" t="s">
        <v>8356</v>
      </c>
      <c r="K919" s="26" t="s">
        <v>6440</v>
      </c>
      <c r="L919" s="26" t="s">
        <v>7249</v>
      </c>
      <c r="M919" s="55" t="s">
        <v>8355</v>
      </c>
      <c r="N919" s="26" t="s">
        <v>3924</v>
      </c>
    </row>
    <row r="920" spans="1:14" ht="75" customHeight="1" thickTop="1" thickBot="1">
      <c r="A920" s="26">
        <v>918</v>
      </c>
      <c r="B920" s="26">
        <v>922</v>
      </c>
      <c r="C920" s="55" t="s">
        <v>8357</v>
      </c>
      <c r="D920" s="56" t="s">
        <v>26</v>
      </c>
      <c r="E920" s="56" t="s">
        <v>6586</v>
      </c>
      <c r="F920" s="26" t="s">
        <v>3923</v>
      </c>
      <c r="G920" s="26" t="s">
        <v>12</v>
      </c>
      <c r="H920" s="26" t="s">
        <v>13</v>
      </c>
      <c r="I920" s="26" t="s">
        <v>3924</v>
      </c>
      <c r="J920" s="26" t="s">
        <v>8356</v>
      </c>
      <c r="K920" s="26" t="s">
        <v>8035</v>
      </c>
      <c r="L920" s="26" t="s">
        <v>8346</v>
      </c>
      <c r="M920" s="55" t="s">
        <v>8347</v>
      </c>
      <c r="N920" s="26" t="s">
        <v>3924</v>
      </c>
    </row>
    <row r="921" spans="1:14" ht="75" customHeight="1" thickTop="1" thickBot="1">
      <c r="A921" s="34">
        <v>919</v>
      </c>
      <c r="B921" s="34">
        <v>923</v>
      </c>
      <c r="C921" s="55" t="s">
        <v>8357</v>
      </c>
      <c r="D921" s="56" t="s">
        <v>26</v>
      </c>
      <c r="E921" s="56" t="s">
        <v>6586</v>
      </c>
      <c r="F921" s="26" t="s">
        <v>3923</v>
      </c>
      <c r="G921" s="26" t="s">
        <v>12</v>
      </c>
      <c r="H921" s="26" t="s">
        <v>13</v>
      </c>
      <c r="I921" s="26" t="s">
        <v>3924</v>
      </c>
      <c r="J921" s="26" t="s">
        <v>8358</v>
      </c>
      <c r="K921" s="26" t="s">
        <v>3954</v>
      </c>
      <c r="L921" s="26" t="s">
        <v>3927</v>
      </c>
      <c r="M921" s="55" t="s">
        <v>8359</v>
      </c>
      <c r="N921" s="26" t="s">
        <v>3924</v>
      </c>
    </row>
    <row r="922" spans="1:14" ht="75" customHeight="1" thickTop="1" thickBot="1">
      <c r="A922" s="26">
        <v>920</v>
      </c>
      <c r="B922" s="26">
        <v>924</v>
      </c>
      <c r="C922" s="55" t="s">
        <v>8360</v>
      </c>
      <c r="D922" s="56" t="s">
        <v>26</v>
      </c>
      <c r="E922" s="56" t="s">
        <v>6586</v>
      </c>
      <c r="F922" s="26" t="s">
        <v>3923</v>
      </c>
      <c r="G922" s="26" t="s">
        <v>12</v>
      </c>
      <c r="H922" s="26" t="s">
        <v>13</v>
      </c>
      <c r="I922" s="26" t="s">
        <v>3924</v>
      </c>
      <c r="J922" s="26" t="s">
        <v>8361</v>
      </c>
      <c r="K922" s="26" t="s">
        <v>3954</v>
      </c>
      <c r="L922" s="26" t="s">
        <v>3927</v>
      </c>
      <c r="M922" s="55" t="s">
        <v>8362</v>
      </c>
      <c r="N922" s="26" t="s">
        <v>3924</v>
      </c>
    </row>
    <row r="923" spans="1:14" ht="75" customHeight="1" thickTop="1" thickBot="1">
      <c r="A923" s="34">
        <v>921</v>
      </c>
      <c r="B923" s="34">
        <v>925</v>
      </c>
      <c r="C923" s="55" t="s">
        <v>8360</v>
      </c>
      <c r="D923" s="56" t="s">
        <v>26</v>
      </c>
      <c r="E923" s="56" t="s">
        <v>6586</v>
      </c>
      <c r="F923" s="26" t="s">
        <v>3923</v>
      </c>
      <c r="G923" s="26" t="s">
        <v>12</v>
      </c>
      <c r="H923" s="26" t="s">
        <v>13</v>
      </c>
      <c r="I923" s="26" t="s">
        <v>3924</v>
      </c>
      <c r="J923" s="26" t="s">
        <v>8361</v>
      </c>
      <c r="K923" s="26" t="s">
        <v>6434</v>
      </c>
      <c r="L923" s="26" t="s">
        <v>6805</v>
      </c>
      <c r="M923" s="55" t="s">
        <v>8363</v>
      </c>
      <c r="N923" s="26" t="s">
        <v>3924</v>
      </c>
    </row>
    <row r="924" spans="1:14" ht="75" customHeight="1" thickTop="1" thickBot="1">
      <c r="A924" s="26">
        <v>922</v>
      </c>
      <c r="B924" s="26">
        <v>926</v>
      </c>
      <c r="C924" s="55" t="s">
        <v>8364</v>
      </c>
      <c r="D924" s="56" t="s">
        <v>26</v>
      </c>
      <c r="E924" s="56" t="s">
        <v>6586</v>
      </c>
      <c r="F924" s="26" t="s">
        <v>3923</v>
      </c>
      <c r="G924" s="26" t="s">
        <v>12</v>
      </c>
      <c r="H924" s="26" t="s">
        <v>13</v>
      </c>
      <c r="I924" s="26" t="s">
        <v>3924</v>
      </c>
      <c r="J924" s="26" t="s">
        <v>8365</v>
      </c>
      <c r="K924" s="26" t="s">
        <v>6440</v>
      </c>
      <c r="L924" s="26" t="s">
        <v>7352</v>
      </c>
      <c r="M924" s="55" t="s">
        <v>8366</v>
      </c>
      <c r="N924" s="26" t="s">
        <v>3924</v>
      </c>
    </row>
    <row r="925" spans="1:14" ht="75" customHeight="1" thickTop="1" thickBot="1">
      <c r="A925" s="34">
        <v>923</v>
      </c>
      <c r="B925" s="34">
        <v>927</v>
      </c>
      <c r="C925" s="55" t="s">
        <v>8364</v>
      </c>
      <c r="D925" s="56" t="s">
        <v>26</v>
      </c>
      <c r="E925" s="56" t="s">
        <v>6586</v>
      </c>
      <c r="F925" s="26" t="s">
        <v>3923</v>
      </c>
      <c r="G925" s="26" t="s">
        <v>12</v>
      </c>
      <c r="H925" s="26" t="s">
        <v>13</v>
      </c>
      <c r="I925" s="26" t="s">
        <v>3924</v>
      </c>
      <c r="J925" s="26" t="s">
        <v>8365</v>
      </c>
      <c r="K925" s="26" t="s">
        <v>6440</v>
      </c>
      <c r="L925" s="26" t="s">
        <v>6455</v>
      </c>
      <c r="M925" s="55" t="s">
        <v>8366</v>
      </c>
      <c r="N925" s="26" t="s">
        <v>3924</v>
      </c>
    </row>
    <row r="926" spans="1:14" ht="75" customHeight="1" thickTop="1" thickBot="1">
      <c r="A926" s="26">
        <v>924</v>
      </c>
      <c r="B926" s="26">
        <v>928</v>
      </c>
      <c r="C926" s="55" t="s">
        <v>8364</v>
      </c>
      <c r="D926" s="56" t="s">
        <v>26</v>
      </c>
      <c r="E926" s="56" t="s">
        <v>6586</v>
      </c>
      <c r="F926" s="26" t="s">
        <v>3923</v>
      </c>
      <c r="G926" s="26" t="s">
        <v>12</v>
      </c>
      <c r="H926" s="26" t="s">
        <v>13</v>
      </c>
      <c r="I926" s="26" t="s">
        <v>3924</v>
      </c>
      <c r="J926" s="26" t="s">
        <v>8367</v>
      </c>
      <c r="K926" s="26" t="s">
        <v>6440</v>
      </c>
      <c r="L926" s="26" t="s">
        <v>7385</v>
      </c>
      <c r="M926" s="55" t="s">
        <v>8366</v>
      </c>
      <c r="N926" s="26" t="s">
        <v>3924</v>
      </c>
    </row>
    <row r="927" spans="1:14" ht="75" customHeight="1" thickTop="1" thickBot="1">
      <c r="A927" s="34">
        <v>925</v>
      </c>
      <c r="B927" s="34">
        <v>929</v>
      </c>
      <c r="C927" s="55" t="s">
        <v>8368</v>
      </c>
      <c r="D927" s="56" t="s">
        <v>26</v>
      </c>
      <c r="E927" s="56" t="s">
        <v>6586</v>
      </c>
      <c r="F927" s="26" t="s">
        <v>3923</v>
      </c>
      <c r="G927" s="26" t="s">
        <v>12</v>
      </c>
      <c r="H927" s="26" t="s">
        <v>13</v>
      </c>
      <c r="I927" s="26" t="s">
        <v>3924</v>
      </c>
      <c r="J927" s="26" t="s">
        <v>8369</v>
      </c>
      <c r="K927" s="26" t="s">
        <v>6440</v>
      </c>
      <c r="L927" s="26" t="s">
        <v>7502</v>
      </c>
      <c r="M927" s="55" t="s">
        <v>8370</v>
      </c>
      <c r="N927" s="26" t="s">
        <v>3924</v>
      </c>
    </row>
    <row r="928" spans="1:14" ht="75" customHeight="1" thickTop="1" thickBot="1">
      <c r="A928" s="26">
        <v>926</v>
      </c>
      <c r="B928" s="26">
        <v>930</v>
      </c>
      <c r="C928" s="55" t="s">
        <v>8371</v>
      </c>
      <c r="D928" s="56" t="s">
        <v>26</v>
      </c>
      <c r="E928" s="56" t="s">
        <v>6586</v>
      </c>
      <c r="F928" s="26" t="s">
        <v>3923</v>
      </c>
      <c r="G928" s="26" t="s">
        <v>12</v>
      </c>
      <c r="H928" s="26" t="s">
        <v>13</v>
      </c>
      <c r="I928" s="26" t="s">
        <v>3924</v>
      </c>
      <c r="J928" s="26" t="s">
        <v>8369</v>
      </c>
      <c r="K928" s="26" t="s">
        <v>3954</v>
      </c>
      <c r="L928" s="26" t="s">
        <v>3927</v>
      </c>
      <c r="M928" s="55" t="s">
        <v>8372</v>
      </c>
      <c r="N928" s="26" t="s">
        <v>3924</v>
      </c>
    </row>
    <row r="929" spans="1:14" ht="75" customHeight="1" thickTop="1" thickBot="1">
      <c r="A929" s="34">
        <v>927</v>
      </c>
      <c r="B929" s="34">
        <v>931</v>
      </c>
      <c r="C929" s="55" t="s">
        <v>8371</v>
      </c>
      <c r="D929" s="56" t="s">
        <v>26</v>
      </c>
      <c r="E929" s="56" t="s">
        <v>6586</v>
      </c>
      <c r="F929" s="26" t="s">
        <v>3923</v>
      </c>
      <c r="G929" s="26" t="s">
        <v>12</v>
      </c>
      <c r="H929" s="26" t="s">
        <v>13</v>
      </c>
      <c r="I929" s="26" t="s">
        <v>3924</v>
      </c>
      <c r="J929" s="26" t="s">
        <v>8373</v>
      </c>
      <c r="K929" s="26" t="s">
        <v>3954</v>
      </c>
      <c r="L929" s="26" t="s">
        <v>6435</v>
      </c>
      <c r="M929" s="55" t="s">
        <v>8362</v>
      </c>
      <c r="N929" s="26" t="s">
        <v>3924</v>
      </c>
    </row>
    <row r="930" spans="1:14" ht="75" customHeight="1" thickTop="1" thickBot="1">
      <c r="A930" s="26">
        <v>928</v>
      </c>
      <c r="B930" s="26">
        <v>932</v>
      </c>
      <c r="C930" s="55" t="s">
        <v>8371</v>
      </c>
      <c r="D930" s="56" t="s">
        <v>26</v>
      </c>
      <c r="E930" s="56" t="s">
        <v>6586</v>
      </c>
      <c r="F930" s="26" t="s">
        <v>3923</v>
      </c>
      <c r="G930" s="26" t="s">
        <v>12</v>
      </c>
      <c r="H930" s="26" t="s">
        <v>13</v>
      </c>
      <c r="I930" s="26" t="s">
        <v>3924</v>
      </c>
      <c r="J930" s="26" t="s">
        <v>8373</v>
      </c>
      <c r="K930" s="26" t="s">
        <v>6483</v>
      </c>
      <c r="L930" s="26" t="s">
        <v>6451</v>
      </c>
      <c r="M930" s="55" t="s">
        <v>8374</v>
      </c>
      <c r="N930" s="26" t="s">
        <v>3924</v>
      </c>
    </row>
    <row r="931" spans="1:14" ht="75" customHeight="1" thickTop="1" thickBot="1">
      <c r="A931" s="34">
        <v>929</v>
      </c>
      <c r="B931" s="34">
        <v>933</v>
      </c>
      <c r="C931" s="55" t="s">
        <v>8375</v>
      </c>
      <c r="D931" s="56" t="s">
        <v>26</v>
      </c>
      <c r="E931" s="56" t="s">
        <v>6586</v>
      </c>
      <c r="F931" s="26" t="s">
        <v>3923</v>
      </c>
      <c r="G931" s="26" t="s">
        <v>12</v>
      </c>
      <c r="H931" s="26" t="s">
        <v>13</v>
      </c>
      <c r="I931" s="26" t="s">
        <v>3924</v>
      </c>
      <c r="J931" s="26" t="s">
        <v>8373</v>
      </c>
      <c r="K931" s="26" t="s">
        <v>6552</v>
      </c>
      <c r="L931" s="26" t="s">
        <v>8346</v>
      </c>
      <c r="M931" s="55" t="s">
        <v>8376</v>
      </c>
      <c r="N931" s="26" t="s">
        <v>3924</v>
      </c>
    </row>
    <row r="932" spans="1:14" ht="75" customHeight="1" thickTop="1" thickBot="1">
      <c r="A932" s="26">
        <v>930</v>
      </c>
      <c r="B932" s="26">
        <v>934</v>
      </c>
      <c r="C932" s="55" t="s">
        <v>8377</v>
      </c>
      <c r="D932" s="56" t="s">
        <v>26</v>
      </c>
      <c r="E932" s="56" t="s">
        <v>6586</v>
      </c>
      <c r="F932" s="26" t="s">
        <v>3923</v>
      </c>
      <c r="G932" s="26" t="s">
        <v>12</v>
      </c>
      <c r="H932" s="26" t="s">
        <v>13</v>
      </c>
      <c r="I932" s="26" t="s">
        <v>3924</v>
      </c>
      <c r="J932" s="26" t="s">
        <v>8378</v>
      </c>
      <c r="K932" s="26" t="s">
        <v>6434</v>
      </c>
      <c r="L932" s="26" t="s">
        <v>3927</v>
      </c>
      <c r="M932" s="55" t="s">
        <v>8379</v>
      </c>
      <c r="N932" s="26" t="s">
        <v>3924</v>
      </c>
    </row>
    <row r="933" spans="1:14" ht="75" customHeight="1" thickTop="1" thickBot="1">
      <c r="A933" s="34">
        <v>931</v>
      </c>
      <c r="B933" s="34">
        <v>935</v>
      </c>
      <c r="C933" s="55" t="s">
        <v>8377</v>
      </c>
      <c r="D933" s="56" t="s">
        <v>26</v>
      </c>
      <c r="E933" s="56" t="s">
        <v>6586</v>
      </c>
      <c r="F933" s="26" t="s">
        <v>3923</v>
      </c>
      <c r="G933" s="26" t="s">
        <v>12</v>
      </c>
      <c r="H933" s="26" t="s">
        <v>13</v>
      </c>
      <c r="I933" s="26" t="s">
        <v>3924</v>
      </c>
      <c r="J933" s="26" t="s">
        <v>8378</v>
      </c>
      <c r="K933" s="26" t="s">
        <v>6434</v>
      </c>
      <c r="L933" s="26" t="s">
        <v>6455</v>
      </c>
      <c r="M933" s="55" t="s">
        <v>8379</v>
      </c>
      <c r="N933" s="26" t="s">
        <v>3924</v>
      </c>
    </row>
    <row r="934" spans="1:14" ht="75" customHeight="1" thickTop="1" thickBot="1">
      <c r="A934" s="26">
        <v>932</v>
      </c>
      <c r="B934" s="26">
        <v>936</v>
      </c>
      <c r="C934" s="55" t="s">
        <v>8380</v>
      </c>
      <c r="D934" s="56" t="s">
        <v>26</v>
      </c>
      <c r="E934" s="56" t="s">
        <v>6586</v>
      </c>
      <c r="F934" s="26" t="s">
        <v>3923</v>
      </c>
      <c r="G934" s="26" t="s">
        <v>12</v>
      </c>
      <c r="H934" s="26" t="s">
        <v>13</v>
      </c>
      <c r="I934" s="26" t="s">
        <v>3924</v>
      </c>
      <c r="J934" s="26" t="s">
        <v>8378</v>
      </c>
      <c r="K934" s="26" t="s">
        <v>6434</v>
      </c>
      <c r="L934" s="26" t="s">
        <v>6877</v>
      </c>
      <c r="M934" s="55" t="s">
        <v>8379</v>
      </c>
      <c r="N934" s="26" t="s">
        <v>3924</v>
      </c>
    </row>
    <row r="935" spans="1:14" ht="75" customHeight="1" thickTop="1" thickBot="1">
      <c r="A935" s="34">
        <v>933</v>
      </c>
      <c r="B935" s="34">
        <v>937</v>
      </c>
      <c r="C935" s="55" t="s">
        <v>8381</v>
      </c>
      <c r="D935" s="56" t="s">
        <v>26</v>
      </c>
      <c r="E935" s="56" t="s">
        <v>6586</v>
      </c>
      <c r="F935" s="26" t="s">
        <v>3923</v>
      </c>
      <c r="G935" s="26" t="s">
        <v>12</v>
      </c>
      <c r="H935" s="26" t="s">
        <v>13</v>
      </c>
      <c r="I935" s="26" t="s">
        <v>3924</v>
      </c>
      <c r="J935" s="26" t="s">
        <v>8378</v>
      </c>
      <c r="K935" s="26" t="s">
        <v>6434</v>
      </c>
      <c r="L935" s="26" t="s">
        <v>4942</v>
      </c>
      <c r="M935" s="55" t="s">
        <v>8370</v>
      </c>
      <c r="N935" s="26" t="s">
        <v>3924</v>
      </c>
    </row>
    <row r="936" spans="1:14" ht="75" customHeight="1" thickTop="1" thickBot="1">
      <c r="A936" s="26">
        <v>934</v>
      </c>
      <c r="B936" s="26">
        <v>938</v>
      </c>
      <c r="C936" s="55" t="s">
        <v>8382</v>
      </c>
      <c r="D936" s="56" t="s">
        <v>26</v>
      </c>
      <c r="E936" s="56" t="s">
        <v>6586</v>
      </c>
      <c r="F936" s="26" t="s">
        <v>3923</v>
      </c>
      <c r="G936" s="26" t="s">
        <v>12</v>
      </c>
      <c r="H936" s="26" t="s">
        <v>13</v>
      </c>
      <c r="I936" s="26" t="s">
        <v>3924</v>
      </c>
      <c r="J936" s="26" t="s">
        <v>8378</v>
      </c>
      <c r="K936" s="26" t="s">
        <v>6483</v>
      </c>
      <c r="L936" s="26" t="s">
        <v>8383</v>
      </c>
      <c r="M936" s="55" t="s">
        <v>8384</v>
      </c>
      <c r="N936" s="26" t="s">
        <v>3924</v>
      </c>
    </row>
    <row r="937" spans="1:14" ht="75" customHeight="1" thickTop="1" thickBot="1">
      <c r="A937" s="34">
        <v>935</v>
      </c>
      <c r="B937" s="34">
        <v>939</v>
      </c>
      <c r="C937" s="55" t="s">
        <v>8385</v>
      </c>
      <c r="D937" s="56" t="s">
        <v>26</v>
      </c>
      <c r="E937" s="56" t="s">
        <v>6586</v>
      </c>
      <c r="F937" s="26" t="s">
        <v>3923</v>
      </c>
      <c r="G937" s="26" t="s">
        <v>12</v>
      </c>
      <c r="H937" s="26" t="s">
        <v>13</v>
      </c>
      <c r="I937" s="26" t="s">
        <v>3924</v>
      </c>
      <c r="J937" s="26" t="s">
        <v>8386</v>
      </c>
      <c r="K937" s="26" t="s">
        <v>6440</v>
      </c>
      <c r="L937" s="26" t="s">
        <v>6805</v>
      </c>
      <c r="M937" s="55" t="s">
        <v>8387</v>
      </c>
      <c r="N937" s="26" t="s">
        <v>3924</v>
      </c>
    </row>
    <row r="938" spans="1:14" ht="75" customHeight="1" thickTop="1" thickBot="1">
      <c r="A938" s="26">
        <v>936</v>
      </c>
      <c r="B938" s="26">
        <v>940</v>
      </c>
      <c r="C938" s="55" t="s">
        <v>8385</v>
      </c>
      <c r="D938" s="56" t="s">
        <v>26</v>
      </c>
      <c r="E938" s="56" t="s">
        <v>6586</v>
      </c>
      <c r="F938" s="26" t="s">
        <v>3923</v>
      </c>
      <c r="G938" s="26" t="s">
        <v>12</v>
      </c>
      <c r="H938" s="26" t="s">
        <v>13</v>
      </c>
      <c r="I938" s="26" t="s">
        <v>3924</v>
      </c>
      <c r="J938" s="26" t="s">
        <v>8386</v>
      </c>
      <c r="K938" s="26" t="s">
        <v>6440</v>
      </c>
      <c r="L938" s="26" t="s">
        <v>6435</v>
      </c>
      <c r="M938" s="55" t="s">
        <v>8388</v>
      </c>
      <c r="N938" s="26" t="s">
        <v>3924</v>
      </c>
    </row>
    <row r="939" spans="1:14" ht="75" customHeight="1" thickTop="1" thickBot="1">
      <c r="A939" s="34">
        <v>937</v>
      </c>
      <c r="B939" s="34">
        <v>941</v>
      </c>
      <c r="C939" s="55" t="s">
        <v>8389</v>
      </c>
      <c r="D939" s="56" t="s">
        <v>26</v>
      </c>
      <c r="E939" s="56" t="s">
        <v>6586</v>
      </c>
      <c r="F939" s="26" t="s">
        <v>3923</v>
      </c>
      <c r="G939" s="26" t="s">
        <v>12</v>
      </c>
      <c r="H939" s="26" t="s">
        <v>13</v>
      </c>
      <c r="I939" s="26" t="s">
        <v>3924</v>
      </c>
      <c r="J939" s="26" t="s">
        <v>8386</v>
      </c>
      <c r="K939" s="26" t="s">
        <v>3954</v>
      </c>
      <c r="L939" s="26" t="s">
        <v>3927</v>
      </c>
      <c r="M939" s="55" t="s">
        <v>8372</v>
      </c>
      <c r="N939" s="26" t="s">
        <v>3924</v>
      </c>
    </row>
    <row r="940" spans="1:14" ht="75" customHeight="1" thickTop="1" thickBot="1">
      <c r="A940" s="26">
        <v>938</v>
      </c>
      <c r="B940" s="26">
        <v>942</v>
      </c>
      <c r="C940" s="55" t="s">
        <v>8389</v>
      </c>
      <c r="D940" s="56" t="s">
        <v>26</v>
      </c>
      <c r="E940" s="56" t="s">
        <v>6586</v>
      </c>
      <c r="F940" s="26" t="s">
        <v>3923</v>
      </c>
      <c r="G940" s="26" t="s">
        <v>12</v>
      </c>
      <c r="H940" s="26" t="s">
        <v>13</v>
      </c>
      <c r="I940" s="26" t="s">
        <v>3924</v>
      </c>
      <c r="J940" s="26" t="s">
        <v>8386</v>
      </c>
      <c r="K940" s="26" t="s">
        <v>3954</v>
      </c>
      <c r="L940" s="26" t="s">
        <v>3927</v>
      </c>
      <c r="M940" s="55" t="s">
        <v>8362</v>
      </c>
      <c r="N940" s="26" t="s">
        <v>3924</v>
      </c>
    </row>
    <row r="941" spans="1:14" ht="75" customHeight="1" thickTop="1" thickBot="1">
      <c r="A941" s="34">
        <v>939</v>
      </c>
      <c r="B941" s="34">
        <v>943</v>
      </c>
      <c r="C941" s="55" t="s">
        <v>8390</v>
      </c>
      <c r="D941" s="56" t="s">
        <v>26</v>
      </c>
      <c r="E941" s="56" t="s">
        <v>6586</v>
      </c>
      <c r="F941" s="26" t="s">
        <v>3923</v>
      </c>
      <c r="G941" s="26" t="s">
        <v>12</v>
      </c>
      <c r="H941" s="26" t="s">
        <v>13</v>
      </c>
      <c r="I941" s="26" t="s">
        <v>3924</v>
      </c>
      <c r="J941" s="26" t="s">
        <v>8391</v>
      </c>
      <c r="K941" s="26" t="s">
        <v>6552</v>
      </c>
      <c r="L941" s="26" t="s">
        <v>6455</v>
      </c>
      <c r="M941" s="55" t="s">
        <v>8392</v>
      </c>
      <c r="N941" s="26" t="s">
        <v>3924</v>
      </c>
    </row>
    <row r="942" spans="1:14" ht="75" customHeight="1" thickTop="1" thickBot="1">
      <c r="A942" s="26">
        <v>940</v>
      </c>
      <c r="B942" s="26">
        <v>944</v>
      </c>
      <c r="C942" s="55" t="s">
        <v>8393</v>
      </c>
      <c r="D942" s="56" t="s">
        <v>26</v>
      </c>
      <c r="E942" s="56" t="s">
        <v>6586</v>
      </c>
      <c r="F942" s="26" t="s">
        <v>3923</v>
      </c>
      <c r="G942" s="26" t="s">
        <v>12</v>
      </c>
      <c r="H942" s="26" t="s">
        <v>13</v>
      </c>
      <c r="I942" s="26" t="s">
        <v>3924</v>
      </c>
      <c r="J942" s="26" t="s">
        <v>8391</v>
      </c>
      <c r="K942" s="26" t="s">
        <v>6434</v>
      </c>
      <c r="L942" s="26" t="s">
        <v>6435</v>
      </c>
      <c r="M942" s="55" t="s">
        <v>8394</v>
      </c>
      <c r="N942" s="26" t="s">
        <v>3924</v>
      </c>
    </row>
    <row r="943" spans="1:14" ht="75" customHeight="1" thickTop="1" thickBot="1">
      <c r="A943" s="34">
        <v>941</v>
      </c>
      <c r="B943" s="34">
        <v>945</v>
      </c>
      <c r="C943" s="55" t="s">
        <v>8393</v>
      </c>
      <c r="D943" s="56" t="s">
        <v>26</v>
      </c>
      <c r="E943" s="56" t="s">
        <v>6586</v>
      </c>
      <c r="F943" s="26" t="s">
        <v>3923</v>
      </c>
      <c r="G943" s="26" t="s">
        <v>12</v>
      </c>
      <c r="H943" s="26" t="s">
        <v>13</v>
      </c>
      <c r="I943" s="26" t="s">
        <v>3924</v>
      </c>
      <c r="J943" s="26" t="s">
        <v>8391</v>
      </c>
      <c r="K943" s="26" t="s">
        <v>3954</v>
      </c>
      <c r="L943" s="26" t="s">
        <v>3927</v>
      </c>
      <c r="M943" s="55" t="s">
        <v>8372</v>
      </c>
      <c r="N943" s="26" t="s">
        <v>3924</v>
      </c>
    </row>
    <row r="944" spans="1:14" ht="75" customHeight="1" thickTop="1" thickBot="1">
      <c r="A944" s="26">
        <v>942</v>
      </c>
      <c r="B944" s="26">
        <v>946</v>
      </c>
      <c r="C944" s="55" t="s">
        <v>8395</v>
      </c>
      <c r="D944" s="56" t="s">
        <v>26</v>
      </c>
      <c r="E944" s="56" t="s">
        <v>6586</v>
      </c>
      <c r="F944" s="26" t="s">
        <v>3923</v>
      </c>
      <c r="G944" s="26" t="s">
        <v>12</v>
      </c>
      <c r="H944" s="26" t="s">
        <v>13</v>
      </c>
      <c r="I944" s="26" t="s">
        <v>3924</v>
      </c>
      <c r="J944" s="26" t="s">
        <v>8396</v>
      </c>
      <c r="K944" s="26" t="s">
        <v>3954</v>
      </c>
      <c r="L944" s="26" t="s">
        <v>3927</v>
      </c>
      <c r="M944" s="55" t="s">
        <v>8362</v>
      </c>
      <c r="N944" s="26" t="s">
        <v>3924</v>
      </c>
    </row>
    <row r="945" spans="1:14" ht="75" customHeight="1" thickTop="1" thickBot="1">
      <c r="A945" s="34">
        <v>943</v>
      </c>
      <c r="B945" s="34">
        <v>947</v>
      </c>
      <c r="C945" s="55" t="s">
        <v>8397</v>
      </c>
      <c r="D945" s="56" t="s">
        <v>26</v>
      </c>
      <c r="E945" s="56" t="s">
        <v>6586</v>
      </c>
      <c r="F945" s="26" t="s">
        <v>3923</v>
      </c>
      <c r="G945" s="26" t="s">
        <v>12</v>
      </c>
      <c r="H945" s="26" t="s">
        <v>13</v>
      </c>
      <c r="I945" s="26" t="s">
        <v>3924</v>
      </c>
      <c r="J945" s="26" t="s">
        <v>8396</v>
      </c>
      <c r="K945" s="26" t="s">
        <v>6552</v>
      </c>
      <c r="L945" s="26" t="s">
        <v>3927</v>
      </c>
      <c r="M945" s="55" t="s">
        <v>8398</v>
      </c>
      <c r="N945" s="26" t="s">
        <v>3924</v>
      </c>
    </row>
    <row r="946" spans="1:14" ht="75" customHeight="1" thickTop="1" thickBot="1">
      <c r="A946" s="26">
        <v>944</v>
      </c>
      <c r="B946" s="26">
        <v>948</v>
      </c>
      <c r="C946" s="55" t="s">
        <v>8397</v>
      </c>
      <c r="D946" s="56" t="s">
        <v>26</v>
      </c>
      <c r="E946" s="56" t="s">
        <v>6586</v>
      </c>
      <c r="F946" s="26" t="s">
        <v>3923</v>
      </c>
      <c r="G946" s="26" t="s">
        <v>12</v>
      </c>
      <c r="H946" s="26" t="s">
        <v>13</v>
      </c>
      <c r="I946" s="26" t="s">
        <v>3924</v>
      </c>
      <c r="J946" s="26" t="s">
        <v>8396</v>
      </c>
      <c r="K946" s="26" t="s">
        <v>6552</v>
      </c>
      <c r="L946" s="26" t="s">
        <v>6455</v>
      </c>
      <c r="M946" s="55" t="s">
        <v>8398</v>
      </c>
      <c r="N946" s="26" t="s">
        <v>3924</v>
      </c>
    </row>
    <row r="947" spans="1:14" ht="75" customHeight="1" thickTop="1" thickBot="1">
      <c r="A947" s="34">
        <v>945</v>
      </c>
      <c r="B947" s="34">
        <v>949</v>
      </c>
      <c r="C947" s="55" t="s">
        <v>8397</v>
      </c>
      <c r="D947" s="56" t="s">
        <v>26</v>
      </c>
      <c r="E947" s="56" t="s">
        <v>6586</v>
      </c>
      <c r="F947" s="26" t="s">
        <v>3923</v>
      </c>
      <c r="G947" s="26" t="s">
        <v>12</v>
      </c>
      <c r="H947" s="26" t="s">
        <v>13</v>
      </c>
      <c r="I947" s="26" t="s">
        <v>3924</v>
      </c>
      <c r="J947" s="26" t="s">
        <v>8396</v>
      </c>
      <c r="K947" s="26" t="s">
        <v>6552</v>
      </c>
      <c r="L947" s="26" t="s">
        <v>6877</v>
      </c>
      <c r="M947" s="55" t="s">
        <v>8398</v>
      </c>
      <c r="N947" s="26" t="s">
        <v>3924</v>
      </c>
    </row>
    <row r="948" spans="1:14" ht="75" customHeight="1" thickTop="1" thickBot="1">
      <c r="A948" s="26">
        <v>946</v>
      </c>
      <c r="B948" s="26">
        <v>950</v>
      </c>
      <c r="C948" s="55" t="s">
        <v>8399</v>
      </c>
      <c r="D948" s="56" t="s">
        <v>26</v>
      </c>
      <c r="E948" s="56" t="s">
        <v>6586</v>
      </c>
      <c r="F948" s="26" t="s">
        <v>3923</v>
      </c>
      <c r="G948" s="26" t="s">
        <v>12</v>
      </c>
      <c r="H948" s="26" t="s">
        <v>13</v>
      </c>
      <c r="I948" s="26" t="s">
        <v>3924</v>
      </c>
      <c r="J948" s="26" t="s">
        <v>8396</v>
      </c>
      <c r="K948" s="26" t="s">
        <v>6434</v>
      </c>
      <c r="L948" s="26" t="s">
        <v>8400</v>
      </c>
      <c r="M948" s="55" t="s">
        <v>8401</v>
      </c>
      <c r="N948" s="26" t="s">
        <v>3924</v>
      </c>
    </row>
    <row r="949" spans="1:14" ht="75" customHeight="1" thickTop="1" thickBot="1">
      <c r="A949" s="34">
        <v>947</v>
      </c>
      <c r="B949" s="34">
        <v>951</v>
      </c>
      <c r="C949" s="55" t="s">
        <v>8402</v>
      </c>
      <c r="D949" s="56" t="s">
        <v>26</v>
      </c>
      <c r="E949" s="56" t="s">
        <v>6586</v>
      </c>
      <c r="F949" s="26" t="s">
        <v>3923</v>
      </c>
      <c r="G949" s="26" t="s">
        <v>12</v>
      </c>
      <c r="H949" s="26" t="s">
        <v>13</v>
      </c>
      <c r="I949" s="26" t="s">
        <v>3924</v>
      </c>
      <c r="J949" s="26" t="s">
        <v>8391</v>
      </c>
      <c r="K949" s="26" t="s">
        <v>6440</v>
      </c>
      <c r="L949" s="26" t="s">
        <v>6455</v>
      </c>
      <c r="M949" s="55" t="s">
        <v>8403</v>
      </c>
      <c r="N949" s="26" t="s">
        <v>3924</v>
      </c>
    </row>
    <row r="950" spans="1:14" ht="75" customHeight="1" thickTop="1" thickBot="1">
      <c r="A950" s="26">
        <v>948</v>
      </c>
      <c r="B950" s="26">
        <v>952</v>
      </c>
      <c r="C950" s="55" t="s">
        <v>8402</v>
      </c>
      <c r="D950" s="56" t="s">
        <v>26</v>
      </c>
      <c r="E950" s="56" t="s">
        <v>6586</v>
      </c>
      <c r="F950" s="26" t="s">
        <v>3923</v>
      </c>
      <c r="G950" s="26" t="s">
        <v>12</v>
      </c>
      <c r="H950" s="26" t="s">
        <v>13</v>
      </c>
      <c r="I950" s="26" t="s">
        <v>3924</v>
      </c>
      <c r="J950" s="26" t="s">
        <v>8404</v>
      </c>
      <c r="K950" s="26" t="s">
        <v>6445</v>
      </c>
      <c r="L950" s="26" t="s">
        <v>3927</v>
      </c>
      <c r="M950" s="55" t="s">
        <v>8405</v>
      </c>
      <c r="N950" s="26" t="s">
        <v>3924</v>
      </c>
    </row>
    <row r="951" spans="1:14" ht="75" customHeight="1" thickTop="1" thickBot="1">
      <c r="A951" s="34">
        <v>949</v>
      </c>
      <c r="B951" s="34">
        <v>953</v>
      </c>
      <c r="C951" s="55" t="s">
        <v>8402</v>
      </c>
      <c r="D951" s="56" t="s">
        <v>26</v>
      </c>
      <c r="E951" s="56" t="s">
        <v>6586</v>
      </c>
      <c r="F951" s="26" t="s">
        <v>3923</v>
      </c>
      <c r="G951" s="26" t="s">
        <v>12</v>
      </c>
      <c r="H951" s="26" t="s">
        <v>13</v>
      </c>
      <c r="I951" s="26" t="s">
        <v>3924</v>
      </c>
      <c r="J951" s="26" t="s">
        <v>8404</v>
      </c>
      <c r="K951" s="26" t="s">
        <v>6445</v>
      </c>
      <c r="L951" s="26" t="s">
        <v>7509</v>
      </c>
      <c r="M951" s="55" t="s">
        <v>8405</v>
      </c>
      <c r="N951" s="26" t="s">
        <v>3924</v>
      </c>
    </row>
    <row r="952" spans="1:14" ht="75" customHeight="1" thickTop="1" thickBot="1">
      <c r="A952" s="26">
        <v>950</v>
      </c>
      <c r="B952" s="26">
        <v>954</v>
      </c>
      <c r="C952" s="55" t="s">
        <v>8402</v>
      </c>
      <c r="D952" s="56" t="s">
        <v>26</v>
      </c>
      <c r="E952" s="56" t="s">
        <v>6586</v>
      </c>
      <c r="F952" s="26" t="s">
        <v>3923</v>
      </c>
      <c r="G952" s="26" t="s">
        <v>12</v>
      </c>
      <c r="H952" s="26" t="s">
        <v>13</v>
      </c>
      <c r="I952" s="26" t="s">
        <v>3924</v>
      </c>
      <c r="J952" s="26" t="s">
        <v>8404</v>
      </c>
      <c r="K952" s="26" t="s">
        <v>6445</v>
      </c>
      <c r="L952" s="26" t="s">
        <v>7385</v>
      </c>
      <c r="M952" s="55" t="s">
        <v>8406</v>
      </c>
      <c r="N952" s="26" t="s">
        <v>3924</v>
      </c>
    </row>
    <row r="953" spans="1:14" ht="75" customHeight="1" thickTop="1" thickBot="1">
      <c r="A953" s="34">
        <v>951</v>
      </c>
      <c r="B953" s="34">
        <v>955</v>
      </c>
      <c r="C953" s="55" t="s">
        <v>8407</v>
      </c>
      <c r="D953" s="56" t="s">
        <v>26</v>
      </c>
      <c r="E953" s="56" t="s">
        <v>6586</v>
      </c>
      <c r="F953" s="26" t="s">
        <v>3923</v>
      </c>
      <c r="G953" s="26" t="s">
        <v>12</v>
      </c>
      <c r="H953" s="26" t="s">
        <v>13</v>
      </c>
      <c r="I953" s="26" t="s">
        <v>3924</v>
      </c>
      <c r="J953" s="26" t="s">
        <v>8404</v>
      </c>
      <c r="K953" s="26" t="s">
        <v>3954</v>
      </c>
      <c r="L953" s="26" t="s">
        <v>3927</v>
      </c>
      <c r="M953" s="55" t="s">
        <v>8372</v>
      </c>
      <c r="N953" s="26" t="s">
        <v>3924</v>
      </c>
    </row>
    <row r="954" spans="1:14" ht="75" customHeight="1" thickTop="1" thickBot="1">
      <c r="A954" s="26">
        <v>952</v>
      </c>
      <c r="B954" s="26">
        <v>956</v>
      </c>
      <c r="C954" s="55" t="s">
        <v>8407</v>
      </c>
      <c r="D954" s="56" t="s">
        <v>26</v>
      </c>
      <c r="E954" s="56" t="s">
        <v>6586</v>
      </c>
      <c r="F954" s="26" t="s">
        <v>3923</v>
      </c>
      <c r="G954" s="26" t="s">
        <v>12</v>
      </c>
      <c r="H954" s="26" t="s">
        <v>13</v>
      </c>
      <c r="I954" s="26" t="s">
        <v>3924</v>
      </c>
      <c r="J954" s="26" t="s">
        <v>8404</v>
      </c>
      <c r="K954" s="26" t="s">
        <v>3954</v>
      </c>
      <c r="L954" s="26" t="s">
        <v>3927</v>
      </c>
      <c r="M954" s="55" t="s">
        <v>8362</v>
      </c>
      <c r="N954" s="26" t="s">
        <v>3924</v>
      </c>
    </row>
    <row r="955" spans="1:14" ht="75" customHeight="1" thickTop="1" thickBot="1">
      <c r="A955" s="34">
        <v>953</v>
      </c>
      <c r="B955" s="34">
        <v>957</v>
      </c>
      <c r="C955" s="55" t="s">
        <v>8407</v>
      </c>
      <c r="D955" s="56" t="s">
        <v>26</v>
      </c>
      <c r="E955" s="56" t="s">
        <v>6586</v>
      </c>
      <c r="F955" s="26" t="s">
        <v>3923</v>
      </c>
      <c r="G955" s="26" t="s">
        <v>12</v>
      </c>
      <c r="H955" s="26" t="s">
        <v>13</v>
      </c>
      <c r="I955" s="26" t="s">
        <v>3924</v>
      </c>
      <c r="J955" s="26" t="s">
        <v>8408</v>
      </c>
      <c r="K955" s="26" t="s">
        <v>6440</v>
      </c>
      <c r="L955" s="26" t="s">
        <v>6455</v>
      </c>
      <c r="M955" s="55" t="s">
        <v>8409</v>
      </c>
      <c r="N955" s="26" t="s">
        <v>3924</v>
      </c>
    </row>
    <row r="956" spans="1:14" ht="75" customHeight="1" thickTop="1" thickBot="1">
      <c r="A956" s="26">
        <v>954</v>
      </c>
      <c r="B956" s="26">
        <v>958</v>
      </c>
      <c r="C956" s="55" t="s">
        <v>8410</v>
      </c>
      <c r="D956" s="56" t="s">
        <v>26</v>
      </c>
      <c r="E956" s="56" t="s">
        <v>6586</v>
      </c>
      <c r="F956" s="26" t="s">
        <v>3923</v>
      </c>
      <c r="G956" s="26" t="s">
        <v>12</v>
      </c>
      <c r="H956" s="26" t="s">
        <v>13</v>
      </c>
      <c r="I956" s="26" t="s">
        <v>3924</v>
      </c>
      <c r="J956" s="26" t="s">
        <v>8408</v>
      </c>
      <c r="K956" s="26" t="s">
        <v>6440</v>
      </c>
      <c r="L956" s="26" t="s">
        <v>6593</v>
      </c>
      <c r="M956" s="55" t="s">
        <v>8411</v>
      </c>
      <c r="N956" s="26" t="s">
        <v>3924</v>
      </c>
    </row>
    <row r="957" spans="1:14" ht="75" customHeight="1" thickTop="1" thickBot="1">
      <c r="A957" s="34">
        <v>955</v>
      </c>
      <c r="B957" s="34">
        <v>959</v>
      </c>
      <c r="C957" s="55" t="s">
        <v>8412</v>
      </c>
      <c r="D957" s="56" t="s">
        <v>26</v>
      </c>
      <c r="E957" s="56" t="s">
        <v>6586</v>
      </c>
      <c r="F957" s="26" t="s">
        <v>3923</v>
      </c>
      <c r="G957" s="26" t="s">
        <v>12</v>
      </c>
      <c r="H957" s="26" t="s">
        <v>13</v>
      </c>
      <c r="I957" s="26" t="s">
        <v>3924</v>
      </c>
      <c r="J957" s="26" t="s">
        <v>8408</v>
      </c>
      <c r="K957" s="26" t="s">
        <v>6440</v>
      </c>
      <c r="L957" s="26" t="s">
        <v>6593</v>
      </c>
      <c r="M957" s="55" t="s">
        <v>8413</v>
      </c>
      <c r="N957" s="26" t="s">
        <v>3924</v>
      </c>
    </row>
    <row r="958" spans="1:14" ht="75" customHeight="1" thickTop="1" thickBot="1">
      <c r="A958" s="26">
        <v>956</v>
      </c>
      <c r="B958" s="26">
        <v>960</v>
      </c>
      <c r="C958" s="55" t="s">
        <v>8412</v>
      </c>
      <c r="D958" s="56" t="s">
        <v>26</v>
      </c>
      <c r="E958" s="56" t="s">
        <v>6586</v>
      </c>
      <c r="F958" s="26" t="s">
        <v>3923</v>
      </c>
      <c r="G958" s="26" t="s">
        <v>12</v>
      </c>
      <c r="H958" s="26" t="s">
        <v>13</v>
      </c>
      <c r="I958" s="26" t="s">
        <v>3924</v>
      </c>
      <c r="J958" s="26" t="s">
        <v>8408</v>
      </c>
      <c r="K958" s="26" t="s">
        <v>6440</v>
      </c>
      <c r="L958" s="26" t="s">
        <v>6593</v>
      </c>
      <c r="M958" s="55" t="s">
        <v>8414</v>
      </c>
      <c r="N958" s="26" t="s">
        <v>3924</v>
      </c>
    </row>
    <row r="959" spans="1:14" ht="75" customHeight="1" thickTop="1" thickBot="1">
      <c r="A959" s="34">
        <v>957</v>
      </c>
      <c r="B959" s="34">
        <v>961</v>
      </c>
      <c r="C959" s="55" t="s">
        <v>8415</v>
      </c>
      <c r="D959" s="56" t="s">
        <v>26</v>
      </c>
      <c r="E959" s="56" t="s">
        <v>6586</v>
      </c>
      <c r="F959" s="26" t="s">
        <v>3923</v>
      </c>
      <c r="G959" s="26" t="s">
        <v>12</v>
      </c>
      <c r="H959" s="26" t="s">
        <v>13</v>
      </c>
      <c r="I959" s="26" t="s">
        <v>3924</v>
      </c>
      <c r="J959" s="26" t="s">
        <v>8416</v>
      </c>
      <c r="K959" s="26" t="s">
        <v>6440</v>
      </c>
      <c r="L959" s="26" t="s">
        <v>6593</v>
      </c>
      <c r="M959" s="55" t="s">
        <v>8417</v>
      </c>
      <c r="N959" s="26" t="s">
        <v>3924</v>
      </c>
    </row>
    <row r="960" spans="1:14" ht="75" customHeight="1" thickTop="1" thickBot="1">
      <c r="A960" s="26">
        <v>958</v>
      </c>
      <c r="B960" s="26">
        <v>962</v>
      </c>
      <c r="C960" s="55" t="s">
        <v>8418</v>
      </c>
      <c r="D960" s="56" t="s">
        <v>26</v>
      </c>
      <c r="E960" s="56" t="s">
        <v>6586</v>
      </c>
      <c r="F960" s="26" t="s">
        <v>3923</v>
      </c>
      <c r="G960" s="26" t="s">
        <v>12</v>
      </c>
      <c r="H960" s="26" t="s">
        <v>13</v>
      </c>
      <c r="I960" s="26" t="s">
        <v>3924</v>
      </c>
      <c r="J960" s="26" t="s">
        <v>8419</v>
      </c>
      <c r="K960" s="26" t="s">
        <v>6440</v>
      </c>
      <c r="L960" s="26" t="s">
        <v>6435</v>
      </c>
      <c r="M960" s="55" t="s">
        <v>8420</v>
      </c>
      <c r="N960" s="26" t="s">
        <v>3924</v>
      </c>
    </row>
    <row r="961" spans="1:14" ht="75" customHeight="1" thickTop="1" thickBot="1">
      <c r="A961" s="34">
        <v>959</v>
      </c>
      <c r="B961" s="34">
        <v>963</v>
      </c>
      <c r="C961" s="55" t="s">
        <v>8418</v>
      </c>
      <c r="D961" s="56" t="s">
        <v>26</v>
      </c>
      <c r="E961" s="56" t="s">
        <v>6586</v>
      </c>
      <c r="F961" s="26" t="s">
        <v>3923</v>
      </c>
      <c r="G961" s="26" t="s">
        <v>12</v>
      </c>
      <c r="H961" s="26" t="s">
        <v>13</v>
      </c>
      <c r="I961" s="26" t="s">
        <v>3924</v>
      </c>
      <c r="J961" s="26" t="s">
        <v>8421</v>
      </c>
      <c r="K961" s="26" t="s">
        <v>3954</v>
      </c>
      <c r="L961" s="26" t="s">
        <v>3927</v>
      </c>
      <c r="M961" s="55" t="s">
        <v>8372</v>
      </c>
      <c r="N961" s="26" t="s">
        <v>3924</v>
      </c>
    </row>
    <row r="962" spans="1:14" ht="75" customHeight="1" thickTop="1" thickBot="1">
      <c r="A962" s="26">
        <v>960</v>
      </c>
      <c r="B962" s="26">
        <v>964</v>
      </c>
      <c r="C962" s="55" t="s">
        <v>8418</v>
      </c>
      <c r="D962" s="56" t="s">
        <v>26</v>
      </c>
      <c r="E962" s="56" t="s">
        <v>6586</v>
      </c>
      <c r="F962" s="26" t="s">
        <v>3923</v>
      </c>
      <c r="G962" s="26" t="s">
        <v>12</v>
      </c>
      <c r="H962" s="26" t="s">
        <v>13</v>
      </c>
      <c r="I962" s="26" t="s">
        <v>3924</v>
      </c>
      <c r="J962" s="26" t="s">
        <v>8419</v>
      </c>
      <c r="K962" s="26" t="s">
        <v>3954</v>
      </c>
      <c r="L962" s="26" t="s">
        <v>3927</v>
      </c>
      <c r="M962" s="55" t="s">
        <v>8362</v>
      </c>
      <c r="N962" s="26" t="s">
        <v>3924</v>
      </c>
    </row>
    <row r="963" spans="1:14" ht="75" customHeight="1" thickTop="1" thickBot="1">
      <c r="A963" s="34">
        <v>961</v>
      </c>
      <c r="B963" s="34">
        <v>965</v>
      </c>
      <c r="C963" s="55" t="s">
        <v>8418</v>
      </c>
      <c r="D963" s="56" t="s">
        <v>26</v>
      </c>
      <c r="E963" s="56" t="s">
        <v>6586</v>
      </c>
      <c r="F963" s="26" t="s">
        <v>3923</v>
      </c>
      <c r="G963" s="26" t="s">
        <v>12</v>
      </c>
      <c r="H963" s="26" t="s">
        <v>13</v>
      </c>
      <c r="I963" s="26" t="s">
        <v>3924</v>
      </c>
      <c r="J963" s="26" t="s">
        <v>8419</v>
      </c>
      <c r="K963" s="26" t="s">
        <v>6434</v>
      </c>
      <c r="L963" s="26" t="s">
        <v>6435</v>
      </c>
      <c r="M963" s="55" t="s">
        <v>8422</v>
      </c>
      <c r="N963" s="26" t="s">
        <v>3924</v>
      </c>
    </row>
    <row r="964" spans="1:14" ht="75" customHeight="1" thickTop="1" thickBot="1">
      <c r="A964" s="26">
        <v>962</v>
      </c>
      <c r="B964" s="26">
        <v>966</v>
      </c>
      <c r="C964" s="55" t="s">
        <v>8423</v>
      </c>
      <c r="D964" s="56" t="s">
        <v>26</v>
      </c>
      <c r="E964" s="56" t="s">
        <v>6586</v>
      </c>
      <c r="F964" s="26" t="s">
        <v>3923</v>
      </c>
      <c r="G964" s="26" t="s">
        <v>12</v>
      </c>
      <c r="H964" s="26" t="s">
        <v>13</v>
      </c>
      <c r="I964" s="26" t="s">
        <v>3924</v>
      </c>
      <c r="J964" s="26" t="s">
        <v>8419</v>
      </c>
      <c r="K964" s="26" t="s">
        <v>6445</v>
      </c>
      <c r="L964" s="26" t="s">
        <v>4082</v>
      </c>
      <c r="M964" s="55" t="s">
        <v>8424</v>
      </c>
      <c r="N964" s="26" t="s">
        <v>3924</v>
      </c>
    </row>
    <row r="965" spans="1:14" ht="75" customHeight="1" thickTop="1" thickBot="1">
      <c r="A965" s="34">
        <v>963</v>
      </c>
      <c r="B965" s="34">
        <v>967</v>
      </c>
      <c r="C965" s="55" t="s">
        <v>8423</v>
      </c>
      <c r="D965" s="56" t="s">
        <v>26</v>
      </c>
      <c r="E965" s="56" t="s">
        <v>6586</v>
      </c>
      <c r="F965" s="26" t="s">
        <v>3923</v>
      </c>
      <c r="G965" s="26" t="s">
        <v>12</v>
      </c>
      <c r="H965" s="26" t="s">
        <v>13</v>
      </c>
      <c r="I965" s="26" t="s">
        <v>3924</v>
      </c>
      <c r="J965" s="26" t="s">
        <v>8416</v>
      </c>
      <c r="K965" s="26" t="s">
        <v>6440</v>
      </c>
      <c r="L965" s="26" t="s">
        <v>6593</v>
      </c>
      <c r="M965" s="55" t="s">
        <v>8425</v>
      </c>
      <c r="N965" s="26" t="s">
        <v>3924</v>
      </c>
    </row>
    <row r="966" spans="1:14" ht="75" customHeight="1" thickTop="1" thickBot="1">
      <c r="A966" s="26">
        <v>964</v>
      </c>
      <c r="B966" s="26">
        <v>968</v>
      </c>
      <c r="C966" s="55" t="s">
        <v>8426</v>
      </c>
      <c r="D966" s="56" t="s">
        <v>26</v>
      </c>
      <c r="E966" s="56" t="s">
        <v>6586</v>
      </c>
      <c r="F966" s="26" t="s">
        <v>3923</v>
      </c>
      <c r="G966" s="26" t="s">
        <v>12</v>
      </c>
      <c r="H966" s="26" t="s">
        <v>13</v>
      </c>
      <c r="I966" s="26" t="s">
        <v>3924</v>
      </c>
      <c r="J966" s="26" t="s">
        <v>8416</v>
      </c>
      <c r="K966" s="26" t="s">
        <v>6440</v>
      </c>
      <c r="L966" s="26" t="s">
        <v>3927</v>
      </c>
      <c r="M966" s="55" t="s">
        <v>8427</v>
      </c>
      <c r="N966" s="26" t="s">
        <v>3924</v>
      </c>
    </row>
    <row r="967" spans="1:14" ht="75" customHeight="1" thickTop="1" thickBot="1">
      <c r="A967" s="34">
        <v>965</v>
      </c>
      <c r="B967" s="34">
        <v>969</v>
      </c>
      <c r="C967" s="55" t="s">
        <v>8428</v>
      </c>
      <c r="D967" s="56" t="s">
        <v>26</v>
      </c>
      <c r="E967" s="56" t="s">
        <v>6586</v>
      </c>
      <c r="F967" s="26" t="s">
        <v>3923</v>
      </c>
      <c r="G967" s="26" t="s">
        <v>12</v>
      </c>
      <c r="H967" s="26" t="s">
        <v>13</v>
      </c>
      <c r="I967" s="26" t="s">
        <v>3924</v>
      </c>
      <c r="J967" s="26" t="s">
        <v>8416</v>
      </c>
      <c r="K967" s="26" t="s">
        <v>6445</v>
      </c>
      <c r="L967" s="26" t="s">
        <v>6593</v>
      </c>
      <c r="M967" s="55" t="s">
        <v>8429</v>
      </c>
      <c r="N967" s="26" t="s">
        <v>3924</v>
      </c>
    </row>
    <row r="968" spans="1:14" ht="75" customHeight="1" thickTop="1" thickBot="1">
      <c r="A968" s="26">
        <v>966</v>
      </c>
      <c r="B968" s="26">
        <v>970</v>
      </c>
      <c r="C968" s="55" t="s">
        <v>8428</v>
      </c>
      <c r="D968" s="56" t="s">
        <v>26</v>
      </c>
      <c r="E968" s="56" t="s">
        <v>6586</v>
      </c>
      <c r="F968" s="26" t="s">
        <v>3923</v>
      </c>
      <c r="G968" s="26" t="s">
        <v>12</v>
      </c>
      <c r="H968" s="26" t="s">
        <v>13</v>
      </c>
      <c r="I968" s="26" t="s">
        <v>3924</v>
      </c>
      <c r="J968" s="26" t="s">
        <v>8430</v>
      </c>
      <c r="K968" s="26" t="s">
        <v>6440</v>
      </c>
      <c r="L968" s="26" t="s">
        <v>6435</v>
      </c>
      <c r="M968" s="55" t="s">
        <v>8431</v>
      </c>
      <c r="N968" s="26" t="s">
        <v>3924</v>
      </c>
    </row>
    <row r="969" spans="1:14" ht="75" customHeight="1" thickTop="1" thickBot="1">
      <c r="A969" s="34">
        <v>967</v>
      </c>
      <c r="B969" s="34">
        <v>971</v>
      </c>
      <c r="C969" s="55" t="s">
        <v>8432</v>
      </c>
      <c r="D969" s="56" t="s">
        <v>26</v>
      </c>
      <c r="E969" s="56" t="s">
        <v>6586</v>
      </c>
      <c r="F969" s="26" t="s">
        <v>3923</v>
      </c>
      <c r="G969" s="26" t="s">
        <v>12</v>
      </c>
      <c r="H969" s="26" t="s">
        <v>13</v>
      </c>
      <c r="I969" s="26" t="s">
        <v>3924</v>
      </c>
      <c r="J969" s="26" t="s">
        <v>8430</v>
      </c>
      <c r="K969" s="26" t="s">
        <v>6445</v>
      </c>
      <c r="L969" s="26" t="s">
        <v>4082</v>
      </c>
      <c r="M969" s="55" t="s">
        <v>8433</v>
      </c>
      <c r="N969" s="26" t="s">
        <v>3924</v>
      </c>
    </row>
    <row r="970" spans="1:14" ht="75" customHeight="1" thickTop="1" thickBot="1">
      <c r="A970" s="26">
        <v>968</v>
      </c>
      <c r="B970" s="26">
        <v>972</v>
      </c>
      <c r="C970" s="55" t="s">
        <v>8432</v>
      </c>
      <c r="D970" s="56" t="s">
        <v>26</v>
      </c>
      <c r="E970" s="56" t="s">
        <v>6586</v>
      </c>
      <c r="F970" s="26" t="s">
        <v>3923</v>
      </c>
      <c r="G970" s="26" t="s">
        <v>12</v>
      </c>
      <c r="H970" s="26" t="s">
        <v>13</v>
      </c>
      <c r="I970" s="26" t="s">
        <v>3924</v>
      </c>
      <c r="J970" s="26" t="s">
        <v>8430</v>
      </c>
      <c r="K970" s="26" t="s">
        <v>6552</v>
      </c>
      <c r="L970" s="26" t="s">
        <v>4082</v>
      </c>
      <c r="M970" s="55" t="s">
        <v>8433</v>
      </c>
      <c r="N970" s="26" t="s">
        <v>3924</v>
      </c>
    </row>
    <row r="971" spans="1:14" ht="75" customHeight="1" thickTop="1" thickBot="1">
      <c r="A971" s="34">
        <v>969</v>
      </c>
      <c r="B971" s="34">
        <v>973</v>
      </c>
      <c r="C971" s="55" t="s">
        <v>8434</v>
      </c>
      <c r="D971" s="56" t="s">
        <v>26</v>
      </c>
      <c r="E971" s="56" t="s">
        <v>6586</v>
      </c>
      <c r="F971" s="26" t="s">
        <v>3923</v>
      </c>
      <c r="G971" s="26" t="s">
        <v>12</v>
      </c>
      <c r="H971" s="26" t="s">
        <v>13</v>
      </c>
      <c r="I971" s="26" t="s">
        <v>3924</v>
      </c>
      <c r="J971" s="26" t="s">
        <v>8430</v>
      </c>
      <c r="K971" s="26" t="s">
        <v>6434</v>
      </c>
      <c r="L971" s="26" t="s">
        <v>4082</v>
      </c>
      <c r="M971" s="55" t="s">
        <v>8433</v>
      </c>
      <c r="N971" s="26" t="s">
        <v>3924</v>
      </c>
    </row>
    <row r="972" spans="1:14" ht="75" customHeight="1" thickTop="1" thickBot="1">
      <c r="A972" s="26">
        <v>970</v>
      </c>
      <c r="B972" s="26">
        <v>974</v>
      </c>
      <c r="C972" s="55" t="s">
        <v>8434</v>
      </c>
      <c r="D972" s="56" t="s">
        <v>26</v>
      </c>
      <c r="E972" s="56" t="s">
        <v>6586</v>
      </c>
      <c r="F972" s="26" t="s">
        <v>3923</v>
      </c>
      <c r="G972" s="26" t="s">
        <v>12</v>
      </c>
      <c r="H972" s="26" t="s">
        <v>13</v>
      </c>
      <c r="I972" s="26" t="s">
        <v>3924</v>
      </c>
      <c r="J972" s="26" t="s">
        <v>8430</v>
      </c>
      <c r="K972" s="26" t="s">
        <v>6440</v>
      </c>
      <c r="L972" s="26" t="s">
        <v>4082</v>
      </c>
      <c r="M972" s="55" t="s">
        <v>8433</v>
      </c>
      <c r="N972" s="26" t="s">
        <v>3924</v>
      </c>
    </row>
    <row r="973" spans="1:14" ht="75" customHeight="1" thickTop="1" thickBot="1">
      <c r="A973" s="34">
        <v>971</v>
      </c>
      <c r="B973" s="34">
        <v>975</v>
      </c>
      <c r="C973" s="55" t="s">
        <v>8434</v>
      </c>
      <c r="D973" s="56" t="s">
        <v>26</v>
      </c>
      <c r="E973" s="56" t="s">
        <v>6586</v>
      </c>
      <c r="F973" s="26" t="s">
        <v>3923</v>
      </c>
      <c r="G973" s="26" t="s">
        <v>12</v>
      </c>
      <c r="H973" s="26" t="s">
        <v>13</v>
      </c>
      <c r="I973" s="26" t="s">
        <v>3924</v>
      </c>
      <c r="J973" s="26" t="s">
        <v>8430</v>
      </c>
      <c r="K973" s="26" t="s">
        <v>3954</v>
      </c>
      <c r="L973" s="26" t="s">
        <v>3927</v>
      </c>
      <c r="M973" s="55" t="s">
        <v>8372</v>
      </c>
      <c r="N973" s="26" t="s">
        <v>3924</v>
      </c>
    </row>
    <row r="974" spans="1:14" ht="75" customHeight="1" thickTop="1" thickBot="1">
      <c r="A974" s="26">
        <v>972</v>
      </c>
      <c r="B974" s="26">
        <v>976</v>
      </c>
      <c r="C974" s="55" t="s">
        <v>8434</v>
      </c>
      <c r="D974" s="56" t="s">
        <v>26</v>
      </c>
      <c r="E974" s="56" t="s">
        <v>6586</v>
      </c>
      <c r="F974" s="26" t="s">
        <v>3923</v>
      </c>
      <c r="G974" s="26" t="s">
        <v>12</v>
      </c>
      <c r="H974" s="26" t="s">
        <v>13</v>
      </c>
      <c r="I974" s="26" t="s">
        <v>3924</v>
      </c>
      <c r="J974" s="26" t="s">
        <v>8435</v>
      </c>
      <c r="K974" s="26" t="s">
        <v>3954</v>
      </c>
      <c r="L974" s="26" t="s">
        <v>3927</v>
      </c>
      <c r="M974" s="55" t="s">
        <v>8362</v>
      </c>
      <c r="N974" s="26" t="s">
        <v>3924</v>
      </c>
    </row>
    <row r="975" spans="1:14" ht="75" customHeight="1" thickTop="1" thickBot="1">
      <c r="A975" s="34">
        <v>973</v>
      </c>
      <c r="B975" s="34">
        <v>977</v>
      </c>
      <c r="C975" s="55" t="s">
        <v>8436</v>
      </c>
      <c r="D975" s="56" t="s">
        <v>26</v>
      </c>
      <c r="E975" s="56" t="s">
        <v>6586</v>
      </c>
      <c r="F975" s="26" t="s">
        <v>3923</v>
      </c>
      <c r="G975" s="26" t="s">
        <v>12</v>
      </c>
      <c r="H975" s="26" t="s">
        <v>13</v>
      </c>
      <c r="I975" s="26" t="s">
        <v>3924</v>
      </c>
      <c r="J975" s="26" t="s">
        <v>8435</v>
      </c>
      <c r="K975" s="26" t="s">
        <v>6445</v>
      </c>
      <c r="L975" s="26" t="s">
        <v>6469</v>
      </c>
      <c r="M975" s="55" t="s">
        <v>8437</v>
      </c>
      <c r="N975" s="26" t="s">
        <v>3924</v>
      </c>
    </row>
    <row r="976" spans="1:14" ht="75" customHeight="1" thickTop="1" thickBot="1">
      <c r="A976" s="26">
        <v>974</v>
      </c>
      <c r="B976" s="26">
        <v>978</v>
      </c>
      <c r="C976" s="55" t="s">
        <v>8438</v>
      </c>
      <c r="D976" s="56" t="s">
        <v>26</v>
      </c>
      <c r="E976" s="56" t="s">
        <v>6586</v>
      </c>
      <c r="F976" s="26" t="s">
        <v>3923</v>
      </c>
      <c r="G976" s="26" t="s">
        <v>12</v>
      </c>
      <c r="H976" s="26" t="s">
        <v>13</v>
      </c>
      <c r="I976" s="26" t="s">
        <v>3924</v>
      </c>
      <c r="J976" s="26" t="s">
        <v>8435</v>
      </c>
      <c r="K976" s="26" t="s">
        <v>6440</v>
      </c>
      <c r="L976" s="26" t="s">
        <v>6455</v>
      </c>
      <c r="M976" s="55" t="s">
        <v>8439</v>
      </c>
      <c r="N976" s="26" t="s">
        <v>3924</v>
      </c>
    </row>
    <row r="977" spans="1:14" ht="75" customHeight="1" thickTop="1" thickBot="1">
      <c r="A977" s="34">
        <v>975</v>
      </c>
      <c r="B977" s="34">
        <v>979</v>
      </c>
      <c r="C977" s="55" t="s">
        <v>8438</v>
      </c>
      <c r="D977" s="56" t="s">
        <v>26</v>
      </c>
      <c r="E977" s="56" t="s">
        <v>6586</v>
      </c>
      <c r="F977" s="26" t="s">
        <v>3923</v>
      </c>
      <c r="G977" s="26" t="s">
        <v>12</v>
      </c>
      <c r="H977" s="26" t="s">
        <v>13</v>
      </c>
      <c r="I977" s="26" t="s">
        <v>3924</v>
      </c>
      <c r="J977" s="26" t="s">
        <v>8435</v>
      </c>
      <c r="K977" s="26" t="s">
        <v>6445</v>
      </c>
      <c r="L977" s="26" t="s">
        <v>4082</v>
      </c>
      <c r="M977" s="55" t="s">
        <v>8440</v>
      </c>
      <c r="N977" s="26" t="s">
        <v>3924</v>
      </c>
    </row>
    <row r="978" spans="1:14" ht="75" customHeight="1" thickTop="1" thickBot="1">
      <c r="A978" s="26">
        <v>976</v>
      </c>
      <c r="B978" s="26">
        <v>980</v>
      </c>
      <c r="C978" s="55" t="s">
        <v>8441</v>
      </c>
      <c r="D978" s="56" t="s">
        <v>26</v>
      </c>
      <c r="E978" s="56" t="s">
        <v>6586</v>
      </c>
      <c r="F978" s="26" t="s">
        <v>3923</v>
      </c>
      <c r="G978" s="26" t="s">
        <v>12</v>
      </c>
      <c r="H978" s="26" t="s">
        <v>13</v>
      </c>
      <c r="I978" s="26" t="s">
        <v>3924</v>
      </c>
      <c r="J978" s="26" t="s">
        <v>8442</v>
      </c>
      <c r="K978" s="26" t="s">
        <v>6552</v>
      </c>
      <c r="L978" s="26" t="s">
        <v>4082</v>
      </c>
      <c r="M978" s="55" t="s">
        <v>8443</v>
      </c>
      <c r="N978" s="26" t="s">
        <v>3924</v>
      </c>
    </row>
    <row r="979" spans="1:14" ht="75" customHeight="1" thickTop="1" thickBot="1">
      <c r="A979" s="34">
        <v>977</v>
      </c>
      <c r="B979" s="34">
        <v>981</v>
      </c>
      <c r="C979" s="55" t="s">
        <v>8441</v>
      </c>
      <c r="D979" s="56" t="s">
        <v>26</v>
      </c>
      <c r="E979" s="56" t="s">
        <v>6586</v>
      </c>
      <c r="F979" s="26" t="s">
        <v>3923</v>
      </c>
      <c r="G979" s="26" t="s">
        <v>12</v>
      </c>
      <c r="H979" s="26" t="s">
        <v>13</v>
      </c>
      <c r="I979" s="26" t="s">
        <v>3924</v>
      </c>
      <c r="J979" s="26" t="s">
        <v>8442</v>
      </c>
      <c r="K979" s="26" t="s">
        <v>6434</v>
      </c>
      <c r="L979" s="26" t="s">
        <v>4082</v>
      </c>
      <c r="M979" s="55" t="s">
        <v>8444</v>
      </c>
      <c r="N979" s="26" t="s">
        <v>3924</v>
      </c>
    </row>
    <row r="980" spans="1:14" ht="75" customHeight="1" thickTop="1" thickBot="1">
      <c r="A980" s="26">
        <v>978</v>
      </c>
      <c r="B980" s="26">
        <v>982</v>
      </c>
      <c r="C980" s="55" t="s">
        <v>8441</v>
      </c>
      <c r="D980" s="56" t="s">
        <v>26</v>
      </c>
      <c r="E980" s="56" t="s">
        <v>6586</v>
      </c>
      <c r="F980" s="26" t="s">
        <v>3923</v>
      </c>
      <c r="G980" s="26" t="s">
        <v>12</v>
      </c>
      <c r="H980" s="26" t="s">
        <v>13</v>
      </c>
      <c r="I980" s="26" t="s">
        <v>3924</v>
      </c>
      <c r="J980" s="26" t="s">
        <v>8442</v>
      </c>
      <c r="K980" s="26" t="s">
        <v>6440</v>
      </c>
      <c r="L980" s="26" t="s">
        <v>4082</v>
      </c>
      <c r="M980" s="55" t="s">
        <v>8445</v>
      </c>
      <c r="N980" s="26" t="s">
        <v>3924</v>
      </c>
    </row>
    <row r="981" spans="1:14" ht="75" customHeight="1" thickTop="1" thickBot="1">
      <c r="A981" s="34">
        <v>979</v>
      </c>
      <c r="B981" s="34">
        <v>983</v>
      </c>
      <c r="C981" s="55" t="s">
        <v>8446</v>
      </c>
      <c r="D981" s="56" t="s">
        <v>26</v>
      </c>
      <c r="E981" s="56" t="s">
        <v>2894</v>
      </c>
      <c r="F981" s="26" t="s">
        <v>3995</v>
      </c>
      <c r="G981" s="26" t="s">
        <v>16</v>
      </c>
      <c r="H981" s="26" t="s">
        <v>13</v>
      </c>
      <c r="I981" s="26" t="s">
        <v>3924</v>
      </c>
      <c r="J981" s="26" t="s">
        <v>8229</v>
      </c>
      <c r="K981" s="26" t="s">
        <v>6445</v>
      </c>
      <c r="L981" s="26" t="s">
        <v>3927</v>
      </c>
      <c r="M981" s="55" t="s">
        <v>8447</v>
      </c>
      <c r="N981" s="26" t="s">
        <v>3924</v>
      </c>
    </row>
    <row r="982" spans="1:14" ht="75" customHeight="1" thickTop="1" thickBot="1">
      <c r="A982" s="26">
        <v>980</v>
      </c>
      <c r="B982" s="26">
        <v>984</v>
      </c>
      <c r="C982" s="55" t="s">
        <v>8446</v>
      </c>
      <c r="D982" s="56" t="s">
        <v>26</v>
      </c>
      <c r="E982" s="56" t="s">
        <v>6586</v>
      </c>
      <c r="F982" s="26" t="s">
        <v>3923</v>
      </c>
      <c r="G982" s="26" t="s">
        <v>12</v>
      </c>
      <c r="H982" s="26" t="s">
        <v>13</v>
      </c>
      <c r="I982" s="26" t="s">
        <v>3924</v>
      </c>
      <c r="J982" s="26" t="s">
        <v>8448</v>
      </c>
      <c r="K982" s="26" t="s">
        <v>6476</v>
      </c>
      <c r="L982" s="26" t="s">
        <v>4082</v>
      </c>
      <c r="M982" s="55" t="s">
        <v>8449</v>
      </c>
      <c r="N982" s="26" t="s">
        <v>3924</v>
      </c>
    </row>
    <row r="983" spans="1:14" ht="75" customHeight="1" thickTop="1" thickBot="1">
      <c r="A983" s="34">
        <v>981</v>
      </c>
      <c r="B983" s="34">
        <v>985</v>
      </c>
      <c r="C983" s="55" t="s">
        <v>8450</v>
      </c>
      <c r="D983" s="56" t="s">
        <v>26</v>
      </c>
      <c r="E983" s="56" t="s">
        <v>6586</v>
      </c>
      <c r="F983" s="26" t="s">
        <v>3923</v>
      </c>
      <c r="G983" s="26" t="s">
        <v>12</v>
      </c>
      <c r="H983" s="26" t="s">
        <v>13</v>
      </c>
      <c r="I983" s="26" t="s">
        <v>3924</v>
      </c>
      <c r="J983" s="26" t="s">
        <v>8448</v>
      </c>
      <c r="K983" s="26" t="s">
        <v>6440</v>
      </c>
      <c r="L983" s="26" t="s">
        <v>6805</v>
      </c>
      <c r="M983" s="55" t="s">
        <v>8451</v>
      </c>
      <c r="N983" s="26" t="s">
        <v>3924</v>
      </c>
    </row>
    <row r="984" spans="1:14" ht="75" customHeight="1" thickTop="1" thickBot="1">
      <c r="A984" s="26">
        <v>982</v>
      </c>
      <c r="B984" s="26">
        <v>986</v>
      </c>
      <c r="C984" s="55" t="s">
        <v>8450</v>
      </c>
      <c r="D984" s="56" t="s">
        <v>26</v>
      </c>
      <c r="E984" s="56" t="s">
        <v>6586</v>
      </c>
      <c r="F984" s="26" t="s">
        <v>3923</v>
      </c>
      <c r="G984" s="26" t="s">
        <v>12</v>
      </c>
      <c r="H984" s="26" t="s">
        <v>13</v>
      </c>
      <c r="I984" s="26" t="s">
        <v>3924</v>
      </c>
      <c r="J984" s="26" t="s">
        <v>8448</v>
      </c>
      <c r="K984" s="26" t="s">
        <v>6445</v>
      </c>
      <c r="L984" s="26" t="s">
        <v>6435</v>
      </c>
      <c r="M984" s="55" t="s">
        <v>8452</v>
      </c>
      <c r="N984" s="26" t="s">
        <v>3924</v>
      </c>
    </row>
    <row r="985" spans="1:14" ht="75" customHeight="1" thickTop="1" thickBot="1">
      <c r="A985" s="34">
        <v>983</v>
      </c>
      <c r="B985" s="34">
        <v>987</v>
      </c>
      <c r="C985" s="55" t="s">
        <v>8450</v>
      </c>
      <c r="D985" s="56" t="s">
        <v>26</v>
      </c>
      <c r="E985" s="56" t="s">
        <v>6586</v>
      </c>
      <c r="F985" s="26" t="s">
        <v>3923</v>
      </c>
      <c r="G985" s="26" t="s">
        <v>12</v>
      </c>
      <c r="H985" s="26" t="s">
        <v>13</v>
      </c>
      <c r="I985" s="26" t="s">
        <v>3924</v>
      </c>
      <c r="J985" s="26" t="s">
        <v>8448</v>
      </c>
      <c r="K985" s="26" t="s">
        <v>3954</v>
      </c>
      <c r="L985" s="26" t="s">
        <v>3927</v>
      </c>
      <c r="M985" s="55" t="s">
        <v>8372</v>
      </c>
      <c r="N985" s="26" t="s">
        <v>3924</v>
      </c>
    </row>
    <row r="986" spans="1:14" ht="75" customHeight="1" thickTop="1" thickBot="1">
      <c r="A986" s="26">
        <v>984</v>
      </c>
      <c r="B986" s="26">
        <v>988</v>
      </c>
      <c r="C986" s="55" t="s">
        <v>8453</v>
      </c>
      <c r="D986" s="56" t="s">
        <v>26</v>
      </c>
      <c r="E986" s="56" t="s">
        <v>6586</v>
      </c>
      <c r="F986" s="26" t="s">
        <v>3923</v>
      </c>
      <c r="G986" s="26" t="s">
        <v>12</v>
      </c>
      <c r="H986" s="26" t="s">
        <v>13</v>
      </c>
      <c r="I986" s="26" t="s">
        <v>3924</v>
      </c>
      <c r="J986" s="26" t="s">
        <v>8454</v>
      </c>
      <c r="K986" s="26" t="s">
        <v>3954</v>
      </c>
      <c r="L986" s="26" t="s">
        <v>3927</v>
      </c>
      <c r="M986" s="55" t="s">
        <v>8362</v>
      </c>
      <c r="N986" s="26" t="s">
        <v>3924</v>
      </c>
    </row>
    <row r="987" spans="1:14" ht="75" customHeight="1" thickTop="1" thickBot="1">
      <c r="A987" s="34">
        <v>985</v>
      </c>
      <c r="B987" s="34">
        <v>989</v>
      </c>
      <c r="C987" s="55" t="s">
        <v>8453</v>
      </c>
      <c r="D987" s="56" t="s">
        <v>26</v>
      </c>
      <c r="E987" s="56" t="s">
        <v>2894</v>
      </c>
      <c r="F987" s="26" t="s">
        <v>3995</v>
      </c>
      <c r="G987" s="26" t="s">
        <v>12</v>
      </c>
      <c r="H987" s="26" t="s">
        <v>13</v>
      </c>
      <c r="I987" s="26" t="s">
        <v>3924</v>
      </c>
      <c r="J987" s="26" t="s">
        <v>8455</v>
      </c>
      <c r="K987" s="26" t="s">
        <v>6445</v>
      </c>
      <c r="L987" s="26" t="s">
        <v>3927</v>
      </c>
      <c r="M987" s="55" t="s">
        <v>8456</v>
      </c>
      <c r="N987" s="26" t="s">
        <v>3924</v>
      </c>
    </row>
    <row r="988" spans="1:14" ht="75" customHeight="1" thickTop="1" thickBot="1">
      <c r="A988" s="26">
        <v>986</v>
      </c>
      <c r="B988" s="26">
        <v>990</v>
      </c>
      <c r="C988" s="55" t="s">
        <v>8453</v>
      </c>
      <c r="D988" s="56" t="s">
        <v>26</v>
      </c>
      <c r="E988" s="56" t="s">
        <v>6586</v>
      </c>
      <c r="F988" s="26" t="s">
        <v>3923</v>
      </c>
      <c r="G988" s="26" t="s">
        <v>12</v>
      </c>
      <c r="H988" s="26" t="s">
        <v>13</v>
      </c>
      <c r="I988" s="26" t="s">
        <v>3924</v>
      </c>
      <c r="J988" s="26" t="s">
        <v>8454</v>
      </c>
      <c r="K988" s="26" t="s">
        <v>6440</v>
      </c>
      <c r="L988" s="26" t="s">
        <v>6469</v>
      </c>
      <c r="M988" s="55" t="s">
        <v>8457</v>
      </c>
      <c r="N988" s="26" t="s">
        <v>3924</v>
      </c>
    </row>
    <row r="989" spans="1:14" ht="75" customHeight="1" thickTop="1" thickBot="1">
      <c r="A989" s="34">
        <v>987</v>
      </c>
      <c r="B989" s="34">
        <v>991</v>
      </c>
      <c r="C989" s="55" t="s">
        <v>8229</v>
      </c>
      <c r="D989" s="56" t="s">
        <v>26</v>
      </c>
      <c r="E989" s="56" t="s">
        <v>6586</v>
      </c>
      <c r="F989" s="26" t="s">
        <v>3923</v>
      </c>
      <c r="G989" s="26" t="s">
        <v>12</v>
      </c>
      <c r="H989" s="26" t="s">
        <v>13</v>
      </c>
      <c r="I989" s="26" t="s">
        <v>3924</v>
      </c>
      <c r="J989" s="26" t="s">
        <v>8229</v>
      </c>
      <c r="K989" s="26" t="s">
        <v>3954</v>
      </c>
      <c r="L989" s="26" t="s">
        <v>3927</v>
      </c>
      <c r="M989" s="55" t="s">
        <v>8372</v>
      </c>
      <c r="N989" s="26" t="s">
        <v>3924</v>
      </c>
    </row>
    <row r="990" spans="1:14" ht="75" customHeight="1" thickTop="1" thickBot="1">
      <c r="A990" s="26">
        <v>988</v>
      </c>
      <c r="B990" s="26">
        <v>992</v>
      </c>
      <c r="C990" s="55" t="s">
        <v>8458</v>
      </c>
      <c r="D990" s="56" t="s">
        <v>26</v>
      </c>
      <c r="E990" s="56" t="s">
        <v>6586</v>
      </c>
      <c r="F990" s="26" t="s">
        <v>3923</v>
      </c>
      <c r="G990" s="26" t="s">
        <v>12</v>
      </c>
      <c r="H990" s="26" t="s">
        <v>13</v>
      </c>
      <c r="I990" s="26" t="s">
        <v>3924</v>
      </c>
      <c r="J990" s="26" t="s">
        <v>8458</v>
      </c>
      <c r="K990" s="26" t="s">
        <v>6552</v>
      </c>
      <c r="L990" s="26" t="s">
        <v>4082</v>
      </c>
      <c r="M990" s="55" t="s">
        <v>8459</v>
      </c>
      <c r="N990" s="26" t="s">
        <v>3924</v>
      </c>
    </row>
    <row r="991" spans="1:14" ht="75" customHeight="1" thickTop="1" thickBot="1">
      <c r="A991" s="34">
        <v>989</v>
      </c>
      <c r="B991" s="34">
        <v>993</v>
      </c>
      <c r="C991" s="55" t="s">
        <v>8460</v>
      </c>
      <c r="D991" s="56" t="s">
        <v>26</v>
      </c>
      <c r="E991" s="56" t="s">
        <v>27</v>
      </c>
      <c r="F991" s="26" t="s">
        <v>3995</v>
      </c>
      <c r="G991" s="26" t="s">
        <v>16</v>
      </c>
      <c r="H991" s="26" t="s">
        <v>13</v>
      </c>
      <c r="I991" s="26" t="s">
        <v>3924</v>
      </c>
      <c r="J991" s="26" t="s">
        <v>8461</v>
      </c>
      <c r="K991" s="26" t="s">
        <v>6445</v>
      </c>
      <c r="L991" s="26" t="s">
        <v>6805</v>
      </c>
      <c r="M991" s="55" t="s">
        <v>8462</v>
      </c>
      <c r="N991" s="26" t="s">
        <v>3924</v>
      </c>
    </row>
    <row r="992" spans="1:14" ht="75" customHeight="1" thickTop="1" thickBot="1">
      <c r="A992" s="26">
        <v>990</v>
      </c>
      <c r="B992" s="26">
        <v>994</v>
      </c>
      <c r="C992" s="55" t="s">
        <v>8463</v>
      </c>
      <c r="D992" s="56" t="s">
        <v>26</v>
      </c>
      <c r="E992" s="56" t="s">
        <v>2894</v>
      </c>
      <c r="F992" s="26" t="s">
        <v>3995</v>
      </c>
      <c r="G992" s="26" t="s">
        <v>16</v>
      </c>
      <c r="H992" s="26" t="s">
        <v>13</v>
      </c>
      <c r="I992" s="26" t="s">
        <v>3924</v>
      </c>
      <c r="J992" s="26" t="s">
        <v>8461</v>
      </c>
      <c r="K992" s="26" t="s">
        <v>6445</v>
      </c>
      <c r="L992" s="26" t="s">
        <v>3927</v>
      </c>
      <c r="M992" s="55" t="s">
        <v>8464</v>
      </c>
      <c r="N992" s="26" t="s">
        <v>3924</v>
      </c>
    </row>
    <row r="993" spans="1:14" ht="75" customHeight="1" thickTop="1" thickBot="1">
      <c r="A993" s="34">
        <v>991</v>
      </c>
      <c r="B993" s="34">
        <v>995</v>
      </c>
      <c r="C993" s="55" t="s">
        <v>8465</v>
      </c>
      <c r="D993" s="56" t="s">
        <v>26</v>
      </c>
      <c r="E993" s="56" t="s">
        <v>2894</v>
      </c>
      <c r="F993" s="26" t="s">
        <v>3995</v>
      </c>
      <c r="G993" s="26" t="s">
        <v>1419</v>
      </c>
      <c r="H993" s="26" t="s">
        <v>13</v>
      </c>
      <c r="I993" s="26" t="s">
        <v>3924</v>
      </c>
      <c r="J993" s="26" t="s">
        <v>8466</v>
      </c>
      <c r="K993" s="26" t="s">
        <v>7790</v>
      </c>
      <c r="L993" s="26" t="s">
        <v>3924</v>
      </c>
      <c r="M993" s="55" t="s">
        <v>8467</v>
      </c>
      <c r="N993" s="26" t="s">
        <v>3924</v>
      </c>
    </row>
    <row r="994" spans="1:14" ht="75" customHeight="1" thickTop="1" thickBot="1">
      <c r="A994" s="26">
        <v>992</v>
      </c>
      <c r="B994" s="26">
        <v>996</v>
      </c>
      <c r="C994" s="55" t="s">
        <v>8468</v>
      </c>
      <c r="D994" s="56" t="s">
        <v>26</v>
      </c>
      <c r="E994" s="56" t="s">
        <v>27</v>
      </c>
      <c r="F994" s="26" t="s">
        <v>3995</v>
      </c>
      <c r="G994" s="26" t="s">
        <v>1419</v>
      </c>
      <c r="H994" s="26" t="s">
        <v>13</v>
      </c>
      <c r="I994" s="26" t="s">
        <v>3924</v>
      </c>
      <c r="J994" s="26" t="s">
        <v>8469</v>
      </c>
      <c r="K994" s="26" t="s">
        <v>6434</v>
      </c>
      <c r="L994" s="26" t="s">
        <v>4942</v>
      </c>
      <c r="M994" s="55" t="s">
        <v>8470</v>
      </c>
      <c r="N994" s="26" t="s">
        <v>3924</v>
      </c>
    </row>
    <row r="995" spans="1:14" ht="75" customHeight="1" thickTop="1" thickBot="1">
      <c r="A995" s="34">
        <v>993</v>
      </c>
      <c r="B995" s="34">
        <v>997</v>
      </c>
      <c r="C995" s="55" t="s">
        <v>8471</v>
      </c>
      <c r="D995" s="56" t="s">
        <v>26</v>
      </c>
      <c r="E995" s="56" t="s">
        <v>27</v>
      </c>
      <c r="F995" s="26" t="s">
        <v>3995</v>
      </c>
      <c r="G995" s="26" t="s">
        <v>1419</v>
      </c>
      <c r="H995" s="26" t="s">
        <v>13</v>
      </c>
      <c r="I995" s="26" t="s">
        <v>3924</v>
      </c>
      <c r="J995" s="26" t="s">
        <v>8472</v>
      </c>
      <c r="K995" s="26" t="s">
        <v>6440</v>
      </c>
      <c r="L995" s="26" t="s">
        <v>6805</v>
      </c>
      <c r="M995" s="55" t="s">
        <v>8473</v>
      </c>
      <c r="N995" s="26" t="s">
        <v>3924</v>
      </c>
    </row>
    <row r="996" spans="1:14" ht="75" customHeight="1" thickTop="1" thickBot="1">
      <c r="A996" s="26">
        <v>994</v>
      </c>
      <c r="B996" s="26">
        <v>998</v>
      </c>
      <c r="C996" s="55" t="s">
        <v>8474</v>
      </c>
      <c r="D996" s="56" t="s">
        <v>26</v>
      </c>
      <c r="E996" s="56" t="s">
        <v>27</v>
      </c>
      <c r="F996" s="26" t="s">
        <v>3995</v>
      </c>
      <c r="G996" s="26" t="s">
        <v>1419</v>
      </c>
      <c r="H996" s="26" t="s">
        <v>13</v>
      </c>
      <c r="I996" s="26" t="s">
        <v>3924</v>
      </c>
      <c r="J996" s="26" t="s">
        <v>8475</v>
      </c>
      <c r="K996" s="26" t="s">
        <v>6434</v>
      </c>
      <c r="L996" s="26" t="s">
        <v>6435</v>
      </c>
      <c r="M996" s="55" t="s">
        <v>8476</v>
      </c>
      <c r="N996" s="26" t="s">
        <v>131</v>
      </c>
    </row>
    <row r="997" spans="1:14" ht="75" customHeight="1" thickTop="1" thickBot="1">
      <c r="A997" s="34">
        <v>995</v>
      </c>
      <c r="B997" s="34">
        <v>999</v>
      </c>
      <c r="C997" s="55" t="s">
        <v>8477</v>
      </c>
      <c r="D997" s="56" t="s">
        <v>26</v>
      </c>
      <c r="E997" s="56" t="s">
        <v>27</v>
      </c>
      <c r="F997" s="26" t="s">
        <v>3995</v>
      </c>
      <c r="G997" s="26" t="s">
        <v>1419</v>
      </c>
      <c r="H997" s="26" t="s">
        <v>13</v>
      </c>
      <c r="I997" s="26" t="s">
        <v>3924</v>
      </c>
      <c r="J997" s="26" t="s">
        <v>8478</v>
      </c>
      <c r="K997" s="26" t="s">
        <v>8479</v>
      </c>
      <c r="L997" s="26" t="s">
        <v>3927</v>
      </c>
      <c r="M997" s="55" t="s">
        <v>8480</v>
      </c>
      <c r="N997" s="26" t="s">
        <v>3924</v>
      </c>
    </row>
    <row r="998" spans="1:14" ht="75" customHeight="1" thickTop="1" thickBot="1">
      <c r="A998" s="26">
        <v>996</v>
      </c>
      <c r="B998" s="26">
        <v>1000</v>
      </c>
      <c r="C998" s="55" t="s">
        <v>8481</v>
      </c>
      <c r="D998" s="56" t="s">
        <v>26</v>
      </c>
      <c r="E998" s="56" t="s">
        <v>6480</v>
      </c>
      <c r="F998" s="26" t="s">
        <v>3923</v>
      </c>
      <c r="G998" s="26" t="s">
        <v>16</v>
      </c>
      <c r="H998" s="26" t="s">
        <v>13</v>
      </c>
      <c r="I998" s="26" t="s">
        <v>3924</v>
      </c>
      <c r="J998" s="26" t="s">
        <v>8481</v>
      </c>
      <c r="K998" s="26" t="s">
        <v>6552</v>
      </c>
      <c r="L998" s="26" t="s">
        <v>8482</v>
      </c>
      <c r="M998" s="55" t="s">
        <v>8483</v>
      </c>
      <c r="N998" s="26" t="s">
        <v>3924</v>
      </c>
    </row>
    <row r="999" spans="1:14" ht="75" customHeight="1" thickTop="1" thickBot="1">
      <c r="A999" s="34">
        <v>997</v>
      </c>
      <c r="B999" s="34">
        <v>1001</v>
      </c>
      <c r="C999" s="55" t="s">
        <v>8484</v>
      </c>
      <c r="D999" s="56" t="s">
        <v>26</v>
      </c>
      <c r="E999" s="56" t="s">
        <v>27</v>
      </c>
      <c r="F999" s="26" t="s">
        <v>3995</v>
      </c>
      <c r="G999" s="26" t="s">
        <v>12</v>
      </c>
      <c r="H999" s="26" t="s">
        <v>13</v>
      </c>
      <c r="I999" s="26" t="s">
        <v>8485</v>
      </c>
      <c r="J999" s="26" t="s">
        <v>8486</v>
      </c>
      <c r="K999" s="26" t="s">
        <v>6440</v>
      </c>
      <c r="L999" s="26" t="s">
        <v>6435</v>
      </c>
      <c r="M999" s="55" t="s">
        <v>8487</v>
      </c>
      <c r="N999" s="26" t="s">
        <v>3924</v>
      </c>
    </row>
    <row r="1000" spans="1:14" ht="75" customHeight="1" thickTop="1" thickBot="1">
      <c r="A1000" s="26">
        <v>998</v>
      </c>
      <c r="B1000" s="26">
        <v>1002</v>
      </c>
      <c r="C1000" s="55" t="s">
        <v>8488</v>
      </c>
      <c r="D1000" s="56" t="s">
        <v>26</v>
      </c>
      <c r="E1000" s="56" t="s">
        <v>27</v>
      </c>
      <c r="F1000" s="26" t="s">
        <v>3995</v>
      </c>
      <c r="G1000" s="26" t="s">
        <v>16</v>
      </c>
      <c r="H1000" s="26" t="s">
        <v>13</v>
      </c>
      <c r="I1000" s="26" t="s">
        <v>3924</v>
      </c>
      <c r="J1000" s="26" t="s">
        <v>8489</v>
      </c>
      <c r="K1000" s="26" t="s">
        <v>6552</v>
      </c>
      <c r="L1000" s="26" t="s">
        <v>3927</v>
      </c>
      <c r="M1000" s="55" t="s">
        <v>8490</v>
      </c>
      <c r="N1000" s="26" t="s">
        <v>3924</v>
      </c>
    </row>
    <row r="1001" spans="1:14" ht="75" customHeight="1" thickTop="1" thickBot="1">
      <c r="A1001" s="34">
        <v>999</v>
      </c>
      <c r="B1001" s="34">
        <v>1003</v>
      </c>
      <c r="C1001" s="55" t="s">
        <v>8491</v>
      </c>
      <c r="D1001" s="56" t="s">
        <v>26</v>
      </c>
      <c r="E1001" s="56" t="s">
        <v>6438</v>
      </c>
      <c r="F1001" s="26" t="s">
        <v>3995</v>
      </c>
      <c r="G1001" s="26" t="s">
        <v>12</v>
      </c>
      <c r="H1001" s="26" t="s">
        <v>13</v>
      </c>
      <c r="I1001" s="26" t="s">
        <v>8485</v>
      </c>
      <c r="J1001" s="26" t="s">
        <v>8492</v>
      </c>
      <c r="K1001" s="26" t="s">
        <v>6440</v>
      </c>
      <c r="L1001" s="26" t="s">
        <v>6435</v>
      </c>
      <c r="M1001" s="55" t="s">
        <v>8493</v>
      </c>
      <c r="N1001" s="26" t="s">
        <v>3924</v>
      </c>
    </row>
    <row r="1002" spans="1:14" ht="75" customHeight="1" thickTop="1" thickBot="1">
      <c r="A1002" s="26">
        <v>1000</v>
      </c>
      <c r="B1002" s="26">
        <v>1004</v>
      </c>
      <c r="C1002" s="57" t="s">
        <v>8494</v>
      </c>
      <c r="D1002" s="58" t="s">
        <v>26</v>
      </c>
      <c r="E1002" s="58" t="s">
        <v>6480</v>
      </c>
      <c r="F1002" s="48" t="s">
        <v>3923</v>
      </c>
      <c r="G1002" s="48" t="s">
        <v>16</v>
      </c>
      <c r="H1002" s="48" t="s">
        <v>13</v>
      </c>
      <c r="I1002" s="48" t="s">
        <v>3924</v>
      </c>
      <c r="J1002" s="48" t="s">
        <v>8494</v>
      </c>
      <c r="K1002" s="48" t="s">
        <v>6434</v>
      </c>
      <c r="L1002" s="48" t="s">
        <v>8495</v>
      </c>
      <c r="M1002" s="57" t="s">
        <v>7702</v>
      </c>
      <c r="N1002" s="48" t="s">
        <v>3924</v>
      </c>
    </row>
    <row r="1003" spans="1:14" ht="75" customHeight="1" thickTop="1" thickBot="1">
      <c r="A1003" s="34">
        <v>1001</v>
      </c>
      <c r="B1003" s="34">
        <v>1005</v>
      </c>
      <c r="C1003" s="57" t="s">
        <v>8496</v>
      </c>
      <c r="D1003" s="58" t="s">
        <v>26</v>
      </c>
      <c r="E1003" s="58" t="s">
        <v>6480</v>
      </c>
      <c r="F1003" s="48" t="s">
        <v>3923</v>
      </c>
      <c r="G1003" s="48" t="s">
        <v>16</v>
      </c>
      <c r="H1003" s="48" t="s">
        <v>13</v>
      </c>
      <c r="I1003" s="48" t="s">
        <v>3924</v>
      </c>
      <c r="J1003" s="48" t="s">
        <v>8496</v>
      </c>
      <c r="K1003" s="48" t="s">
        <v>6434</v>
      </c>
      <c r="L1003" s="48" t="s">
        <v>6723</v>
      </c>
      <c r="M1003" s="57" t="s">
        <v>8497</v>
      </c>
      <c r="N1003" s="48" t="s">
        <v>3924</v>
      </c>
    </row>
    <row r="1004" spans="1:14" ht="75" customHeight="1" thickTop="1" thickBot="1">
      <c r="A1004" s="26">
        <v>1002</v>
      </c>
      <c r="B1004" s="26">
        <v>1006</v>
      </c>
      <c r="C1004" s="57" t="s">
        <v>8498</v>
      </c>
      <c r="D1004" s="58" t="s">
        <v>26</v>
      </c>
      <c r="E1004" s="58" t="s">
        <v>6480</v>
      </c>
      <c r="F1004" s="48" t="s">
        <v>3923</v>
      </c>
      <c r="G1004" s="48" t="s">
        <v>16</v>
      </c>
      <c r="H1004" s="48" t="s">
        <v>13</v>
      </c>
      <c r="I1004" s="48" t="s">
        <v>3924</v>
      </c>
      <c r="J1004" s="48" t="s">
        <v>8499</v>
      </c>
      <c r="K1004" s="48" t="s">
        <v>6434</v>
      </c>
      <c r="L1004" s="48" t="s">
        <v>8500</v>
      </c>
      <c r="M1004" s="57" t="s">
        <v>8501</v>
      </c>
      <c r="N1004" s="48" t="s">
        <v>3924</v>
      </c>
    </row>
    <row r="1005" spans="1:14" ht="75" customHeight="1" thickTop="1" thickBot="1">
      <c r="A1005" s="34">
        <v>1003</v>
      </c>
      <c r="B1005" s="34">
        <v>1007</v>
      </c>
      <c r="C1005" s="57" t="s">
        <v>8499</v>
      </c>
      <c r="D1005" s="58" t="s">
        <v>26</v>
      </c>
      <c r="E1005" s="58" t="s">
        <v>6480</v>
      </c>
      <c r="F1005" s="48" t="s">
        <v>3923</v>
      </c>
      <c r="G1005" s="48" t="s">
        <v>16</v>
      </c>
      <c r="H1005" s="48" t="s">
        <v>13</v>
      </c>
      <c r="I1005" s="48" t="s">
        <v>3924</v>
      </c>
      <c r="J1005" s="48" t="s">
        <v>8502</v>
      </c>
      <c r="K1005" s="48" t="s">
        <v>6434</v>
      </c>
      <c r="L1005" s="48" t="s">
        <v>7323</v>
      </c>
      <c r="M1005" s="57" t="s">
        <v>8503</v>
      </c>
      <c r="N1005" s="48" t="s">
        <v>3924</v>
      </c>
    </row>
    <row r="1006" spans="1:14" ht="75" customHeight="1" thickTop="1" thickBot="1">
      <c r="A1006" s="26">
        <v>1004</v>
      </c>
      <c r="B1006" s="26">
        <v>1008</v>
      </c>
      <c r="C1006" s="57" t="s">
        <v>8504</v>
      </c>
      <c r="D1006" s="58" t="s">
        <v>26</v>
      </c>
      <c r="E1006" s="58" t="s">
        <v>6480</v>
      </c>
      <c r="F1006" s="48" t="s">
        <v>3923</v>
      </c>
      <c r="G1006" s="48" t="s">
        <v>16</v>
      </c>
      <c r="H1006" s="48" t="s">
        <v>13</v>
      </c>
      <c r="I1006" s="48" t="s">
        <v>3924</v>
      </c>
      <c r="J1006" s="48" t="s">
        <v>8504</v>
      </c>
      <c r="K1006" s="48" t="s">
        <v>6434</v>
      </c>
      <c r="L1006" s="48" t="s">
        <v>8262</v>
      </c>
      <c r="M1006" s="57" t="s">
        <v>8505</v>
      </c>
      <c r="N1006" s="48" t="s">
        <v>3924</v>
      </c>
    </row>
    <row r="1007" spans="1:14" ht="75" customHeight="1" thickTop="1" thickBot="1">
      <c r="A1007" s="34">
        <v>1005</v>
      </c>
      <c r="B1007" s="34">
        <v>1009</v>
      </c>
      <c r="C1007" s="57" t="s">
        <v>8506</v>
      </c>
      <c r="D1007" s="58" t="s">
        <v>26</v>
      </c>
      <c r="E1007" s="58" t="s">
        <v>6480</v>
      </c>
      <c r="F1007" s="48" t="s">
        <v>3923</v>
      </c>
      <c r="G1007" s="48" t="s">
        <v>16</v>
      </c>
      <c r="H1007" s="48" t="s">
        <v>13</v>
      </c>
      <c r="I1007" s="48" t="s">
        <v>3924</v>
      </c>
      <c r="J1007" s="48" t="s">
        <v>8507</v>
      </c>
      <c r="K1007" s="48" t="s">
        <v>6440</v>
      </c>
      <c r="L1007" s="48" t="s">
        <v>6602</v>
      </c>
      <c r="M1007" s="57" t="s">
        <v>8508</v>
      </c>
      <c r="N1007" s="48" t="s">
        <v>3924</v>
      </c>
    </row>
    <row r="1008" spans="1:14" ht="75" customHeight="1" thickTop="1" thickBot="1">
      <c r="A1008" s="26">
        <v>1006</v>
      </c>
      <c r="B1008" s="26">
        <v>1010</v>
      </c>
      <c r="C1008" s="57" t="s">
        <v>8507</v>
      </c>
      <c r="D1008" s="58" t="s">
        <v>26</v>
      </c>
      <c r="E1008" s="58" t="s">
        <v>6438</v>
      </c>
      <c r="F1008" s="48" t="s">
        <v>3995</v>
      </c>
      <c r="G1008" s="48" t="s">
        <v>12</v>
      </c>
      <c r="H1008" s="48" t="s">
        <v>13</v>
      </c>
      <c r="I1008" s="48" t="s">
        <v>3924</v>
      </c>
      <c r="J1008" s="48" t="s">
        <v>8509</v>
      </c>
      <c r="K1008" s="48" t="s">
        <v>6440</v>
      </c>
      <c r="L1008" s="48" t="s">
        <v>6593</v>
      </c>
      <c r="M1008" s="57" t="s">
        <v>8510</v>
      </c>
      <c r="N1008" s="48" t="s">
        <v>3924</v>
      </c>
    </row>
    <row r="1009" spans="1:14" ht="75" customHeight="1" thickTop="1" thickBot="1">
      <c r="A1009" s="34">
        <v>1007</v>
      </c>
      <c r="B1009" s="34">
        <v>1011</v>
      </c>
      <c r="C1009" s="57" t="s">
        <v>8507</v>
      </c>
      <c r="D1009" s="58" t="s">
        <v>26</v>
      </c>
      <c r="E1009" s="58" t="s">
        <v>6480</v>
      </c>
      <c r="F1009" s="48" t="s">
        <v>3923</v>
      </c>
      <c r="G1009" s="48" t="s">
        <v>16</v>
      </c>
      <c r="H1009" s="48" t="s">
        <v>13</v>
      </c>
      <c r="I1009" s="48" t="s">
        <v>3924</v>
      </c>
      <c r="J1009" s="48" t="s">
        <v>8511</v>
      </c>
      <c r="K1009" s="48" t="s">
        <v>6445</v>
      </c>
      <c r="L1009" s="48" t="s">
        <v>7352</v>
      </c>
      <c r="M1009" s="57" t="s">
        <v>8512</v>
      </c>
      <c r="N1009" s="48" t="s">
        <v>3924</v>
      </c>
    </row>
    <row r="1010" spans="1:14" ht="75" customHeight="1" thickTop="1" thickBot="1">
      <c r="A1010" s="26">
        <v>1008</v>
      </c>
      <c r="B1010" s="26">
        <v>1012</v>
      </c>
      <c r="C1010" s="57" t="s">
        <v>8486</v>
      </c>
      <c r="D1010" s="58" t="s">
        <v>26</v>
      </c>
      <c r="E1010" s="58" t="s">
        <v>6480</v>
      </c>
      <c r="F1010" s="48" t="s">
        <v>3923</v>
      </c>
      <c r="G1010" s="48" t="s">
        <v>16</v>
      </c>
      <c r="H1010" s="48" t="s">
        <v>13</v>
      </c>
      <c r="I1010" s="48" t="s">
        <v>3924</v>
      </c>
      <c r="J1010" s="48" t="s">
        <v>8486</v>
      </c>
      <c r="K1010" s="48" t="s">
        <v>6445</v>
      </c>
      <c r="L1010" s="48" t="s">
        <v>6469</v>
      </c>
      <c r="M1010" s="57" t="s">
        <v>8513</v>
      </c>
      <c r="N1010" s="48" t="s">
        <v>3924</v>
      </c>
    </row>
    <row r="1011" spans="1:14" ht="75" customHeight="1" thickTop="1" thickBot="1">
      <c r="A1011" s="34">
        <v>1009</v>
      </c>
      <c r="B1011" s="34">
        <v>1013</v>
      </c>
      <c r="C1011" s="57" t="s">
        <v>8492</v>
      </c>
      <c r="D1011" s="58" t="s">
        <v>26</v>
      </c>
      <c r="E1011" s="58" t="s">
        <v>6480</v>
      </c>
      <c r="F1011" s="48" t="s">
        <v>3923</v>
      </c>
      <c r="G1011" s="48" t="s">
        <v>16</v>
      </c>
      <c r="H1011" s="48" t="s">
        <v>13</v>
      </c>
      <c r="I1011" s="48" t="s">
        <v>3924</v>
      </c>
      <c r="J1011" s="48" t="s">
        <v>8492</v>
      </c>
      <c r="K1011" s="48" t="s">
        <v>6445</v>
      </c>
      <c r="L1011" s="48" t="s">
        <v>6435</v>
      </c>
      <c r="M1011" s="57" t="s">
        <v>8514</v>
      </c>
      <c r="N1011" s="48" t="s">
        <v>3924</v>
      </c>
    </row>
    <row r="1012" spans="1:14" ht="75" customHeight="1" thickTop="1" thickBot="1">
      <c r="A1012" s="26">
        <v>1010</v>
      </c>
      <c r="B1012" s="26">
        <v>1014</v>
      </c>
      <c r="C1012" s="57" t="s">
        <v>8515</v>
      </c>
      <c r="D1012" s="58" t="s">
        <v>26</v>
      </c>
      <c r="E1012" s="58" t="s">
        <v>6480</v>
      </c>
      <c r="F1012" s="48" t="s">
        <v>3923</v>
      </c>
      <c r="G1012" s="48" t="s">
        <v>16</v>
      </c>
      <c r="H1012" s="48" t="s">
        <v>13</v>
      </c>
      <c r="I1012" s="48" t="s">
        <v>3924</v>
      </c>
      <c r="J1012" s="48" t="s">
        <v>8515</v>
      </c>
      <c r="K1012" s="48" t="s">
        <v>6445</v>
      </c>
      <c r="L1012" s="48" t="s">
        <v>6451</v>
      </c>
      <c r="M1012" s="57" t="s">
        <v>8516</v>
      </c>
      <c r="N1012" s="48" t="s">
        <v>3924</v>
      </c>
    </row>
    <row r="1013" spans="1:14" ht="75" customHeight="1" thickTop="1" thickBot="1">
      <c r="A1013" s="34">
        <v>1011</v>
      </c>
      <c r="B1013" s="34">
        <v>1015</v>
      </c>
      <c r="C1013" s="57" t="s">
        <v>8517</v>
      </c>
      <c r="D1013" s="58" t="s">
        <v>26</v>
      </c>
      <c r="E1013" s="58" t="s">
        <v>6480</v>
      </c>
      <c r="F1013" s="48" t="s">
        <v>3923</v>
      </c>
      <c r="G1013" s="48" t="s">
        <v>16</v>
      </c>
      <c r="H1013" s="48" t="s">
        <v>13</v>
      </c>
      <c r="I1013" s="48" t="s">
        <v>3924</v>
      </c>
      <c r="J1013" s="48" t="s">
        <v>8517</v>
      </c>
      <c r="K1013" s="48" t="s">
        <v>6434</v>
      </c>
      <c r="L1013" s="48" t="s">
        <v>8518</v>
      </c>
      <c r="M1013" s="57" t="s">
        <v>8519</v>
      </c>
      <c r="N1013" s="48" t="s">
        <v>3924</v>
      </c>
    </row>
    <row r="1014" spans="1:14" ht="75" customHeight="1" thickTop="1" thickBot="1">
      <c r="A1014" s="26">
        <v>1012</v>
      </c>
      <c r="B1014" s="26">
        <v>1016</v>
      </c>
      <c r="C1014" s="57" t="s">
        <v>8517</v>
      </c>
      <c r="D1014" s="58" t="s">
        <v>26</v>
      </c>
      <c r="E1014" s="58" t="s">
        <v>27</v>
      </c>
      <c r="F1014" s="48" t="s">
        <v>3995</v>
      </c>
      <c r="G1014" s="48" t="s">
        <v>1419</v>
      </c>
      <c r="H1014" s="48" t="s">
        <v>13</v>
      </c>
      <c r="I1014" s="48" t="s">
        <v>3924</v>
      </c>
      <c r="J1014" s="48" t="s">
        <v>8520</v>
      </c>
      <c r="K1014" s="48" t="s">
        <v>8479</v>
      </c>
      <c r="L1014" s="48" t="s">
        <v>3924</v>
      </c>
      <c r="M1014" s="57" t="s">
        <v>8521</v>
      </c>
      <c r="N1014" s="48" t="s">
        <v>15</v>
      </c>
    </row>
    <row r="1015" spans="1:14" ht="75" customHeight="1" thickTop="1" thickBot="1">
      <c r="A1015" s="34">
        <v>1013</v>
      </c>
      <c r="B1015" s="34">
        <v>1017</v>
      </c>
      <c r="C1015" s="57" t="s">
        <v>8522</v>
      </c>
      <c r="D1015" s="58" t="s">
        <v>26</v>
      </c>
      <c r="E1015" s="58" t="s">
        <v>6480</v>
      </c>
      <c r="F1015" s="48" t="s">
        <v>3923</v>
      </c>
      <c r="G1015" s="48" t="s">
        <v>16</v>
      </c>
      <c r="H1015" s="48" t="s">
        <v>13</v>
      </c>
      <c r="I1015" s="48" t="s">
        <v>3924</v>
      </c>
      <c r="J1015" s="48" t="s">
        <v>8522</v>
      </c>
      <c r="K1015" s="48" t="s">
        <v>6440</v>
      </c>
      <c r="L1015" s="48" t="s">
        <v>6805</v>
      </c>
      <c r="M1015" s="57" t="s">
        <v>8523</v>
      </c>
      <c r="N1015" s="48" t="s">
        <v>3924</v>
      </c>
    </row>
    <row r="1016" spans="1:14" ht="75" customHeight="1" thickTop="1" thickBot="1">
      <c r="A1016" s="26">
        <v>1014</v>
      </c>
      <c r="B1016" s="26">
        <v>1018</v>
      </c>
      <c r="C1016" s="57" t="s">
        <v>8524</v>
      </c>
      <c r="D1016" s="58" t="s">
        <v>26</v>
      </c>
      <c r="E1016" s="58" t="s">
        <v>6480</v>
      </c>
      <c r="F1016" s="48" t="s">
        <v>3923</v>
      </c>
      <c r="G1016" s="48" t="s">
        <v>16</v>
      </c>
      <c r="H1016" s="48" t="s">
        <v>13</v>
      </c>
      <c r="I1016" s="48" t="s">
        <v>3924</v>
      </c>
      <c r="J1016" s="48" t="s">
        <v>8524</v>
      </c>
      <c r="K1016" s="48" t="s">
        <v>3954</v>
      </c>
      <c r="L1016" s="48" t="s">
        <v>4942</v>
      </c>
      <c r="M1016" s="57" t="s">
        <v>8525</v>
      </c>
      <c r="N1016" s="48" t="s">
        <v>3924</v>
      </c>
    </row>
    <row r="1017" spans="1:14" ht="75" customHeight="1" thickTop="1" thickBot="1">
      <c r="A1017" s="34">
        <v>1015</v>
      </c>
      <c r="B1017" s="34">
        <v>1019</v>
      </c>
      <c r="C1017" s="57" t="s">
        <v>8526</v>
      </c>
      <c r="D1017" s="58" t="s">
        <v>26</v>
      </c>
      <c r="E1017" s="58" t="s">
        <v>6480</v>
      </c>
      <c r="F1017" s="48" t="s">
        <v>3923</v>
      </c>
      <c r="G1017" s="48" t="s">
        <v>16</v>
      </c>
      <c r="H1017" s="48" t="s">
        <v>13</v>
      </c>
      <c r="I1017" s="48" t="s">
        <v>3924</v>
      </c>
      <c r="J1017" s="48" t="s">
        <v>8526</v>
      </c>
      <c r="K1017" s="48" t="s">
        <v>6445</v>
      </c>
      <c r="L1017" s="48" t="s">
        <v>6451</v>
      </c>
      <c r="M1017" s="57" t="s">
        <v>8527</v>
      </c>
      <c r="N1017" s="48" t="s">
        <v>3924</v>
      </c>
    </row>
    <row r="1018" spans="1:14" ht="75" customHeight="1" thickTop="1" thickBot="1">
      <c r="A1018" s="26">
        <v>1016</v>
      </c>
      <c r="B1018" s="26">
        <v>1020</v>
      </c>
      <c r="C1018" s="57" t="s">
        <v>8528</v>
      </c>
      <c r="D1018" s="58" t="s">
        <v>26</v>
      </c>
      <c r="E1018" s="58" t="s">
        <v>6480</v>
      </c>
      <c r="F1018" s="48" t="s">
        <v>3923</v>
      </c>
      <c r="G1018" s="48" t="s">
        <v>16</v>
      </c>
      <c r="H1018" s="48" t="s">
        <v>13</v>
      </c>
      <c r="I1018" s="48" t="s">
        <v>3924</v>
      </c>
      <c r="J1018" s="48" t="s">
        <v>8528</v>
      </c>
      <c r="K1018" s="48" t="s">
        <v>6440</v>
      </c>
      <c r="L1018" s="48" t="s">
        <v>7030</v>
      </c>
      <c r="M1018" s="57" t="s">
        <v>8529</v>
      </c>
      <c r="N1018" s="48" t="s">
        <v>3924</v>
      </c>
    </row>
    <row r="1019" spans="1:14" ht="75" customHeight="1" thickTop="1" thickBot="1">
      <c r="A1019" s="34">
        <v>1017</v>
      </c>
      <c r="B1019" s="34">
        <v>1021</v>
      </c>
      <c r="C1019" s="57" t="s">
        <v>8530</v>
      </c>
      <c r="D1019" s="58" t="s">
        <v>26</v>
      </c>
      <c r="E1019" s="58" t="s">
        <v>6480</v>
      </c>
      <c r="F1019" s="48" t="s">
        <v>3923</v>
      </c>
      <c r="G1019" s="48" t="s">
        <v>16</v>
      </c>
      <c r="H1019" s="48" t="s">
        <v>13</v>
      </c>
      <c r="I1019" s="48" t="s">
        <v>3924</v>
      </c>
      <c r="J1019" s="48" t="s">
        <v>8530</v>
      </c>
      <c r="K1019" s="48" t="s">
        <v>6445</v>
      </c>
      <c r="L1019" s="48" t="s">
        <v>6451</v>
      </c>
      <c r="M1019" s="57" t="s">
        <v>8531</v>
      </c>
      <c r="N1019" s="48" t="s">
        <v>3924</v>
      </c>
    </row>
    <row r="1020" spans="1:14" ht="75" customHeight="1" thickTop="1" thickBot="1">
      <c r="A1020" s="26">
        <v>1018</v>
      </c>
      <c r="B1020" s="26">
        <v>1022</v>
      </c>
      <c r="C1020" s="57" t="s">
        <v>8530</v>
      </c>
      <c r="D1020" s="58" t="s">
        <v>26</v>
      </c>
      <c r="E1020" s="58" t="s">
        <v>6480</v>
      </c>
      <c r="F1020" s="48" t="s">
        <v>3923</v>
      </c>
      <c r="G1020" s="48" t="s">
        <v>16</v>
      </c>
      <c r="H1020" s="48" t="s">
        <v>13</v>
      </c>
      <c r="I1020" s="48" t="s">
        <v>3924</v>
      </c>
      <c r="J1020" s="48" t="s">
        <v>8532</v>
      </c>
      <c r="K1020" s="48" t="s">
        <v>6445</v>
      </c>
      <c r="L1020" s="48" t="s">
        <v>6451</v>
      </c>
      <c r="M1020" s="57" t="s">
        <v>8533</v>
      </c>
      <c r="N1020" s="48" t="s">
        <v>3924</v>
      </c>
    </row>
    <row r="1021" spans="1:14" ht="75" customHeight="1" thickTop="1" thickBot="1">
      <c r="A1021" s="34">
        <v>1019</v>
      </c>
      <c r="B1021" s="34">
        <v>1023</v>
      </c>
      <c r="C1021" s="57" t="s">
        <v>8534</v>
      </c>
      <c r="D1021" s="58" t="s">
        <v>26</v>
      </c>
      <c r="E1021" s="58" t="s">
        <v>27</v>
      </c>
      <c r="F1021" s="48" t="s">
        <v>3995</v>
      </c>
      <c r="G1021" s="48" t="s">
        <v>1419</v>
      </c>
      <c r="H1021" s="48" t="s">
        <v>13</v>
      </c>
      <c r="I1021" s="48" t="s">
        <v>3924</v>
      </c>
      <c r="J1021" s="48" t="s">
        <v>8509</v>
      </c>
      <c r="K1021" s="48" t="s">
        <v>6483</v>
      </c>
      <c r="L1021" s="48" t="s">
        <v>6451</v>
      </c>
      <c r="M1021" s="57" t="s">
        <v>8535</v>
      </c>
      <c r="N1021" s="48" t="s">
        <v>15</v>
      </c>
    </row>
    <row r="1022" spans="1:14" ht="75" customHeight="1" thickTop="1" thickBot="1">
      <c r="A1022" s="26">
        <v>1020</v>
      </c>
      <c r="B1022" s="26">
        <v>1024</v>
      </c>
      <c r="C1022" s="57" t="s">
        <v>8536</v>
      </c>
      <c r="D1022" s="58" t="s">
        <v>26</v>
      </c>
      <c r="E1022" s="58" t="s">
        <v>27</v>
      </c>
      <c r="F1022" s="48" t="s">
        <v>3995</v>
      </c>
      <c r="G1022" s="48" t="s">
        <v>12</v>
      </c>
      <c r="H1022" s="48" t="s">
        <v>13</v>
      </c>
      <c r="I1022" s="48" t="s">
        <v>8537</v>
      </c>
      <c r="J1022" s="48" t="s">
        <v>8538</v>
      </c>
      <c r="K1022" s="48" t="s">
        <v>6434</v>
      </c>
      <c r="L1022" s="48" t="s">
        <v>7273</v>
      </c>
      <c r="M1022" s="57" t="s">
        <v>8539</v>
      </c>
      <c r="N1022" s="48" t="s">
        <v>12</v>
      </c>
    </row>
    <row r="1023" spans="1:14" ht="75" customHeight="1" thickTop="1" thickBot="1">
      <c r="A1023" s="34">
        <v>1021</v>
      </c>
      <c r="B1023" s="34">
        <v>1025</v>
      </c>
      <c r="C1023" s="57" t="s">
        <v>8540</v>
      </c>
      <c r="D1023" s="58" t="s">
        <v>26</v>
      </c>
      <c r="E1023" s="58" t="s">
        <v>6461</v>
      </c>
      <c r="F1023" s="48" t="s">
        <v>3923</v>
      </c>
      <c r="G1023" s="48" t="s">
        <v>74</v>
      </c>
      <c r="H1023" s="48" t="s">
        <v>13</v>
      </c>
      <c r="I1023" s="48" t="s">
        <v>3924</v>
      </c>
      <c r="J1023" s="48" t="s">
        <v>8541</v>
      </c>
      <c r="K1023" s="48" t="s">
        <v>6434</v>
      </c>
      <c r="L1023" s="48" t="s">
        <v>6463</v>
      </c>
      <c r="M1023" s="57" t="s">
        <v>8542</v>
      </c>
      <c r="N1023" s="48" t="s">
        <v>3924</v>
      </c>
    </row>
    <row r="1024" spans="1:14" ht="75" customHeight="1" thickTop="1" thickBot="1">
      <c r="A1024" s="26">
        <v>1022</v>
      </c>
      <c r="B1024" s="26">
        <v>1026</v>
      </c>
      <c r="C1024" s="57" t="s">
        <v>8543</v>
      </c>
      <c r="D1024" s="58" t="s">
        <v>26</v>
      </c>
      <c r="E1024" s="58" t="s">
        <v>8544</v>
      </c>
      <c r="F1024" s="48" t="s">
        <v>3924</v>
      </c>
      <c r="G1024" s="48" t="s">
        <v>16</v>
      </c>
      <c r="H1024" s="48" t="s">
        <v>13</v>
      </c>
      <c r="I1024" s="48" t="s">
        <v>3924</v>
      </c>
      <c r="J1024" s="48" t="s">
        <v>8545</v>
      </c>
      <c r="K1024" s="48" t="s">
        <v>6440</v>
      </c>
      <c r="L1024" s="48" t="s">
        <v>3927</v>
      </c>
      <c r="M1024" s="57" t="s">
        <v>8546</v>
      </c>
      <c r="N1024" s="48" t="s">
        <v>3924</v>
      </c>
    </row>
    <row r="1025" spans="1:14" ht="75" customHeight="1" thickTop="1" thickBot="1">
      <c r="A1025" s="34">
        <v>1023</v>
      </c>
      <c r="B1025" s="34">
        <v>1027</v>
      </c>
      <c r="C1025" s="57" t="s">
        <v>8547</v>
      </c>
      <c r="D1025" s="58" t="s">
        <v>26</v>
      </c>
      <c r="E1025" s="58" t="s">
        <v>8544</v>
      </c>
      <c r="F1025" s="48" t="s">
        <v>3924</v>
      </c>
      <c r="G1025" s="48" t="s">
        <v>16</v>
      </c>
      <c r="H1025" s="48" t="s">
        <v>13</v>
      </c>
      <c r="I1025" s="48" t="s">
        <v>3924</v>
      </c>
      <c r="J1025" s="48" t="s">
        <v>8545</v>
      </c>
      <c r="K1025" s="48" t="s">
        <v>6440</v>
      </c>
      <c r="L1025" s="48" t="s">
        <v>3927</v>
      </c>
      <c r="M1025" s="57" t="s">
        <v>8548</v>
      </c>
      <c r="N1025" s="48" t="s">
        <v>3924</v>
      </c>
    </row>
    <row r="1026" spans="1:14" ht="75" customHeight="1" thickTop="1" thickBot="1">
      <c r="A1026" s="26">
        <v>1024</v>
      </c>
      <c r="B1026" s="26">
        <v>1028</v>
      </c>
      <c r="C1026" s="57" t="s">
        <v>8549</v>
      </c>
      <c r="D1026" s="58" t="s">
        <v>26</v>
      </c>
      <c r="E1026" s="58" t="s">
        <v>8550</v>
      </c>
      <c r="F1026" s="48" t="s">
        <v>3995</v>
      </c>
      <c r="G1026" s="48" t="s">
        <v>12</v>
      </c>
      <c r="H1026" s="48" t="s">
        <v>13</v>
      </c>
      <c r="I1026" s="48" t="s">
        <v>3924</v>
      </c>
      <c r="J1026" s="48" t="s">
        <v>8551</v>
      </c>
      <c r="K1026" s="48" t="s">
        <v>6445</v>
      </c>
      <c r="L1026" s="48" t="s">
        <v>8552</v>
      </c>
      <c r="M1026" s="57" t="s">
        <v>8553</v>
      </c>
      <c r="N1026" s="48" t="s">
        <v>3924</v>
      </c>
    </row>
    <row r="1027" spans="1:14" ht="75" customHeight="1" thickTop="1" thickBot="1">
      <c r="A1027" s="34">
        <v>1025</v>
      </c>
      <c r="B1027" s="34">
        <v>1029</v>
      </c>
      <c r="C1027" s="57" t="s">
        <v>8554</v>
      </c>
      <c r="D1027" s="58" t="s">
        <v>26</v>
      </c>
      <c r="E1027" s="58" t="s">
        <v>8550</v>
      </c>
      <c r="F1027" s="48" t="s">
        <v>3995</v>
      </c>
      <c r="G1027" s="48" t="s">
        <v>1419</v>
      </c>
      <c r="H1027" s="48" t="s">
        <v>13</v>
      </c>
      <c r="I1027" s="48" t="s">
        <v>3924</v>
      </c>
      <c r="J1027" s="48" t="s">
        <v>8555</v>
      </c>
      <c r="K1027" s="48" t="s">
        <v>6552</v>
      </c>
      <c r="L1027" s="48" t="s">
        <v>3927</v>
      </c>
      <c r="M1027" s="57" t="s">
        <v>8556</v>
      </c>
      <c r="N1027" s="48" t="s">
        <v>8557</v>
      </c>
    </row>
    <row r="1028" spans="1:14" ht="75" customHeight="1" thickTop="1" thickBot="1">
      <c r="A1028" s="26">
        <v>1026</v>
      </c>
      <c r="B1028" s="26">
        <v>1030</v>
      </c>
      <c r="C1028" s="57" t="s">
        <v>8558</v>
      </c>
      <c r="D1028" s="58" t="s">
        <v>26</v>
      </c>
      <c r="E1028" s="58" t="s">
        <v>8550</v>
      </c>
      <c r="F1028" s="48" t="s">
        <v>3995</v>
      </c>
      <c r="G1028" s="48" t="s">
        <v>1419</v>
      </c>
      <c r="H1028" s="48" t="s">
        <v>13</v>
      </c>
      <c r="I1028" s="48" t="s">
        <v>3924</v>
      </c>
      <c r="J1028" s="48" t="s">
        <v>5186</v>
      </c>
      <c r="K1028" s="48" t="s">
        <v>6440</v>
      </c>
      <c r="L1028" s="48" t="s">
        <v>6493</v>
      </c>
      <c r="M1028" s="57" t="s">
        <v>8559</v>
      </c>
      <c r="N1028" s="48" t="s">
        <v>449</v>
      </c>
    </row>
    <row r="1029" spans="1:14" ht="75" customHeight="1" thickTop="1" thickBot="1">
      <c r="A1029" s="34">
        <v>1027</v>
      </c>
      <c r="B1029" s="34">
        <v>1031</v>
      </c>
      <c r="C1029" s="57" t="s">
        <v>8560</v>
      </c>
      <c r="D1029" s="58" t="s">
        <v>26</v>
      </c>
      <c r="E1029" s="58" t="s">
        <v>8550</v>
      </c>
      <c r="F1029" s="48" t="s">
        <v>3995</v>
      </c>
      <c r="G1029" s="48" t="s">
        <v>16</v>
      </c>
      <c r="H1029" s="48" t="s">
        <v>13</v>
      </c>
      <c r="I1029" s="48" t="s">
        <v>3924</v>
      </c>
      <c r="J1029" s="48" t="s">
        <v>8561</v>
      </c>
      <c r="K1029" s="48" t="s">
        <v>6440</v>
      </c>
      <c r="L1029" s="48" t="s">
        <v>3927</v>
      </c>
      <c r="M1029" s="57" t="s">
        <v>8562</v>
      </c>
      <c r="N1029" s="48" t="s">
        <v>3924</v>
      </c>
    </row>
    <row r="1030" spans="1:14" ht="75" customHeight="1" thickTop="1" thickBot="1">
      <c r="A1030" s="26">
        <v>1028</v>
      </c>
      <c r="B1030" s="26">
        <v>1032</v>
      </c>
      <c r="C1030" s="57" t="s">
        <v>8563</v>
      </c>
      <c r="D1030" s="58" t="s">
        <v>26</v>
      </c>
      <c r="E1030" s="58" t="s">
        <v>27</v>
      </c>
      <c r="F1030" s="48" t="s">
        <v>3995</v>
      </c>
      <c r="G1030" s="48" t="s">
        <v>12</v>
      </c>
      <c r="H1030" s="48" t="s">
        <v>13</v>
      </c>
      <c r="I1030" s="48" t="s">
        <v>3924</v>
      </c>
      <c r="J1030" s="48" t="s">
        <v>8564</v>
      </c>
      <c r="K1030" s="48" t="s">
        <v>6434</v>
      </c>
      <c r="L1030" s="48" t="s">
        <v>6435</v>
      </c>
      <c r="M1030" s="57" t="s">
        <v>8565</v>
      </c>
      <c r="N1030" s="48" t="s">
        <v>8566</v>
      </c>
    </row>
    <row r="1031" spans="1:14" ht="75" customHeight="1" thickTop="1" thickBot="1">
      <c r="A1031" s="34">
        <v>1029</v>
      </c>
      <c r="B1031" s="34">
        <v>1033</v>
      </c>
      <c r="C1031" s="57" t="s">
        <v>8567</v>
      </c>
      <c r="D1031" s="58" t="s">
        <v>26</v>
      </c>
      <c r="E1031" s="58" t="s">
        <v>27</v>
      </c>
      <c r="F1031" s="48" t="s">
        <v>3995</v>
      </c>
      <c r="G1031" s="48" t="s">
        <v>1419</v>
      </c>
      <c r="H1031" s="48" t="s">
        <v>13</v>
      </c>
      <c r="I1031" s="48" t="s">
        <v>3924</v>
      </c>
      <c r="J1031" s="48" t="s">
        <v>5111</v>
      </c>
      <c r="K1031" s="48" t="s">
        <v>6445</v>
      </c>
      <c r="L1031" s="48" t="s">
        <v>3924</v>
      </c>
      <c r="M1031" s="57" t="s">
        <v>8568</v>
      </c>
      <c r="N1031" s="48" t="s">
        <v>15</v>
      </c>
    </row>
    <row r="1032" spans="1:14" ht="75" customHeight="1" thickTop="1" thickBot="1">
      <c r="A1032" s="26">
        <v>1030</v>
      </c>
      <c r="B1032" s="26">
        <v>1034</v>
      </c>
      <c r="C1032" s="57" t="s">
        <v>8569</v>
      </c>
      <c r="D1032" s="58" t="s">
        <v>26</v>
      </c>
      <c r="E1032" s="58" t="s">
        <v>27</v>
      </c>
      <c r="F1032" s="48" t="s">
        <v>3995</v>
      </c>
      <c r="G1032" s="48" t="s">
        <v>16</v>
      </c>
      <c r="H1032" s="48" t="s">
        <v>13</v>
      </c>
      <c r="I1032" s="48" t="s">
        <v>3924</v>
      </c>
      <c r="J1032" s="48" t="s">
        <v>8561</v>
      </c>
      <c r="K1032" s="48" t="s">
        <v>6552</v>
      </c>
      <c r="L1032" s="48" t="s">
        <v>6435</v>
      </c>
      <c r="M1032" s="57" t="s">
        <v>8570</v>
      </c>
      <c r="N1032" s="48" t="s">
        <v>3924</v>
      </c>
    </row>
    <row r="1033" spans="1:14" ht="75" customHeight="1" thickTop="1" thickBot="1">
      <c r="A1033" s="34">
        <v>1031</v>
      </c>
      <c r="B1033" s="34">
        <v>1035</v>
      </c>
      <c r="C1033" s="57" t="s">
        <v>8571</v>
      </c>
      <c r="D1033" s="58" t="s">
        <v>26</v>
      </c>
      <c r="E1033" s="58" t="s">
        <v>8550</v>
      </c>
      <c r="F1033" s="48" t="s">
        <v>3995</v>
      </c>
      <c r="G1033" s="48" t="s">
        <v>1419</v>
      </c>
      <c r="H1033" s="48" t="s">
        <v>13</v>
      </c>
      <c r="I1033" s="48" t="s">
        <v>3924</v>
      </c>
      <c r="J1033" s="48" t="s">
        <v>5111</v>
      </c>
      <c r="K1033" s="48" t="s">
        <v>6440</v>
      </c>
      <c r="L1033" s="48" t="s">
        <v>3927</v>
      </c>
      <c r="M1033" s="57" t="s">
        <v>8572</v>
      </c>
      <c r="N1033" s="48" t="s">
        <v>3924</v>
      </c>
    </row>
    <row r="1034" spans="1:14" ht="75" customHeight="1" thickTop="1" thickBot="1">
      <c r="A1034" s="26">
        <v>1032</v>
      </c>
      <c r="B1034" s="26">
        <v>1036</v>
      </c>
      <c r="C1034" s="57" t="s">
        <v>8573</v>
      </c>
      <c r="D1034" s="58" t="s">
        <v>26</v>
      </c>
      <c r="E1034" s="58" t="s">
        <v>6461</v>
      </c>
      <c r="F1034" s="48" t="s">
        <v>3923</v>
      </c>
      <c r="G1034" s="48" t="s">
        <v>74</v>
      </c>
      <c r="H1034" s="48" t="s">
        <v>13</v>
      </c>
      <c r="I1034" s="48" t="s">
        <v>3924</v>
      </c>
      <c r="J1034" s="48" t="s">
        <v>8573</v>
      </c>
      <c r="K1034" s="48" t="s">
        <v>6434</v>
      </c>
      <c r="L1034" s="48" t="s">
        <v>6463</v>
      </c>
      <c r="M1034" s="57" t="s">
        <v>8574</v>
      </c>
      <c r="N1034" s="48" t="s">
        <v>3924</v>
      </c>
    </row>
    <row r="1035" spans="1:14" ht="75" customHeight="1" thickTop="1" thickBot="1">
      <c r="A1035" s="34">
        <v>1033</v>
      </c>
      <c r="B1035" s="34">
        <v>1037</v>
      </c>
      <c r="C1035" s="57" t="s">
        <v>8575</v>
      </c>
      <c r="D1035" s="58" t="s">
        <v>26</v>
      </c>
      <c r="E1035" s="58" t="s">
        <v>6461</v>
      </c>
      <c r="F1035" s="48" t="s">
        <v>3923</v>
      </c>
      <c r="G1035" s="48" t="s">
        <v>74</v>
      </c>
      <c r="H1035" s="48" t="s">
        <v>13</v>
      </c>
      <c r="I1035" s="48" t="s">
        <v>3924</v>
      </c>
      <c r="J1035" s="48" t="s">
        <v>8576</v>
      </c>
      <c r="K1035" s="48" t="s">
        <v>6434</v>
      </c>
      <c r="L1035" s="48" t="s">
        <v>6463</v>
      </c>
      <c r="M1035" s="57" t="s">
        <v>8577</v>
      </c>
      <c r="N1035" s="48" t="s">
        <v>3924</v>
      </c>
    </row>
    <row r="1036" spans="1:14" ht="75" customHeight="1" thickTop="1" thickBot="1">
      <c r="A1036" s="26">
        <v>1034</v>
      </c>
      <c r="B1036" s="26">
        <v>1038</v>
      </c>
      <c r="C1036" s="57" t="s">
        <v>8578</v>
      </c>
      <c r="D1036" s="58" t="s">
        <v>26</v>
      </c>
      <c r="E1036" s="58" t="s">
        <v>27</v>
      </c>
      <c r="F1036" s="48" t="s">
        <v>3995</v>
      </c>
      <c r="G1036" s="48" t="s">
        <v>1419</v>
      </c>
      <c r="H1036" s="48" t="s">
        <v>13</v>
      </c>
      <c r="I1036" s="48" t="s">
        <v>3924</v>
      </c>
      <c r="J1036" s="48" t="s">
        <v>8579</v>
      </c>
      <c r="K1036" s="48" t="s">
        <v>6434</v>
      </c>
      <c r="L1036" s="48" t="s">
        <v>3924</v>
      </c>
      <c r="M1036" s="57" t="s">
        <v>8580</v>
      </c>
      <c r="N1036" s="48" t="s">
        <v>3924</v>
      </c>
    </row>
    <row r="1037" spans="1:14" ht="75" customHeight="1" thickTop="1" thickBot="1">
      <c r="A1037" s="34">
        <v>1035</v>
      </c>
      <c r="B1037" s="34">
        <v>1039</v>
      </c>
      <c r="C1037" s="57" t="s">
        <v>8581</v>
      </c>
      <c r="D1037" s="58" t="s">
        <v>26</v>
      </c>
      <c r="E1037" s="58" t="s">
        <v>27</v>
      </c>
      <c r="F1037" s="48" t="s">
        <v>3995</v>
      </c>
      <c r="G1037" s="48" t="s">
        <v>16</v>
      </c>
      <c r="H1037" s="48" t="s">
        <v>13</v>
      </c>
      <c r="I1037" s="48" t="s">
        <v>3924</v>
      </c>
      <c r="J1037" s="48" t="s">
        <v>8582</v>
      </c>
      <c r="K1037" s="48" t="s">
        <v>8583</v>
      </c>
      <c r="L1037" s="48" t="s">
        <v>3924</v>
      </c>
      <c r="M1037" s="57" t="s">
        <v>8584</v>
      </c>
      <c r="N1037" s="48" t="s">
        <v>3924</v>
      </c>
    </row>
    <row r="1038" spans="1:14" ht="75" customHeight="1" thickTop="1" thickBot="1">
      <c r="A1038" s="26">
        <v>1036</v>
      </c>
      <c r="B1038" s="26">
        <v>1040</v>
      </c>
      <c r="C1038" s="57" t="s">
        <v>8585</v>
      </c>
      <c r="D1038" s="58" t="s">
        <v>26</v>
      </c>
      <c r="E1038" s="58" t="s">
        <v>6480</v>
      </c>
      <c r="F1038" s="48" t="s">
        <v>3923</v>
      </c>
      <c r="G1038" s="48" t="s">
        <v>16</v>
      </c>
      <c r="H1038" s="48" t="s">
        <v>13</v>
      </c>
      <c r="I1038" s="48" t="s">
        <v>3924</v>
      </c>
      <c r="J1038" s="48" t="s">
        <v>8586</v>
      </c>
      <c r="K1038" s="48" t="s">
        <v>6483</v>
      </c>
      <c r="L1038" s="48" t="s">
        <v>8587</v>
      </c>
      <c r="M1038" s="57" t="s">
        <v>8588</v>
      </c>
      <c r="N1038" s="48" t="s">
        <v>3924</v>
      </c>
    </row>
    <row r="1039" spans="1:14" ht="75" customHeight="1" thickTop="1" thickBot="1">
      <c r="A1039" s="34">
        <v>1037</v>
      </c>
      <c r="B1039" s="34">
        <v>1041</v>
      </c>
      <c r="C1039" s="57" t="s">
        <v>8586</v>
      </c>
      <c r="D1039" s="58" t="s">
        <v>26</v>
      </c>
      <c r="E1039" s="58" t="s">
        <v>6480</v>
      </c>
      <c r="F1039" s="48" t="s">
        <v>3923</v>
      </c>
      <c r="G1039" s="48" t="s">
        <v>16</v>
      </c>
      <c r="H1039" s="48" t="s">
        <v>13</v>
      </c>
      <c r="I1039" s="48" t="s">
        <v>3924</v>
      </c>
      <c r="J1039" s="48" t="s">
        <v>8589</v>
      </c>
      <c r="K1039" s="48" t="s">
        <v>8307</v>
      </c>
      <c r="L1039" s="48" t="s">
        <v>3924</v>
      </c>
      <c r="M1039" s="57" t="s">
        <v>8590</v>
      </c>
      <c r="N1039" s="48" t="s">
        <v>3924</v>
      </c>
    </row>
    <row r="1040" spans="1:14" ht="75" customHeight="1" thickTop="1" thickBot="1">
      <c r="A1040" s="26">
        <v>1038</v>
      </c>
      <c r="B1040" s="26">
        <v>1042</v>
      </c>
      <c r="C1040" s="57" t="s">
        <v>8591</v>
      </c>
      <c r="D1040" s="58" t="s">
        <v>26</v>
      </c>
      <c r="E1040" s="58" t="s">
        <v>6480</v>
      </c>
      <c r="F1040" s="48" t="s">
        <v>3923</v>
      </c>
      <c r="G1040" s="48" t="s">
        <v>16</v>
      </c>
      <c r="H1040" s="48" t="s">
        <v>13</v>
      </c>
      <c r="I1040" s="48" t="s">
        <v>3924</v>
      </c>
      <c r="J1040" s="48" t="s">
        <v>8592</v>
      </c>
      <c r="K1040" s="48" t="s">
        <v>6552</v>
      </c>
      <c r="L1040" s="48" t="s">
        <v>3927</v>
      </c>
      <c r="M1040" s="57" t="s">
        <v>8593</v>
      </c>
      <c r="N1040" s="48" t="s">
        <v>3924</v>
      </c>
    </row>
    <row r="1041" spans="1:14" ht="75" customHeight="1" thickTop="1" thickBot="1">
      <c r="A1041" s="34">
        <v>1039</v>
      </c>
      <c r="B1041" s="34">
        <v>1043</v>
      </c>
      <c r="C1041" s="57" t="s">
        <v>8594</v>
      </c>
      <c r="D1041" s="58" t="s">
        <v>26</v>
      </c>
      <c r="E1041" s="58" t="s">
        <v>6480</v>
      </c>
      <c r="F1041" s="48" t="s">
        <v>3923</v>
      </c>
      <c r="G1041" s="48" t="s">
        <v>16</v>
      </c>
      <c r="H1041" s="48" t="s">
        <v>13</v>
      </c>
      <c r="I1041" s="48" t="s">
        <v>3924</v>
      </c>
      <c r="J1041" s="48" t="s">
        <v>8592</v>
      </c>
      <c r="K1041" s="48" t="s">
        <v>6483</v>
      </c>
      <c r="L1041" s="48" t="s">
        <v>8587</v>
      </c>
      <c r="M1041" s="57" t="s">
        <v>8595</v>
      </c>
      <c r="N1041" s="48" t="s">
        <v>3924</v>
      </c>
    </row>
    <row r="1042" spans="1:14" ht="75" customHeight="1" thickTop="1" thickBot="1">
      <c r="A1042" s="26">
        <v>1040</v>
      </c>
      <c r="B1042" s="26">
        <v>1044</v>
      </c>
      <c r="C1042" s="57" t="s">
        <v>8594</v>
      </c>
      <c r="D1042" s="58" t="s">
        <v>26</v>
      </c>
      <c r="E1042" s="58" t="s">
        <v>6480</v>
      </c>
      <c r="F1042" s="48" t="s">
        <v>3923</v>
      </c>
      <c r="G1042" s="48" t="s">
        <v>16</v>
      </c>
      <c r="H1042" s="48" t="s">
        <v>13</v>
      </c>
      <c r="I1042" s="48" t="s">
        <v>3924</v>
      </c>
      <c r="J1042" s="48" t="s">
        <v>8592</v>
      </c>
      <c r="K1042" s="48" t="s">
        <v>6440</v>
      </c>
      <c r="L1042" s="48" t="s">
        <v>7778</v>
      </c>
      <c r="M1042" s="57" t="s">
        <v>4588</v>
      </c>
      <c r="N1042" s="48" t="s">
        <v>3924</v>
      </c>
    </row>
    <row r="1043" spans="1:14" ht="75" customHeight="1" thickTop="1" thickBot="1">
      <c r="A1043" s="34">
        <v>1041</v>
      </c>
      <c r="B1043" s="34">
        <v>1045</v>
      </c>
      <c r="C1043" s="57" t="s">
        <v>8596</v>
      </c>
      <c r="D1043" s="58" t="s">
        <v>26</v>
      </c>
      <c r="E1043" s="58" t="s">
        <v>6480</v>
      </c>
      <c r="F1043" s="48" t="s">
        <v>3923</v>
      </c>
      <c r="G1043" s="48" t="s">
        <v>16</v>
      </c>
      <c r="H1043" s="48" t="s">
        <v>13</v>
      </c>
      <c r="I1043" s="48" t="s">
        <v>3924</v>
      </c>
      <c r="J1043" s="48" t="s">
        <v>8592</v>
      </c>
      <c r="K1043" s="48" t="s">
        <v>6440</v>
      </c>
      <c r="L1043" s="48" t="s">
        <v>8597</v>
      </c>
      <c r="M1043" s="57" t="s">
        <v>8598</v>
      </c>
      <c r="N1043" s="48" t="s">
        <v>3924</v>
      </c>
    </row>
    <row r="1044" spans="1:14" ht="75" customHeight="1" thickTop="1" thickBot="1">
      <c r="A1044" s="26">
        <v>1042</v>
      </c>
      <c r="B1044" s="26">
        <v>1046</v>
      </c>
      <c r="C1044" s="57" t="s">
        <v>8599</v>
      </c>
      <c r="D1044" s="58" t="s">
        <v>26</v>
      </c>
      <c r="E1044" s="58" t="s">
        <v>6480</v>
      </c>
      <c r="F1044" s="48" t="s">
        <v>3923</v>
      </c>
      <c r="G1044" s="48" t="s">
        <v>16</v>
      </c>
      <c r="H1044" s="48" t="s">
        <v>13</v>
      </c>
      <c r="I1044" s="48" t="s">
        <v>3924</v>
      </c>
      <c r="J1044" s="48" t="s">
        <v>8600</v>
      </c>
      <c r="K1044" s="48" t="s">
        <v>6440</v>
      </c>
      <c r="L1044" s="48" t="s">
        <v>7932</v>
      </c>
      <c r="M1044" s="57" t="s">
        <v>8601</v>
      </c>
      <c r="N1044" s="48" t="s">
        <v>3924</v>
      </c>
    </row>
    <row r="1045" spans="1:14" ht="75" customHeight="1" thickTop="1" thickBot="1">
      <c r="A1045" s="34">
        <v>1043</v>
      </c>
      <c r="B1045" s="34">
        <v>1047</v>
      </c>
      <c r="C1045" s="57" t="s">
        <v>8599</v>
      </c>
      <c r="D1045" s="58" t="s">
        <v>26</v>
      </c>
      <c r="E1045" s="58" t="s">
        <v>6480</v>
      </c>
      <c r="F1045" s="48" t="s">
        <v>3923</v>
      </c>
      <c r="G1045" s="48" t="s">
        <v>16</v>
      </c>
      <c r="H1045" s="48" t="s">
        <v>13</v>
      </c>
      <c r="I1045" s="48" t="s">
        <v>3924</v>
      </c>
      <c r="J1045" s="48" t="s">
        <v>8600</v>
      </c>
      <c r="K1045" s="48" t="s">
        <v>6440</v>
      </c>
      <c r="L1045" s="48" t="s">
        <v>7502</v>
      </c>
      <c r="M1045" s="57" t="s">
        <v>8602</v>
      </c>
      <c r="N1045" s="48" t="s">
        <v>3924</v>
      </c>
    </row>
    <row r="1046" spans="1:14" ht="75" customHeight="1" thickTop="1" thickBot="1">
      <c r="A1046" s="26">
        <v>1044</v>
      </c>
      <c r="B1046" s="26">
        <v>1048</v>
      </c>
      <c r="C1046" s="57" t="s">
        <v>8603</v>
      </c>
      <c r="D1046" s="58" t="s">
        <v>26</v>
      </c>
      <c r="E1046" s="58" t="s">
        <v>6480</v>
      </c>
      <c r="F1046" s="48" t="s">
        <v>3923</v>
      </c>
      <c r="G1046" s="48" t="s">
        <v>16</v>
      </c>
      <c r="H1046" s="48" t="s">
        <v>13</v>
      </c>
      <c r="I1046" s="48" t="s">
        <v>3924</v>
      </c>
      <c r="J1046" s="48" t="s">
        <v>8600</v>
      </c>
      <c r="K1046" s="48" t="s">
        <v>6445</v>
      </c>
      <c r="L1046" s="48" t="s">
        <v>3924</v>
      </c>
      <c r="M1046" s="57" t="s">
        <v>8604</v>
      </c>
      <c r="N1046" s="48" t="s">
        <v>3924</v>
      </c>
    </row>
    <row r="1047" spans="1:14" ht="75" customHeight="1" thickTop="1" thickBot="1">
      <c r="A1047" s="34">
        <v>1045</v>
      </c>
      <c r="B1047" s="34">
        <v>1049</v>
      </c>
      <c r="C1047" s="57" t="s">
        <v>8605</v>
      </c>
      <c r="D1047" s="58" t="s">
        <v>26</v>
      </c>
      <c r="E1047" s="58" t="s">
        <v>6480</v>
      </c>
      <c r="F1047" s="48" t="s">
        <v>3923</v>
      </c>
      <c r="G1047" s="48" t="s">
        <v>16</v>
      </c>
      <c r="H1047" s="48" t="s">
        <v>13</v>
      </c>
      <c r="I1047" s="48" t="s">
        <v>3924</v>
      </c>
      <c r="J1047" s="48" t="s">
        <v>8600</v>
      </c>
      <c r="K1047" s="48" t="s">
        <v>6440</v>
      </c>
      <c r="L1047" s="48" t="s">
        <v>6493</v>
      </c>
      <c r="M1047" s="57" t="s">
        <v>8606</v>
      </c>
      <c r="N1047" s="48" t="s">
        <v>3924</v>
      </c>
    </row>
    <row r="1048" spans="1:14" ht="75" customHeight="1" thickTop="1" thickBot="1">
      <c r="A1048" s="26">
        <v>1046</v>
      </c>
      <c r="B1048" s="26">
        <v>1050</v>
      </c>
      <c r="C1048" s="57" t="s">
        <v>8607</v>
      </c>
      <c r="D1048" s="58" t="s">
        <v>26</v>
      </c>
      <c r="E1048" s="58" t="s">
        <v>6480</v>
      </c>
      <c r="F1048" s="48" t="s">
        <v>3923</v>
      </c>
      <c r="G1048" s="48" t="s">
        <v>16</v>
      </c>
      <c r="H1048" s="48" t="s">
        <v>13</v>
      </c>
      <c r="I1048" s="48" t="s">
        <v>3924</v>
      </c>
      <c r="J1048" s="48" t="s">
        <v>8608</v>
      </c>
      <c r="K1048" s="48" t="s">
        <v>6552</v>
      </c>
      <c r="L1048" s="48" t="s">
        <v>3927</v>
      </c>
      <c r="M1048" s="57" t="s">
        <v>8609</v>
      </c>
      <c r="N1048" s="48" t="s">
        <v>3924</v>
      </c>
    </row>
    <row r="1049" spans="1:14" ht="75" customHeight="1" thickTop="1" thickBot="1">
      <c r="A1049" s="34">
        <v>1047</v>
      </c>
      <c r="B1049" s="34">
        <v>1051</v>
      </c>
      <c r="C1049" s="57" t="s">
        <v>8607</v>
      </c>
      <c r="D1049" s="58" t="s">
        <v>26</v>
      </c>
      <c r="E1049" s="58" t="s">
        <v>6480</v>
      </c>
      <c r="F1049" s="48" t="s">
        <v>3923</v>
      </c>
      <c r="G1049" s="48" t="s">
        <v>16</v>
      </c>
      <c r="H1049" s="48" t="s">
        <v>13</v>
      </c>
      <c r="I1049" s="48" t="s">
        <v>3924</v>
      </c>
      <c r="J1049" s="48" t="s">
        <v>8608</v>
      </c>
      <c r="K1049" s="48" t="s">
        <v>6440</v>
      </c>
      <c r="L1049" s="48" t="s">
        <v>8610</v>
      </c>
      <c r="M1049" s="57" t="s">
        <v>8611</v>
      </c>
      <c r="N1049" s="48" t="s">
        <v>3924</v>
      </c>
    </row>
    <row r="1050" spans="1:14" ht="75" customHeight="1" thickTop="1" thickBot="1">
      <c r="A1050" s="26">
        <v>1048</v>
      </c>
      <c r="B1050" s="26">
        <v>1052</v>
      </c>
      <c r="C1050" s="57" t="s">
        <v>8612</v>
      </c>
      <c r="D1050" s="58" t="s">
        <v>26</v>
      </c>
      <c r="E1050" s="58" t="s">
        <v>6480</v>
      </c>
      <c r="F1050" s="48" t="s">
        <v>3923</v>
      </c>
      <c r="G1050" s="48" t="s">
        <v>16</v>
      </c>
      <c r="H1050" s="48" t="s">
        <v>13</v>
      </c>
      <c r="I1050" s="48" t="s">
        <v>3924</v>
      </c>
      <c r="J1050" s="48" t="s">
        <v>8613</v>
      </c>
      <c r="K1050" s="48" t="s">
        <v>6445</v>
      </c>
      <c r="L1050" s="48" t="s">
        <v>7082</v>
      </c>
      <c r="M1050" s="57" t="s">
        <v>8614</v>
      </c>
      <c r="N1050" s="48" t="s">
        <v>3924</v>
      </c>
    </row>
    <row r="1051" spans="1:14" ht="75" customHeight="1" thickTop="1" thickBot="1">
      <c r="A1051" s="34">
        <v>1049</v>
      </c>
      <c r="B1051" s="34">
        <v>1053</v>
      </c>
      <c r="C1051" s="57" t="s">
        <v>8615</v>
      </c>
      <c r="D1051" s="58" t="s">
        <v>26</v>
      </c>
      <c r="E1051" s="58" t="s">
        <v>6480</v>
      </c>
      <c r="F1051" s="48" t="s">
        <v>3923</v>
      </c>
      <c r="G1051" s="48" t="s">
        <v>16</v>
      </c>
      <c r="H1051" s="48" t="s">
        <v>13</v>
      </c>
      <c r="I1051" s="48" t="s">
        <v>3924</v>
      </c>
      <c r="J1051" s="48" t="s">
        <v>8615</v>
      </c>
      <c r="K1051" s="48" t="s">
        <v>8616</v>
      </c>
      <c r="L1051" s="48" t="s">
        <v>8617</v>
      </c>
      <c r="M1051" s="57" t="s">
        <v>8618</v>
      </c>
      <c r="N1051" s="48" t="s">
        <v>3924</v>
      </c>
    </row>
    <row r="1052" spans="1:14" ht="75" customHeight="1" thickTop="1" thickBot="1">
      <c r="A1052" s="26">
        <v>1050</v>
      </c>
      <c r="B1052" s="26">
        <v>1054</v>
      </c>
      <c r="C1052" s="57" t="s">
        <v>8619</v>
      </c>
      <c r="D1052" s="58" t="s">
        <v>26</v>
      </c>
      <c r="E1052" s="58" t="s">
        <v>27</v>
      </c>
      <c r="F1052" s="48" t="s">
        <v>3995</v>
      </c>
      <c r="G1052" s="48" t="s">
        <v>1419</v>
      </c>
      <c r="H1052" s="48" t="s">
        <v>13</v>
      </c>
      <c r="I1052" s="48" t="s">
        <v>3924</v>
      </c>
      <c r="J1052" s="48" t="s">
        <v>8620</v>
      </c>
      <c r="K1052" s="48" t="s">
        <v>6434</v>
      </c>
      <c r="L1052" s="48" t="s">
        <v>3924</v>
      </c>
      <c r="M1052" s="57" t="s">
        <v>8621</v>
      </c>
      <c r="N1052" s="48" t="s">
        <v>3924</v>
      </c>
    </row>
    <row r="1053" spans="1:14" ht="75" customHeight="1" thickTop="1" thickBot="1">
      <c r="A1053" s="34">
        <v>1051</v>
      </c>
      <c r="B1053" s="34">
        <v>1055</v>
      </c>
      <c r="C1053" s="57" t="s">
        <v>8622</v>
      </c>
      <c r="D1053" s="58" t="s">
        <v>26</v>
      </c>
      <c r="E1053" s="58" t="s">
        <v>27</v>
      </c>
      <c r="F1053" s="48" t="s">
        <v>3995</v>
      </c>
      <c r="G1053" s="48" t="s">
        <v>1419</v>
      </c>
      <c r="H1053" s="48" t="s">
        <v>13</v>
      </c>
      <c r="I1053" s="48" t="s">
        <v>3924</v>
      </c>
      <c r="J1053" s="48" t="s">
        <v>8623</v>
      </c>
      <c r="K1053" s="48" t="s">
        <v>8267</v>
      </c>
      <c r="L1053" s="48" t="s">
        <v>3924</v>
      </c>
      <c r="M1053" s="57" t="s">
        <v>8580</v>
      </c>
      <c r="N1053" s="48" t="s">
        <v>3924</v>
      </c>
    </row>
    <row r="1054" spans="1:14" ht="75" customHeight="1" thickTop="1" thickBot="1">
      <c r="A1054" s="26">
        <v>1052</v>
      </c>
      <c r="B1054" s="26">
        <v>1056</v>
      </c>
      <c r="C1054" s="57" t="s">
        <v>8624</v>
      </c>
      <c r="D1054" s="58" t="s">
        <v>26</v>
      </c>
      <c r="E1054" s="58" t="s">
        <v>8550</v>
      </c>
      <c r="F1054" s="48" t="s">
        <v>3995</v>
      </c>
      <c r="G1054" s="48" t="s">
        <v>1419</v>
      </c>
      <c r="H1054" s="48" t="s">
        <v>13</v>
      </c>
      <c r="I1054" s="48" t="s">
        <v>3924</v>
      </c>
      <c r="J1054" s="48" t="s">
        <v>8625</v>
      </c>
      <c r="K1054" s="48" t="s">
        <v>6440</v>
      </c>
      <c r="L1054" s="48" t="s">
        <v>6877</v>
      </c>
      <c r="M1054" s="57" t="s">
        <v>8626</v>
      </c>
      <c r="N1054" s="48" t="s">
        <v>8627</v>
      </c>
    </row>
    <row r="1055" spans="1:14" ht="75" customHeight="1" thickTop="1" thickBot="1">
      <c r="A1055" s="34">
        <v>1053</v>
      </c>
      <c r="B1055" s="34">
        <v>1057</v>
      </c>
      <c r="C1055" s="57" t="s">
        <v>8628</v>
      </c>
      <c r="D1055" s="58" t="s">
        <v>26</v>
      </c>
      <c r="E1055" s="58" t="s">
        <v>7451</v>
      </c>
      <c r="F1055" s="48" t="s">
        <v>3923</v>
      </c>
      <c r="G1055" s="48" t="s">
        <v>1419</v>
      </c>
      <c r="H1055" s="48" t="s">
        <v>13</v>
      </c>
      <c r="I1055" s="48" t="s">
        <v>3924</v>
      </c>
      <c r="J1055" s="48" t="s">
        <v>8629</v>
      </c>
      <c r="K1055" s="48" t="s">
        <v>6445</v>
      </c>
      <c r="L1055" s="48" t="s">
        <v>7408</v>
      </c>
      <c r="M1055" s="57" t="s">
        <v>8630</v>
      </c>
      <c r="N1055" s="48" t="s">
        <v>3924</v>
      </c>
    </row>
    <row r="1056" spans="1:14" ht="75" customHeight="1" thickTop="1" thickBot="1">
      <c r="A1056" s="26">
        <v>1054</v>
      </c>
      <c r="B1056" s="26">
        <v>1058</v>
      </c>
      <c r="C1056" s="57" t="s">
        <v>8628</v>
      </c>
      <c r="D1056" s="58" t="s">
        <v>26</v>
      </c>
      <c r="E1056" s="58" t="s">
        <v>7451</v>
      </c>
      <c r="F1056" s="48" t="s">
        <v>3923</v>
      </c>
      <c r="G1056" s="48" t="s">
        <v>1419</v>
      </c>
      <c r="H1056" s="48" t="s">
        <v>13</v>
      </c>
      <c r="I1056" s="48" t="s">
        <v>3924</v>
      </c>
      <c r="J1056" s="48" t="s">
        <v>8629</v>
      </c>
      <c r="K1056" s="48" t="s">
        <v>6440</v>
      </c>
      <c r="L1056" s="48" t="s">
        <v>6805</v>
      </c>
      <c r="M1056" s="57" t="s">
        <v>8631</v>
      </c>
      <c r="N1056" s="48" t="s">
        <v>3924</v>
      </c>
    </row>
    <row r="1057" spans="1:14" ht="75" customHeight="1" thickTop="1" thickBot="1">
      <c r="A1057" s="34">
        <v>1055</v>
      </c>
      <c r="B1057" s="34">
        <v>1059</v>
      </c>
      <c r="C1057" s="57" t="s">
        <v>8632</v>
      </c>
      <c r="D1057" s="58" t="s">
        <v>26</v>
      </c>
      <c r="E1057" s="58" t="s">
        <v>7451</v>
      </c>
      <c r="F1057" s="48" t="s">
        <v>3923</v>
      </c>
      <c r="G1057" s="48" t="s">
        <v>1419</v>
      </c>
      <c r="H1057" s="48" t="s">
        <v>13</v>
      </c>
      <c r="I1057" s="48" t="s">
        <v>3924</v>
      </c>
      <c r="J1057" s="48" t="s">
        <v>8633</v>
      </c>
      <c r="K1057" s="48" t="s">
        <v>6434</v>
      </c>
      <c r="L1057" s="48" t="s">
        <v>6805</v>
      </c>
      <c r="M1057" s="57" t="s">
        <v>8634</v>
      </c>
      <c r="N1057" s="48" t="s">
        <v>3924</v>
      </c>
    </row>
    <row r="1058" spans="1:14" ht="75" customHeight="1" thickTop="1" thickBot="1">
      <c r="A1058" s="26">
        <v>1056</v>
      </c>
      <c r="B1058" s="26">
        <v>1060</v>
      </c>
      <c r="C1058" s="57" t="s">
        <v>8635</v>
      </c>
      <c r="D1058" s="58" t="s">
        <v>26</v>
      </c>
      <c r="E1058" s="58" t="s">
        <v>7451</v>
      </c>
      <c r="F1058" s="48" t="s">
        <v>3923</v>
      </c>
      <c r="G1058" s="48" t="s">
        <v>1419</v>
      </c>
      <c r="H1058" s="48" t="s">
        <v>13</v>
      </c>
      <c r="I1058" s="48" t="s">
        <v>3924</v>
      </c>
      <c r="J1058" s="48" t="s">
        <v>8633</v>
      </c>
      <c r="K1058" s="48" t="s">
        <v>6434</v>
      </c>
      <c r="L1058" s="48" t="s">
        <v>7102</v>
      </c>
      <c r="M1058" s="57" t="s">
        <v>8636</v>
      </c>
      <c r="N1058" s="48" t="s">
        <v>3924</v>
      </c>
    </row>
    <row r="1059" spans="1:14" ht="75" customHeight="1" thickTop="1" thickBot="1">
      <c r="A1059" s="34">
        <v>1057</v>
      </c>
      <c r="B1059" s="34">
        <v>1061</v>
      </c>
      <c r="C1059" s="57" t="s">
        <v>8635</v>
      </c>
      <c r="D1059" s="58" t="s">
        <v>26</v>
      </c>
      <c r="E1059" s="58" t="s">
        <v>7451</v>
      </c>
      <c r="F1059" s="48" t="s">
        <v>3923</v>
      </c>
      <c r="G1059" s="48" t="s">
        <v>1419</v>
      </c>
      <c r="H1059" s="48" t="s">
        <v>13</v>
      </c>
      <c r="I1059" s="48" t="s">
        <v>3924</v>
      </c>
      <c r="J1059" s="48" t="s">
        <v>8637</v>
      </c>
      <c r="K1059" s="48" t="s">
        <v>6434</v>
      </c>
      <c r="L1059" s="48" t="s">
        <v>6469</v>
      </c>
      <c r="M1059" s="57" t="s">
        <v>8638</v>
      </c>
      <c r="N1059" s="48" t="s">
        <v>3924</v>
      </c>
    </row>
    <row r="1060" spans="1:14" ht="75" customHeight="1" thickTop="1" thickBot="1">
      <c r="A1060" s="26">
        <v>1058</v>
      </c>
      <c r="B1060" s="26">
        <v>1062</v>
      </c>
      <c r="C1060" s="57" t="s">
        <v>8639</v>
      </c>
      <c r="D1060" s="58" t="s">
        <v>26</v>
      </c>
      <c r="E1060" s="58" t="s">
        <v>7451</v>
      </c>
      <c r="F1060" s="48" t="s">
        <v>3923</v>
      </c>
      <c r="G1060" s="48" t="s">
        <v>1419</v>
      </c>
      <c r="H1060" s="48" t="s">
        <v>13</v>
      </c>
      <c r="I1060" s="48" t="s">
        <v>3924</v>
      </c>
      <c r="J1060" s="48" t="s">
        <v>8637</v>
      </c>
      <c r="K1060" s="48" t="s">
        <v>6445</v>
      </c>
      <c r="L1060" s="48" t="s">
        <v>6435</v>
      </c>
      <c r="M1060" s="57" t="s">
        <v>8640</v>
      </c>
      <c r="N1060" s="48" t="s">
        <v>3924</v>
      </c>
    </row>
    <row r="1061" spans="1:14" ht="75" customHeight="1" thickTop="1" thickBot="1">
      <c r="A1061" s="34">
        <v>1059</v>
      </c>
      <c r="B1061" s="34">
        <v>1063</v>
      </c>
      <c r="C1061" s="57" t="s">
        <v>8641</v>
      </c>
      <c r="D1061" s="58" t="s">
        <v>26</v>
      </c>
      <c r="E1061" s="58" t="s">
        <v>7451</v>
      </c>
      <c r="F1061" s="48" t="s">
        <v>3923</v>
      </c>
      <c r="G1061" s="48" t="s">
        <v>1419</v>
      </c>
      <c r="H1061" s="48" t="s">
        <v>13</v>
      </c>
      <c r="I1061" s="48" t="s">
        <v>3924</v>
      </c>
      <c r="J1061" s="48" t="s">
        <v>8642</v>
      </c>
      <c r="K1061" s="48" t="s">
        <v>6434</v>
      </c>
      <c r="L1061" s="48" t="s">
        <v>6559</v>
      </c>
      <c r="M1061" s="57" t="s">
        <v>8643</v>
      </c>
      <c r="N1061" s="48" t="s">
        <v>3924</v>
      </c>
    </row>
    <row r="1062" spans="1:14" ht="75" customHeight="1" thickTop="1" thickBot="1">
      <c r="A1062" s="26">
        <v>1060</v>
      </c>
      <c r="B1062" s="26">
        <v>1064</v>
      </c>
      <c r="C1062" s="57" t="s">
        <v>8644</v>
      </c>
      <c r="D1062" s="58" t="s">
        <v>26</v>
      </c>
      <c r="E1062" s="58" t="s">
        <v>7451</v>
      </c>
      <c r="F1062" s="48" t="s">
        <v>3923</v>
      </c>
      <c r="G1062" s="48" t="s">
        <v>1419</v>
      </c>
      <c r="H1062" s="48" t="s">
        <v>13</v>
      </c>
      <c r="I1062" s="48" t="s">
        <v>3924</v>
      </c>
      <c r="J1062" s="48" t="s">
        <v>8637</v>
      </c>
      <c r="K1062" s="48" t="s">
        <v>6483</v>
      </c>
      <c r="L1062" s="48" t="s">
        <v>8645</v>
      </c>
      <c r="M1062" s="57" t="s">
        <v>8646</v>
      </c>
      <c r="N1062" s="48" t="s">
        <v>3924</v>
      </c>
    </row>
    <row r="1063" spans="1:14" ht="75" customHeight="1" thickTop="1" thickBot="1">
      <c r="A1063" s="34">
        <v>1061</v>
      </c>
      <c r="B1063" s="34">
        <v>1065</v>
      </c>
      <c r="C1063" s="57" t="s">
        <v>8647</v>
      </c>
      <c r="D1063" s="58" t="s">
        <v>26</v>
      </c>
      <c r="E1063" s="58" t="s">
        <v>7451</v>
      </c>
      <c r="F1063" s="48" t="s">
        <v>3923</v>
      </c>
      <c r="G1063" s="48" t="s">
        <v>1419</v>
      </c>
      <c r="H1063" s="48" t="s">
        <v>13</v>
      </c>
      <c r="I1063" s="48" t="s">
        <v>3924</v>
      </c>
      <c r="J1063" s="48" t="s">
        <v>8637</v>
      </c>
      <c r="K1063" s="48" t="s">
        <v>6440</v>
      </c>
      <c r="L1063" s="48" t="s">
        <v>8648</v>
      </c>
      <c r="M1063" s="57" t="s">
        <v>8649</v>
      </c>
      <c r="N1063" s="48" t="s">
        <v>3924</v>
      </c>
    </row>
    <row r="1064" spans="1:14" ht="75" customHeight="1" thickTop="1" thickBot="1">
      <c r="A1064" s="26">
        <v>1062</v>
      </c>
      <c r="B1064" s="26">
        <v>1066</v>
      </c>
      <c r="C1064" s="57" t="s">
        <v>8647</v>
      </c>
      <c r="D1064" s="58" t="s">
        <v>26</v>
      </c>
      <c r="E1064" s="58" t="s">
        <v>7451</v>
      </c>
      <c r="F1064" s="48" t="s">
        <v>3923</v>
      </c>
      <c r="G1064" s="48" t="s">
        <v>1419</v>
      </c>
      <c r="H1064" s="48" t="s">
        <v>13</v>
      </c>
      <c r="I1064" s="48" t="s">
        <v>3924</v>
      </c>
      <c r="J1064" s="48" t="s">
        <v>8650</v>
      </c>
      <c r="K1064" s="48" t="s">
        <v>6440</v>
      </c>
      <c r="L1064" s="48" t="s">
        <v>6877</v>
      </c>
      <c r="M1064" s="57" t="s">
        <v>8651</v>
      </c>
      <c r="N1064" s="48" t="s">
        <v>3924</v>
      </c>
    </row>
    <row r="1065" spans="1:14" ht="75" customHeight="1" thickTop="1" thickBot="1">
      <c r="A1065" s="34">
        <v>1063</v>
      </c>
      <c r="B1065" s="34">
        <v>1067</v>
      </c>
      <c r="C1065" s="57" t="s">
        <v>8652</v>
      </c>
      <c r="D1065" s="58" t="s">
        <v>26</v>
      </c>
      <c r="E1065" s="58" t="s">
        <v>7451</v>
      </c>
      <c r="F1065" s="48" t="s">
        <v>3923</v>
      </c>
      <c r="G1065" s="48" t="s">
        <v>1419</v>
      </c>
      <c r="H1065" s="48" t="s">
        <v>13</v>
      </c>
      <c r="I1065" s="48" t="s">
        <v>3924</v>
      </c>
      <c r="J1065" s="48" t="s">
        <v>8650</v>
      </c>
      <c r="K1065" s="48" t="s">
        <v>6440</v>
      </c>
      <c r="L1065" s="48" t="s">
        <v>4942</v>
      </c>
      <c r="M1065" s="57" t="s">
        <v>8653</v>
      </c>
      <c r="N1065" s="48" t="s">
        <v>3924</v>
      </c>
    </row>
    <row r="1066" spans="1:14" ht="75" customHeight="1" thickTop="1" thickBot="1">
      <c r="A1066" s="26">
        <v>1064</v>
      </c>
      <c r="B1066" s="26">
        <v>1068</v>
      </c>
      <c r="C1066" s="57" t="s">
        <v>8654</v>
      </c>
      <c r="D1066" s="58" t="s">
        <v>26</v>
      </c>
      <c r="E1066" s="58" t="s">
        <v>7451</v>
      </c>
      <c r="F1066" s="48" t="s">
        <v>3923</v>
      </c>
      <c r="G1066" s="48" t="s">
        <v>1419</v>
      </c>
      <c r="H1066" s="48" t="s">
        <v>13</v>
      </c>
      <c r="I1066" s="48" t="s">
        <v>3924</v>
      </c>
      <c r="J1066" s="48" t="s">
        <v>8642</v>
      </c>
      <c r="K1066" s="48" t="s">
        <v>6440</v>
      </c>
      <c r="L1066" s="48" t="s">
        <v>4942</v>
      </c>
      <c r="M1066" s="57" t="s">
        <v>8655</v>
      </c>
      <c r="N1066" s="48" t="s">
        <v>3924</v>
      </c>
    </row>
    <row r="1067" spans="1:14" ht="75" customHeight="1" thickTop="1" thickBot="1">
      <c r="A1067" s="34">
        <v>1065</v>
      </c>
      <c r="B1067" s="34">
        <v>1069</v>
      </c>
      <c r="C1067" s="57" t="s">
        <v>8654</v>
      </c>
      <c r="D1067" s="58" t="s">
        <v>26</v>
      </c>
      <c r="E1067" s="58" t="s">
        <v>7451</v>
      </c>
      <c r="F1067" s="48" t="s">
        <v>3923</v>
      </c>
      <c r="G1067" s="48" t="s">
        <v>1419</v>
      </c>
      <c r="H1067" s="48" t="s">
        <v>13</v>
      </c>
      <c r="I1067" s="48" t="s">
        <v>3924</v>
      </c>
      <c r="J1067" s="48" t="s">
        <v>8656</v>
      </c>
      <c r="K1067" s="48" t="s">
        <v>6440</v>
      </c>
      <c r="L1067" s="48" t="s">
        <v>6559</v>
      </c>
      <c r="M1067" s="57" t="s">
        <v>8657</v>
      </c>
      <c r="N1067" s="48" t="s">
        <v>3924</v>
      </c>
    </row>
    <row r="1068" spans="1:14" ht="75" customHeight="1" thickTop="1" thickBot="1">
      <c r="A1068" s="26">
        <v>1066</v>
      </c>
      <c r="B1068" s="26">
        <v>1070</v>
      </c>
      <c r="C1068" s="57" t="s">
        <v>8658</v>
      </c>
      <c r="D1068" s="58" t="s">
        <v>26</v>
      </c>
      <c r="E1068" s="58" t="s">
        <v>7451</v>
      </c>
      <c r="F1068" s="48" t="s">
        <v>3923</v>
      </c>
      <c r="G1068" s="48" t="s">
        <v>1419</v>
      </c>
      <c r="H1068" s="48" t="s">
        <v>13</v>
      </c>
      <c r="I1068" s="48" t="s">
        <v>3924</v>
      </c>
      <c r="J1068" s="48" t="s">
        <v>8656</v>
      </c>
      <c r="K1068" s="48" t="s">
        <v>7603</v>
      </c>
      <c r="L1068" s="48" t="s">
        <v>8659</v>
      </c>
      <c r="M1068" s="57" t="s">
        <v>8660</v>
      </c>
      <c r="N1068" s="48" t="s">
        <v>3924</v>
      </c>
    </row>
    <row r="1069" spans="1:14" ht="75" customHeight="1" thickTop="1" thickBot="1">
      <c r="A1069" s="34">
        <v>1067</v>
      </c>
      <c r="B1069" s="34">
        <v>1071</v>
      </c>
      <c r="C1069" s="57" t="s">
        <v>8658</v>
      </c>
      <c r="D1069" s="58" t="s">
        <v>26</v>
      </c>
      <c r="E1069" s="58" t="s">
        <v>7451</v>
      </c>
      <c r="F1069" s="48" t="s">
        <v>3923</v>
      </c>
      <c r="G1069" s="48" t="s">
        <v>1419</v>
      </c>
      <c r="H1069" s="48" t="s">
        <v>13</v>
      </c>
      <c r="I1069" s="48" t="s">
        <v>3924</v>
      </c>
      <c r="J1069" s="48" t="s">
        <v>8656</v>
      </c>
      <c r="K1069" s="48" t="s">
        <v>6440</v>
      </c>
      <c r="L1069" s="48" t="s">
        <v>6877</v>
      </c>
      <c r="M1069" s="57" t="s">
        <v>8661</v>
      </c>
      <c r="N1069" s="48" t="s">
        <v>3924</v>
      </c>
    </row>
    <row r="1070" spans="1:14" ht="75" customHeight="1" thickTop="1" thickBot="1">
      <c r="A1070" s="26">
        <v>1068</v>
      </c>
      <c r="B1070" s="26">
        <v>1072</v>
      </c>
      <c r="C1070" s="57" t="s">
        <v>8662</v>
      </c>
      <c r="D1070" s="58" t="s">
        <v>26</v>
      </c>
      <c r="E1070" s="58" t="s">
        <v>7451</v>
      </c>
      <c r="F1070" s="48" t="s">
        <v>3923</v>
      </c>
      <c r="G1070" s="48" t="s">
        <v>1419</v>
      </c>
      <c r="H1070" s="48" t="s">
        <v>13</v>
      </c>
      <c r="I1070" s="48" t="s">
        <v>3924</v>
      </c>
      <c r="J1070" s="48" t="s">
        <v>8656</v>
      </c>
      <c r="K1070" s="48" t="s">
        <v>6552</v>
      </c>
      <c r="L1070" s="48" t="s">
        <v>6469</v>
      </c>
      <c r="M1070" s="57" t="s">
        <v>8663</v>
      </c>
      <c r="N1070" s="48" t="s">
        <v>3924</v>
      </c>
    </row>
    <row r="1071" spans="1:14" ht="75" customHeight="1" thickTop="1" thickBot="1">
      <c r="A1071" s="34">
        <v>1069</v>
      </c>
      <c r="B1071" s="34">
        <v>1073</v>
      </c>
      <c r="C1071" s="57" t="s">
        <v>8664</v>
      </c>
      <c r="D1071" s="58" t="s">
        <v>26</v>
      </c>
      <c r="E1071" s="58" t="s">
        <v>7451</v>
      </c>
      <c r="F1071" s="48" t="s">
        <v>3923</v>
      </c>
      <c r="G1071" s="48" t="s">
        <v>1419</v>
      </c>
      <c r="H1071" s="48" t="s">
        <v>13</v>
      </c>
      <c r="I1071" s="48" t="s">
        <v>3924</v>
      </c>
      <c r="J1071" s="48" t="s">
        <v>8665</v>
      </c>
      <c r="K1071" s="48" t="s">
        <v>6552</v>
      </c>
      <c r="L1071" s="48" t="s">
        <v>6455</v>
      </c>
      <c r="M1071" s="57" t="s">
        <v>8666</v>
      </c>
      <c r="N1071" s="48" t="s">
        <v>3924</v>
      </c>
    </row>
    <row r="1072" spans="1:14" ht="75" customHeight="1" thickTop="1" thickBot="1">
      <c r="A1072" s="26">
        <v>1070</v>
      </c>
      <c r="B1072" s="26">
        <v>1074</v>
      </c>
      <c r="C1072" s="57" t="s">
        <v>8667</v>
      </c>
      <c r="D1072" s="58" t="s">
        <v>26</v>
      </c>
      <c r="E1072" s="58" t="s">
        <v>7451</v>
      </c>
      <c r="F1072" s="48" t="s">
        <v>3923</v>
      </c>
      <c r="G1072" s="48" t="s">
        <v>1419</v>
      </c>
      <c r="H1072" s="48" t="s">
        <v>13</v>
      </c>
      <c r="I1072" s="48" t="s">
        <v>3924</v>
      </c>
      <c r="J1072" s="48" t="s">
        <v>8665</v>
      </c>
      <c r="K1072" s="48" t="s">
        <v>6445</v>
      </c>
      <c r="L1072" s="48" t="s">
        <v>6652</v>
      </c>
      <c r="M1072" s="57" t="s">
        <v>8668</v>
      </c>
      <c r="N1072" s="48" t="s">
        <v>3924</v>
      </c>
    </row>
    <row r="1073" spans="1:14" ht="75" customHeight="1" thickTop="1" thickBot="1">
      <c r="A1073" s="34">
        <v>1071</v>
      </c>
      <c r="B1073" s="34">
        <v>1075</v>
      </c>
      <c r="C1073" s="57" t="s">
        <v>8669</v>
      </c>
      <c r="D1073" s="58" t="s">
        <v>26</v>
      </c>
      <c r="E1073" s="58" t="s">
        <v>7451</v>
      </c>
      <c r="F1073" s="48" t="s">
        <v>3923</v>
      </c>
      <c r="G1073" s="48" t="s">
        <v>1419</v>
      </c>
      <c r="H1073" s="48" t="s">
        <v>13</v>
      </c>
      <c r="I1073" s="48" t="s">
        <v>3924</v>
      </c>
      <c r="J1073" s="48" t="s">
        <v>8670</v>
      </c>
      <c r="K1073" s="48" t="s">
        <v>6483</v>
      </c>
      <c r="L1073" s="48" t="s">
        <v>8671</v>
      </c>
      <c r="M1073" s="57" t="s">
        <v>8672</v>
      </c>
      <c r="N1073" s="48" t="s">
        <v>3924</v>
      </c>
    </row>
    <row r="1074" spans="1:14" ht="75" customHeight="1" thickTop="1" thickBot="1">
      <c r="A1074" s="26">
        <v>1072</v>
      </c>
      <c r="B1074" s="26">
        <v>1076</v>
      </c>
      <c r="C1074" s="57" t="s">
        <v>8673</v>
      </c>
      <c r="D1074" s="58" t="s">
        <v>26</v>
      </c>
      <c r="E1074" s="58" t="s">
        <v>7451</v>
      </c>
      <c r="F1074" s="48" t="s">
        <v>3923</v>
      </c>
      <c r="G1074" s="48" t="s">
        <v>1419</v>
      </c>
      <c r="H1074" s="48" t="s">
        <v>13</v>
      </c>
      <c r="I1074" s="48" t="s">
        <v>3924</v>
      </c>
      <c r="J1074" s="48" t="s">
        <v>8670</v>
      </c>
      <c r="K1074" s="48" t="s">
        <v>6434</v>
      </c>
      <c r="L1074" s="48" t="s">
        <v>4082</v>
      </c>
      <c r="M1074" s="57" t="s">
        <v>8674</v>
      </c>
      <c r="N1074" s="48" t="s">
        <v>3924</v>
      </c>
    </row>
    <row r="1075" spans="1:14" ht="75" customHeight="1" thickTop="1" thickBot="1">
      <c r="A1075" s="34">
        <v>1073</v>
      </c>
      <c r="B1075" s="34">
        <v>1077</v>
      </c>
      <c r="C1075" s="57" t="s">
        <v>8675</v>
      </c>
      <c r="D1075" s="58" t="s">
        <v>26</v>
      </c>
      <c r="E1075" s="58" t="s">
        <v>7451</v>
      </c>
      <c r="F1075" s="48" t="s">
        <v>3923</v>
      </c>
      <c r="G1075" s="48" t="s">
        <v>1419</v>
      </c>
      <c r="H1075" s="48" t="s">
        <v>13</v>
      </c>
      <c r="I1075" s="48" t="s">
        <v>3924</v>
      </c>
      <c r="J1075" s="48" t="s">
        <v>8676</v>
      </c>
      <c r="K1075" s="48" t="s">
        <v>6434</v>
      </c>
      <c r="L1075" s="48" t="s">
        <v>4082</v>
      </c>
      <c r="M1075" s="57" t="s">
        <v>8677</v>
      </c>
      <c r="N1075" s="48" t="s">
        <v>3924</v>
      </c>
    </row>
    <row r="1076" spans="1:14" ht="75" customHeight="1" thickTop="1" thickBot="1">
      <c r="A1076" s="26">
        <v>1074</v>
      </c>
      <c r="B1076" s="26">
        <v>1078</v>
      </c>
      <c r="C1076" s="57" t="s">
        <v>8675</v>
      </c>
      <c r="D1076" s="58" t="s">
        <v>26</v>
      </c>
      <c r="E1076" s="58" t="s">
        <v>7451</v>
      </c>
      <c r="F1076" s="48" t="s">
        <v>3923</v>
      </c>
      <c r="G1076" s="48" t="s">
        <v>1419</v>
      </c>
      <c r="H1076" s="48" t="s">
        <v>13</v>
      </c>
      <c r="I1076" s="48" t="s">
        <v>3924</v>
      </c>
      <c r="J1076" s="48" t="s">
        <v>8676</v>
      </c>
      <c r="K1076" s="48" t="s">
        <v>6445</v>
      </c>
      <c r="L1076" s="48" t="s">
        <v>8678</v>
      </c>
      <c r="M1076" s="57" t="s">
        <v>8679</v>
      </c>
      <c r="N1076" s="48" t="s">
        <v>3924</v>
      </c>
    </row>
    <row r="1077" spans="1:14" ht="75" customHeight="1" thickTop="1" thickBot="1">
      <c r="A1077" s="34">
        <v>1075</v>
      </c>
      <c r="B1077" s="34">
        <v>1079</v>
      </c>
      <c r="C1077" s="57" t="s">
        <v>8680</v>
      </c>
      <c r="D1077" s="58" t="s">
        <v>26</v>
      </c>
      <c r="E1077" s="58" t="s">
        <v>7451</v>
      </c>
      <c r="F1077" s="48" t="s">
        <v>3923</v>
      </c>
      <c r="G1077" s="48" t="s">
        <v>1419</v>
      </c>
      <c r="H1077" s="48" t="s">
        <v>13</v>
      </c>
      <c r="I1077" s="48" t="s">
        <v>3924</v>
      </c>
      <c r="J1077" s="48" t="s">
        <v>8676</v>
      </c>
      <c r="K1077" s="48" t="s">
        <v>6440</v>
      </c>
      <c r="L1077" s="48" t="s">
        <v>8681</v>
      </c>
      <c r="M1077" s="57" t="s">
        <v>8682</v>
      </c>
      <c r="N1077" s="48" t="s">
        <v>3924</v>
      </c>
    </row>
    <row r="1078" spans="1:14" ht="75" customHeight="1" thickTop="1" thickBot="1">
      <c r="A1078" s="26">
        <v>1076</v>
      </c>
      <c r="B1078" s="26">
        <v>1080</v>
      </c>
      <c r="C1078" s="57" t="s">
        <v>8683</v>
      </c>
      <c r="D1078" s="58" t="s">
        <v>26</v>
      </c>
      <c r="E1078" s="58" t="s">
        <v>7451</v>
      </c>
      <c r="F1078" s="48" t="s">
        <v>3923</v>
      </c>
      <c r="G1078" s="48" t="s">
        <v>1419</v>
      </c>
      <c r="H1078" s="48" t="s">
        <v>13</v>
      </c>
      <c r="I1078" s="48" t="s">
        <v>3924</v>
      </c>
      <c r="J1078" s="48" t="s">
        <v>8684</v>
      </c>
      <c r="K1078" s="48" t="s">
        <v>6445</v>
      </c>
      <c r="L1078" s="48" t="s">
        <v>6455</v>
      </c>
      <c r="M1078" s="57" t="s">
        <v>8685</v>
      </c>
      <c r="N1078" s="48" t="s">
        <v>3924</v>
      </c>
    </row>
    <row r="1079" spans="1:14" ht="75" customHeight="1" thickTop="1" thickBot="1">
      <c r="A1079" s="34">
        <v>1077</v>
      </c>
      <c r="B1079" s="34">
        <v>1081</v>
      </c>
      <c r="C1079" s="57" t="s">
        <v>8686</v>
      </c>
      <c r="D1079" s="58" t="s">
        <v>26</v>
      </c>
      <c r="E1079" s="58" t="s">
        <v>7451</v>
      </c>
      <c r="F1079" s="48" t="s">
        <v>3923</v>
      </c>
      <c r="G1079" s="48" t="s">
        <v>1419</v>
      </c>
      <c r="H1079" s="48" t="s">
        <v>13</v>
      </c>
      <c r="I1079" s="48" t="s">
        <v>3924</v>
      </c>
      <c r="J1079" s="48" t="s">
        <v>8684</v>
      </c>
      <c r="K1079" s="48" t="s">
        <v>6445</v>
      </c>
      <c r="L1079" s="48" t="s">
        <v>8687</v>
      </c>
      <c r="M1079" s="57" t="s">
        <v>8688</v>
      </c>
      <c r="N1079" s="48" t="s">
        <v>3924</v>
      </c>
    </row>
    <row r="1080" spans="1:14" ht="75" customHeight="1" thickTop="1" thickBot="1">
      <c r="A1080" s="26">
        <v>1078</v>
      </c>
      <c r="B1080" s="26">
        <v>1082</v>
      </c>
      <c r="C1080" s="57" t="s">
        <v>8689</v>
      </c>
      <c r="D1080" s="58" t="s">
        <v>26</v>
      </c>
      <c r="E1080" s="58" t="s">
        <v>7451</v>
      </c>
      <c r="F1080" s="48" t="s">
        <v>3923</v>
      </c>
      <c r="G1080" s="48" t="s">
        <v>1419</v>
      </c>
      <c r="H1080" s="48" t="s">
        <v>13</v>
      </c>
      <c r="I1080" s="48" t="s">
        <v>3924</v>
      </c>
      <c r="J1080" s="48" t="s">
        <v>8690</v>
      </c>
      <c r="K1080" s="48" t="s">
        <v>6434</v>
      </c>
      <c r="L1080" s="48" t="s">
        <v>8691</v>
      </c>
      <c r="M1080" s="57" t="s">
        <v>8692</v>
      </c>
      <c r="N1080" s="48" t="s">
        <v>3924</v>
      </c>
    </row>
    <row r="1081" spans="1:14" ht="75" customHeight="1" thickTop="1" thickBot="1">
      <c r="A1081" s="34">
        <v>1079</v>
      </c>
      <c r="B1081" s="34">
        <v>1083</v>
      </c>
      <c r="C1081" s="57" t="s">
        <v>8693</v>
      </c>
      <c r="D1081" s="58" t="s">
        <v>26</v>
      </c>
      <c r="E1081" s="58" t="s">
        <v>7451</v>
      </c>
      <c r="F1081" s="48" t="s">
        <v>3923</v>
      </c>
      <c r="G1081" s="48" t="s">
        <v>1419</v>
      </c>
      <c r="H1081" s="48" t="s">
        <v>13</v>
      </c>
      <c r="I1081" s="48" t="s">
        <v>3924</v>
      </c>
      <c r="J1081" s="48" t="s">
        <v>8690</v>
      </c>
      <c r="K1081" s="48" t="s">
        <v>3954</v>
      </c>
      <c r="L1081" s="48" t="s">
        <v>8694</v>
      </c>
      <c r="M1081" s="57" t="s">
        <v>8695</v>
      </c>
      <c r="N1081" s="48" t="s">
        <v>3924</v>
      </c>
    </row>
    <row r="1082" spans="1:14" ht="75" customHeight="1" thickTop="1" thickBot="1">
      <c r="A1082" s="26">
        <v>1080</v>
      </c>
      <c r="B1082" s="26">
        <v>1084</v>
      </c>
      <c r="C1082" s="57" t="s">
        <v>8693</v>
      </c>
      <c r="D1082" s="58" t="s">
        <v>26</v>
      </c>
      <c r="E1082" s="58" t="s">
        <v>7451</v>
      </c>
      <c r="F1082" s="48" t="s">
        <v>3923</v>
      </c>
      <c r="G1082" s="48" t="s">
        <v>1419</v>
      </c>
      <c r="H1082" s="48" t="s">
        <v>13</v>
      </c>
      <c r="I1082" s="48" t="s">
        <v>3924</v>
      </c>
      <c r="J1082" s="48" t="s">
        <v>8696</v>
      </c>
      <c r="K1082" s="48" t="s">
        <v>6445</v>
      </c>
      <c r="L1082" s="48" t="s">
        <v>4082</v>
      </c>
      <c r="M1082" s="57" t="s">
        <v>8697</v>
      </c>
      <c r="N1082" s="48" t="s">
        <v>3924</v>
      </c>
    </row>
    <row r="1083" spans="1:14" ht="75" customHeight="1" thickTop="1" thickBot="1">
      <c r="A1083" s="34">
        <v>1081</v>
      </c>
      <c r="B1083" s="34">
        <v>1085</v>
      </c>
      <c r="C1083" s="57" t="s">
        <v>8698</v>
      </c>
      <c r="D1083" s="58" t="s">
        <v>26</v>
      </c>
      <c r="E1083" s="58" t="s">
        <v>7451</v>
      </c>
      <c r="F1083" s="48" t="s">
        <v>3923</v>
      </c>
      <c r="G1083" s="48" t="s">
        <v>1419</v>
      </c>
      <c r="H1083" s="48" t="s">
        <v>13</v>
      </c>
      <c r="I1083" s="48" t="s">
        <v>3924</v>
      </c>
      <c r="J1083" s="48" t="s">
        <v>8699</v>
      </c>
      <c r="K1083" s="48" t="s">
        <v>6434</v>
      </c>
      <c r="L1083" s="48" t="s">
        <v>4082</v>
      </c>
      <c r="M1083" s="57" t="s">
        <v>8700</v>
      </c>
      <c r="N1083" s="48" t="s">
        <v>3924</v>
      </c>
    </row>
    <row r="1084" spans="1:14" ht="75" customHeight="1" thickTop="1" thickBot="1">
      <c r="A1084" s="26">
        <v>1082</v>
      </c>
      <c r="B1084" s="26">
        <v>1086</v>
      </c>
      <c r="C1084" s="57" t="s">
        <v>8698</v>
      </c>
      <c r="D1084" s="58" t="s">
        <v>26</v>
      </c>
      <c r="E1084" s="58" t="s">
        <v>7451</v>
      </c>
      <c r="F1084" s="48" t="s">
        <v>3923</v>
      </c>
      <c r="G1084" s="48" t="s">
        <v>1419</v>
      </c>
      <c r="H1084" s="48" t="s">
        <v>13</v>
      </c>
      <c r="I1084" s="48" t="s">
        <v>3924</v>
      </c>
      <c r="J1084" s="48" t="s">
        <v>8699</v>
      </c>
      <c r="K1084" s="48" t="s">
        <v>8035</v>
      </c>
      <c r="L1084" s="48" t="s">
        <v>4942</v>
      </c>
      <c r="M1084" s="57" t="s">
        <v>8701</v>
      </c>
      <c r="N1084" s="48" t="s">
        <v>3924</v>
      </c>
    </row>
    <row r="1085" spans="1:14" ht="75" customHeight="1" thickTop="1" thickBot="1">
      <c r="A1085" s="34">
        <v>1083</v>
      </c>
      <c r="B1085" s="34">
        <v>1087</v>
      </c>
      <c r="C1085" s="57" t="s">
        <v>8702</v>
      </c>
      <c r="D1085" s="58" t="s">
        <v>26</v>
      </c>
      <c r="E1085" s="58" t="s">
        <v>7451</v>
      </c>
      <c r="F1085" s="48" t="s">
        <v>3923</v>
      </c>
      <c r="G1085" s="48" t="s">
        <v>1419</v>
      </c>
      <c r="H1085" s="48" t="s">
        <v>13</v>
      </c>
      <c r="I1085" s="48" t="s">
        <v>3924</v>
      </c>
      <c r="J1085" s="48" t="s">
        <v>8696</v>
      </c>
      <c r="K1085" s="48" t="s">
        <v>6445</v>
      </c>
      <c r="L1085" s="48" t="s">
        <v>6652</v>
      </c>
      <c r="M1085" s="57" t="s">
        <v>8703</v>
      </c>
      <c r="N1085" s="48" t="s">
        <v>3924</v>
      </c>
    </row>
    <row r="1086" spans="1:14" ht="75" customHeight="1" thickTop="1" thickBot="1">
      <c r="A1086" s="26">
        <v>1084</v>
      </c>
      <c r="B1086" s="26">
        <v>1088</v>
      </c>
      <c r="C1086" s="57" t="s">
        <v>8702</v>
      </c>
      <c r="D1086" s="58" t="s">
        <v>26</v>
      </c>
      <c r="E1086" s="58" t="s">
        <v>7451</v>
      </c>
      <c r="F1086" s="48" t="s">
        <v>3923</v>
      </c>
      <c r="G1086" s="48" t="s">
        <v>12</v>
      </c>
      <c r="H1086" s="48" t="s">
        <v>13</v>
      </c>
      <c r="I1086" s="48" t="s">
        <v>3924</v>
      </c>
      <c r="J1086" s="48" t="s">
        <v>8696</v>
      </c>
      <c r="K1086" s="48" t="s">
        <v>6445</v>
      </c>
      <c r="L1086" s="48" t="s">
        <v>8042</v>
      </c>
      <c r="M1086" s="57" t="s">
        <v>8704</v>
      </c>
      <c r="N1086" s="48" t="s">
        <v>3924</v>
      </c>
    </row>
    <row r="1087" spans="1:14" ht="75" customHeight="1" thickTop="1" thickBot="1">
      <c r="A1087" s="34">
        <v>1085</v>
      </c>
      <c r="B1087" s="34">
        <v>1089</v>
      </c>
      <c r="C1087" s="57" t="s">
        <v>8705</v>
      </c>
      <c r="D1087" s="58" t="s">
        <v>26</v>
      </c>
      <c r="E1087" s="58" t="s">
        <v>7451</v>
      </c>
      <c r="F1087" s="48" t="s">
        <v>3923</v>
      </c>
      <c r="G1087" s="48" t="s">
        <v>1419</v>
      </c>
      <c r="H1087" s="48" t="s">
        <v>13</v>
      </c>
      <c r="I1087" s="48" t="s">
        <v>3924</v>
      </c>
      <c r="J1087" s="48" t="s">
        <v>8696</v>
      </c>
      <c r="K1087" s="48" t="s">
        <v>8706</v>
      </c>
      <c r="L1087" s="48" t="s">
        <v>4082</v>
      </c>
      <c r="M1087" s="57" t="s">
        <v>8707</v>
      </c>
      <c r="N1087" s="48" t="s">
        <v>3924</v>
      </c>
    </row>
    <row r="1088" spans="1:14" ht="75" customHeight="1" thickTop="1" thickBot="1">
      <c r="A1088" s="26">
        <v>1086</v>
      </c>
      <c r="B1088" s="26">
        <v>1090</v>
      </c>
      <c r="C1088" s="57" t="s">
        <v>8705</v>
      </c>
      <c r="D1088" s="58" t="s">
        <v>26</v>
      </c>
      <c r="E1088" s="58" t="s">
        <v>7451</v>
      </c>
      <c r="F1088" s="48" t="s">
        <v>3923</v>
      </c>
      <c r="G1088" s="48" t="s">
        <v>1419</v>
      </c>
      <c r="H1088" s="48" t="s">
        <v>13</v>
      </c>
      <c r="I1088" s="48" t="s">
        <v>3924</v>
      </c>
      <c r="J1088" s="48" t="s">
        <v>8699</v>
      </c>
      <c r="K1088" s="48" t="s">
        <v>6552</v>
      </c>
      <c r="L1088" s="48" t="s">
        <v>4082</v>
      </c>
      <c r="M1088" s="57" t="s">
        <v>8708</v>
      </c>
      <c r="N1088" s="48" t="s">
        <v>3924</v>
      </c>
    </row>
    <row r="1089" spans="1:14" ht="75" customHeight="1" thickTop="1" thickBot="1">
      <c r="A1089" s="34">
        <v>1087</v>
      </c>
      <c r="B1089" s="34">
        <v>1091</v>
      </c>
      <c r="C1089" s="57" t="s">
        <v>8709</v>
      </c>
      <c r="D1089" s="58" t="s">
        <v>26</v>
      </c>
      <c r="E1089" s="58" t="s">
        <v>7451</v>
      </c>
      <c r="F1089" s="48" t="s">
        <v>3923</v>
      </c>
      <c r="G1089" s="48" t="s">
        <v>1419</v>
      </c>
      <c r="H1089" s="48" t="s">
        <v>13</v>
      </c>
      <c r="I1089" s="48" t="s">
        <v>3924</v>
      </c>
      <c r="J1089" s="48" t="s">
        <v>8699</v>
      </c>
      <c r="K1089" s="48" t="s">
        <v>6440</v>
      </c>
      <c r="L1089" s="48" t="s">
        <v>6805</v>
      </c>
      <c r="M1089" s="57" t="s">
        <v>8710</v>
      </c>
      <c r="N1089" s="48" t="s">
        <v>3924</v>
      </c>
    </row>
    <row r="1090" spans="1:14" ht="75" customHeight="1" thickTop="1" thickBot="1">
      <c r="A1090" s="26">
        <v>1088</v>
      </c>
      <c r="B1090" s="26">
        <v>1092</v>
      </c>
      <c r="C1090" s="57" t="s">
        <v>8709</v>
      </c>
      <c r="D1090" s="58" t="s">
        <v>26</v>
      </c>
      <c r="E1090" s="58" t="s">
        <v>7451</v>
      </c>
      <c r="F1090" s="48" t="s">
        <v>3923</v>
      </c>
      <c r="G1090" s="48" t="s">
        <v>1419</v>
      </c>
      <c r="H1090" s="48" t="s">
        <v>13</v>
      </c>
      <c r="I1090" s="48" t="s">
        <v>3924</v>
      </c>
      <c r="J1090" s="48" t="s">
        <v>8699</v>
      </c>
      <c r="K1090" s="48" t="s">
        <v>6445</v>
      </c>
      <c r="L1090" s="48" t="s">
        <v>8042</v>
      </c>
      <c r="M1090" s="57" t="s">
        <v>8711</v>
      </c>
      <c r="N1090" s="48" t="s">
        <v>3924</v>
      </c>
    </row>
    <row r="1091" spans="1:14" ht="75" customHeight="1" thickTop="1" thickBot="1">
      <c r="A1091" s="34">
        <v>1089</v>
      </c>
      <c r="B1091" s="34">
        <v>1093</v>
      </c>
      <c r="C1091" s="57" t="s">
        <v>8712</v>
      </c>
      <c r="D1091" s="58" t="s">
        <v>26</v>
      </c>
      <c r="E1091" s="58" t="s">
        <v>7451</v>
      </c>
      <c r="F1091" s="48" t="s">
        <v>3923</v>
      </c>
      <c r="G1091" s="48" t="s">
        <v>1419</v>
      </c>
      <c r="H1091" s="48" t="s">
        <v>13</v>
      </c>
      <c r="I1091" s="48" t="s">
        <v>3924</v>
      </c>
      <c r="J1091" s="48" t="s">
        <v>8699</v>
      </c>
      <c r="K1091" s="48" t="s">
        <v>6445</v>
      </c>
      <c r="L1091" s="48" t="s">
        <v>8042</v>
      </c>
      <c r="M1091" s="57" t="s">
        <v>8713</v>
      </c>
      <c r="N1091" s="48" t="s">
        <v>3924</v>
      </c>
    </row>
    <row r="1092" spans="1:14" ht="75" customHeight="1" thickTop="1" thickBot="1">
      <c r="A1092" s="26">
        <v>1090</v>
      </c>
      <c r="B1092" s="26">
        <v>1094</v>
      </c>
      <c r="C1092" s="57" t="s">
        <v>8712</v>
      </c>
      <c r="D1092" s="58" t="s">
        <v>26</v>
      </c>
      <c r="E1092" s="58" t="s">
        <v>7451</v>
      </c>
      <c r="F1092" s="48" t="s">
        <v>3923</v>
      </c>
      <c r="G1092" s="48" t="s">
        <v>1419</v>
      </c>
      <c r="H1092" s="48" t="s">
        <v>13</v>
      </c>
      <c r="I1092" s="48" t="s">
        <v>3924</v>
      </c>
      <c r="J1092" s="48" t="s">
        <v>8714</v>
      </c>
      <c r="K1092" s="48" t="s">
        <v>6434</v>
      </c>
      <c r="L1092" s="48" t="s">
        <v>6469</v>
      </c>
      <c r="M1092" s="57" t="s">
        <v>8715</v>
      </c>
      <c r="N1092" s="48" t="s">
        <v>3924</v>
      </c>
    </row>
    <row r="1093" spans="1:14" ht="75" customHeight="1" thickTop="1" thickBot="1">
      <c r="A1093" s="34">
        <v>1091</v>
      </c>
      <c r="B1093" s="34">
        <v>1095</v>
      </c>
      <c r="C1093" s="57" t="s">
        <v>8716</v>
      </c>
      <c r="D1093" s="56" t="s">
        <v>26</v>
      </c>
      <c r="E1093" s="56" t="s">
        <v>7451</v>
      </c>
      <c r="F1093" s="26" t="s">
        <v>3923</v>
      </c>
      <c r="G1093" s="26" t="s">
        <v>1419</v>
      </c>
      <c r="H1093" s="26" t="s">
        <v>13</v>
      </c>
      <c r="I1093" s="26" t="s">
        <v>3924</v>
      </c>
      <c r="J1093" s="26" t="s">
        <v>8714</v>
      </c>
      <c r="K1093" s="26" t="s">
        <v>6440</v>
      </c>
      <c r="L1093" s="26" t="s">
        <v>4942</v>
      </c>
      <c r="M1093" s="55" t="s">
        <v>8717</v>
      </c>
      <c r="N1093" s="26" t="s">
        <v>3924</v>
      </c>
    </row>
    <row r="1094" spans="1:14" ht="75" customHeight="1" thickTop="1" thickBot="1">
      <c r="A1094" s="26">
        <v>1092</v>
      </c>
      <c r="B1094" s="26">
        <v>1096</v>
      </c>
      <c r="C1094" s="57" t="s">
        <v>8718</v>
      </c>
      <c r="D1094" s="56" t="s">
        <v>26</v>
      </c>
      <c r="E1094" s="56" t="s">
        <v>7451</v>
      </c>
      <c r="F1094" s="26" t="s">
        <v>3923</v>
      </c>
      <c r="G1094" s="26" t="s">
        <v>1419</v>
      </c>
      <c r="H1094" s="26" t="s">
        <v>13</v>
      </c>
      <c r="I1094" s="26" t="s">
        <v>3924</v>
      </c>
      <c r="J1094" s="26" t="s">
        <v>8699</v>
      </c>
      <c r="K1094" s="26" t="s">
        <v>6434</v>
      </c>
      <c r="L1094" s="26" t="s">
        <v>6435</v>
      </c>
      <c r="M1094" s="55" t="s">
        <v>8719</v>
      </c>
      <c r="N1094" s="26" t="s">
        <v>3924</v>
      </c>
    </row>
    <row r="1095" spans="1:14" ht="75" customHeight="1" thickTop="1" thickBot="1">
      <c r="A1095" s="34">
        <v>1093</v>
      </c>
      <c r="B1095" s="34">
        <v>1097</v>
      </c>
      <c r="C1095" s="57" t="s">
        <v>8720</v>
      </c>
      <c r="D1095" s="56" t="s">
        <v>26</v>
      </c>
      <c r="E1095" s="56" t="s">
        <v>8550</v>
      </c>
      <c r="F1095" s="26" t="s">
        <v>3995</v>
      </c>
      <c r="G1095" s="26" t="s">
        <v>16</v>
      </c>
      <c r="H1095" s="26" t="s">
        <v>13</v>
      </c>
      <c r="I1095" s="26" t="s">
        <v>3924</v>
      </c>
      <c r="J1095" s="26" t="s">
        <v>8721</v>
      </c>
      <c r="K1095" s="26" t="s">
        <v>6440</v>
      </c>
      <c r="L1095" s="26" t="s">
        <v>3927</v>
      </c>
      <c r="M1095" s="55" t="s">
        <v>8722</v>
      </c>
      <c r="N1095" s="26" t="s">
        <v>3924</v>
      </c>
    </row>
    <row r="1096" spans="1:14" ht="75" customHeight="1" thickTop="1" thickBot="1">
      <c r="A1096" s="26">
        <v>1094</v>
      </c>
      <c r="B1096" s="26">
        <v>1098</v>
      </c>
      <c r="C1096" s="57" t="s">
        <v>8723</v>
      </c>
      <c r="D1096" s="56" t="s">
        <v>26</v>
      </c>
      <c r="E1096" s="56" t="s">
        <v>8550</v>
      </c>
      <c r="F1096" s="26" t="s">
        <v>3995</v>
      </c>
      <c r="G1096" s="26" t="s">
        <v>16</v>
      </c>
      <c r="H1096" s="26" t="s">
        <v>13</v>
      </c>
      <c r="I1096" s="26" t="s">
        <v>3924</v>
      </c>
      <c r="J1096" s="26" t="s">
        <v>8724</v>
      </c>
      <c r="K1096" s="26" t="s">
        <v>6440</v>
      </c>
      <c r="L1096" s="26" t="s">
        <v>6493</v>
      </c>
      <c r="M1096" s="55" t="s">
        <v>555</v>
      </c>
      <c r="N1096" s="26" t="s">
        <v>3924</v>
      </c>
    </row>
    <row r="1097" spans="1:14" ht="75" customHeight="1" thickTop="1" thickBot="1">
      <c r="A1097" s="34">
        <v>1095</v>
      </c>
      <c r="B1097" s="34">
        <v>1099</v>
      </c>
      <c r="C1097" s="57" t="s">
        <v>8725</v>
      </c>
      <c r="D1097" s="56" t="s">
        <v>26</v>
      </c>
      <c r="E1097" s="56" t="s">
        <v>27</v>
      </c>
      <c r="F1097" s="26" t="s">
        <v>3995</v>
      </c>
      <c r="G1097" s="26" t="s">
        <v>16</v>
      </c>
      <c r="H1097" s="26" t="s">
        <v>13</v>
      </c>
      <c r="I1097" s="26" t="s">
        <v>3924</v>
      </c>
      <c r="J1097" s="26" t="s">
        <v>8724</v>
      </c>
      <c r="K1097" s="26" t="s">
        <v>6445</v>
      </c>
      <c r="L1097" s="26" t="s">
        <v>6469</v>
      </c>
      <c r="M1097" s="55" t="s">
        <v>8726</v>
      </c>
      <c r="N1097" s="26" t="s">
        <v>3924</v>
      </c>
    </row>
    <row r="1098" spans="1:14" ht="75" customHeight="1" thickTop="1" thickBot="1">
      <c r="A1098" s="26">
        <v>1096</v>
      </c>
      <c r="B1098" s="34">
        <v>1100</v>
      </c>
      <c r="C1098" s="57" t="s">
        <v>8727</v>
      </c>
      <c r="D1098" s="56" t="s">
        <v>26</v>
      </c>
      <c r="E1098" s="56" t="s">
        <v>27</v>
      </c>
      <c r="F1098" s="26" t="s">
        <v>3995</v>
      </c>
      <c r="G1098" s="26" t="s">
        <v>16</v>
      </c>
      <c r="H1098" s="26" t="s">
        <v>13</v>
      </c>
      <c r="I1098" s="26" t="s">
        <v>3924</v>
      </c>
      <c r="J1098" s="26" t="s">
        <v>8728</v>
      </c>
      <c r="K1098" s="26" t="s">
        <v>6434</v>
      </c>
      <c r="L1098" s="26" t="s">
        <v>6435</v>
      </c>
      <c r="M1098" s="55" t="s">
        <v>8729</v>
      </c>
      <c r="N1098" s="26" t="s">
        <v>3924</v>
      </c>
    </row>
    <row r="1099" spans="1:14" ht="75" customHeight="1" thickTop="1" thickBot="1">
      <c r="A1099" s="34">
        <v>1097</v>
      </c>
      <c r="B1099" s="26">
        <v>1101</v>
      </c>
      <c r="C1099" s="57" t="s">
        <v>8730</v>
      </c>
      <c r="D1099" s="56" t="s">
        <v>26</v>
      </c>
      <c r="E1099" s="56" t="s">
        <v>27</v>
      </c>
      <c r="F1099" s="26" t="s">
        <v>3995</v>
      </c>
      <c r="G1099" s="26" t="s">
        <v>16</v>
      </c>
      <c r="H1099" s="26" t="s">
        <v>13</v>
      </c>
      <c r="I1099" s="26" t="s">
        <v>3924</v>
      </c>
      <c r="J1099" s="26" t="s">
        <v>8728</v>
      </c>
      <c r="K1099" s="26" t="s">
        <v>6434</v>
      </c>
      <c r="L1099" s="26" t="s">
        <v>6435</v>
      </c>
      <c r="M1099" s="55" t="s">
        <v>8731</v>
      </c>
      <c r="N1099" s="26" t="s">
        <v>3924</v>
      </c>
    </row>
    <row r="1100" spans="1:14" ht="75" customHeight="1" thickTop="1" thickBot="1">
      <c r="A1100" s="26">
        <v>1098</v>
      </c>
      <c r="B1100" s="34">
        <v>1102</v>
      </c>
      <c r="C1100" s="57" t="s">
        <v>8732</v>
      </c>
      <c r="D1100" s="56" t="s">
        <v>26</v>
      </c>
      <c r="E1100" s="56" t="s">
        <v>27</v>
      </c>
      <c r="F1100" s="26" t="s">
        <v>3995</v>
      </c>
      <c r="G1100" s="26" t="s">
        <v>16</v>
      </c>
      <c r="H1100" s="26" t="s">
        <v>13</v>
      </c>
      <c r="I1100" s="26" t="s">
        <v>3924</v>
      </c>
      <c r="J1100" s="26" t="s">
        <v>8733</v>
      </c>
      <c r="K1100" s="26" t="s">
        <v>6434</v>
      </c>
      <c r="L1100" s="26" t="s">
        <v>6435</v>
      </c>
      <c r="M1100" s="55" t="s">
        <v>8734</v>
      </c>
      <c r="N1100" s="26" t="s">
        <v>8735</v>
      </c>
    </row>
    <row r="1101" spans="1:14" ht="75" customHeight="1" thickTop="1" thickBot="1">
      <c r="A1101" s="34">
        <v>1099</v>
      </c>
      <c r="B1101" s="26">
        <v>1103</v>
      </c>
      <c r="C1101" s="57" t="s">
        <v>8736</v>
      </c>
      <c r="D1101" s="56" t="s">
        <v>26</v>
      </c>
      <c r="E1101" s="56" t="s">
        <v>27</v>
      </c>
      <c r="F1101" s="26" t="s">
        <v>3995</v>
      </c>
      <c r="G1101" s="26" t="s">
        <v>16</v>
      </c>
      <c r="H1101" s="26" t="s">
        <v>13</v>
      </c>
      <c r="I1101" s="26" t="s">
        <v>3924</v>
      </c>
      <c r="J1101" s="26" t="s">
        <v>8728</v>
      </c>
      <c r="K1101" s="26" t="s">
        <v>6445</v>
      </c>
      <c r="L1101" s="26" t="s">
        <v>6805</v>
      </c>
      <c r="M1101" s="55" t="s">
        <v>8737</v>
      </c>
      <c r="N1101" s="26" t="s">
        <v>3924</v>
      </c>
    </row>
    <row r="1102" spans="1:14" ht="75" customHeight="1" thickTop="1" thickBot="1">
      <c r="A1102" s="26">
        <v>1100</v>
      </c>
      <c r="B1102" s="34">
        <v>1104</v>
      </c>
      <c r="C1102" s="57" t="s">
        <v>8738</v>
      </c>
      <c r="D1102" s="56" t="s">
        <v>26</v>
      </c>
      <c r="E1102" s="56" t="s">
        <v>27</v>
      </c>
      <c r="F1102" s="26" t="s">
        <v>3995</v>
      </c>
      <c r="G1102" s="26" t="s">
        <v>16</v>
      </c>
      <c r="H1102" s="26" t="s">
        <v>13</v>
      </c>
      <c r="I1102" s="26" t="s">
        <v>3924</v>
      </c>
      <c r="J1102" s="26" t="s">
        <v>8739</v>
      </c>
      <c r="K1102" s="26" t="s">
        <v>6434</v>
      </c>
      <c r="L1102" s="26" t="s">
        <v>8740</v>
      </c>
      <c r="M1102" s="55" t="s">
        <v>8741</v>
      </c>
      <c r="N1102" s="26" t="s">
        <v>3924</v>
      </c>
    </row>
    <row r="1103" spans="1:14" ht="75" customHeight="1" thickTop="1" thickBot="1">
      <c r="A1103" s="34">
        <v>1101</v>
      </c>
      <c r="B1103" s="26">
        <v>1105</v>
      </c>
      <c r="C1103" s="57" t="s">
        <v>8742</v>
      </c>
      <c r="D1103" s="56" t="s">
        <v>26</v>
      </c>
      <c r="E1103" s="56" t="s">
        <v>8550</v>
      </c>
      <c r="F1103" s="26" t="s">
        <v>3995</v>
      </c>
      <c r="G1103" s="26" t="s">
        <v>1419</v>
      </c>
      <c r="H1103" s="26" t="s">
        <v>13</v>
      </c>
      <c r="I1103" s="26" t="s">
        <v>3924</v>
      </c>
      <c r="J1103" s="26" t="s">
        <v>8743</v>
      </c>
      <c r="K1103" s="26" t="s">
        <v>6440</v>
      </c>
      <c r="L1103" s="26" t="s">
        <v>3927</v>
      </c>
      <c r="M1103" s="55" t="s">
        <v>8744</v>
      </c>
      <c r="N1103" s="26" t="s">
        <v>3924</v>
      </c>
    </row>
    <row r="1104" spans="1:14" ht="75" customHeight="1" thickTop="1" thickBot="1">
      <c r="A1104" s="26">
        <v>1102</v>
      </c>
      <c r="B1104" s="34">
        <v>1106</v>
      </c>
      <c r="C1104" s="57" t="s">
        <v>8745</v>
      </c>
      <c r="D1104" s="56" t="s">
        <v>26</v>
      </c>
      <c r="E1104" s="56" t="s">
        <v>27</v>
      </c>
      <c r="F1104" s="26" t="s">
        <v>3995</v>
      </c>
      <c r="G1104" s="26" t="s">
        <v>1419</v>
      </c>
      <c r="H1104" s="26" t="s">
        <v>13</v>
      </c>
      <c r="I1104" s="26" t="s">
        <v>3924</v>
      </c>
      <c r="J1104" s="26" t="s">
        <v>8743</v>
      </c>
      <c r="K1104" s="26" t="s">
        <v>6434</v>
      </c>
      <c r="L1104" s="26" t="s">
        <v>7273</v>
      </c>
      <c r="M1104" s="55" t="s">
        <v>8746</v>
      </c>
      <c r="N1104" s="26" t="s">
        <v>3924</v>
      </c>
    </row>
    <row r="1105" spans="1:14" ht="75" customHeight="1" thickTop="1" thickBot="1">
      <c r="A1105" s="34">
        <v>1103</v>
      </c>
      <c r="B1105" s="34">
        <v>1107</v>
      </c>
      <c r="C1105" s="57" t="s">
        <v>8747</v>
      </c>
      <c r="D1105" s="56" t="s">
        <v>26</v>
      </c>
      <c r="E1105" s="56" t="s">
        <v>27</v>
      </c>
      <c r="F1105" s="26" t="s">
        <v>3995</v>
      </c>
      <c r="G1105" s="26" t="s">
        <v>16</v>
      </c>
      <c r="H1105" s="26" t="s">
        <v>13</v>
      </c>
      <c r="I1105" s="26" t="s">
        <v>3924</v>
      </c>
      <c r="J1105" s="26" t="s">
        <v>8733</v>
      </c>
      <c r="K1105" s="26" t="s">
        <v>6434</v>
      </c>
      <c r="L1105" s="26" t="s">
        <v>6435</v>
      </c>
      <c r="M1105" s="55" t="s">
        <v>8748</v>
      </c>
      <c r="N1105" s="26" t="s">
        <v>3924</v>
      </c>
    </row>
    <row r="1106" spans="1:14" ht="75" customHeight="1" thickTop="1" thickBot="1">
      <c r="A1106" s="26">
        <v>1104</v>
      </c>
      <c r="B1106" s="26">
        <v>1108</v>
      </c>
      <c r="C1106" s="57" t="s">
        <v>8749</v>
      </c>
      <c r="D1106" s="56" t="s">
        <v>26</v>
      </c>
      <c r="E1106" s="56" t="s">
        <v>8550</v>
      </c>
      <c r="F1106" s="26" t="s">
        <v>3995</v>
      </c>
      <c r="G1106" s="26" t="s">
        <v>16</v>
      </c>
      <c r="H1106" s="26" t="s">
        <v>13</v>
      </c>
      <c r="I1106" s="26" t="s">
        <v>3924</v>
      </c>
      <c r="J1106" s="26" t="s">
        <v>8750</v>
      </c>
      <c r="K1106" s="26" t="s">
        <v>6440</v>
      </c>
      <c r="L1106" s="26" t="s">
        <v>6455</v>
      </c>
      <c r="M1106" s="55" t="s">
        <v>8751</v>
      </c>
      <c r="N1106" s="26" t="s">
        <v>3924</v>
      </c>
    </row>
    <row r="1107" spans="1:14" ht="75" customHeight="1" thickTop="1" thickBot="1">
      <c r="A1107" s="34">
        <v>1105</v>
      </c>
      <c r="B1107" s="34">
        <v>1109</v>
      </c>
      <c r="C1107" s="57" t="s">
        <v>8752</v>
      </c>
      <c r="D1107" s="56" t="s">
        <v>26</v>
      </c>
      <c r="E1107" s="56" t="s">
        <v>27</v>
      </c>
      <c r="F1107" s="26" t="s">
        <v>3995</v>
      </c>
      <c r="G1107" s="26" t="s">
        <v>16</v>
      </c>
      <c r="H1107" s="26" t="s">
        <v>13</v>
      </c>
      <c r="I1107" s="26" t="s">
        <v>1742</v>
      </c>
      <c r="J1107" s="26" t="s">
        <v>8750</v>
      </c>
      <c r="K1107" s="26" t="s">
        <v>6434</v>
      </c>
      <c r="L1107" s="26" t="s">
        <v>6435</v>
      </c>
      <c r="M1107" s="55" t="s">
        <v>8753</v>
      </c>
      <c r="N1107" s="26" t="s">
        <v>3924</v>
      </c>
    </row>
    <row r="1108" spans="1:14" ht="75" customHeight="1" thickTop="1" thickBot="1">
      <c r="A1108" s="26">
        <v>1106</v>
      </c>
      <c r="B1108" s="26">
        <v>1110</v>
      </c>
      <c r="C1108" s="57" t="s">
        <v>8754</v>
      </c>
      <c r="D1108" s="56" t="s">
        <v>26</v>
      </c>
      <c r="E1108" s="56" t="s">
        <v>27</v>
      </c>
      <c r="F1108" s="26" t="s">
        <v>3995</v>
      </c>
      <c r="G1108" s="26" t="s">
        <v>16</v>
      </c>
      <c r="H1108" s="26" t="s">
        <v>13</v>
      </c>
      <c r="I1108" s="26" t="s">
        <v>8755</v>
      </c>
      <c r="J1108" s="26" t="s">
        <v>8756</v>
      </c>
      <c r="K1108" s="26" t="s">
        <v>6434</v>
      </c>
      <c r="L1108" s="26" t="s">
        <v>6469</v>
      </c>
      <c r="M1108" s="55" t="s">
        <v>8757</v>
      </c>
      <c r="N1108" s="26" t="s">
        <v>16</v>
      </c>
    </row>
    <row r="1109" spans="1:14" ht="75" customHeight="1" thickTop="1" thickBot="1">
      <c r="A1109" s="34">
        <v>1107</v>
      </c>
      <c r="B1109" s="34">
        <v>1111</v>
      </c>
      <c r="C1109" s="57" t="s">
        <v>8758</v>
      </c>
      <c r="D1109" s="56" t="s">
        <v>26</v>
      </c>
      <c r="E1109" s="56" t="s">
        <v>27</v>
      </c>
      <c r="F1109" s="26" t="s">
        <v>3995</v>
      </c>
      <c r="G1109" s="26" t="s">
        <v>12</v>
      </c>
      <c r="H1109" s="26" t="s">
        <v>717</v>
      </c>
      <c r="I1109" s="26" t="s">
        <v>3924</v>
      </c>
      <c r="J1109" s="26" t="s">
        <v>8759</v>
      </c>
      <c r="K1109" s="26" t="s">
        <v>6434</v>
      </c>
      <c r="L1109" s="26" t="s">
        <v>6469</v>
      </c>
      <c r="M1109" s="55" t="s">
        <v>8760</v>
      </c>
      <c r="N1109" s="26" t="s">
        <v>3924</v>
      </c>
    </row>
    <row r="1110" spans="1:14" ht="75" customHeight="1" thickTop="1" thickBot="1">
      <c r="A1110" s="26">
        <v>1108</v>
      </c>
      <c r="B1110" s="26">
        <v>1112</v>
      </c>
      <c r="C1110" s="57" t="s">
        <v>8761</v>
      </c>
      <c r="D1110" s="56" t="s">
        <v>26</v>
      </c>
      <c r="E1110" s="56" t="s">
        <v>27</v>
      </c>
      <c r="F1110" s="26" t="s">
        <v>3995</v>
      </c>
      <c r="G1110" s="26" t="s">
        <v>1419</v>
      </c>
      <c r="H1110" s="26" t="s">
        <v>13</v>
      </c>
      <c r="I1110" s="26" t="s">
        <v>3924</v>
      </c>
      <c r="J1110" s="26" t="s">
        <v>8620</v>
      </c>
      <c r="K1110" s="26" t="s">
        <v>6434</v>
      </c>
      <c r="L1110" s="26" t="s">
        <v>6435</v>
      </c>
      <c r="M1110" s="55" t="s">
        <v>8762</v>
      </c>
      <c r="N1110" s="26" t="s">
        <v>3924</v>
      </c>
    </row>
    <row r="1111" spans="1:14" ht="75" customHeight="1" thickTop="1" thickBot="1">
      <c r="A1111" s="34">
        <v>1109</v>
      </c>
      <c r="B1111" s="34">
        <v>1113</v>
      </c>
      <c r="C1111" s="57" t="s">
        <v>8763</v>
      </c>
      <c r="D1111" s="56" t="s">
        <v>26</v>
      </c>
      <c r="E1111" s="56" t="s">
        <v>6448</v>
      </c>
      <c r="F1111" s="26" t="s">
        <v>3923</v>
      </c>
      <c r="G1111" s="26" t="s">
        <v>12</v>
      </c>
      <c r="H1111" s="26" t="s">
        <v>13</v>
      </c>
      <c r="I1111" s="26" t="s">
        <v>3924</v>
      </c>
      <c r="J1111" s="26" t="s">
        <v>8764</v>
      </c>
      <c r="K1111" s="26" t="s">
        <v>6445</v>
      </c>
      <c r="L1111" s="26" t="s">
        <v>6469</v>
      </c>
      <c r="M1111" s="55" t="s">
        <v>8765</v>
      </c>
      <c r="N1111" s="26" t="s">
        <v>3924</v>
      </c>
    </row>
    <row r="1112" spans="1:14" ht="75" customHeight="1" thickTop="1" thickBot="1">
      <c r="A1112" s="26">
        <v>1110</v>
      </c>
      <c r="B1112" s="34">
        <v>1114</v>
      </c>
      <c r="C1112" s="57" t="s">
        <v>8766</v>
      </c>
      <c r="D1112" s="56" t="s">
        <v>26</v>
      </c>
      <c r="E1112" s="56" t="s">
        <v>6448</v>
      </c>
      <c r="F1112" s="26" t="s">
        <v>3923</v>
      </c>
      <c r="G1112" s="26" t="s">
        <v>12</v>
      </c>
      <c r="H1112" s="26" t="s">
        <v>13</v>
      </c>
      <c r="I1112" s="26" t="s">
        <v>3924</v>
      </c>
      <c r="J1112" s="26" t="s">
        <v>8764</v>
      </c>
      <c r="K1112" s="26" t="s">
        <v>3954</v>
      </c>
      <c r="L1112" s="26" t="s">
        <v>3927</v>
      </c>
      <c r="M1112" s="55" t="s">
        <v>7485</v>
      </c>
      <c r="N1112" s="26" t="s">
        <v>3924</v>
      </c>
    </row>
    <row r="1113" spans="1:14" ht="75" customHeight="1" thickTop="1" thickBot="1">
      <c r="A1113" s="34">
        <v>1111</v>
      </c>
      <c r="B1113" s="26">
        <v>1115</v>
      </c>
      <c r="C1113" s="57" t="s">
        <v>8767</v>
      </c>
      <c r="D1113" s="56" t="s">
        <v>26</v>
      </c>
      <c r="E1113" s="56" t="s">
        <v>6448</v>
      </c>
      <c r="F1113" s="26" t="s">
        <v>3923</v>
      </c>
      <c r="G1113" s="26" t="s">
        <v>12</v>
      </c>
      <c r="H1113" s="26" t="s">
        <v>13</v>
      </c>
      <c r="I1113" s="26" t="s">
        <v>3924</v>
      </c>
      <c r="J1113" s="26" t="s">
        <v>8764</v>
      </c>
      <c r="K1113" s="26" t="s">
        <v>6445</v>
      </c>
      <c r="L1113" s="26" t="s">
        <v>6469</v>
      </c>
      <c r="M1113" s="55" t="s">
        <v>8768</v>
      </c>
      <c r="N1113" s="26" t="s">
        <v>3924</v>
      </c>
    </row>
    <row r="1114" spans="1:14" ht="75" customHeight="1" thickTop="1" thickBot="1">
      <c r="A1114" s="26">
        <v>1112</v>
      </c>
      <c r="B1114" s="34">
        <v>1116</v>
      </c>
      <c r="C1114" s="57" t="s">
        <v>8769</v>
      </c>
      <c r="D1114" s="56" t="s">
        <v>26</v>
      </c>
      <c r="E1114" s="56" t="s">
        <v>6448</v>
      </c>
      <c r="F1114" s="26" t="s">
        <v>3923</v>
      </c>
      <c r="G1114" s="26" t="s">
        <v>12</v>
      </c>
      <c r="H1114" s="26" t="s">
        <v>13</v>
      </c>
      <c r="I1114" s="26" t="s">
        <v>3924</v>
      </c>
      <c r="J1114" s="26" t="s">
        <v>8770</v>
      </c>
      <c r="K1114" s="26" t="s">
        <v>6434</v>
      </c>
      <c r="L1114" s="26" t="s">
        <v>6493</v>
      </c>
      <c r="M1114" s="55" t="s">
        <v>8771</v>
      </c>
      <c r="N1114" s="26" t="s">
        <v>3924</v>
      </c>
    </row>
    <row r="1115" spans="1:14" ht="75" customHeight="1" thickTop="1" thickBot="1">
      <c r="A1115" s="34">
        <v>1113</v>
      </c>
      <c r="B1115" s="26">
        <v>1117</v>
      </c>
      <c r="C1115" s="57" t="s">
        <v>8769</v>
      </c>
      <c r="D1115" s="56" t="s">
        <v>26</v>
      </c>
      <c r="E1115" s="56" t="s">
        <v>6448</v>
      </c>
      <c r="F1115" s="26" t="s">
        <v>3923</v>
      </c>
      <c r="G1115" s="26" t="s">
        <v>12</v>
      </c>
      <c r="H1115" s="26" t="s">
        <v>13</v>
      </c>
      <c r="I1115" s="26" t="s">
        <v>3924</v>
      </c>
      <c r="J1115" s="26" t="s">
        <v>8770</v>
      </c>
      <c r="K1115" s="26" t="s">
        <v>3954</v>
      </c>
      <c r="L1115" s="26" t="s">
        <v>6493</v>
      </c>
      <c r="M1115" s="55" t="s">
        <v>7484</v>
      </c>
      <c r="N1115" s="26" t="s">
        <v>3924</v>
      </c>
    </row>
    <row r="1116" spans="1:14" ht="75" customHeight="1" thickTop="1" thickBot="1">
      <c r="A1116" s="26">
        <v>1114</v>
      </c>
      <c r="B1116" s="34">
        <v>1118</v>
      </c>
      <c r="C1116" s="57" t="s">
        <v>8772</v>
      </c>
      <c r="D1116" s="56" t="s">
        <v>26</v>
      </c>
      <c r="E1116" s="56" t="s">
        <v>6448</v>
      </c>
      <c r="F1116" s="26" t="s">
        <v>3923</v>
      </c>
      <c r="G1116" s="26" t="s">
        <v>12</v>
      </c>
      <c r="H1116" s="26" t="s">
        <v>13</v>
      </c>
      <c r="I1116" s="26" t="s">
        <v>3924</v>
      </c>
      <c r="J1116" s="26" t="s">
        <v>8770</v>
      </c>
      <c r="K1116" s="26" t="s">
        <v>3954</v>
      </c>
      <c r="L1116" s="26" t="s">
        <v>6435</v>
      </c>
      <c r="M1116" s="55" t="s">
        <v>7485</v>
      </c>
      <c r="N1116" s="26" t="s">
        <v>3924</v>
      </c>
    </row>
    <row r="1117" spans="1:14" ht="75" customHeight="1" thickTop="1" thickBot="1">
      <c r="A1117" s="34">
        <v>1115</v>
      </c>
      <c r="B1117" s="26">
        <v>1119</v>
      </c>
      <c r="C1117" s="57" t="s">
        <v>8773</v>
      </c>
      <c r="D1117" s="56" t="s">
        <v>26</v>
      </c>
      <c r="E1117" s="56" t="s">
        <v>6448</v>
      </c>
      <c r="F1117" s="26" t="s">
        <v>3923</v>
      </c>
      <c r="G1117" s="26" t="s">
        <v>12</v>
      </c>
      <c r="H1117" s="26" t="s">
        <v>13</v>
      </c>
      <c r="I1117" s="26" t="s">
        <v>3924</v>
      </c>
      <c r="J1117" s="26" t="s">
        <v>8770</v>
      </c>
      <c r="K1117" s="26" t="s">
        <v>3954</v>
      </c>
      <c r="L1117" s="26" t="s">
        <v>6559</v>
      </c>
      <c r="M1117" s="55" t="s">
        <v>8774</v>
      </c>
      <c r="N1117" s="26" t="s">
        <v>3924</v>
      </c>
    </row>
    <row r="1118" spans="1:14" ht="75" customHeight="1" thickTop="1" thickBot="1">
      <c r="A1118" s="26">
        <v>1116</v>
      </c>
      <c r="B1118" s="34">
        <v>1120</v>
      </c>
      <c r="C1118" s="57" t="s">
        <v>8775</v>
      </c>
      <c r="D1118" s="56" t="s">
        <v>26</v>
      </c>
      <c r="E1118" s="56" t="s">
        <v>6448</v>
      </c>
      <c r="F1118" s="26" t="s">
        <v>3923</v>
      </c>
      <c r="G1118" s="26" t="s">
        <v>12</v>
      </c>
      <c r="H1118" s="26" t="s">
        <v>13</v>
      </c>
      <c r="I1118" s="26" t="s">
        <v>3924</v>
      </c>
      <c r="J1118" s="26" t="s">
        <v>8770</v>
      </c>
      <c r="K1118" s="26" t="s">
        <v>6440</v>
      </c>
      <c r="L1118" s="26" t="s">
        <v>6435</v>
      </c>
      <c r="M1118" s="55" t="s">
        <v>8776</v>
      </c>
      <c r="N1118" s="26" t="s">
        <v>3924</v>
      </c>
    </row>
    <row r="1119" spans="1:14" ht="75" customHeight="1" thickTop="1" thickBot="1">
      <c r="A1119" s="34">
        <v>1117</v>
      </c>
      <c r="B1119" s="34">
        <v>1121</v>
      </c>
      <c r="C1119" s="57" t="s">
        <v>8777</v>
      </c>
      <c r="D1119" s="56" t="s">
        <v>26</v>
      </c>
      <c r="E1119" s="56" t="s">
        <v>6448</v>
      </c>
      <c r="F1119" s="26" t="s">
        <v>3923</v>
      </c>
      <c r="G1119" s="26" t="s">
        <v>12</v>
      </c>
      <c r="H1119" s="26" t="s">
        <v>13</v>
      </c>
      <c r="I1119" s="26" t="s">
        <v>3924</v>
      </c>
      <c r="J1119" s="26" t="s">
        <v>8777</v>
      </c>
      <c r="K1119" s="26" t="s">
        <v>3954</v>
      </c>
      <c r="L1119" s="26" t="s">
        <v>6493</v>
      </c>
      <c r="M1119" s="55" t="s">
        <v>7234</v>
      </c>
      <c r="N1119" s="26" t="s">
        <v>3924</v>
      </c>
    </row>
    <row r="1120" spans="1:14" ht="75" customHeight="1" thickTop="1" thickBot="1">
      <c r="A1120" s="26">
        <v>1118</v>
      </c>
      <c r="B1120" s="26">
        <v>1122</v>
      </c>
      <c r="C1120" s="57" t="s">
        <v>8778</v>
      </c>
      <c r="D1120" s="56" t="s">
        <v>26</v>
      </c>
      <c r="E1120" s="56" t="s">
        <v>6448</v>
      </c>
      <c r="F1120" s="26" t="s">
        <v>3923</v>
      </c>
      <c r="G1120" s="26" t="s">
        <v>12</v>
      </c>
      <c r="H1120" s="26" t="s">
        <v>13</v>
      </c>
      <c r="I1120" s="26" t="s">
        <v>3924</v>
      </c>
      <c r="J1120" s="26" t="s">
        <v>8779</v>
      </c>
      <c r="K1120" s="26" t="s">
        <v>6440</v>
      </c>
      <c r="L1120" s="26" t="s">
        <v>3927</v>
      </c>
      <c r="M1120" s="55" t="s">
        <v>8780</v>
      </c>
      <c r="N1120" s="26" t="s">
        <v>3924</v>
      </c>
    </row>
    <row r="1121" spans="1:14" ht="75" customHeight="1" thickTop="1" thickBot="1">
      <c r="A1121" s="34">
        <v>1119</v>
      </c>
      <c r="B1121" s="34">
        <v>1123</v>
      </c>
      <c r="C1121" s="57" t="s">
        <v>8781</v>
      </c>
      <c r="D1121" s="56" t="s">
        <v>26</v>
      </c>
      <c r="E1121" s="56" t="s">
        <v>6448</v>
      </c>
      <c r="F1121" s="26" t="s">
        <v>3923</v>
      </c>
      <c r="G1121" s="26" t="s">
        <v>12</v>
      </c>
      <c r="H1121" s="26" t="s">
        <v>13</v>
      </c>
      <c r="I1121" s="26" t="s">
        <v>3924</v>
      </c>
      <c r="J1121" s="26" t="s">
        <v>8779</v>
      </c>
      <c r="K1121" s="26" t="s">
        <v>6445</v>
      </c>
      <c r="L1121" s="26" t="s">
        <v>3927</v>
      </c>
      <c r="M1121" s="55" t="s">
        <v>8782</v>
      </c>
      <c r="N1121" s="26" t="s">
        <v>3924</v>
      </c>
    </row>
    <row r="1122" spans="1:14" ht="75" customHeight="1" thickTop="1" thickBot="1">
      <c r="A1122" s="26">
        <v>1120</v>
      </c>
      <c r="B1122" s="26">
        <v>1124</v>
      </c>
      <c r="C1122" s="57" t="s">
        <v>8783</v>
      </c>
      <c r="D1122" s="56" t="s">
        <v>26</v>
      </c>
      <c r="E1122" s="56" t="s">
        <v>6448</v>
      </c>
      <c r="F1122" s="26" t="s">
        <v>3923</v>
      </c>
      <c r="G1122" s="26" t="s">
        <v>12</v>
      </c>
      <c r="H1122" s="26" t="s">
        <v>13</v>
      </c>
      <c r="I1122" s="26" t="s">
        <v>3924</v>
      </c>
      <c r="J1122" s="26" t="s">
        <v>8779</v>
      </c>
      <c r="K1122" s="26" t="s">
        <v>6445</v>
      </c>
      <c r="L1122" s="26" t="s">
        <v>6559</v>
      </c>
      <c r="M1122" s="55" t="s">
        <v>8784</v>
      </c>
      <c r="N1122" s="26" t="s">
        <v>3924</v>
      </c>
    </row>
    <row r="1123" spans="1:14" ht="75" customHeight="1" thickTop="1" thickBot="1">
      <c r="A1123" s="34">
        <v>1121</v>
      </c>
      <c r="B1123" s="34">
        <v>1125</v>
      </c>
      <c r="C1123" s="57" t="s">
        <v>8783</v>
      </c>
      <c r="D1123" s="56" t="s">
        <v>26</v>
      </c>
      <c r="E1123" s="56" t="s">
        <v>6448</v>
      </c>
      <c r="F1123" s="26" t="s">
        <v>3923</v>
      </c>
      <c r="G1123" s="26" t="s">
        <v>12</v>
      </c>
      <c r="H1123" s="26" t="s">
        <v>13</v>
      </c>
      <c r="I1123" s="26" t="s">
        <v>3924</v>
      </c>
      <c r="J1123" s="26" t="s">
        <v>8779</v>
      </c>
      <c r="K1123" s="26" t="s">
        <v>3954</v>
      </c>
      <c r="L1123" s="26" t="s">
        <v>6435</v>
      </c>
      <c r="M1123" s="55" t="s">
        <v>8785</v>
      </c>
      <c r="N1123" s="26" t="s">
        <v>3924</v>
      </c>
    </row>
    <row r="1124" spans="1:14" ht="75" customHeight="1" thickTop="1" thickBot="1">
      <c r="A1124" s="26">
        <v>1122</v>
      </c>
      <c r="B1124" s="26">
        <v>1126</v>
      </c>
      <c r="C1124" s="57" t="s">
        <v>8786</v>
      </c>
      <c r="D1124" s="56" t="s">
        <v>26</v>
      </c>
      <c r="E1124" s="56" t="s">
        <v>6448</v>
      </c>
      <c r="F1124" s="26" t="s">
        <v>3923</v>
      </c>
      <c r="G1124" s="26" t="s">
        <v>12</v>
      </c>
      <c r="H1124" s="26" t="s">
        <v>13</v>
      </c>
      <c r="I1124" s="26" t="s">
        <v>3924</v>
      </c>
      <c r="J1124" s="26" t="s">
        <v>8779</v>
      </c>
      <c r="K1124" s="26" t="s">
        <v>6552</v>
      </c>
      <c r="L1124" s="26" t="s">
        <v>4082</v>
      </c>
      <c r="M1124" s="55" t="s">
        <v>8787</v>
      </c>
      <c r="N1124" s="26" t="s">
        <v>3924</v>
      </c>
    </row>
    <row r="1125" spans="1:14" ht="75" customHeight="1" thickTop="1" thickBot="1">
      <c r="A1125" s="34">
        <v>1123</v>
      </c>
      <c r="B1125" s="34">
        <v>1127</v>
      </c>
      <c r="C1125" s="57" t="s">
        <v>8788</v>
      </c>
      <c r="D1125" s="56" t="s">
        <v>26</v>
      </c>
      <c r="E1125" s="56" t="s">
        <v>6448</v>
      </c>
      <c r="F1125" s="26" t="s">
        <v>3923</v>
      </c>
      <c r="G1125" s="26" t="s">
        <v>12</v>
      </c>
      <c r="H1125" s="26" t="s">
        <v>13</v>
      </c>
      <c r="I1125" s="26" t="s">
        <v>3924</v>
      </c>
      <c r="J1125" s="26" t="s">
        <v>8779</v>
      </c>
      <c r="K1125" s="26" t="s">
        <v>3954</v>
      </c>
      <c r="L1125" s="26" t="s">
        <v>3927</v>
      </c>
      <c r="M1125" s="55" t="s">
        <v>8789</v>
      </c>
      <c r="N1125" s="26" t="s">
        <v>3924</v>
      </c>
    </row>
    <row r="1126" spans="1:14" ht="75" customHeight="1" thickTop="1" thickBot="1">
      <c r="A1126" s="26">
        <v>1124</v>
      </c>
      <c r="B1126" s="34">
        <v>1128</v>
      </c>
      <c r="C1126" s="57" t="s">
        <v>8790</v>
      </c>
      <c r="D1126" s="56" t="s">
        <v>26</v>
      </c>
      <c r="E1126" s="56" t="s">
        <v>6448</v>
      </c>
      <c r="F1126" s="26" t="s">
        <v>3923</v>
      </c>
      <c r="G1126" s="26" t="s">
        <v>12</v>
      </c>
      <c r="H1126" s="26" t="s">
        <v>13</v>
      </c>
      <c r="I1126" s="26" t="s">
        <v>3924</v>
      </c>
      <c r="J1126" s="26" t="s">
        <v>8779</v>
      </c>
      <c r="K1126" s="26" t="s">
        <v>6440</v>
      </c>
      <c r="L1126" s="26" t="s">
        <v>3927</v>
      </c>
      <c r="M1126" s="55" t="s">
        <v>8791</v>
      </c>
      <c r="N1126" s="26" t="s">
        <v>3924</v>
      </c>
    </row>
    <row r="1127" spans="1:14" ht="75" customHeight="1" thickTop="1" thickBot="1">
      <c r="A1127" s="34">
        <v>1125</v>
      </c>
      <c r="B1127" s="26">
        <v>1129</v>
      </c>
      <c r="C1127" s="57" t="s">
        <v>8792</v>
      </c>
      <c r="D1127" s="56" t="s">
        <v>26</v>
      </c>
      <c r="E1127" s="56" t="s">
        <v>6448</v>
      </c>
      <c r="F1127" s="26" t="s">
        <v>3923</v>
      </c>
      <c r="G1127" s="26" t="s">
        <v>12</v>
      </c>
      <c r="H1127" s="26" t="s">
        <v>13</v>
      </c>
      <c r="I1127" s="26" t="s">
        <v>3924</v>
      </c>
      <c r="J1127" s="26" t="s">
        <v>8779</v>
      </c>
      <c r="K1127" s="26" t="s">
        <v>6440</v>
      </c>
      <c r="L1127" s="26" t="s">
        <v>3927</v>
      </c>
      <c r="M1127" s="55" t="s">
        <v>8793</v>
      </c>
      <c r="N1127" s="26" t="s">
        <v>3924</v>
      </c>
    </row>
    <row r="1128" spans="1:14" ht="75" customHeight="1" thickTop="1" thickBot="1">
      <c r="A1128" s="26">
        <v>1126</v>
      </c>
      <c r="B1128" s="34">
        <v>1130</v>
      </c>
      <c r="C1128" s="57" t="s">
        <v>8792</v>
      </c>
      <c r="D1128" s="56" t="s">
        <v>26</v>
      </c>
      <c r="E1128" s="56" t="s">
        <v>6448</v>
      </c>
      <c r="F1128" s="26" t="s">
        <v>3923</v>
      </c>
      <c r="G1128" s="26" t="s">
        <v>12</v>
      </c>
      <c r="H1128" s="26" t="s">
        <v>13</v>
      </c>
      <c r="I1128" s="26" t="s">
        <v>3924</v>
      </c>
      <c r="J1128" s="26" t="s">
        <v>8794</v>
      </c>
      <c r="K1128" s="26" t="s">
        <v>6445</v>
      </c>
      <c r="L1128" s="26" t="s">
        <v>3927</v>
      </c>
      <c r="M1128" s="55" t="s">
        <v>7859</v>
      </c>
      <c r="N1128" s="26" t="s">
        <v>3924</v>
      </c>
    </row>
    <row r="1129" spans="1:14" ht="75" customHeight="1" thickTop="1" thickBot="1">
      <c r="A1129" s="34">
        <v>1127</v>
      </c>
      <c r="B1129" s="26">
        <v>1131</v>
      </c>
      <c r="C1129" s="57" t="s">
        <v>8794</v>
      </c>
      <c r="D1129" s="56" t="s">
        <v>26</v>
      </c>
      <c r="E1129" s="56" t="s">
        <v>6448</v>
      </c>
      <c r="F1129" s="26" t="s">
        <v>3923</v>
      </c>
      <c r="G1129" s="26" t="s">
        <v>12</v>
      </c>
      <c r="H1129" s="26" t="s">
        <v>13</v>
      </c>
      <c r="I1129" s="26" t="s">
        <v>3924</v>
      </c>
      <c r="J1129" s="26" t="s">
        <v>8794</v>
      </c>
      <c r="K1129" s="26" t="s">
        <v>3954</v>
      </c>
      <c r="L1129" s="26" t="s">
        <v>6559</v>
      </c>
      <c r="M1129" s="55" t="s">
        <v>8795</v>
      </c>
      <c r="N1129" s="26" t="s">
        <v>3924</v>
      </c>
    </row>
    <row r="1130" spans="1:14" ht="75" customHeight="1" thickTop="1" thickBot="1">
      <c r="A1130" s="26">
        <v>1128</v>
      </c>
      <c r="B1130" s="34">
        <v>1132</v>
      </c>
      <c r="C1130" s="57" t="s">
        <v>8796</v>
      </c>
      <c r="D1130" s="56" t="s">
        <v>26</v>
      </c>
      <c r="E1130" s="56" t="s">
        <v>6448</v>
      </c>
      <c r="F1130" s="26" t="s">
        <v>3923</v>
      </c>
      <c r="G1130" s="26" t="s">
        <v>12</v>
      </c>
      <c r="H1130" s="26" t="s">
        <v>13</v>
      </c>
      <c r="I1130" s="26" t="s">
        <v>3924</v>
      </c>
      <c r="J1130" s="26" t="s">
        <v>8797</v>
      </c>
      <c r="K1130" s="26" t="s">
        <v>3954</v>
      </c>
      <c r="L1130" s="26" t="s">
        <v>3927</v>
      </c>
      <c r="M1130" s="55" t="s">
        <v>8798</v>
      </c>
      <c r="N1130" s="26" t="s">
        <v>3924</v>
      </c>
    </row>
    <row r="1131" spans="1:14" ht="75" customHeight="1" thickTop="1" thickBot="1">
      <c r="A1131" s="34">
        <v>1129</v>
      </c>
      <c r="B1131" s="26">
        <v>1133</v>
      </c>
      <c r="C1131" s="57" t="s">
        <v>8796</v>
      </c>
      <c r="D1131" s="56" t="s">
        <v>26</v>
      </c>
      <c r="E1131" s="56" t="s">
        <v>6448</v>
      </c>
      <c r="F1131" s="26" t="s">
        <v>3923</v>
      </c>
      <c r="G1131" s="26" t="s">
        <v>12</v>
      </c>
      <c r="H1131" s="26" t="s">
        <v>13</v>
      </c>
      <c r="I1131" s="26" t="s">
        <v>3924</v>
      </c>
      <c r="J1131" s="26" t="s">
        <v>8797</v>
      </c>
      <c r="K1131" s="26" t="s">
        <v>6445</v>
      </c>
      <c r="L1131" s="26" t="s">
        <v>6877</v>
      </c>
      <c r="M1131" s="55" t="s">
        <v>8799</v>
      </c>
      <c r="N1131" s="26" t="s">
        <v>3924</v>
      </c>
    </row>
    <row r="1132" spans="1:14" ht="75" customHeight="1" thickTop="1" thickBot="1">
      <c r="A1132" s="26">
        <v>1130</v>
      </c>
      <c r="B1132" s="34">
        <v>1134</v>
      </c>
      <c r="C1132" s="57" t="s">
        <v>8800</v>
      </c>
      <c r="D1132" s="56" t="s">
        <v>26</v>
      </c>
      <c r="E1132" s="56" t="s">
        <v>6448</v>
      </c>
      <c r="F1132" s="26" t="s">
        <v>3923</v>
      </c>
      <c r="G1132" s="26" t="s">
        <v>12</v>
      </c>
      <c r="H1132" s="26" t="s">
        <v>13</v>
      </c>
      <c r="I1132" s="26" t="s">
        <v>3924</v>
      </c>
      <c r="J1132" s="26" t="s">
        <v>8797</v>
      </c>
      <c r="K1132" s="26" t="s">
        <v>6552</v>
      </c>
      <c r="L1132" s="26" t="s">
        <v>3927</v>
      </c>
      <c r="M1132" s="55" t="s">
        <v>8801</v>
      </c>
      <c r="N1132" s="26" t="s">
        <v>3924</v>
      </c>
    </row>
    <row r="1133" spans="1:14" ht="75" customHeight="1" thickTop="1" thickBot="1">
      <c r="A1133" s="34">
        <v>1131</v>
      </c>
      <c r="B1133" s="34">
        <v>1135</v>
      </c>
      <c r="C1133" s="57" t="s">
        <v>8802</v>
      </c>
      <c r="D1133" s="56" t="s">
        <v>26</v>
      </c>
      <c r="E1133" s="56" t="s">
        <v>6448</v>
      </c>
      <c r="F1133" s="26" t="s">
        <v>3923</v>
      </c>
      <c r="G1133" s="26" t="s">
        <v>12</v>
      </c>
      <c r="H1133" s="26" t="s">
        <v>13</v>
      </c>
      <c r="I1133" s="26" t="s">
        <v>3924</v>
      </c>
      <c r="J1133" s="26" t="s">
        <v>8797</v>
      </c>
      <c r="K1133" s="26" t="s">
        <v>3954</v>
      </c>
      <c r="L1133" s="26" t="s">
        <v>3927</v>
      </c>
      <c r="M1133" s="55" t="s">
        <v>7484</v>
      </c>
      <c r="N1133" s="26" t="s">
        <v>3924</v>
      </c>
    </row>
    <row r="1134" spans="1:14" ht="75" customHeight="1" thickTop="1" thickBot="1">
      <c r="A1134" s="26">
        <v>1132</v>
      </c>
      <c r="B1134" s="26">
        <v>1136</v>
      </c>
      <c r="C1134" s="57" t="s">
        <v>8803</v>
      </c>
      <c r="D1134" s="56" t="s">
        <v>26</v>
      </c>
      <c r="E1134" s="56" t="s">
        <v>6448</v>
      </c>
      <c r="F1134" s="26" t="s">
        <v>3923</v>
      </c>
      <c r="G1134" s="26" t="s">
        <v>12</v>
      </c>
      <c r="H1134" s="26" t="s">
        <v>13</v>
      </c>
      <c r="I1134" s="26" t="s">
        <v>3924</v>
      </c>
      <c r="J1134" s="26" t="s">
        <v>8797</v>
      </c>
      <c r="K1134" s="26" t="s">
        <v>3954</v>
      </c>
      <c r="L1134" s="26" t="s">
        <v>4942</v>
      </c>
      <c r="M1134" s="55" t="s">
        <v>8804</v>
      </c>
      <c r="N1134" s="26" t="s">
        <v>3924</v>
      </c>
    </row>
    <row r="1135" spans="1:14" ht="75" customHeight="1" thickTop="1" thickBot="1">
      <c r="A1135" s="34">
        <v>1133</v>
      </c>
      <c r="B1135" s="34">
        <v>1137</v>
      </c>
      <c r="C1135" s="57" t="s">
        <v>8803</v>
      </c>
      <c r="D1135" s="56" t="s">
        <v>26</v>
      </c>
      <c r="E1135" s="56" t="s">
        <v>6448</v>
      </c>
      <c r="F1135" s="26" t="s">
        <v>3923</v>
      </c>
      <c r="G1135" s="26" t="s">
        <v>12</v>
      </c>
      <c r="H1135" s="26" t="s">
        <v>13</v>
      </c>
      <c r="I1135" s="26" t="s">
        <v>3924</v>
      </c>
      <c r="J1135" s="26" t="s">
        <v>8805</v>
      </c>
      <c r="K1135" s="26" t="s">
        <v>6483</v>
      </c>
      <c r="L1135" s="26" t="s">
        <v>8806</v>
      </c>
      <c r="M1135" s="55" t="s">
        <v>8807</v>
      </c>
      <c r="N1135" s="26" t="s">
        <v>3924</v>
      </c>
    </row>
    <row r="1136" spans="1:14" ht="75" customHeight="1" thickTop="1" thickBot="1">
      <c r="A1136" s="26">
        <v>1134</v>
      </c>
      <c r="B1136" s="26">
        <v>1138</v>
      </c>
      <c r="C1136" s="57" t="s">
        <v>8805</v>
      </c>
      <c r="D1136" s="56" t="s">
        <v>26</v>
      </c>
      <c r="E1136" s="56" t="s">
        <v>6448</v>
      </c>
      <c r="F1136" s="26" t="s">
        <v>3923</v>
      </c>
      <c r="G1136" s="26" t="s">
        <v>12</v>
      </c>
      <c r="H1136" s="26" t="s">
        <v>13</v>
      </c>
      <c r="I1136" s="26" t="s">
        <v>3924</v>
      </c>
      <c r="J1136" s="26" t="s">
        <v>8805</v>
      </c>
      <c r="K1136" s="26" t="s">
        <v>6434</v>
      </c>
      <c r="L1136" s="26" t="s">
        <v>6877</v>
      </c>
      <c r="M1136" s="55" t="s">
        <v>8808</v>
      </c>
      <c r="N1136" s="26" t="s">
        <v>3924</v>
      </c>
    </row>
    <row r="1137" spans="1:14" ht="75" customHeight="1" thickTop="1" thickBot="1">
      <c r="A1137" s="34">
        <v>1135</v>
      </c>
      <c r="B1137" s="34">
        <v>1139</v>
      </c>
      <c r="C1137" s="57" t="s">
        <v>8805</v>
      </c>
      <c r="D1137" s="56" t="s">
        <v>26</v>
      </c>
      <c r="E1137" s="56" t="s">
        <v>6448</v>
      </c>
      <c r="F1137" s="26" t="s">
        <v>3923</v>
      </c>
      <c r="G1137" s="26" t="s">
        <v>12</v>
      </c>
      <c r="H1137" s="26" t="s">
        <v>13</v>
      </c>
      <c r="I1137" s="26" t="s">
        <v>3924</v>
      </c>
      <c r="J1137" s="26" t="s">
        <v>8805</v>
      </c>
      <c r="K1137" s="26" t="s">
        <v>3954</v>
      </c>
      <c r="L1137" s="26" t="s">
        <v>3927</v>
      </c>
      <c r="M1137" s="55" t="s">
        <v>6907</v>
      </c>
      <c r="N1137" s="26" t="s">
        <v>3924</v>
      </c>
    </row>
    <row r="1138" spans="1:14" ht="75" customHeight="1" thickTop="1" thickBot="1">
      <c r="A1138" s="26">
        <v>1136</v>
      </c>
      <c r="B1138" s="26">
        <v>1140</v>
      </c>
      <c r="C1138" s="57" t="s">
        <v>5594</v>
      </c>
      <c r="D1138" s="56" t="s">
        <v>26</v>
      </c>
      <c r="E1138" s="56" t="s">
        <v>27</v>
      </c>
      <c r="F1138" s="26" t="s">
        <v>3995</v>
      </c>
      <c r="G1138" s="26" t="s">
        <v>12</v>
      </c>
      <c r="H1138" s="26" t="s">
        <v>13</v>
      </c>
      <c r="I1138" s="26" t="s">
        <v>3924</v>
      </c>
      <c r="J1138" s="26" t="s">
        <v>5712</v>
      </c>
      <c r="K1138" s="26" t="s">
        <v>6445</v>
      </c>
      <c r="L1138" s="26" t="s">
        <v>6805</v>
      </c>
      <c r="M1138" s="55" t="s">
        <v>8809</v>
      </c>
      <c r="N1138" s="26" t="s">
        <v>3924</v>
      </c>
    </row>
    <row r="1139" spans="1:14" ht="75" customHeight="1" thickTop="1" thickBot="1">
      <c r="A1139" s="34">
        <v>1137</v>
      </c>
      <c r="B1139" s="34">
        <v>1141</v>
      </c>
      <c r="C1139" s="57" t="s">
        <v>5615</v>
      </c>
      <c r="D1139" s="56" t="s">
        <v>26</v>
      </c>
      <c r="E1139" s="56" t="s">
        <v>27</v>
      </c>
      <c r="F1139" s="26" t="s">
        <v>3995</v>
      </c>
      <c r="G1139" s="26" t="s">
        <v>1419</v>
      </c>
      <c r="H1139" s="26" t="s">
        <v>13</v>
      </c>
      <c r="I1139" s="26" t="s">
        <v>3924</v>
      </c>
      <c r="J1139" s="26" t="s">
        <v>8620</v>
      </c>
      <c r="K1139" s="26" t="s">
        <v>6434</v>
      </c>
      <c r="L1139" s="26" t="s">
        <v>6435</v>
      </c>
      <c r="M1139" s="55" t="s">
        <v>8810</v>
      </c>
      <c r="N1139" s="26" t="s">
        <v>3924</v>
      </c>
    </row>
    <row r="1140" spans="1:14" ht="75" customHeight="1" thickTop="1" thickBot="1">
      <c r="A1140" s="26">
        <v>1138</v>
      </c>
      <c r="B1140" s="34">
        <v>1142</v>
      </c>
      <c r="C1140" s="57" t="s">
        <v>8811</v>
      </c>
      <c r="D1140" s="56" t="s">
        <v>26</v>
      </c>
      <c r="E1140" s="56" t="s">
        <v>6438</v>
      </c>
      <c r="F1140" s="26" t="s">
        <v>3995</v>
      </c>
      <c r="G1140" s="26" t="s">
        <v>12</v>
      </c>
      <c r="H1140" s="26" t="s">
        <v>13</v>
      </c>
      <c r="I1140" s="26" t="s">
        <v>3924</v>
      </c>
      <c r="J1140" s="26" t="s">
        <v>5712</v>
      </c>
      <c r="K1140" s="26" t="s">
        <v>6445</v>
      </c>
      <c r="L1140" s="26" t="s">
        <v>6805</v>
      </c>
      <c r="M1140" s="55" t="s">
        <v>8812</v>
      </c>
      <c r="N1140" s="26" t="s">
        <v>3924</v>
      </c>
    </row>
    <row r="1141" spans="1:14" ht="75" customHeight="1" thickTop="1" thickBot="1">
      <c r="A1141" s="34">
        <v>1139</v>
      </c>
      <c r="B1141" s="26">
        <v>1143</v>
      </c>
      <c r="C1141" s="57" t="s">
        <v>5656</v>
      </c>
      <c r="D1141" s="56" t="s">
        <v>26</v>
      </c>
      <c r="E1141" s="56" t="s">
        <v>27</v>
      </c>
      <c r="F1141" s="26" t="s">
        <v>3995</v>
      </c>
      <c r="G1141" s="26" t="s">
        <v>16</v>
      </c>
      <c r="H1141" s="26" t="s">
        <v>13</v>
      </c>
      <c r="I1141" s="26" t="s">
        <v>3924</v>
      </c>
      <c r="J1141" s="26" t="s">
        <v>8813</v>
      </c>
      <c r="K1141" s="26" t="s">
        <v>6434</v>
      </c>
      <c r="L1141" s="26" t="s">
        <v>6435</v>
      </c>
      <c r="M1141" s="55" t="s">
        <v>8814</v>
      </c>
      <c r="N1141" s="26" t="s">
        <v>3924</v>
      </c>
    </row>
    <row r="1142" spans="1:14" ht="75" customHeight="1" thickTop="1" thickBot="1">
      <c r="A1142" s="26">
        <v>1140</v>
      </c>
      <c r="B1142" s="34">
        <v>1144</v>
      </c>
      <c r="C1142" s="57" t="s">
        <v>5560</v>
      </c>
      <c r="D1142" s="56" t="s">
        <v>26</v>
      </c>
      <c r="E1142" s="56" t="s">
        <v>8550</v>
      </c>
      <c r="F1142" s="26" t="s">
        <v>3995</v>
      </c>
      <c r="G1142" s="26" t="s">
        <v>1419</v>
      </c>
      <c r="H1142" s="26" t="s">
        <v>13</v>
      </c>
      <c r="I1142" s="26" t="s">
        <v>3924</v>
      </c>
      <c r="J1142" s="26" t="s">
        <v>8815</v>
      </c>
      <c r="K1142" s="26" t="s">
        <v>6440</v>
      </c>
      <c r="L1142" s="26" t="s">
        <v>6877</v>
      </c>
      <c r="M1142" s="55" t="s">
        <v>8816</v>
      </c>
      <c r="N1142" s="26" t="s">
        <v>3924</v>
      </c>
    </row>
    <row r="1143" spans="1:14" ht="75" customHeight="1" thickTop="1" thickBot="1">
      <c r="A1143" s="34">
        <v>1141</v>
      </c>
      <c r="B1143" s="26">
        <v>1145</v>
      </c>
      <c r="C1143" s="57" t="s">
        <v>5608</v>
      </c>
      <c r="D1143" s="56" t="s">
        <v>26</v>
      </c>
      <c r="E1143" s="56" t="s">
        <v>27</v>
      </c>
      <c r="F1143" s="26" t="s">
        <v>3995</v>
      </c>
      <c r="G1143" s="26" t="s">
        <v>6265</v>
      </c>
      <c r="H1143" s="26" t="s">
        <v>717</v>
      </c>
      <c r="I1143" s="26" t="s">
        <v>8817</v>
      </c>
      <c r="J1143" s="26" t="s">
        <v>8818</v>
      </c>
      <c r="K1143" s="26" t="s">
        <v>6445</v>
      </c>
      <c r="L1143" s="26" t="s">
        <v>6469</v>
      </c>
      <c r="M1143" s="55" t="s">
        <v>8819</v>
      </c>
      <c r="N1143" s="26" t="s">
        <v>3924</v>
      </c>
    </row>
    <row r="1144" spans="1:14" ht="75" customHeight="1" thickTop="1" thickBot="1">
      <c r="A1144" s="26">
        <v>1142</v>
      </c>
      <c r="B1144" s="34">
        <v>1146</v>
      </c>
      <c r="C1144" s="57" t="s">
        <v>5613</v>
      </c>
      <c r="D1144" s="56" t="s">
        <v>26</v>
      </c>
      <c r="E1144" s="56" t="s">
        <v>27</v>
      </c>
      <c r="F1144" s="26" t="s">
        <v>3995</v>
      </c>
      <c r="G1144" s="26" t="s">
        <v>16</v>
      </c>
      <c r="H1144" s="26" t="s">
        <v>13</v>
      </c>
      <c r="I1144" s="26" t="s">
        <v>3924</v>
      </c>
      <c r="J1144" s="26" t="s">
        <v>8813</v>
      </c>
      <c r="K1144" s="26" t="s">
        <v>6445</v>
      </c>
      <c r="L1144" s="26" t="s">
        <v>6469</v>
      </c>
      <c r="M1144" s="55" t="s">
        <v>8820</v>
      </c>
      <c r="N1144" s="26" t="s">
        <v>3924</v>
      </c>
    </row>
    <row r="1145" spans="1:14" ht="75" customHeight="1" thickTop="1" thickBot="1">
      <c r="A1145" s="34">
        <v>1143</v>
      </c>
      <c r="B1145" s="26">
        <v>1147</v>
      </c>
      <c r="C1145" s="57" t="s">
        <v>8821</v>
      </c>
      <c r="D1145" s="56" t="s">
        <v>26</v>
      </c>
      <c r="E1145" s="56" t="s">
        <v>8550</v>
      </c>
      <c r="F1145" s="26" t="s">
        <v>3995</v>
      </c>
      <c r="G1145" s="26" t="s">
        <v>16</v>
      </c>
      <c r="H1145" s="26" t="s">
        <v>13</v>
      </c>
      <c r="I1145" s="26" t="s">
        <v>3924</v>
      </c>
      <c r="J1145" s="26" t="s">
        <v>8822</v>
      </c>
      <c r="K1145" s="26" t="s">
        <v>6440</v>
      </c>
      <c r="L1145" s="26" t="s">
        <v>3927</v>
      </c>
      <c r="M1145" s="55" t="s">
        <v>8823</v>
      </c>
      <c r="N1145" s="26" t="s">
        <v>3924</v>
      </c>
    </row>
    <row r="1146" spans="1:14" ht="75" customHeight="1" thickTop="1" thickBot="1">
      <c r="A1146" s="26">
        <v>1144</v>
      </c>
      <c r="B1146" s="34">
        <v>1148</v>
      </c>
      <c r="C1146" s="57" t="s">
        <v>5711</v>
      </c>
      <c r="D1146" s="56" t="s">
        <v>26</v>
      </c>
      <c r="E1146" s="56" t="s">
        <v>8550</v>
      </c>
      <c r="F1146" s="26" t="s">
        <v>3995</v>
      </c>
      <c r="G1146" s="26" t="s">
        <v>12</v>
      </c>
      <c r="H1146" s="26" t="s">
        <v>13</v>
      </c>
      <c r="I1146" s="26" t="s">
        <v>3924</v>
      </c>
      <c r="J1146" s="26" t="s">
        <v>8824</v>
      </c>
      <c r="K1146" s="26" t="s">
        <v>6440</v>
      </c>
      <c r="L1146" s="26" t="s">
        <v>6455</v>
      </c>
      <c r="M1146" s="55" t="s">
        <v>8825</v>
      </c>
      <c r="N1146" s="26" t="s">
        <v>3924</v>
      </c>
    </row>
    <row r="1147" spans="1:14" ht="75" customHeight="1" thickTop="1" thickBot="1">
      <c r="A1147" s="34">
        <v>1145</v>
      </c>
      <c r="B1147" s="34">
        <v>1149</v>
      </c>
      <c r="C1147" s="57" t="s">
        <v>8826</v>
      </c>
      <c r="D1147" s="56" t="s">
        <v>26</v>
      </c>
      <c r="E1147" s="56" t="s">
        <v>27</v>
      </c>
      <c r="F1147" s="26" t="s">
        <v>3995</v>
      </c>
      <c r="G1147" s="26" t="s">
        <v>1419</v>
      </c>
      <c r="H1147" s="26" t="s">
        <v>13</v>
      </c>
      <c r="I1147" s="26" t="s">
        <v>3924</v>
      </c>
      <c r="J1147" s="26" t="s">
        <v>8813</v>
      </c>
      <c r="K1147" s="26" t="s">
        <v>6552</v>
      </c>
      <c r="L1147" s="26" t="s">
        <v>6435</v>
      </c>
      <c r="M1147" s="55" t="s">
        <v>8827</v>
      </c>
      <c r="N1147" s="26" t="s">
        <v>3924</v>
      </c>
    </row>
    <row r="1148" spans="1:14" ht="75" customHeight="1" thickTop="1" thickBot="1">
      <c r="A1148" s="26">
        <v>1146</v>
      </c>
      <c r="B1148" s="26">
        <v>1150</v>
      </c>
      <c r="C1148" s="57" t="s">
        <v>8828</v>
      </c>
      <c r="D1148" s="56" t="s">
        <v>26</v>
      </c>
      <c r="E1148" s="56" t="s">
        <v>6461</v>
      </c>
      <c r="F1148" s="26" t="s">
        <v>3923</v>
      </c>
      <c r="G1148" s="26" t="s">
        <v>16</v>
      </c>
      <c r="H1148" s="26" t="s">
        <v>13</v>
      </c>
      <c r="I1148" s="26" t="s">
        <v>3924</v>
      </c>
      <c r="J1148" s="26" t="s">
        <v>8829</v>
      </c>
      <c r="K1148" s="26" t="s">
        <v>6552</v>
      </c>
      <c r="L1148" s="26" t="s">
        <v>6435</v>
      </c>
      <c r="M1148" s="55" t="s">
        <v>8830</v>
      </c>
      <c r="N1148" s="26" t="s">
        <v>3924</v>
      </c>
    </row>
    <row r="1149" spans="1:14" ht="75" customHeight="1" thickTop="1" thickBot="1">
      <c r="A1149" s="34">
        <v>1147</v>
      </c>
      <c r="B1149" s="34">
        <v>1151</v>
      </c>
      <c r="C1149" s="57" t="s">
        <v>8831</v>
      </c>
      <c r="D1149" s="56" t="s">
        <v>26</v>
      </c>
      <c r="E1149" s="56" t="s">
        <v>8550</v>
      </c>
      <c r="F1149" s="26" t="s">
        <v>3995</v>
      </c>
      <c r="G1149" s="26" t="s">
        <v>1419</v>
      </c>
      <c r="H1149" s="26" t="s">
        <v>13</v>
      </c>
      <c r="I1149" s="26" t="s">
        <v>3924</v>
      </c>
      <c r="J1149" s="26" t="s">
        <v>8832</v>
      </c>
      <c r="K1149" s="26" t="s">
        <v>6440</v>
      </c>
      <c r="L1149" s="26" t="s">
        <v>6877</v>
      </c>
      <c r="M1149" s="55" t="s">
        <v>8833</v>
      </c>
      <c r="N1149" s="26" t="s">
        <v>8834</v>
      </c>
    </row>
    <row r="1150" spans="1:14" ht="75" customHeight="1" thickTop="1" thickBot="1">
      <c r="A1150" s="26">
        <v>1148</v>
      </c>
      <c r="B1150" s="26">
        <v>1152</v>
      </c>
      <c r="C1150" s="57" t="s">
        <v>8835</v>
      </c>
      <c r="D1150" s="56" t="s">
        <v>26</v>
      </c>
      <c r="E1150" s="56" t="s">
        <v>6461</v>
      </c>
      <c r="F1150" s="26" t="s">
        <v>3923</v>
      </c>
      <c r="G1150" s="26" t="s">
        <v>1419</v>
      </c>
      <c r="H1150" s="26" t="s">
        <v>13</v>
      </c>
      <c r="I1150" s="26" t="s">
        <v>3924</v>
      </c>
      <c r="J1150" s="26" t="s">
        <v>8832</v>
      </c>
      <c r="K1150" s="26" t="s">
        <v>8836</v>
      </c>
      <c r="L1150" s="26" t="s">
        <v>3927</v>
      </c>
      <c r="M1150" s="55" t="s">
        <v>8837</v>
      </c>
      <c r="N1150" s="26" t="s">
        <v>3924</v>
      </c>
    </row>
    <row r="1151" spans="1:14" ht="75" customHeight="1" thickTop="1" thickBot="1">
      <c r="A1151" s="34">
        <v>1149</v>
      </c>
      <c r="B1151" s="34">
        <v>1153</v>
      </c>
      <c r="C1151" s="57" t="s">
        <v>8838</v>
      </c>
      <c r="D1151" s="56" t="s">
        <v>26</v>
      </c>
      <c r="E1151" s="56" t="s">
        <v>8550</v>
      </c>
      <c r="F1151" s="26" t="s">
        <v>3995</v>
      </c>
      <c r="G1151" s="26" t="s">
        <v>16</v>
      </c>
      <c r="H1151" s="26" t="s">
        <v>13</v>
      </c>
      <c r="I1151" s="26" t="s">
        <v>3924</v>
      </c>
      <c r="J1151" s="26" t="s">
        <v>8813</v>
      </c>
      <c r="K1151" s="26" t="s">
        <v>6440</v>
      </c>
      <c r="L1151" s="26" t="s">
        <v>3927</v>
      </c>
      <c r="M1151" s="55" t="s">
        <v>1160</v>
      </c>
      <c r="N1151" s="26" t="s">
        <v>8839</v>
      </c>
    </row>
    <row r="1152" spans="1:14" ht="75" customHeight="1" thickTop="1" thickBot="1">
      <c r="A1152" s="26">
        <v>1150</v>
      </c>
      <c r="B1152" s="26">
        <v>1154</v>
      </c>
      <c r="C1152" s="57" t="s">
        <v>8838</v>
      </c>
      <c r="D1152" s="56" t="s">
        <v>26</v>
      </c>
      <c r="E1152" s="56" t="s">
        <v>6438</v>
      </c>
      <c r="F1152" s="26" t="s">
        <v>3995</v>
      </c>
      <c r="G1152" s="26" t="s">
        <v>16</v>
      </c>
      <c r="H1152" s="26" t="s">
        <v>13</v>
      </c>
      <c r="I1152" s="26" t="s">
        <v>3924</v>
      </c>
      <c r="J1152" s="26" t="s">
        <v>8813</v>
      </c>
      <c r="K1152" s="26" t="s">
        <v>6445</v>
      </c>
      <c r="L1152" s="26" t="s">
        <v>6469</v>
      </c>
      <c r="M1152" s="55" t="s">
        <v>8840</v>
      </c>
      <c r="N1152" s="26" t="s">
        <v>3924</v>
      </c>
    </row>
    <row r="1153" spans="1:14" ht="75" customHeight="1" thickTop="1" thickBot="1">
      <c r="A1153" s="34">
        <v>1151</v>
      </c>
      <c r="B1153" s="34">
        <v>1155</v>
      </c>
      <c r="C1153" s="57" t="s">
        <v>8841</v>
      </c>
      <c r="D1153" s="56" t="s">
        <v>26</v>
      </c>
      <c r="E1153" s="56" t="s">
        <v>27</v>
      </c>
      <c r="F1153" s="26" t="s">
        <v>3995</v>
      </c>
      <c r="G1153" s="26" t="s">
        <v>12</v>
      </c>
      <c r="H1153" s="26" t="s">
        <v>13</v>
      </c>
      <c r="I1153" s="26" t="s">
        <v>3924</v>
      </c>
      <c r="J1153" s="26" t="s">
        <v>8842</v>
      </c>
      <c r="K1153" s="26" t="s">
        <v>6434</v>
      </c>
      <c r="L1153" s="26" t="s">
        <v>6435</v>
      </c>
      <c r="M1153" s="55" t="s">
        <v>8843</v>
      </c>
      <c r="N1153" s="26" t="s">
        <v>3924</v>
      </c>
    </row>
    <row r="1154" spans="1:14" ht="75" customHeight="1" thickTop="1" thickBot="1">
      <c r="A1154" s="26">
        <v>1152</v>
      </c>
      <c r="B1154" s="34">
        <v>1156</v>
      </c>
      <c r="C1154" s="57" t="s">
        <v>8844</v>
      </c>
      <c r="D1154" s="56" t="s">
        <v>26</v>
      </c>
      <c r="E1154" s="56" t="s">
        <v>8550</v>
      </c>
      <c r="F1154" s="26" t="s">
        <v>3995</v>
      </c>
      <c r="G1154" s="26" t="s">
        <v>12</v>
      </c>
      <c r="H1154" s="26" t="s">
        <v>13</v>
      </c>
      <c r="I1154" s="26" t="s">
        <v>3924</v>
      </c>
      <c r="J1154" s="26" t="s">
        <v>5745</v>
      </c>
      <c r="K1154" s="26" t="s">
        <v>6440</v>
      </c>
      <c r="L1154" s="26" t="s">
        <v>6455</v>
      </c>
      <c r="M1154" s="55" t="s">
        <v>8845</v>
      </c>
      <c r="N1154" s="26" t="s">
        <v>3924</v>
      </c>
    </row>
    <row r="1155" spans="1:14" ht="75" customHeight="1" thickTop="1" thickBot="1">
      <c r="A1155" s="34">
        <v>1153</v>
      </c>
      <c r="B1155" s="26">
        <v>1157</v>
      </c>
      <c r="C1155" s="57" t="s">
        <v>8846</v>
      </c>
      <c r="D1155" s="56" t="s">
        <v>26</v>
      </c>
      <c r="E1155" s="56" t="s">
        <v>8550</v>
      </c>
      <c r="F1155" s="26" t="s">
        <v>3995</v>
      </c>
      <c r="G1155" s="26" t="s">
        <v>12</v>
      </c>
      <c r="H1155" s="26" t="s">
        <v>13</v>
      </c>
      <c r="I1155" s="26" t="s">
        <v>3924</v>
      </c>
      <c r="J1155" s="26" t="s">
        <v>5745</v>
      </c>
      <c r="K1155" s="26" t="s">
        <v>6440</v>
      </c>
      <c r="L1155" s="26" t="s">
        <v>6455</v>
      </c>
      <c r="M1155" s="55" t="s">
        <v>8847</v>
      </c>
      <c r="N1155" s="26" t="s">
        <v>3924</v>
      </c>
    </row>
    <row r="1156" spans="1:14" ht="75" customHeight="1" thickTop="1" thickBot="1">
      <c r="A1156" s="26">
        <v>1154</v>
      </c>
      <c r="B1156" s="34">
        <v>1158</v>
      </c>
      <c r="C1156" s="57" t="s">
        <v>8848</v>
      </c>
      <c r="D1156" s="56" t="s">
        <v>26</v>
      </c>
      <c r="E1156" s="56" t="s">
        <v>27</v>
      </c>
      <c r="F1156" s="26" t="s">
        <v>3995</v>
      </c>
      <c r="G1156" s="26" t="s">
        <v>16</v>
      </c>
      <c r="H1156" s="26" t="s">
        <v>13</v>
      </c>
      <c r="I1156" s="26" t="s">
        <v>3924</v>
      </c>
      <c r="J1156" s="26" t="s">
        <v>8849</v>
      </c>
      <c r="K1156" s="26" t="s">
        <v>6434</v>
      </c>
      <c r="L1156" s="26" t="s">
        <v>6469</v>
      </c>
      <c r="M1156" s="55" t="s">
        <v>8850</v>
      </c>
      <c r="N1156" s="26" t="s">
        <v>3924</v>
      </c>
    </row>
    <row r="1157" spans="1:14" ht="75" customHeight="1" thickTop="1" thickBot="1">
      <c r="A1157" s="34">
        <v>1155</v>
      </c>
      <c r="B1157" s="26">
        <v>1159</v>
      </c>
      <c r="C1157" s="57" t="s">
        <v>8851</v>
      </c>
      <c r="D1157" s="56" t="s">
        <v>26</v>
      </c>
      <c r="E1157" s="56" t="s">
        <v>27</v>
      </c>
      <c r="F1157" s="26" t="s">
        <v>3995</v>
      </c>
      <c r="G1157" s="26" t="s">
        <v>16</v>
      </c>
      <c r="H1157" s="26" t="s">
        <v>13</v>
      </c>
      <c r="I1157" s="26" t="s">
        <v>3924</v>
      </c>
      <c r="J1157" s="26" t="s">
        <v>5753</v>
      </c>
      <c r="K1157" s="26" t="s">
        <v>6434</v>
      </c>
      <c r="L1157" s="26" t="s">
        <v>6469</v>
      </c>
      <c r="M1157" s="55" t="s">
        <v>8852</v>
      </c>
      <c r="N1157" s="26" t="s">
        <v>3924</v>
      </c>
    </row>
    <row r="1158" spans="1:14" ht="75" customHeight="1" thickTop="1" thickBot="1">
      <c r="A1158" s="26">
        <v>1156</v>
      </c>
      <c r="B1158" s="34">
        <v>1160</v>
      </c>
      <c r="C1158" s="57" t="s">
        <v>5732</v>
      </c>
      <c r="D1158" s="56" t="s">
        <v>26</v>
      </c>
      <c r="E1158" s="56" t="s">
        <v>6480</v>
      </c>
      <c r="F1158" s="26" t="s">
        <v>3923</v>
      </c>
      <c r="G1158" s="26" t="s">
        <v>16</v>
      </c>
      <c r="H1158" s="26" t="s">
        <v>13</v>
      </c>
      <c r="I1158" s="26" t="s">
        <v>3924</v>
      </c>
      <c r="J1158" s="26" t="s">
        <v>5735</v>
      </c>
      <c r="K1158" s="26" t="s">
        <v>6552</v>
      </c>
      <c r="L1158" s="26" t="s">
        <v>3924</v>
      </c>
      <c r="M1158" s="55" t="s">
        <v>8853</v>
      </c>
      <c r="N1158" s="26" t="s">
        <v>3924</v>
      </c>
    </row>
    <row r="1159" spans="1:14" ht="75" customHeight="1" thickTop="1" thickBot="1">
      <c r="A1159" s="34">
        <v>1157</v>
      </c>
      <c r="B1159" s="26">
        <v>1161</v>
      </c>
      <c r="C1159" s="57" t="s">
        <v>5740</v>
      </c>
      <c r="D1159" s="56" t="s">
        <v>26</v>
      </c>
      <c r="E1159" s="56" t="s">
        <v>6480</v>
      </c>
      <c r="F1159" s="26" t="s">
        <v>3923</v>
      </c>
      <c r="G1159" s="26" t="s">
        <v>16</v>
      </c>
      <c r="H1159" s="26" t="s">
        <v>13</v>
      </c>
      <c r="I1159" s="26" t="s">
        <v>3924</v>
      </c>
      <c r="J1159" s="26" t="s">
        <v>5740</v>
      </c>
      <c r="K1159" s="26" t="s">
        <v>6434</v>
      </c>
      <c r="L1159" s="26" t="s">
        <v>8854</v>
      </c>
      <c r="M1159" s="55" t="s">
        <v>8855</v>
      </c>
      <c r="N1159" s="26" t="s">
        <v>3924</v>
      </c>
    </row>
    <row r="1160" spans="1:14" ht="75" customHeight="1" thickTop="1" thickBot="1">
      <c r="A1160" s="26">
        <v>1158</v>
      </c>
      <c r="B1160" s="34">
        <v>1162</v>
      </c>
      <c r="C1160" s="57" t="s">
        <v>5745</v>
      </c>
      <c r="D1160" s="56" t="s">
        <v>26</v>
      </c>
      <c r="E1160" s="56" t="s">
        <v>6480</v>
      </c>
      <c r="F1160" s="26" t="s">
        <v>3923</v>
      </c>
      <c r="G1160" s="26" t="s">
        <v>16</v>
      </c>
      <c r="H1160" s="26" t="s">
        <v>13</v>
      </c>
      <c r="I1160" s="26" t="s">
        <v>3924</v>
      </c>
      <c r="J1160" s="26" t="s">
        <v>5745</v>
      </c>
      <c r="K1160" s="26" t="s">
        <v>6434</v>
      </c>
      <c r="L1160" s="26" t="s">
        <v>8856</v>
      </c>
      <c r="M1160" s="55" t="s">
        <v>8857</v>
      </c>
      <c r="N1160" s="26" t="s">
        <v>3924</v>
      </c>
    </row>
    <row r="1161" spans="1:14" ht="75" customHeight="1" thickTop="1" thickBot="1">
      <c r="A1161" s="34">
        <v>1159</v>
      </c>
      <c r="B1161" s="34">
        <v>1163</v>
      </c>
      <c r="C1161" s="57" t="s">
        <v>5748</v>
      </c>
      <c r="D1161" s="56" t="s">
        <v>26</v>
      </c>
      <c r="E1161" s="56" t="s">
        <v>6480</v>
      </c>
      <c r="F1161" s="26" t="s">
        <v>3923</v>
      </c>
      <c r="G1161" s="26" t="s">
        <v>16</v>
      </c>
      <c r="H1161" s="26" t="s">
        <v>13</v>
      </c>
      <c r="I1161" s="26" t="s">
        <v>3924</v>
      </c>
      <c r="J1161" s="26" t="s">
        <v>5748</v>
      </c>
      <c r="K1161" s="26" t="s">
        <v>8267</v>
      </c>
      <c r="L1161" s="26" t="s">
        <v>3924</v>
      </c>
      <c r="M1161" s="55" t="s">
        <v>8858</v>
      </c>
      <c r="N1161" s="26" t="s">
        <v>3924</v>
      </c>
    </row>
    <row r="1162" spans="1:14" ht="75" customHeight="1" thickTop="1" thickBot="1">
      <c r="A1162" s="26">
        <v>1160</v>
      </c>
      <c r="B1162" s="26">
        <v>1164</v>
      </c>
      <c r="C1162" s="57" t="s">
        <v>5751</v>
      </c>
      <c r="D1162" s="56" t="s">
        <v>26</v>
      </c>
      <c r="E1162" s="56" t="s">
        <v>6480</v>
      </c>
      <c r="F1162" s="26" t="s">
        <v>3923</v>
      </c>
      <c r="G1162" s="26" t="s">
        <v>16</v>
      </c>
      <c r="H1162" s="26" t="s">
        <v>13</v>
      </c>
      <c r="I1162" s="26" t="s">
        <v>3924</v>
      </c>
      <c r="J1162" s="26" t="s">
        <v>5751</v>
      </c>
      <c r="K1162" s="26" t="s">
        <v>6434</v>
      </c>
      <c r="L1162" s="26" t="s">
        <v>6593</v>
      </c>
      <c r="M1162" s="55" t="s">
        <v>8859</v>
      </c>
      <c r="N1162" s="26" t="s">
        <v>3924</v>
      </c>
    </row>
    <row r="1163" spans="1:14" ht="75" customHeight="1" thickTop="1" thickBot="1">
      <c r="A1163" s="34">
        <v>1161</v>
      </c>
      <c r="B1163" s="34">
        <v>1165</v>
      </c>
      <c r="C1163" s="57" t="s">
        <v>5753</v>
      </c>
      <c r="D1163" s="56" t="s">
        <v>26</v>
      </c>
      <c r="E1163" s="56" t="s">
        <v>6480</v>
      </c>
      <c r="F1163" s="26" t="s">
        <v>3923</v>
      </c>
      <c r="G1163" s="26" t="s">
        <v>16</v>
      </c>
      <c r="H1163" s="26" t="s">
        <v>13</v>
      </c>
      <c r="I1163" s="26" t="s">
        <v>3924</v>
      </c>
      <c r="J1163" s="26" t="s">
        <v>5753</v>
      </c>
      <c r="K1163" s="26" t="s">
        <v>6434</v>
      </c>
      <c r="L1163" s="26" t="s">
        <v>8860</v>
      </c>
      <c r="M1163" s="55" t="s">
        <v>8861</v>
      </c>
      <c r="N1163" s="26" t="s">
        <v>3924</v>
      </c>
    </row>
    <row r="1164" spans="1:14" ht="75" customHeight="1" thickTop="1" thickBot="1">
      <c r="A1164" s="26">
        <v>1162</v>
      </c>
      <c r="B1164" s="26">
        <v>1166</v>
      </c>
      <c r="C1164" s="57" t="s">
        <v>5757</v>
      </c>
      <c r="D1164" s="56" t="s">
        <v>26</v>
      </c>
      <c r="E1164" s="56" t="s">
        <v>6480</v>
      </c>
      <c r="F1164" s="26" t="s">
        <v>3923</v>
      </c>
      <c r="G1164" s="26" t="s">
        <v>16</v>
      </c>
      <c r="H1164" s="26" t="s">
        <v>13</v>
      </c>
      <c r="I1164" s="26" t="s">
        <v>3924</v>
      </c>
      <c r="J1164" s="26" t="s">
        <v>5757</v>
      </c>
      <c r="K1164" s="26" t="s">
        <v>6434</v>
      </c>
      <c r="L1164" s="26" t="s">
        <v>8862</v>
      </c>
      <c r="M1164" s="55" t="s">
        <v>8863</v>
      </c>
      <c r="N1164" s="26" t="s">
        <v>3924</v>
      </c>
    </row>
    <row r="1165" spans="1:14" ht="75" customHeight="1" thickTop="1" thickBot="1">
      <c r="A1165" s="34">
        <v>1163</v>
      </c>
      <c r="B1165" s="34">
        <v>1167</v>
      </c>
      <c r="C1165" s="57" t="s">
        <v>8864</v>
      </c>
      <c r="D1165" s="56" t="s">
        <v>26</v>
      </c>
      <c r="E1165" s="56" t="s">
        <v>6480</v>
      </c>
      <c r="F1165" s="26" t="s">
        <v>3923</v>
      </c>
      <c r="G1165" s="26" t="s">
        <v>16</v>
      </c>
      <c r="H1165" s="26" t="s">
        <v>13</v>
      </c>
      <c r="I1165" s="26" t="s">
        <v>3924</v>
      </c>
      <c r="J1165" s="26" t="s">
        <v>8864</v>
      </c>
      <c r="K1165" s="26" t="s">
        <v>6434</v>
      </c>
      <c r="L1165" s="26" t="s">
        <v>4942</v>
      </c>
      <c r="M1165" s="55" t="s">
        <v>8865</v>
      </c>
      <c r="N1165" s="26" t="s">
        <v>3924</v>
      </c>
    </row>
    <row r="1166" spans="1:14" ht="75" customHeight="1" thickTop="1" thickBot="1">
      <c r="A1166" s="26">
        <v>1164</v>
      </c>
      <c r="B1166" s="26">
        <v>1168</v>
      </c>
      <c r="C1166" s="57" t="s">
        <v>8864</v>
      </c>
      <c r="D1166" s="56" t="s">
        <v>26</v>
      </c>
      <c r="E1166" s="56" t="s">
        <v>6480</v>
      </c>
      <c r="F1166" s="26" t="s">
        <v>3923</v>
      </c>
      <c r="G1166" s="26" t="s">
        <v>16</v>
      </c>
      <c r="H1166" s="26" t="s">
        <v>13</v>
      </c>
      <c r="I1166" s="26" t="s">
        <v>3924</v>
      </c>
      <c r="J1166" s="26" t="s">
        <v>8864</v>
      </c>
      <c r="K1166" s="26" t="s">
        <v>6445</v>
      </c>
      <c r="L1166" s="26" t="s">
        <v>8866</v>
      </c>
      <c r="M1166" s="55" t="s">
        <v>5532</v>
      </c>
      <c r="N1166" s="26" t="s">
        <v>3924</v>
      </c>
    </row>
    <row r="1167" spans="1:14" ht="75" customHeight="1" thickTop="1" thickBot="1">
      <c r="A1167" s="34">
        <v>1165</v>
      </c>
      <c r="B1167" s="34">
        <v>1169</v>
      </c>
      <c r="C1167" s="57" t="s">
        <v>5759</v>
      </c>
      <c r="D1167" s="56" t="s">
        <v>26</v>
      </c>
      <c r="E1167" s="56" t="s">
        <v>6480</v>
      </c>
      <c r="F1167" s="26" t="s">
        <v>3923</v>
      </c>
      <c r="G1167" s="26" t="s">
        <v>16</v>
      </c>
      <c r="H1167" s="26" t="s">
        <v>13</v>
      </c>
      <c r="I1167" s="26" t="s">
        <v>3924</v>
      </c>
      <c r="J1167" s="26" t="s">
        <v>5759</v>
      </c>
      <c r="K1167" s="26" t="s">
        <v>6445</v>
      </c>
      <c r="L1167" s="26" t="s">
        <v>8866</v>
      </c>
      <c r="M1167" s="55" t="s">
        <v>8867</v>
      </c>
      <c r="N1167" s="26" t="s">
        <v>3924</v>
      </c>
    </row>
    <row r="1168" spans="1:14" ht="75" customHeight="1" thickTop="1" thickBot="1">
      <c r="A1168" s="26">
        <v>1166</v>
      </c>
      <c r="B1168" s="34">
        <v>1170</v>
      </c>
      <c r="C1168" s="57" t="s">
        <v>8868</v>
      </c>
      <c r="D1168" s="56" t="s">
        <v>26</v>
      </c>
      <c r="E1168" s="56" t="s">
        <v>6480</v>
      </c>
      <c r="F1168" s="26" t="s">
        <v>3923</v>
      </c>
      <c r="G1168" s="26" t="s">
        <v>16</v>
      </c>
      <c r="H1168" s="26" t="s">
        <v>13</v>
      </c>
      <c r="I1168" s="26" t="s">
        <v>3924</v>
      </c>
      <c r="J1168" s="26" t="s">
        <v>8869</v>
      </c>
      <c r="K1168" s="26" t="s">
        <v>6445</v>
      </c>
      <c r="L1168" s="26" t="s">
        <v>8870</v>
      </c>
      <c r="M1168" s="55" t="s">
        <v>8871</v>
      </c>
      <c r="N1168" s="26" t="s">
        <v>3924</v>
      </c>
    </row>
    <row r="1169" spans="1:14" ht="75" customHeight="1" thickTop="1" thickBot="1">
      <c r="A1169" s="34">
        <v>1167</v>
      </c>
      <c r="B1169" s="26">
        <v>1171</v>
      </c>
      <c r="C1169" s="57" t="s">
        <v>8869</v>
      </c>
      <c r="D1169" s="56" t="s">
        <v>26</v>
      </c>
      <c r="E1169" s="56" t="s">
        <v>6480</v>
      </c>
      <c r="F1169" s="26" t="s">
        <v>3923</v>
      </c>
      <c r="G1169" s="26" t="s">
        <v>16</v>
      </c>
      <c r="H1169" s="26" t="s">
        <v>13</v>
      </c>
      <c r="I1169" s="26" t="s">
        <v>3924</v>
      </c>
      <c r="J1169" s="26" t="s">
        <v>8872</v>
      </c>
      <c r="K1169" s="26" t="s">
        <v>6445</v>
      </c>
      <c r="L1169" s="26" t="s">
        <v>8873</v>
      </c>
      <c r="M1169" s="55" t="s">
        <v>8874</v>
      </c>
      <c r="N1169" s="26" t="s">
        <v>3924</v>
      </c>
    </row>
    <row r="1170" spans="1:14" ht="75" customHeight="1" thickTop="1" thickBot="1">
      <c r="A1170" s="26">
        <v>1168</v>
      </c>
      <c r="B1170" s="34">
        <v>1172</v>
      </c>
      <c r="C1170" s="57" t="s">
        <v>8872</v>
      </c>
      <c r="D1170" s="56" t="s">
        <v>26</v>
      </c>
      <c r="E1170" s="56" t="s">
        <v>6480</v>
      </c>
      <c r="F1170" s="26" t="s">
        <v>3923</v>
      </c>
      <c r="G1170" s="26" t="s">
        <v>16</v>
      </c>
      <c r="H1170" s="26" t="s">
        <v>13</v>
      </c>
      <c r="I1170" s="26" t="s">
        <v>3924</v>
      </c>
      <c r="J1170" s="26" t="s">
        <v>8872</v>
      </c>
      <c r="K1170" s="26" t="s">
        <v>6445</v>
      </c>
      <c r="L1170" s="26" t="s">
        <v>7063</v>
      </c>
      <c r="M1170" s="55" t="s">
        <v>874</v>
      </c>
      <c r="N1170" s="26" t="s">
        <v>3924</v>
      </c>
    </row>
    <row r="1171" spans="1:14" ht="75" customHeight="1" thickTop="1" thickBot="1">
      <c r="A1171" s="34">
        <v>1169</v>
      </c>
      <c r="B1171" s="26">
        <v>1173</v>
      </c>
      <c r="C1171" s="57" t="s">
        <v>5762</v>
      </c>
      <c r="D1171" s="56" t="s">
        <v>26</v>
      </c>
      <c r="E1171" s="56" t="s">
        <v>6480</v>
      </c>
      <c r="F1171" s="26" t="s">
        <v>3923</v>
      </c>
      <c r="G1171" s="26" t="s">
        <v>16</v>
      </c>
      <c r="H1171" s="26" t="s">
        <v>13</v>
      </c>
      <c r="I1171" s="26" t="s">
        <v>3924</v>
      </c>
      <c r="J1171" s="26" t="s">
        <v>8875</v>
      </c>
      <c r="K1171" s="26" t="s">
        <v>6440</v>
      </c>
      <c r="L1171" s="26" t="s">
        <v>6435</v>
      </c>
      <c r="M1171" s="55" t="s">
        <v>8876</v>
      </c>
      <c r="N1171" s="26" t="s">
        <v>3924</v>
      </c>
    </row>
    <row r="1172" spans="1:14" ht="75" customHeight="1" thickTop="1" thickBot="1">
      <c r="A1172" s="26">
        <v>1170</v>
      </c>
      <c r="B1172" s="34">
        <v>1174</v>
      </c>
      <c r="C1172" s="57" t="s">
        <v>8875</v>
      </c>
      <c r="D1172" s="56" t="s">
        <v>26</v>
      </c>
      <c r="E1172" s="56" t="s">
        <v>6480</v>
      </c>
      <c r="F1172" s="26" t="s">
        <v>3923</v>
      </c>
      <c r="G1172" s="26" t="s">
        <v>16</v>
      </c>
      <c r="H1172" s="26" t="s">
        <v>13</v>
      </c>
      <c r="I1172" s="26" t="s">
        <v>3924</v>
      </c>
      <c r="J1172" s="26" t="s">
        <v>8875</v>
      </c>
      <c r="K1172" s="26" t="s">
        <v>6445</v>
      </c>
      <c r="L1172" s="26" t="s">
        <v>6469</v>
      </c>
      <c r="M1172" s="55" t="s">
        <v>8877</v>
      </c>
      <c r="N1172" s="26" t="s">
        <v>3924</v>
      </c>
    </row>
    <row r="1173" spans="1:14" ht="75" customHeight="1" thickTop="1" thickBot="1">
      <c r="A1173" s="34">
        <v>1171</v>
      </c>
      <c r="B1173" s="26">
        <v>1175</v>
      </c>
      <c r="C1173" s="57" t="s">
        <v>5765</v>
      </c>
      <c r="D1173" s="56" t="s">
        <v>26</v>
      </c>
      <c r="E1173" s="56" t="s">
        <v>6480</v>
      </c>
      <c r="F1173" s="26" t="s">
        <v>3923</v>
      </c>
      <c r="G1173" s="26" t="s">
        <v>16</v>
      </c>
      <c r="H1173" s="26" t="s">
        <v>13</v>
      </c>
      <c r="I1173" s="26" t="s">
        <v>3924</v>
      </c>
      <c r="J1173" s="26" t="s">
        <v>5765</v>
      </c>
      <c r="K1173" s="26" t="s">
        <v>6445</v>
      </c>
      <c r="L1173" s="26" t="s">
        <v>8878</v>
      </c>
      <c r="M1173" s="55" t="s">
        <v>8879</v>
      </c>
      <c r="N1173" s="26" t="s">
        <v>3924</v>
      </c>
    </row>
    <row r="1174" spans="1:14" ht="75" customHeight="1" thickTop="1" thickBot="1">
      <c r="A1174" s="26">
        <v>1172</v>
      </c>
      <c r="B1174" s="34">
        <v>1176</v>
      </c>
      <c r="C1174" s="57" t="s">
        <v>5769</v>
      </c>
      <c r="D1174" s="56" t="s">
        <v>26</v>
      </c>
      <c r="E1174" s="56" t="s">
        <v>6480</v>
      </c>
      <c r="F1174" s="26" t="s">
        <v>3923</v>
      </c>
      <c r="G1174" s="26" t="s">
        <v>16</v>
      </c>
      <c r="H1174" s="26" t="s">
        <v>13</v>
      </c>
      <c r="I1174" s="26" t="s">
        <v>3924</v>
      </c>
      <c r="J1174" s="26" t="s">
        <v>5769</v>
      </c>
      <c r="K1174" s="26" t="s">
        <v>6434</v>
      </c>
      <c r="L1174" s="26" t="s">
        <v>8880</v>
      </c>
      <c r="M1174" s="55" t="s">
        <v>8881</v>
      </c>
      <c r="N1174" s="26" t="s">
        <v>3924</v>
      </c>
    </row>
    <row r="1175" spans="1:14" ht="75" customHeight="1" thickTop="1" thickBot="1">
      <c r="A1175" s="34">
        <v>1173</v>
      </c>
      <c r="B1175" s="34">
        <v>1177</v>
      </c>
      <c r="C1175" s="57" t="s">
        <v>8882</v>
      </c>
      <c r="D1175" s="56" t="s">
        <v>26</v>
      </c>
      <c r="E1175" s="56" t="s">
        <v>6480</v>
      </c>
      <c r="F1175" s="26" t="s">
        <v>3923</v>
      </c>
      <c r="G1175" s="26" t="s">
        <v>16</v>
      </c>
      <c r="H1175" s="26" t="s">
        <v>13</v>
      </c>
      <c r="I1175" s="26" t="s">
        <v>3924</v>
      </c>
      <c r="J1175" s="26" t="s">
        <v>8882</v>
      </c>
      <c r="K1175" s="26" t="s">
        <v>6445</v>
      </c>
      <c r="L1175" s="26" t="s">
        <v>6451</v>
      </c>
      <c r="M1175" s="55" t="s">
        <v>8883</v>
      </c>
      <c r="N1175" s="26" t="s">
        <v>3924</v>
      </c>
    </row>
    <row r="1176" spans="1:14" ht="75" customHeight="1" thickTop="1" thickBot="1">
      <c r="A1176" s="26">
        <v>1174</v>
      </c>
      <c r="B1176" s="26">
        <v>1178</v>
      </c>
      <c r="C1176" s="57" t="s">
        <v>8882</v>
      </c>
      <c r="D1176" s="56" t="s">
        <v>26</v>
      </c>
      <c r="E1176" s="56" t="s">
        <v>6480</v>
      </c>
      <c r="F1176" s="26" t="s">
        <v>3923</v>
      </c>
      <c r="G1176" s="26" t="s">
        <v>16</v>
      </c>
      <c r="H1176" s="26" t="s">
        <v>13</v>
      </c>
      <c r="I1176" s="26" t="s">
        <v>3924</v>
      </c>
      <c r="J1176" s="26" t="s">
        <v>5771</v>
      </c>
      <c r="K1176" s="26" t="s">
        <v>6483</v>
      </c>
      <c r="L1176" s="26" t="s">
        <v>8884</v>
      </c>
      <c r="M1176" s="55" t="s">
        <v>8885</v>
      </c>
      <c r="N1176" s="26" t="s">
        <v>3924</v>
      </c>
    </row>
    <row r="1177" spans="1:14" ht="75" customHeight="1" thickTop="1" thickBot="1">
      <c r="A1177" s="34">
        <v>1175</v>
      </c>
      <c r="B1177" s="34">
        <v>1179</v>
      </c>
      <c r="C1177" s="57" t="s">
        <v>5773</v>
      </c>
      <c r="D1177" s="56" t="s">
        <v>26</v>
      </c>
      <c r="E1177" s="56" t="s">
        <v>6480</v>
      </c>
      <c r="F1177" s="26" t="s">
        <v>3923</v>
      </c>
      <c r="G1177" s="26" t="s">
        <v>16</v>
      </c>
      <c r="H1177" s="26" t="s">
        <v>13</v>
      </c>
      <c r="I1177" s="26" t="s">
        <v>3924</v>
      </c>
      <c r="J1177" s="26" t="s">
        <v>5773</v>
      </c>
      <c r="K1177" s="26" t="s">
        <v>6440</v>
      </c>
      <c r="L1177" s="26" t="s">
        <v>8886</v>
      </c>
      <c r="M1177" s="55" t="s">
        <v>8887</v>
      </c>
      <c r="N1177" s="26" t="s">
        <v>3924</v>
      </c>
    </row>
    <row r="1178" spans="1:14" ht="75" customHeight="1" thickTop="1" thickBot="1">
      <c r="A1178" s="26">
        <v>1176</v>
      </c>
      <c r="B1178" s="26">
        <v>1180</v>
      </c>
      <c r="C1178" s="57" t="s">
        <v>5776</v>
      </c>
      <c r="D1178" s="56" t="s">
        <v>26</v>
      </c>
      <c r="E1178" s="56" t="s">
        <v>6480</v>
      </c>
      <c r="F1178" s="26" t="s">
        <v>3923</v>
      </c>
      <c r="G1178" s="26" t="s">
        <v>16</v>
      </c>
      <c r="H1178" s="26" t="s">
        <v>13</v>
      </c>
      <c r="I1178" s="26" t="s">
        <v>3924</v>
      </c>
      <c r="J1178" s="26" t="s">
        <v>5776</v>
      </c>
      <c r="K1178" s="26" t="s">
        <v>6434</v>
      </c>
      <c r="L1178" s="26" t="s">
        <v>7108</v>
      </c>
      <c r="M1178" s="55" t="s">
        <v>8888</v>
      </c>
      <c r="N1178" s="26" t="s">
        <v>3924</v>
      </c>
    </row>
    <row r="1179" spans="1:14" ht="75" customHeight="1" thickTop="1" thickBot="1">
      <c r="A1179" s="34">
        <v>1177</v>
      </c>
      <c r="B1179" s="34">
        <v>1181</v>
      </c>
      <c r="C1179" s="57" t="s">
        <v>5779</v>
      </c>
      <c r="D1179" s="56" t="s">
        <v>26</v>
      </c>
      <c r="E1179" s="56" t="s">
        <v>6480</v>
      </c>
      <c r="F1179" s="26" t="s">
        <v>3923</v>
      </c>
      <c r="G1179" s="26" t="s">
        <v>16</v>
      </c>
      <c r="H1179" s="26" t="s">
        <v>13</v>
      </c>
      <c r="I1179" s="26" t="s">
        <v>3924</v>
      </c>
      <c r="J1179" s="26" t="s">
        <v>5779</v>
      </c>
      <c r="K1179" s="26" t="s">
        <v>6445</v>
      </c>
      <c r="L1179" s="26" t="s">
        <v>8889</v>
      </c>
      <c r="M1179" s="55" t="s">
        <v>8890</v>
      </c>
      <c r="N1179" s="26" t="s">
        <v>3924</v>
      </c>
    </row>
    <row r="1180" spans="1:14" ht="75" customHeight="1" thickTop="1" thickBot="1">
      <c r="A1180" s="26">
        <v>1178</v>
      </c>
      <c r="B1180" s="26">
        <v>1182</v>
      </c>
      <c r="C1180" s="57" t="s">
        <v>5782</v>
      </c>
      <c r="D1180" s="56" t="s">
        <v>26</v>
      </c>
      <c r="E1180" s="56" t="s">
        <v>6480</v>
      </c>
      <c r="F1180" s="26" t="s">
        <v>3923</v>
      </c>
      <c r="G1180" s="26" t="s">
        <v>16</v>
      </c>
      <c r="H1180" s="26" t="s">
        <v>13</v>
      </c>
      <c r="I1180" s="26" t="s">
        <v>3924</v>
      </c>
      <c r="J1180" s="26" t="s">
        <v>5782</v>
      </c>
      <c r="K1180" s="26" t="s">
        <v>6434</v>
      </c>
      <c r="L1180" s="26" t="s">
        <v>6469</v>
      </c>
      <c r="M1180" s="55" t="s">
        <v>8891</v>
      </c>
      <c r="N1180" s="26" t="s">
        <v>3924</v>
      </c>
    </row>
    <row r="1181" spans="1:14" ht="75" customHeight="1" thickTop="1" thickBot="1">
      <c r="A1181" s="34">
        <v>1179</v>
      </c>
      <c r="B1181" s="34">
        <v>1183</v>
      </c>
      <c r="C1181" s="57" t="s">
        <v>5725</v>
      </c>
      <c r="D1181" s="56" t="s">
        <v>26</v>
      </c>
      <c r="E1181" s="56" t="s">
        <v>6480</v>
      </c>
      <c r="F1181" s="26" t="s">
        <v>3923</v>
      </c>
      <c r="G1181" s="26" t="s">
        <v>16</v>
      </c>
      <c r="H1181" s="26" t="s">
        <v>13</v>
      </c>
      <c r="I1181" s="26" t="s">
        <v>3924</v>
      </c>
      <c r="J1181" s="26" t="s">
        <v>5725</v>
      </c>
      <c r="K1181" s="26" t="s">
        <v>6440</v>
      </c>
      <c r="L1181" s="26" t="s">
        <v>8892</v>
      </c>
      <c r="M1181" s="55" t="s">
        <v>8893</v>
      </c>
      <c r="N1181" s="26" t="s">
        <v>3924</v>
      </c>
    </row>
    <row r="1182" spans="1:14" ht="75" customHeight="1" thickTop="1" thickBot="1">
      <c r="A1182" s="26">
        <v>1180</v>
      </c>
      <c r="B1182" s="34">
        <v>1184</v>
      </c>
      <c r="C1182" s="57" t="s">
        <v>5728</v>
      </c>
      <c r="D1182" s="56" t="s">
        <v>26</v>
      </c>
      <c r="E1182" s="56" t="s">
        <v>6480</v>
      </c>
      <c r="F1182" s="26" t="s">
        <v>3923</v>
      </c>
      <c r="G1182" s="26" t="s">
        <v>16</v>
      </c>
      <c r="H1182" s="26" t="s">
        <v>13</v>
      </c>
      <c r="I1182" s="26" t="s">
        <v>3924</v>
      </c>
      <c r="J1182" s="26" t="s">
        <v>5733</v>
      </c>
      <c r="K1182" s="26" t="s">
        <v>6440</v>
      </c>
      <c r="L1182" s="26" t="s">
        <v>8894</v>
      </c>
      <c r="M1182" s="55" t="s">
        <v>8895</v>
      </c>
      <c r="N1182" s="26" t="s">
        <v>3924</v>
      </c>
    </row>
    <row r="1183" spans="1:14" ht="75" customHeight="1" thickTop="1" thickBot="1">
      <c r="A1183" s="34">
        <v>1181</v>
      </c>
      <c r="B1183" s="26">
        <v>1185</v>
      </c>
      <c r="C1183" s="57" t="s">
        <v>5733</v>
      </c>
      <c r="D1183" s="56" t="s">
        <v>26</v>
      </c>
      <c r="E1183" s="56" t="s">
        <v>6480</v>
      </c>
      <c r="F1183" s="26" t="s">
        <v>3923</v>
      </c>
      <c r="G1183" s="26" t="s">
        <v>16</v>
      </c>
      <c r="H1183" s="26" t="s">
        <v>13</v>
      </c>
      <c r="I1183" s="26" t="s">
        <v>3924</v>
      </c>
      <c r="J1183" s="26" t="s">
        <v>5733</v>
      </c>
      <c r="K1183" s="26" t="s">
        <v>6483</v>
      </c>
      <c r="L1183" s="26" t="s">
        <v>3924</v>
      </c>
      <c r="M1183" s="55" t="s">
        <v>8896</v>
      </c>
      <c r="N1183" s="26" t="s">
        <v>3924</v>
      </c>
    </row>
    <row r="1184" spans="1:14" ht="75" customHeight="1" thickTop="1" thickBot="1">
      <c r="A1184" s="26">
        <v>1182</v>
      </c>
      <c r="B1184" s="34">
        <v>1186</v>
      </c>
      <c r="C1184" s="57" t="s">
        <v>8897</v>
      </c>
      <c r="D1184" s="56" t="s">
        <v>26</v>
      </c>
      <c r="E1184" s="56" t="s">
        <v>27</v>
      </c>
      <c r="F1184" s="26" t="s">
        <v>3995</v>
      </c>
      <c r="G1184" s="26" t="s">
        <v>12</v>
      </c>
      <c r="H1184" s="26" t="s">
        <v>13</v>
      </c>
      <c r="I1184" s="26" t="s">
        <v>3924</v>
      </c>
      <c r="J1184" s="26" t="s">
        <v>8898</v>
      </c>
      <c r="K1184" s="26" t="s">
        <v>6434</v>
      </c>
      <c r="L1184" s="26" t="s">
        <v>6469</v>
      </c>
      <c r="M1184" s="55" t="s">
        <v>8899</v>
      </c>
      <c r="N1184" s="26" t="s">
        <v>3924</v>
      </c>
    </row>
    <row r="1185" spans="1:14" ht="75" customHeight="1" thickTop="1" thickBot="1">
      <c r="A1185" s="34">
        <v>1183</v>
      </c>
      <c r="B1185" s="26">
        <v>1187</v>
      </c>
      <c r="C1185" s="57" t="s">
        <v>8900</v>
      </c>
      <c r="D1185" s="56" t="s">
        <v>26</v>
      </c>
      <c r="E1185" s="56" t="s">
        <v>27</v>
      </c>
      <c r="F1185" s="26" t="s">
        <v>3995</v>
      </c>
      <c r="G1185" s="26" t="s">
        <v>16</v>
      </c>
      <c r="H1185" s="26" t="s">
        <v>13</v>
      </c>
      <c r="I1185" s="26" t="s">
        <v>3924</v>
      </c>
      <c r="J1185" s="26" t="s">
        <v>8901</v>
      </c>
      <c r="K1185" s="26" t="s">
        <v>6434</v>
      </c>
      <c r="L1185" s="26" t="s">
        <v>6469</v>
      </c>
      <c r="M1185" s="55" t="s">
        <v>8902</v>
      </c>
      <c r="N1185" s="26" t="s">
        <v>3924</v>
      </c>
    </row>
    <row r="1186" spans="1:14" ht="75" customHeight="1" thickTop="1" thickBot="1">
      <c r="A1186" s="26">
        <v>1184</v>
      </c>
      <c r="B1186" s="34">
        <v>1188</v>
      </c>
      <c r="C1186" s="57" t="s">
        <v>8903</v>
      </c>
      <c r="D1186" s="56" t="s">
        <v>26</v>
      </c>
      <c r="E1186" s="56" t="s">
        <v>27</v>
      </c>
      <c r="F1186" s="26" t="s">
        <v>3995</v>
      </c>
      <c r="G1186" s="26" t="s">
        <v>16</v>
      </c>
      <c r="H1186" s="26" t="s">
        <v>13</v>
      </c>
      <c r="I1186" s="26" t="s">
        <v>3924</v>
      </c>
      <c r="J1186" s="26" t="s">
        <v>8901</v>
      </c>
      <c r="K1186" s="26" t="s">
        <v>6434</v>
      </c>
      <c r="L1186" s="26" t="s">
        <v>6435</v>
      </c>
      <c r="M1186" s="55" t="s">
        <v>8904</v>
      </c>
      <c r="N1186" s="26" t="s">
        <v>3924</v>
      </c>
    </row>
    <row r="1187" spans="1:14" ht="75" customHeight="1" thickTop="1" thickBot="1">
      <c r="A1187" s="34">
        <v>1185</v>
      </c>
      <c r="B1187" s="26">
        <v>1189</v>
      </c>
      <c r="C1187" s="57" t="s">
        <v>8905</v>
      </c>
      <c r="D1187" s="56" t="s">
        <v>26</v>
      </c>
      <c r="E1187" s="56" t="s">
        <v>6480</v>
      </c>
      <c r="F1187" s="26" t="s">
        <v>3923</v>
      </c>
      <c r="G1187" s="26" t="s">
        <v>16</v>
      </c>
      <c r="H1187" s="26" t="s">
        <v>13</v>
      </c>
      <c r="I1187" s="26" t="s">
        <v>3924</v>
      </c>
      <c r="J1187" s="26" t="s">
        <v>8905</v>
      </c>
      <c r="K1187" s="26" t="s">
        <v>6445</v>
      </c>
      <c r="L1187" s="26" t="s">
        <v>8906</v>
      </c>
      <c r="M1187" s="55" t="s">
        <v>1157</v>
      </c>
      <c r="N1187" s="26" t="s">
        <v>3924</v>
      </c>
    </row>
    <row r="1188" spans="1:14" ht="75" customHeight="1" thickTop="1" thickBot="1">
      <c r="A1188" s="26">
        <v>1186</v>
      </c>
      <c r="B1188" s="34">
        <v>1190</v>
      </c>
      <c r="C1188" s="57" t="s">
        <v>8907</v>
      </c>
      <c r="D1188" s="56" t="s">
        <v>26</v>
      </c>
      <c r="E1188" s="56" t="s">
        <v>6480</v>
      </c>
      <c r="F1188" s="26" t="s">
        <v>3923</v>
      </c>
      <c r="G1188" s="26" t="s">
        <v>16</v>
      </c>
      <c r="H1188" s="26" t="s">
        <v>13</v>
      </c>
      <c r="I1188" s="26" t="s">
        <v>3924</v>
      </c>
      <c r="J1188" s="26" t="s">
        <v>8907</v>
      </c>
      <c r="K1188" s="26" t="s">
        <v>6445</v>
      </c>
      <c r="L1188" s="26" t="s">
        <v>8908</v>
      </c>
      <c r="M1188" s="55" t="s">
        <v>1157</v>
      </c>
      <c r="N1188" s="26" t="s">
        <v>3924</v>
      </c>
    </row>
    <row r="1189" spans="1:14" ht="75" customHeight="1" thickTop="1" thickBot="1">
      <c r="A1189" s="34">
        <v>1187</v>
      </c>
      <c r="B1189" s="34">
        <v>1191</v>
      </c>
      <c r="C1189" s="57" t="s">
        <v>8909</v>
      </c>
      <c r="D1189" s="56" t="s">
        <v>26</v>
      </c>
      <c r="E1189" s="56" t="s">
        <v>6480</v>
      </c>
      <c r="F1189" s="26" t="s">
        <v>3923</v>
      </c>
      <c r="G1189" s="26" t="s">
        <v>16</v>
      </c>
      <c r="H1189" s="26" t="s">
        <v>13</v>
      </c>
      <c r="I1189" s="26" t="s">
        <v>3924</v>
      </c>
      <c r="J1189" s="26" t="s">
        <v>8909</v>
      </c>
      <c r="K1189" s="26" t="s">
        <v>6445</v>
      </c>
      <c r="L1189" s="26" t="s">
        <v>8910</v>
      </c>
      <c r="M1189" s="55" t="s">
        <v>8911</v>
      </c>
      <c r="N1189" s="26" t="s">
        <v>3924</v>
      </c>
    </row>
    <row r="1190" spans="1:14" ht="75" customHeight="1" thickTop="1" thickBot="1">
      <c r="A1190" s="26">
        <v>1188</v>
      </c>
      <c r="B1190" s="26">
        <v>1192</v>
      </c>
      <c r="C1190" s="57" t="s">
        <v>8912</v>
      </c>
      <c r="D1190" s="56" t="s">
        <v>26</v>
      </c>
      <c r="E1190" s="56" t="s">
        <v>6480</v>
      </c>
      <c r="F1190" s="26" t="s">
        <v>3923</v>
      </c>
      <c r="G1190" s="26" t="s">
        <v>16</v>
      </c>
      <c r="H1190" s="26" t="s">
        <v>13</v>
      </c>
      <c r="I1190" s="26" t="s">
        <v>3924</v>
      </c>
      <c r="J1190" s="26" t="s">
        <v>8912</v>
      </c>
      <c r="K1190" s="26" t="s">
        <v>6445</v>
      </c>
      <c r="L1190" s="26" t="s">
        <v>8913</v>
      </c>
      <c r="M1190" s="55" t="s">
        <v>874</v>
      </c>
      <c r="N1190" s="26" t="s">
        <v>3924</v>
      </c>
    </row>
    <row r="1191" spans="1:14" ht="75" customHeight="1" thickTop="1" thickBot="1">
      <c r="A1191" s="34">
        <v>1189</v>
      </c>
      <c r="B1191" s="34">
        <v>1193</v>
      </c>
      <c r="C1191" s="57" t="s">
        <v>8912</v>
      </c>
      <c r="D1191" s="56" t="s">
        <v>26</v>
      </c>
      <c r="E1191" s="56" t="s">
        <v>27</v>
      </c>
      <c r="F1191" s="26" t="s">
        <v>3995</v>
      </c>
      <c r="G1191" s="26" t="s">
        <v>16</v>
      </c>
      <c r="H1191" s="26" t="s">
        <v>13</v>
      </c>
      <c r="I1191" s="26" t="s">
        <v>3924</v>
      </c>
      <c r="J1191" s="26" t="s">
        <v>8914</v>
      </c>
      <c r="K1191" s="26" t="s">
        <v>6434</v>
      </c>
      <c r="L1191" s="26" t="s">
        <v>6435</v>
      </c>
      <c r="M1191" s="55" t="s">
        <v>8915</v>
      </c>
      <c r="N1191" s="26" t="s">
        <v>3924</v>
      </c>
    </row>
    <row r="1192" spans="1:14" ht="75" customHeight="1" thickTop="1" thickBot="1">
      <c r="A1192" s="26">
        <v>1190</v>
      </c>
      <c r="B1192" s="26">
        <v>1194</v>
      </c>
      <c r="C1192" s="57" t="s">
        <v>8912</v>
      </c>
      <c r="D1192" s="56" t="s">
        <v>26</v>
      </c>
      <c r="E1192" s="56" t="s">
        <v>6480</v>
      </c>
      <c r="F1192" s="26" t="s">
        <v>3923</v>
      </c>
      <c r="G1192" s="26" t="s">
        <v>16</v>
      </c>
      <c r="H1192" s="26" t="s">
        <v>13</v>
      </c>
      <c r="I1192" s="26" t="s">
        <v>3924</v>
      </c>
      <c r="J1192" s="26" t="s">
        <v>8916</v>
      </c>
      <c r="K1192" s="26" t="s">
        <v>6445</v>
      </c>
      <c r="L1192" s="26" t="s">
        <v>8917</v>
      </c>
      <c r="M1192" s="55" t="s">
        <v>8918</v>
      </c>
      <c r="N1192" s="26" t="s">
        <v>3924</v>
      </c>
    </row>
    <row r="1193" spans="1:14" ht="75" customHeight="1" thickTop="1" thickBot="1">
      <c r="A1193" s="34">
        <v>1191</v>
      </c>
      <c r="B1193" s="34">
        <v>1195</v>
      </c>
      <c r="C1193" s="57" t="s">
        <v>8919</v>
      </c>
      <c r="D1193" s="56" t="s">
        <v>26</v>
      </c>
      <c r="E1193" s="56" t="s">
        <v>6480</v>
      </c>
      <c r="F1193" s="26" t="s">
        <v>3923</v>
      </c>
      <c r="G1193" s="26" t="s">
        <v>16</v>
      </c>
      <c r="H1193" s="26" t="s">
        <v>13</v>
      </c>
      <c r="I1193" s="26" t="s">
        <v>3924</v>
      </c>
      <c r="J1193" s="26" t="s">
        <v>8919</v>
      </c>
      <c r="K1193" s="26" t="s">
        <v>6445</v>
      </c>
      <c r="L1193" s="26" t="s">
        <v>8920</v>
      </c>
      <c r="M1193" s="55" t="s">
        <v>8921</v>
      </c>
      <c r="N1193" s="26" t="s">
        <v>3924</v>
      </c>
    </row>
    <row r="1194" spans="1:14" ht="75" customHeight="1" thickTop="1" thickBot="1">
      <c r="A1194" s="26">
        <v>1192</v>
      </c>
      <c r="B1194" s="26">
        <v>1196</v>
      </c>
      <c r="C1194" s="57" t="s">
        <v>8919</v>
      </c>
      <c r="D1194" s="56" t="s">
        <v>26</v>
      </c>
      <c r="E1194" s="56" t="s">
        <v>6480</v>
      </c>
      <c r="F1194" s="26" t="s">
        <v>3923</v>
      </c>
      <c r="G1194" s="26" t="s">
        <v>16</v>
      </c>
      <c r="H1194" s="26" t="s">
        <v>13</v>
      </c>
      <c r="I1194" s="26" t="s">
        <v>3924</v>
      </c>
      <c r="J1194" s="26" t="s">
        <v>8922</v>
      </c>
      <c r="K1194" s="26" t="s">
        <v>6445</v>
      </c>
      <c r="L1194" s="26" t="s">
        <v>8289</v>
      </c>
      <c r="M1194" s="55" t="s">
        <v>8923</v>
      </c>
      <c r="N1194" s="26" t="s">
        <v>3924</v>
      </c>
    </row>
    <row r="1195" spans="1:14" ht="75" customHeight="1" thickTop="1" thickBot="1">
      <c r="A1195" s="34">
        <v>1193</v>
      </c>
      <c r="B1195" s="34">
        <v>1197</v>
      </c>
      <c r="C1195" s="57" t="s">
        <v>8924</v>
      </c>
      <c r="D1195" s="56" t="s">
        <v>26</v>
      </c>
      <c r="E1195" s="56" t="s">
        <v>6480</v>
      </c>
      <c r="F1195" s="26" t="s">
        <v>3923</v>
      </c>
      <c r="G1195" s="26" t="s">
        <v>16</v>
      </c>
      <c r="H1195" s="26" t="s">
        <v>13</v>
      </c>
      <c r="I1195" s="26" t="s">
        <v>3924</v>
      </c>
      <c r="J1195" s="26" t="s">
        <v>8924</v>
      </c>
      <c r="K1195" s="26" t="s">
        <v>6434</v>
      </c>
      <c r="L1195" s="26" t="s">
        <v>8925</v>
      </c>
      <c r="M1195" s="55" t="s">
        <v>8926</v>
      </c>
      <c r="N1195" s="26" t="s">
        <v>3924</v>
      </c>
    </row>
    <row r="1196" spans="1:14" ht="75" customHeight="1" thickTop="1" thickBot="1">
      <c r="A1196" s="26">
        <v>1194</v>
      </c>
      <c r="B1196" s="34">
        <v>1198</v>
      </c>
      <c r="C1196" s="57" t="s">
        <v>8927</v>
      </c>
      <c r="D1196" s="56" t="s">
        <v>26</v>
      </c>
      <c r="E1196" s="56" t="s">
        <v>6480</v>
      </c>
      <c r="F1196" s="26" t="s">
        <v>3923</v>
      </c>
      <c r="G1196" s="26" t="s">
        <v>16</v>
      </c>
      <c r="H1196" s="26" t="s">
        <v>13</v>
      </c>
      <c r="I1196" s="26" t="s">
        <v>3924</v>
      </c>
      <c r="J1196" s="26" t="s">
        <v>8927</v>
      </c>
      <c r="K1196" s="26" t="s">
        <v>6434</v>
      </c>
      <c r="L1196" s="26" t="s">
        <v>7082</v>
      </c>
      <c r="M1196" s="55" t="s">
        <v>8928</v>
      </c>
      <c r="N1196" s="26" t="s">
        <v>3924</v>
      </c>
    </row>
    <row r="1197" spans="1:14" ht="75" customHeight="1" thickTop="1" thickBot="1">
      <c r="A1197" s="34">
        <v>1195</v>
      </c>
      <c r="B1197" s="26">
        <v>1199</v>
      </c>
      <c r="C1197" s="57" t="s">
        <v>8929</v>
      </c>
      <c r="D1197" s="56" t="s">
        <v>26</v>
      </c>
      <c r="E1197" s="56" t="s">
        <v>6480</v>
      </c>
      <c r="F1197" s="26" t="s">
        <v>3923</v>
      </c>
      <c r="G1197" s="26" t="s">
        <v>16</v>
      </c>
      <c r="H1197" s="26" t="s">
        <v>13</v>
      </c>
      <c r="I1197" s="26" t="s">
        <v>3924</v>
      </c>
      <c r="J1197" s="26" t="s">
        <v>8929</v>
      </c>
      <c r="K1197" s="26" t="s">
        <v>6434</v>
      </c>
      <c r="L1197" s="26" t="s">
        <v>7963</v>
      </c>
      <c r="M1197" s="55" t="s">
        <v>1157</v>
      </c>
      <c r="N1197" s="26" t="s">
        <v>3924</v>
      </c>
    </row>
    <row r="1198" spans="1:14" ht="75" customHeight="1" thickTop="1" thickBot="1">
      <c r="A1198" s="26">
        <v>1196</v>
      </c>
      <c r="B1198" s="34">
        <v>1200</v>
      </c>
      <c r="C1198" s="57" t="s">
        <v>8930</v>
      </c>
      <c r="D1198" s="56" t="s">
        <v>26</v>
      </c>
      <c r="E1198" s="56" t="s">
        <v>6480</v>
      </c>
      <c r="F1198" s="26" t="s">
        <v>3923</v>
      </c>
      <c r="G1198" s="26" t="s">
        <v>16</v>
      </c>
      <c r="H1198" s="26" t="s">
        <v>13</v>
      </c>
      <c r="I1198" s="26" t="s">
        <v>3924</v>
      </c>
      <c r="J1198" s="26" t="s">
        <v>8930</v>
      </c>
      <c r="K1198" s="26" t="s">
        <v>6434</v>
      </c>
      <c r="L1198" s="26" t="s">
        <v>7783</v>
      </c>
      <c r="M1198" s="55" t="s">
        <v>8931</v>
      </c>
      <c r="N1198" s="26" t="s">
        <v>3924</v>
      </c>
    </row>
    <row r="1199" spans="1:14" ht="75" customHeight="1" thickTop="1" thickBot="1">
      <c r="A1199" s="34">
        <v>1197</v>
      </c>
      <c r="B1199" s="26">
        <v>1201</v>
      </c>
      <c r="C1199" s="57" t="s">
        <v>8932</v>
      </c>
      <c r="D1199" s="56" t="s">
        <v>26</v>
      </c>
      <c r="E1199" s="56" t="s">
        <v>6480</v>
      </c>
      <c r="F1199" s="26" t="s">
        <v>3923</v>
      </c>
      <c r="G1199" s="26" t="s">
        <v>16</v>
      </c>
      <c r="H1199" s="26" t="s">
        <v>13</v>
      </c>
      <c r="I1199" s="26" t="s">
        <v>3924</v>
      </c>
      <c r="J1199" s="26" t="s">
        <v>8932</v>
      </c>
      <c r="K1199" s="26" t="s">
        <v>6434</v>
      </c>
      <c r="L1199" s="26" t="s">
        <v>8933</v>
      </c>
      <c r="M1199" s="55" t="s">
        <v>8934</v>
      </c>
      <c r="N1199" s="26" t="s">
        <v>3924</v>
      </c>
    </row>
    <row r="1200" spans="1:14" ht="75" customHeight="1" thickTop="1" thickBot="1">
      <c r="A1200" s="26">
        <v>1198</v>
      </c>
      <c r="B1200" s="34">
        <v>1202</v>
      </c>
      <c r="C1200" s="57" t="s">
        <v>8935</v>
      </c>
      <c r="D1200" s="56" t="s">
        <v>26</v>
      </c>
      <c r="E1200" s="56" t="s">
        <v>6480</v>
      </c>
      <c r="F1200" s="26" t="s">
        <v>3923</v>
      </c>
      <c r="G1200" s="26" t="s">
        <v>16</v>
      </c>
      <c r="H1200" s="26" t="s">
        <v>13</v>
      </c>
      <c r="I1200" s="26" t="s">
        <v>3924</v>
      </c>
      <c r="J1200" s="26" t="s">
        <v>8935</v>
      </c>
      <c r="K1200" s="26" t="s">
        <v>6434</v>
      </c>
      <c r="L1200" s="26" t="s">
        <v>8936</v>
      </c>
      <c r="M1200" s="55" t="s">
        <v>8937</v>
      </c>
      <c r="N1200" s="26" t="s">
        <v>3924</v>
      </c>
    </row>
    <row r="1201" spans="1:14" ht="75" customHeight="1" thickTop="1" thickBot="1">
      <c r="A1201" s="34">
        <v>1199</v>
      </c>
      <c r="B1201" s="26">
        <v>1203</v>
      </c>
      <c r="C1201" s="57" t="s">
        <v>8938</v>
      </c>
      <c r="D1201" s="56" t="s">
        <v>26</v>
      </c>
      <c r="E1201" s="56" t="s">
        <v>6480</v>
      </c>
      <c r="F1201" s="26" t="s">
        <v>3923</v>
      </c>
      <c r="G1201" s="26" t="s">
        <v>16</v>
      </c>
      <c r="H1201" s="26" t="s">
        <v>13</v>
      </c>
      <c r="I1201" s="26" t="s">
        <v>3924</v>
      </c>
      <c r="J1201" s="26" t="s">
        <v>8938</v>
      </c>
      <c r="K1201" s="26" t="s">
        <v>6434</v>
      </c>
      <c r="L1201" s="26" t="s">
        <v>6451</v>
      </c>
      <c r="M1201" s="55" t="s">
        <v>8939</v>
      </c>
      <c r="N1201" s="26" t="s">
        <v>3924</v>
      </c>
    </row>
    <row r="1202" spans="1:14" ht="75" customHeight="1" thickTop="1" thickBot="1">
      <c r="A1202" s="26">
        <v>1200</v>
      </c>
      <c r="B1202" s="34">
        <v>1204</v>
      </c>
      <c r="C1202" s="57" t="s">
        <v>8940</v>
      </c>
      <c r="D1202" s="56" t="s">
        <v>26</v>
      </c>
      <c r="E1202" s="56" t="s">
        <v>6480</v>
      </c>
      <c r="F1202" s="26" t="s">
        <v>3923</v>
      </c>
      <c r="G1202" s="26" t="s">
        <v>16</v>
      </c>
      <c r="H1202" s="26" t="s">
        <v>13</v>
      </c>
      <c r="I1202" s="26" t="s">
        <v>3924</v>
      </c>
      <c r="J1202" s="26" t="s">
        <v>8940</v>
      </c>
      <c r="K1202" s="26" t="s">
        <v>6434</v>
      </c>
      <c r="L1202" s="26" t="s">
        <v>8941</v>
      </c>
      <c r="M1202" s="55" t="s">
        <v>8942</v>
      </c>
      <c r="N1202" s="26" t="s">
        <v>3924</v>
      </c>
    </row>
    <row r="1203" spans="1:14" ht="75" customHeight="1" thickTop="1" thickBot="1">
      <c r="A1203" s="34">
        <v>1201</v>
      </c>
      <c r="B1203" s="34">
        <v>1205</v>
      </c>
      <c r="C1203" s="57" t="s">
        <v>8943</v>
      </c>
      <c r="D1203" s="56" t="s">
        <v>26</v>
      </c>
      <c r="E1203" s="56" t="s">
        <v>6480</v>
      </c>
      <c r="F1203" s="26" t="s">
        <v>3923</v>
      </c>
      <c r="G1203" s="26" t="s">
        <v>16</v>
      </c>
      <c r="H1203" s="26" t="s">
        <v>13</v>
      </c>
      <c r="I1203" s="26" t="s">
        <v>3924</v>
      </c>
      <c r="J1203" s="26" t="s">
        <v>8943</v>
      </c>
      <c r="K1203" s="26" t="s">
        <v>6434</v>
      </c>
      <c r="L1203" s="26" t="s">
        <v>8944</v>
      </c>
      <c r="M1203" s="55" t="s">
        <v>4494</v>
      </c>
      <c r="N1203" s="26" t="s">
        <v>3924</v>
      </c>
    </row>
    <row r="1204" spans="1:14" ht="75" customHeight="1" thickTop="1" thickBot="1">
      <c r="A1204" s="26">
        <v>1202</v>
      </c>
      <c r="B1204" s="26">
        <v>1206</v>
      </c>
      <c r="C1204" s="57" t="s">
        <v>8945</v>
      </c>
      <c r="D1204" s="56" t="s">
        <v>26</v>
      </c>
      <c r="E1204" s="56" t="s">
        <v>6480</v>
      </c>
      <c r="F1204" s="26" t="s">
        <v>3923</v>
      </c>
      <c r="G1204" s="26" t="s">
        <v>16</v>
      </c>
      <c r="H1204" s="26" t="s">
        <v>13</v>
      </c>
      <c r="I1204" s="26" t="s">
        <v>3924</v>
      </c>
      <c r="J1204" s="26" t="s">
        <v>8945</v>
      </c>
      <c r="K1204" s="26" t="s">
        <v>6434</v>
      </c>
      <c r="L1204" s="26" t="s">
        <v>8946</v>
      </c>
      <c r="M1204" s="55" t="s">
        <v>8947</v>
      </c>
      <c r="N1204" s="26" t="s">
        <v>3924</v>
      </c>
    </row>
    <row r="1205" spans="1:14" ht="75" customHeight="1" thickTop="1" thickBot="1">
      <c r="A1205" s="34">
        <v>1203</v>
      </c>
      <c r="B1205" s="34">
        <v>1207</v>
      </c>
      <c r="C1205" s="57" t="s">
        <v>8945</v>
      </c>
      <c r="D1205" s="56" t="s">
        <v>26</v>
      </c>
      <c r="E1205" s="56" t="s">
        <v>6480</v>
      </c>
      <c r="F1205" s="26" t="s">
        <v>3923</v>
      </c>
      <c r="G1205" s="26" t="s">
        <v>16</v>
      </c>
      <c r="H1205" s="26" t="s">
        <v>13</v>
      </c>
      <c r="I1205" s="26" t="s">
        <v>3924</v>
      </c>
      <c r="J1205" s="26" t="s">
        <v>8948</v>
      </c>
      <c r="K1205" s="26" t="s">
        <v>6434</v>
      </c>
      <c r="L1205" s="26" t="s">
        <v>8946</v>
      </c>
      <c r="M1205" s="55" t="s">
        <v>8949</v>
      </c>
      <c r="N1205" s="26" t="s">
        <v>3924</v>
      </c>
    </row>
    <row r="1206" spans="1:14" ht="75" customHeight="1" thickTop="1" thickBot="1">
      <c r="A1206" s="26">
        <v>1204</v>
      </c>
      <c r="B1206" s="26">
        <v>1208</v>
      </c>
      <c r="C1206" s="57" t="s">
        <v>8948</v>
      </c>
      <c r="D1206" s="56" t="s">
        <v>26</v>
      </c>
      <c r="E1206" s="56" t="s">
        <v>6480</v>
      </c>
      <c r="F1206" s="26" t="s">
        <v>3923</v>
      </c>
      <c r="G1206" s="26" t="s">
        <v>16</v>
      </c>
      <c r="H1206" s="26" t="s">
        <v>13</v>
      </c>
      <c r="I1206" s="26" t="s">
        <v>3924</v>
      </c>
      <c r="J1206" s="26" t="s">
        <v>8948</v>
      </c>
      <c r="K1206" s="26" t="s">
        <v>6434</v>
      </c>
      <c r="L1206" s="26" t="s">
        <v>8946</v>
      </c>
      <c r="M1206" s="55" t="s">
        <v>8950</v>
      </c>
      <c r="N1206" s="26" t="s">
        <v>3924</v>
      </c>
    </row>
    <row r="1207" spans="1:14" ht="75" customHeight="1" thickTop="1" thickBot="1">
      <c r="A1207" s="34">
        <v>1205</v>
      </c>
      <c r="B1207" s="34">
        <v>1209</v>
      </c>
      <c r="C1207" s="57" t="s">
        <v>8951</v>
      </c>
      <c r="D1207" s="56" t="s">
        <v>26</v>
      </c>
      <c r="E1207" s="56" t="s">
        <v>6480</v>
      </c>
      <c r="F1207" s="26" t="s">
        <v>3923</v>
      </c>
      <c r="G1207" s="26" t="s">
        <v>16</v>
      </c>
      <c r="H1207" s="26" t="s">
        <v>13</v>
      </c>
      <c r="I1207" s="26" t="s">
        <v>3924</v>
      </c>
      <c r="J1207" s="26" t="s">
        <v>8951</v>
      </c>
      <c r="K1207" s="26" t="s">
        <v>6434</v>
      </c>
      <c r="L1207" s="26" t="s">
        <v>8946</v>
      </c>
      <c r="M1207" s="55" t="s">
        <v>8952</v>
      </c>
      <c r="N1207" s="26" t="s">
        <v>3924</v>
      </c>
    </row>
    <row r="1208" spans="1:14" ht="75" customHeight="1" thickTop="1" thickBot="1">
      <c r="A1208" s="26">
        <v>1206</v>
      </c>
      <c r="B1208" s="26">
        <v>1210</v>
      </c>
      <c r="C1208" s="57" t="s">
        <v>8953</v>
      </c>
      <c r="D1208" s="56" t="s">
        <v>26</v>
      </c>
      <c r="E1208" s="56" t="s">
        <v>6480</v>
      </c>
      <c r="F1208" s="26" t="s">
        <v>3923</v>
      </c>
      <c r="G1208" s="26" t="s">
        <v>16</v>
      </c>
      <c r="H1208" s="26" t="s">
        <v>13</v>
      </c>
      <c r="I1208" s="26" t="s">
        <v>3924</v>
      </c>
      <c r="J1208" s="26" t="s">
        <v>8953</v>
      </c>
      <c r="K1208" s="26" t="s">
        <v>6445</v>
      </c>
      <c r="L1208" s="26" t="s">
        <v>7082</v>
      </c>
      <c r="M1208" s="55" t="s">
        <v>8954</v>
      </c>
      <c r="N1208" s="26" t="s">
        <v>3924</v>
      </c>
    </row>
    <row r="1209" spans="1:14" ht="75" customHeight="1" thickTop="1" thickBot="1">
      <c r="A1209" s="34">
        <v>1207</v>
      </c>
      <c r="B1209" s="34">
        <v>1211</v>
      </c>
      <c r="C1209" s="57" t="s">
        <v>8955</v>
      </c>
      <c r="D1209" s="56" t="s">
        <v>26</v>
      </c>
      <c r="E1209" s="56" t="s">
        <v>6480</v>
      </c>
      <c r="F1209" s="26" t="s">
        <v>3923</v>
      </c>
      <c r="G1209" s="26" t="s">
        <v>16</v>
      </c>
      <c r="H1209" s="26" t="s">
        <v>13</v>
      </c>
      <c r="I1209" s="26" t="s">
        <v>3924</v>
      </c>
      <c r="J1209" s="26" t="s">
        <v>8955</v>
      </c>
      <c r="K1209" s="26" t="s">
        <v>6434</v>
      </c>
      <c r="L1209" s="26" t="s">
        <v>8956</v>
      </c>
      <c r="M1209" s="55" t="s">
        <v>8957</v>
      </c>
      <c r="N1209" s="26" t="s">
        <v>3924</v>
      </c>
    </row>
    <row r="1210" spans="1:14" ht="75" customHeight="1" thickTop="1" thickBot="1">
      <c r="A1210" s="26">
        <v>1208</v>
      </c>
      <c r="B1210" s="34">
        <v>1212</v>
      </c>
      <c r="C1210" s="57" t="s">
        <v>8955</v>
      </c>
      <c r="D1210" s="56" t="s">
        <v>26</v>
      </c>
      <c r="E1210" s="56" t="s">
        <v>6480</v>
      </c>
      <c r="F1210" s="26" t="s">
        <v>3923</v>
      </c>
      <c r="G1210" s="26" t="s">
        <v>16</v>
      </c>
      <c r="H1210" s="26" t="s">
        <v>13</v>
      </c>
      <c r="I1210" s="26" t="s">
        <v>3924</v>
      </c>
      <c r="J1210" s="26" t="s">
        <v>8958</v>
      </c>
      <c r="K1210" s="26" t="s">
        <v>7683</v>
      </c>
      <c r="L1210" s="26" t="s">
        <v>4435</v>
      </c>
      <c r="M1210" s="55" t="s">
        <v>8959</v>
      </c>
      <c r="N1210" s="26" t="s">
        <v>3924</v>
      </c>
    </row>
    <row r="1211" spans="1:14" ht="75" customHeight="1" thickTop="1" thickBot="1">
      <c r="A1211" s="34">
        <v>1209</v>
      </c>
      <c r="B1211" s="26">
        <v>1213</v>
      </c>
      <c r="C1211" s="57" t="s">
        <v>8960</v>
      </c>
      <c r="D1211" s="56" t="s">
        <v>26</v>
      </c>
      <c r="E1211" s="56" t="s">
        <v>6480</v>
      </c>
      <c r="F1211" s="26" t="s">
        <v>3923</v>
      </c>
      <c r="G1211" s="26" t="s">
        <v>16</v>
      </c>
      <c r="H1211" s="26" t="s">
        <v>13</v>
      </c>
      <c r="I1211" s="26" t="s">
        <v>3924</v>
      </c>
      <c r="J1211" s="26" t="s">
        <v>8958</v>
      </c>
      <c r="K1211" s="26" t="s">
        <v>6552</v>
      </c>
      <c r="L1211" s="26" t="s">
        <v>7778</v>
      </c>
      <c r="M1211" s="55" t="s">
        <v>8961</v>
      </c>
      <c r="N1211" s="26" t="s">
        <v>3924</v>
      </c>
    </row>
    <row r="1212" spans="1:14" ht="75" customHeight="1" thickTop="1" thickBot="1">
      <c r="A1212" s="26">
        <v>1210</v>
      </c>
      <c r="B1212" s="34">
        <v>1214</v>
      </c>
      <c r="C1212" s="57" t="s">
        <v>8960</v>
      </c>
      <c r="D1212" s="56" t="s">
        <v>26</v>
      </c>
      <c r="E1212" s="56" t="s">
        <v>6480</v>
      </c>
      <c r="F1212" s="26" t="s">
        <v>3923</v>
      </c>
      <c r="G1212" s="26" t="s">
        <v>16</v>
      </c>
      <c r="H1212" s="26" t="s">
        <v>13</v>
      </c>
      <c r="I1212" s="26" t="s">
        <v>3924</v>
      </c>
      <c r="J1212" s="26" t="s">
        <v>8958</v>
      </c>
      <c r="K1212" s="26" t="s">
        <v>6552</v>
      </c>
      <c r="L1212" s="26" t="s">
        <v>6455</v>
      </c>
      <c r="M1212" s="55" t="s">
        <v>7031</v>
      </c>
      <c r="N1212" s="26" t="s">
        <v>3924</v>
      </c>
    </row>
    <row r="1213" spans="1:14" ht="75" customHeight="1" thickTop="1" thickBot="1">
      <c r="A1213" s="34">
        <v>1211</v>
      </c>
      <c r="B1213" s="26">
        <v>1215</v>
      </c>
      <c r="C1213" s="57" t="s">
        <v>8962</v>
      </c>
      <c r="D1213" s="56" t="s">
        <v>26</v>
      </c>
      <c r="E1213" s="56" t="s">
        <v>6480</v>
      </c>
      <c r="F1213" s="26" t="s">
        <v>3923</v>
      </c>
      <c r="G1213" s="26" t="s">
        <v>16</v>
      </c>
      <c r="H1213" s="26" t="s">
        <v>13</v>
      </c>
      <c r="I1213" s="26" t="s">
        <v>3924</v>
      </c>
      <c r="J1213" s="26" t="s">
        <v>8963</v>
      </c>
      <c r="K1213" s="26" t="s">
        <v>6552</v>
      </c>
      <c r="L1213" s="26" t="s">
        <v>6877</v>
      </c>
      <c r="M1213" s="55" t="s">
        <v>8964</v>
      </c>
      <c r="N1213" s="26" t="s">
        <v>3924</v>
      </c>
    </row>
    <row r="1214" spans="1:14" ht="75" customHeight="1" thickTop="1" thickBot="1">
      <c r="A1214" s="26">
        <v>1212</v>
      </c>
      <c r="B1214" s="34">
        <v>1216</v>
      </c>
      <c r="C1214" s="57" t="s">
        <v>8962</v>
      </c>
      <c r="D1214" s="56" t="s">
        <v>26</v>
      </c>
      <c r="E1214" s="56" t="s">
        <v>6480</v>
      </c>
      <c r="F1214" s="26" t="s">
        <v>3923</v>
      </c>
      <c r="G1214" s="26" t="s">
        <v>16</v>
      </c>
      <c r="H1214" s="26" t="s">
        <v>13</v>
      </c>
      <c r="I1214" s="26" t="s">
        <v>3924</v>
      </c>
      <c r="J1214" s="26" t="s">
        <v>8963</v>
      </c>
      <c r="K1214" s="26" t="s">
        <v>6440</v>
      </c>
      <c r="L1214" s="26" t="s">
        <v>8610</v>
      </c>
      <c r="M1214" s="55" t="s">
        <v>8965</v>
      </c>
      <c r="N1214" s="26" t="s">
        <v>3924</v>
      </c>
    </row>
    <row r="1215" spans="1:14" ht="75" customHeight="1" thickTop="1" thickBot="1">
      <c r="A1215" s="34">
        <v>1213</v>
      </c>
      <c r="B1215" s="26">
        <v>1217</v>
      </c>
      <c r="C1215" s="57" t="s">
        <v>8966</v>
      </c>
      <c r="D1215" s="56" t="s">
        <v>26</v>
      </c>
      <c r="E1215" s="56" t="s">
        <v>6480</v>
      </c>
      <c r="F1215" s="26" t="s">
        <v>3923</v>
      </c>
      <c r="G1215" s="26" t="s">
        <v>16</v>
      </c>
      <c r="H1215" s="26" t="s">
        <v>13</v>
      </c>
      <c r="I1215" s="26" t="s">
        <v>3924</v>
      </c>
      <c r="J1215" s="26" t="s">
        <v>8963</v>
      </c>
      <c r="K1215" s="26" t="s">
        <v>6483</v>
      </c>
      <c r="L1215" s="26" t="s">
        <v>6451</v>
      </c>
      <c r="M1215" s="55" t="s">
        <v>8967</v>
      </c>
      <c r="N1215" s="26" t="s">
        <v>3924</v>
      </c>
    </row>
    <row r="1216" spans="1:14" ht="75" customHeight="1" thickTop="1" thickBot="1">
      <c r="A1216" s="26">
        <v>1214</v>
      </c>
      <c r="B1216" s="34">
        <v>1218</v>
      </c>
      <c r="C1216" s="57" t="s">
        <v>8966</v>
      </c>
      <c r="D1216" s="56" t="s">
        <v>26</v>
      </c>
      <c r="E1216" s="56" t="s">
        <v>6480</v>
      </c>
      <c r="F1216" s="26" t="s">
        <v>3923</v>
      </c>
      <c r="G1216" s="26" t="s">
        <v>16</v>
      </c>
      <c r="H1216" s="26" t="s">
        <v>13</v>
      </c>
      <c r="I1216" s="26" t="s">
        <v>3924</v>
      </c>
      <c r="J1216" s="26" t="s">
        <v>8963</v>
      </c>
      <c r="K1216" s="26" t="s">
        <v>6552</v>
      </c>
      <c r="L1216" s="26" t="s">
        <v>4942</v>
      </c>
      <c r="M1216" s="55" t="s">
        <v>8968</v>
      </c>
      <c r="N1216" s="26" t="s">
        <v>3924</v>
      </c>
    </row>
    <row r="1217" spans="1:14" ht="75" customHeight="1" thickTop="1" thickBot="1">
      <c r="A1217" s="34">
        <v>1215</v>
      </c>
      <c r="B1217" s="34">
        <v>1219</v>
      </c>
      <c r="C1217" s="57" t="s">
        <v>8969</v>
      </c>
      <c r="D1217" s="56" t="s">
        <v>26</v>
      </c>
      <c r="E1217" s="56" t="s">
        <v>6480</v>
      </c>
      <c r="F1217" s="26" t="s">
        <v>3923</v>
      </c>
      <c r="G1217" s="26" t="s">
        <v>16</v>
      </c>
      <c r="H1217" s="26" t="s">
        <v>13</v>
      </c>
      <c r="I1217" s="26" t="s">
        <v>3924</v>
      </c>
      <c r="J1217" s="26" t="s">
        <v>8970</v>
      </c>
      <c r="K1217" s="26" t="s">
        <v>6434</v>
      </c>
      <c r="L1217" s="26" t="s">
        <v>7502</v>
      </c>
      <c r="M1217" s="55" t="s">
        <v>8971</v>
      </c>
      <c r="N1217" s="26" t="s">
        <v>3924</v>
      </c>
    </row>
    <row r="1218" spans="1:14" ht="75" customHeight="1" thickTop="1" thickBot="1">
      <c r="A1218" s="26">
        <v>1216</v>
      </c>
      <c r="B1218" s="26">
        <v>1220</v>
      </c>
      <c r="C1218" s="57" t="s">
        <v>8972</v>
      </c>
      <c r="D1218" s="56" t="s">
        <v>26</v>
      </c>
      <c r="E1218" s="56" t="s">
        <v>6480</v>
      </c>
      <c r="F1218" s="26" t="s">
        <v>3923</v>
      </c>
      <c r="G1218" s="26" t="s">
        <v>16</v>
      </c>
      <c r="H1218" s="26" t="s">
        <v>13</v>
      </c>
      <c r="I1218" s="26" t="s">
        <v>3924</v>
      </c>
      <c r="J1218" s="26" t="s">
        <v>8970</v>
      </c>
      <c r="K1218" s="26" t="s">
        <v>7683</v>
      </c>
      <c r="L1218" s="26" t="s">
        <v>8854</v>
      </c>
      <c r="M1218" s="55" t="s">
        <v>8973</v>
      </c>
      <c r="N1218" s="26" t="s">
        <v>3924</v>
      </c>
    </row>
    <row r="1219" spans="1:14" ht="75" customHeight="1" thickTop="1" thickBot="1">
      <c r="A1219" s="34">
        <v>1217</v>
      </c>
      <c r="B1219" s="34">
        <v>1221</v>
      </c>
      <c r="C1219" s="57" t="s">
        <v>8974</v>
      </c>
      <c r="D1219" s="56" t="s">
        <v>26</v>
      </c>
      <c r="E1219" s="56" t="s">
        <v>6480</v>
      </c>
      <c r="F1219" s="26" t="s">
        <v>3923</v>
      </c>
      <c r="G1219" s="26" t="s">
        <v>16</v>
      </c>
      <c r="H1219" s="26" t="s">
        <v>13</v>
      </c>
      <c r="I1219" s="26" t="s">
        <v>3924</v>
      </c>
      <c r="J1219" s="26" t="s">
        <v>8970</v>
      </c>
      <c r="K1219" s="26" t="s">
        <v>6434</v>
      </c>
      <c r="L1219" s="26" t="s">
        <v>7289</v>
      </c>
      <c r="M1219" s="55" t="s">
        <v>7031</v>
      </c>
      <c r="N1219" s="26" t="s">
        <v>3924</v>
      </c>
    </row>
    <row r="1220" spans="1:14" ht="75" customHeight="1" thickTop="1" thickBot="1">
      <c r="A1220" s="26">
        <v>1218</v>
      </c>
      <c r="B1220" s="26">
        <v>1222</v>
      </c>
      <c r="C1220" s="57" t="s">
        <v>8975</v>
      </c>
      <c r="D1220" s="56" t="s">
        <v>26</v>
      </c>
      <c r="E1220" s="56" t="s">
        <v>6480</v>
      </c>
      <c r="F1220" s="26" t="s">
        <v>3923</v>
      </c>
      <c r="G1220" s="26" t="s">
        <v>16</v>
      </c>
      <c r="H1220" s="26" t="s">
        <v>13</v>
      </c>
      <c r="I1220" s="26" t="s">
        <v>3924</v>
      </c>
      <c r="J1220" s="26" t="s">
        <v>8970</v>
      </c>
      <c r="K1220" s="26" t="s">
        <v>6440</v>
      </c>
      <c r="L1220" s="26" t="s">
        <v>8892</v>
      </c>
      <c r="M1220" s="55" t="s">
        <v>8976</v>
      </c>
      <c r="N1220" s="26" t="s">
        <v>3924</v>
      </c>
    </row>
    <row r="1221" spans="1:14" ht="75" customHeight="1" thickTop="1" thickBot="1">
      <c r="A1221" s="34">
        <v>1219</v>
      </c>
      <c r="B1221" s="34">
        <v>1223</v>
      </c>
      <c r="C1221" s="57" t="s">
        <v>8975</v>
      </c>
      <c r="D1221" s="56" t="s">
        <v>26</v>
      </c>
      <c r="E1221" s="56" t="s">
        <v>6480</v>
      </c>
      <c r="F1221" s="26" t="s">
        <v>3923</v>
      </c>
      <c r="G1221" s="26" t="s">
        <v>16</v>
      </c>
      <c r="H1221" s="26" t="s">
        <v>13</v>
      </c>
      <c r="I1221" s="26" t="s">
        <v>3924</v>
      </c>
      <c r="J1221" s="26" t="s">
        <v>8977</v>
      </c>
      <c r="K1221" s="26" t="s">
        <v>6434</v>
      </c>
      <c r="L1221" s="26" t="s">
        <v>6435</v>
      </c>
      <c r="M1221" s="55" t="s">
        <v>8978</v>
      </c>
      <c r="N1221" s="26" t="s">
        <v>3924</v>
      </c>
    </row>
    <row r="1222" spans="1:14" ht="75" customHeight="1" thickTop="1" thickBot="1">
      <c r="A1222" s="26">
        <v>1220</v>
      </c>
      <c r="B1222" s="26">
        <v>1224</v>
      </c>
      <c r="C1222" s="57" t="s">
        <v>8979</v>
      </c>
      <c r="D1222" s="56" t="s">
        <v>26</v>
      </c>
      <c r="E1222" s="56" t="s">
        <v>6480</v>
      </c>
      <c r="F1222" s="26" t="s">
        <v>3923</v>
      </c>
      <c r="G1222" s="26" t="s">
        <v>16</v>
      </c>
      <c r="H1222" s="26" t="s">
        <v>13</v>
      </c>
      <c r="I1222" s="26" t="s">
        <v>3924</v>
      </c>
      <c r="J1222" s="26" t="s">
        <v>8977</v>
      </c>
      <c r="K1222" s="26" t="s">
        <v>6434</v>
      </c>
      <c r="L1222" s="26" t="s">
        <v>6922</v>
      </c>
      <c r="M1222" s="55" t="s">
        <v>8980</v>
      </c>
      <c r="N1222" s="26" t="s">
        <v>3924</v>
      </c>
    </row>
    <row r="1223" spans="1:14" ht="75" customHeight="1" thickTop="1" thickBot="1">
      <c r="A1223" s="34">
        <v>1221</v>
      </c>
      <c r="B1223" s="34">
        <v>1225</v>
      </c>
      <c r="C1223" s="57" t="s">
        <v>8981</v>
      </c>
      <c r="D1223" s="56" t="s">
        <v>26</v>
      </c>
      <c r="E1223" s="56" t="s">
        <v>6480</v>
      </c>
      <c r="F1223" s="26" t="s">
        <v>3923</v>
      </c>
      <c r="G1223" s="26" t="s">
        <v>16</v>
      </c>
      <c r="H1223" s="26" t="s">
        <v>13</v>
      </c>
      <c r="I1223" s="26" t="s">
        <v>3924</v>
      </c>
      <c r="J1223" s="26" t="s">
        <v>8982</v>
      </c>
      <c r="K1223" s="26" t="s">
        <v>6440</v>
      </c>
      <c r="L1223" s="26" t="s">
        <v>7063</v>
      </c>
      <c r="M1223" s="55" t="s">
        <v>8983</v>
      </c>
      <c r="N1223" s="26" t="s">
        <v>3924</v>
      </c>
    </row>
    <row r="1224" spans="1:14" ht="75" customHeight="1" thickTop="1" thickBot="1">
      <c r="A1224" s="26">
        <v>1222</v>
      </c>
      <c r="B1224" s="34">
        <v>1226</v>
      </c>
      <c r="C1224" s="57" t="s">
        <v>8981</v>
      </c>
      <c r="D1224" s="56" t="s">
        <v>26</v>
      </c>
      <c r="E1224" s="56" t="s">
        <v>6480</v>
      </c>
      <c r="F1224" s="26" t="s">
        <v>3923</v>
      </c>
      <c r="G1224" s="26" t="s">
        <v>16</v>
      </c>
      <c r="H1224" s="26" t="s">
        <v>13</v>
      </c>
      <c r="I1224" s="26" t="s">
        <v>3924</v>
      </c>
      <c r="J1224" s="26" t="s">
        <v>8982</v>
      </c>
      <c r="K1224" s="26" t="s">
        <v>6440</v>
      </c>
      <c r="L1224" s="26" t="s">
        <v>7063</v>
      </c>
      <c r="M1224" s="55" t="s">
        <v>7031</v>
      </c>
      <c r="N1224" s="26" t="s">
        <v>3924</v>
      </c>
    </row>
    <row r="1225" spans="1:14" ht="75" customHeight="1" thickTop="1" thickBot="1">
      <c r="A1225" s="34">
        <v>1223</v>
      </c>
      <c r="B1225" s="26">
        <v>1227</v>
      </c>
      <c r="C1225" s="57" t="s">
        <v>8984</v>
      </c>
      <c r="D1225" s="56" t="s">
        <v>26</v>
      </c>
      <c r="E1225" s="56" t="s">
        <v>6480</v>
      </c>
      <c r="F1225" s="26" t="s">
        <v>3923</v>
      </c>
      <c r="G1225" s="26" t="s">
        <v>16</v>
      </c>
      <c r="H1225" s="26" t="s">
        <v>13</v>
      </c>
      <c r="I1225" s="26" t="s">
        <v>3924</v>
      </c>
      <c r="J1225" s="26" t="s">
        <v>8982</v>
      </c>
      <c r="K1225" s="26" t="s">
        <v>6434</v>
      </c>
      <c r="L1225" s="26" t="s">
        <v>8985</v>
      </c>
      <c r="M1225" s="55" t="s">
        <v>8290</v>
      </c>
      <c r="N1225" s="26" t="s">
        <v>3924</v>
      </c>
    </row>
    <row r="1226" spans="1:14" ht="75" customHeight="1" thickTop="1" thickBot="1">
      <c r="A1226" s="26">
        <v>1224</v>
      </c>
      <c r="B1226" s="34">
        <v>1228</v>
      </c>
      <c r="C1226" s="57" t="s">
        <v>8984</v>
      </c>
      <c r="D1226" s="56" t="s">
        <v>26</v>
      </c>
      <c r="E1226" s="56" t="s">
        <v>6480</v>
      </c>
      <c r="F1226" s="26" t="s">
        <v>3923</v>
      </c>
      <c r="G1226" s="26" t="s">
        <v>16</v>
      </c>
      <c r="H1226" s="26" t="s">
        <v>13</v>
      </c>
      <c r="I1226" s="26" t="s">
        <v>3924</v>
      </c>
      <c r="J1226" s="26" t="s">
        <v>8986</v>
      </c>
      <c r="K1226" s="26" t="s">
        <v>6434</v>
      </c>
      <c r="L1226" s="26" t="s">
        <v>8610</v>
      </c>
      <c r="M1226" s="55" t="s">
        <v>8987</v>
      </c>
      <c r="N1226" s="26" t="s">
        <v>3924</v>
      </c>
    </row>
    <row r="1227" spans="1:14" ht="75" customHeight="1" thickTop="1" thickBot="1">
      <c r="A1227" s="34">
        <v>1225</v>
      </c>
      <c r="B1227" s="26">
        <v>1229</v>
      </c>
      <c r="C1227" s="57" t="s">
        <v>8988</v>
      </c>
      <c r="D1227" s="56" t="s">
        <v>26</v>
      </c>
      <c r="E1227" s="56" t="s">
        <v>6480</v>
      </c>
      <c r="F1227" s="26" t="s">
        <v>3923</v>
      </c>
      <c r="G1227" s="26" t="s">
        <v>16</v>
      </c>
      <c r="H1227" s="26" t="s">
        <v>13</v>
      </c>
      <c r="I1227" s="26" t="s">
        <v>3924</v>
      </c>
      <c r="J1227" s="26" t="s">
        <v>8986</v>
      </c>
      <c r="K1227" s="26" t="s">
        <v>6440</v>
      </c>
      <c r="L1227" s="26" t="s">
        <v>6493</v>
      </c>
      <c r="M1227" s="55" t="s">
        <v>1157</v>
      </c>
      <c r="N1227" s="26" t="s">
        <v>3924</v>
      </c>
    </row>
    <row r="1228" spans="1:14" ht="75" customHeight="1" thickTop="1" thickBot="1">
      <c r="A1228" s="26">
        <v>1226</v>
      </c>
      <c r="B1228" s="34">
        <v>1230</v>
      </c>
      <c r="C1228" s="57" t="s">
        <v>8988</v>
      </c>
      <c r="D1228" s="56" t="s">
        <v>26</v>
      </c>
      <c r="E1228" s="56" t="s">
        <v>6480</v>
      </c>
      <c r="F1228" s="26" t="s">
        <v>3923</v>
      </c>
      <c r="G1228" s="26" t="s">
        <v>16</v>
      </c>
      <c r="H1228" s="26" t="s">
        <v>13</v>
      </c>
      <c r="I1228" s="26" t="s">
        <v>3924</v>
      </c>
      <c r="J1228" s="26" t="s">
        <v>8986</v>
      </c>
      <c r="K1228" s="26" t="s">
        <v>6440</v>
      </c>
      <c r="L1228" s="26" t="s">
        <v>6593</v>
      </c>
      <c r="M1228" s="55" t="s">
        <v>4240</v>
      </c>
      <c r="N1228" s="26" t="s">
        <v>3924</v>
      </c>
    </row>
    <row r="1229" spans="1:14" ht="75" customHeight="1" thickTop="1" thickBot="1">
      <c r="A1229" s="34">
        <v>1227</v>
      </c>
      <c r="B1229" s="26">
        <v>1231</v>
      </c>
      <c r="C1229" s="57" t="s">
        <v>8989</v>
      </c>
      <c r="D1229" s="56" t="s">
        <v>26</v>
      </c>
      <c r="E1229" s="56" t="s">
        <v>6480</v>
      </c>
      <c r="F1229" s="26" t="s">
        <v>3923</v>
      </c>
      <c r="G1229" s="26" t="s">
        <v>16</v>
      </c>
      <c r="H1229" s="26" t="s">
        <v>13</v>
      </c>
      <c r="I1229" s="26" t="s">
        <v>3924</v>
      </c>
      <c r="J1229" s="26" t="s">
        <v>8986</v>
      </c>
      <c r="K1229" s="26" t="s">
        <v>6440</v>
      </c>
      <c r="L1229" s="26" t="s">
        <v>6593</v>
      </c>
      <c r="M1229" s="55" t="s">
        <v>8990</v>
      </c>
      <c r="N1229" s="26" t="s">
        <v>3924</v>
      </c>
    </row>
    <row r="1230" spans="1:14" ht="75" customHeight="1" thickTop="1" thickBot="1">
      <c r="A1230" s="26">
        <v>1228</v>
      </c>
      <c r="B1230" s="34">
        <v>1232</v>
      </c>
      <c r="C1230" s="57" t="s">
        <v>8991</v>
      </c>
      <c r="D1230" s="56" t="s">
        <v>26</v>
      </c>
      <c r="E1230" s="56" t="s">
        <v>27</v>
      </c>
      <c r="F1230" s="26" t="s">
        <v>3995</v>
      </c>
      <c r="G1230" s="26" t="s">
        <v>12</v>
      </c>
      <c r="H1230" s="26" t="s">
        <v>17</v>
      </c>
      <c r="I1230" s="26" t="s">
        <v>8992</v>
      </c>
      <c r="J1230" s="26" t="s">
        <v>8993</v>
      </c>
      <c r="K1230" s="26" t="s">
        <v>6445</v>
      </c>
      <c r="L1230" s="26" t="s">
        <v>6435</v>
      </c>
      <c r="M1230" s="55" t="s">
        <v>8994</v>
      </c>
      <c r="N1230" s="26" t="s">
        <v>8995</v>
      </c>
    </row>
    <row r="1231" spans="1:14" ht="75" customHeight="1" thickTop="1" thickBot="1">
      <c r="A1231" s="34">
        <v>1229</v>
      </c>
      <c r="B1231" s="34">
        <v>1233</v>
      </c>
      <c r="C1231" s="57" t="s">
        <v>8996</v>
      </c>
      <c r="D1231" s="56" t="s">
        <v>26</v>
      </c>
      <c r="E1231" s="56" t="s">
        <v>8550</v>
      </c>
      <c r="F1231" s="26" t="s">
        <v>3995</v>
      </c>
      <c r="G1231" s="26" t="s">
        <v>12</v>
      </c>
      <c r="H1231" s="26" t="s">
        <v>13</v>
      </c>
      <c r="I1231" s="26" t="s">
        <v>8485</v>
      </c>
      <c r="J1231" s="26" t="s">
        <v>8997</v>
      </c>
      <c r="K1231" s="26" t="s">
        <v>6440</v>
      </c>
      <c r="L1231" s="26" t="s">
        <v>8998</v>
      </c>
      <c r="M1231" s="55" t="s">
        <v>1489</v>
      </c>
      <c r="N1231" s="26" t="s">
        <v>3924</v>
      </c>
    </row>
    <row r="1232" spans="1:14" ht="75" customHeight="1" thickTop="1" thickBot="1">
      <c r="A1232" s="26">
        <v>1230</v>
      </c>
      <c r="B1232" s="26">
        <v>1234</v>
      </c>
      <c r="C1232" s="57" t="s">
        <v>8999</v>
      </c>
      <c r="D1232" s="56" t="s">
        <v>26</v>
      </c>
      <c r="E1232" s="56" t="s">
        <v>8550</v>
      </c>
      <c r="F1232" s="26" t="s">
        <v>3995</v>
      </c>
      <c r="G1232" s="26" t="s">
        <v>12</v>
      </c>
      <c r="H1232" s="26" t="s">
        <v>13</v>
      </c>
      <c r="I1232" s="26" t="s">
        <v>3924</v>
      </c>
      <c r="J1232" s="26" t="s">
        <v>8997</v>
      </c>
      <c r="K1232" s="26" t="s">
        <v>6440</v>
      </c>
      <c r="L1232" s="26" t="s">
        <v>6559</v>
      </c>
      <c r="M1232" s="55" t="s">
        <v>1489</v>
      </c>
      <c r="N1232" s="26" t="s">
        <v>3924</v>
      </c>
    </row>
    <row r="1233" spans="1:14" ht="75" customHeight="1" thickTop="1" thickBot="1">
      <c r="A1233" s="34">
        <v>1231</v>
      </c>
      <c r="B1233" s="34">
        <v>1235</v>
      </c>
      <c r="C1233" s="57" t="s">
        <v>9000</v>
      </c>
      <c r="D1233" s="56" t="s">
        <v>26</v>
      </c>
      <c r="E1233" s="56" t="s">
        <v>7451</v>
      </c>
      <c r="F1233" s="26" t="s">
        <v>3923</v>
      </c>
      <c r="G1233" s="26" t="s">
        <v>1419</v>
      </c>
      <c r="H1233" s="26" t="s">
        <v>13</v>
      </c>
      <c r="I1233" s="26" t="s">
        <v>3924</v>
      </c>
      <c r="J1233" s="26" t="s">
        <v>9001</v>
      </c>
      <c r="K1233" s="26" t="s">
        <v>3954</v>
      </c>
      <c r="L1233" s="26" t="s">
        <v>4082</v>
      </c>
      <c r="M1233" s="55" t="s">
        <v>9002</v>
      </c>
      <c r="N1233" s="26" t="s">
        <v>3924</v>
      </c>
    </row>
    <row r="1234" spans="1:14" ht="75" customHeight="1" thickTop="1" thickBot="1">
      <c r="A1234" s="26">
        <v>1232</v>
      </c>
      <c r="B1234" s="26">
        <v>1236</v>
      </c>
      <c r="C1234" s="57" t="s">
        <v>9003</v>
      </c>
      <c r="D1234" s="56" t="s">
        <v>26</v>
      </c>
      <c r="E1234" s="56" t="s">
        <v>7451</v>
      </c>
      <c r="F1234" s="26" t="s">
        <v>3923</v>
      </c>
      <c r="G1234" s="26" t="s">
        <v>1419</v>
      </c>
      <c r="H1234" s="26" t="s">
        <v>13</v>
      </c>
      <c r="I1234" s="26" t="s">
        <v>3924</v>
      </c>
      <c r="J1234" s="26" t="s">
        <v>9001</v>
      </c>
      <c r="K1234" s="26" t="s">
        <v>3954</v>
      </c>
      <c r="L1234" s="26" t="s">
        <v>4942</v>
      </c>
      <c r="M1234" s="55" t="s">
        <v>9004</v>
      </c>
      <c r="N1234" s="26" t="s">
        <v>3924</v>
      </c>
    </row>
    <row r="1235" spans="1:14" ht="75" customHeight="1" thickTop="1" thickBot="1">
      <c r="A1235" s="34">
        <v>1233</v>
      </c>
      <c r="B1235" s="34">
        <v>1237</v>
      </c>
      <c r="C1235" s="57" t="s">
        <v>9005</v>
      </c>
      <c r="D1235" s="56" t="s">
        <v>26</v>
      </c>
      <c r="E1235" s="56" t="s">
        <v>7451</v>
      </c>
      <c r="F1235" s="26" t="s">
        <v>3923</v>
      </c>
      <c r="G1235" s="26" t="s">
        <v>1419</v>
      </c>
      <c r="H1235" s="26" t="s">
        <v>13</v>
      </c>
      <c r="I1235" s="26" t="s">
        <v>3924</v>
      </c>
      <c r="J1235" s="26" t="s">
        <v>9001</v>
      </c>
      <c r="K1235" s="26" t="s">
        <v>6440</v>
      </c>
      <c r="L1235" s="26" t="s">
        <v>6723</v>
      </c>
      <c r="M1235" s="55" t="s">
        <v>9006</v>
      </c>
      <c r="N1235" s="26" t="s">
        <v>3924</v>
      </c>
    </row>
    <row r="1236" spans="1:14" ht="75" customHeight="1" thickTop="1" thickBot="1">
      <c r="A1236" s="26">
        <v>1234</v>
      </c>
      <c r="B1236" s="26">
        <v>1238</v>
      </c>
      <c r="C1236" s="57" t="s">
        <v>9007</v>
      </c>
      <c r="D1236" s="56" t="s">
        <v>26</v>
      </c>
      <c r="E1236" s="56" t="s">
        <v>7451</v>
      </c>
      <c r="F1236" s="26" t="s">
        <v>3923</v>
      </c>
      <c r="G1236" s="26" t="s">
        <v>1419</v>
      </c>
      <c r="H1236" s="26" t="s">
        <v>13</v>
      </c>
      <c r="I1236" s="26" t="s">
        <v>3924</v>
      </c>
      <c r="J1236" s="26" t="s">
        <v>9008</v>
      </c>
      <c r="K1236" s="26" t="s">
        <v>6434</v>
      </c>
      <c r="L1236" s="26" t="s">
        <v>6435</v>
      </c>
      <c r="M1236" s="55" t="s">
        <v>9009</v>
      </c>
      <c r="N1236" s="26" t="s">
        <v>3924</v>
      </c>
    </row>
    <row r="1237" spans="1:14" ht="75" customHeight="1" thickTop="1" thickBot="1">
      <c r="A1237" s="34">
        <v>1235</v>
      </c>
      <c r="B1237" s="34">
        <v>1239</v>
      </c>
      <c r="C1237" s="57" t="s">
        <v>9010</v>
      </c>
      <c r="D1237" s="56" t="s">
        <v>26</v>
      </c>
      <c r="E1237" s="56" t="s">
        <v>7451</v>
      </c>
      <c r="F1237" s="26" t="s">
        <v>3923</v>
      </c>
      <c r="G1237" s="26" t="s">
        <v>1419</v>
      </c>
      <c r="H1237" s="26" t="s">
        <v>13</v>
      </c>
      <c r="I1237" s="26" t="s">
        <v>3924</v>
      </c>
      <c r="J1237" s="26" t="s">
        <v>9011</v>
      </c>
      <c r="K1237" s="26" t="s">
        <v>6552</v>
      </c>
      <c r="L1237" s="26" t="s">
        <v>8687</v>
      </c>
      <c r="M1237" s="55" t="s">
        <v>9012</v>
      </c>
      <c r="N1237" s="26" t="s">
        <v>3924</v>
      </c>
    </row>
    <row r="1238" spans="1:14" ht="75" customHeight="1" thickTop="1" thickBot="1">
      <c r="A1238" s="26">
        <v>1236</v>
      </c>
      <c r="B1238" s="34">
        <v>1240</v>
      </c>
      <c r="C1238" s="57" t="s">
        <v>9010</v>
      </c>
      <c r="D1238" s="56" t="s">
        <v>26</v>
      </c>
      <c r="E1238" s="56" t="s">
        <v>7451</v>
      </c>
      <c r="F1238" s="26" t="s">
        <v>3923</v>
      </c>
      <c r="G1238" s="26" t="s">
        <v>1419</v>
      </c>
      <c r="H1238" s="26" t="s">
        <v>13</v>
      </c>
      <c r="I1238" s="26" t="s">
        <v>3924</v>
      </c>
      <c r="J1238" s="26" t="s">
        <v>9011</v>
      </c>
      <c r="K1238" s="26" t="s">
        <v>6440</v>
      </c>
      <c r="L1238" s="26" t="s">
        <v>8691</v>
      </c>
      <c r="M1238" s="55" t="s">
        <v>9013</v>
      </c>
      <c r="N1238" s="26" t="s">
        <v>3924</v>
      </c>
    </row>
    <row r="1239" spans="1:14" ht="75" customHeight="1" thickTop="1" thickBot="1">
      <c r="A1239" s="34">
        <v>1237</v>
      </c>
      <c r="B1239" s="26">
        <v>1241</v>
      </c>
      <c r="C1239" s="57" t="s">
        <v>9014</v>
      </c>
      <c r="D1239" s="56" t="s">
        <v>26</v>
      </c>
      <c r="E1239" s="56" t="s">
        <v>7451</v>
      </c>
      <c r="F1239" s="26" t="s">
        <v>3923</v>
      </c>
      <c r="G1239" s="26" t="s">
        <v>1419</v>
      </c>
      <c r="H1239" s="26" t="s">
        <v>13</v>
      </c>
      <c r="I1239" s="26" t="s">
        <v>3924</v>
      </c>
      <c r="J1239" s="26" t="s">
        <v>9011</v>
      </c>
      <c r="K1239" s="26" t="s">
        <v>6440</v>
      </c>
      <c r="L1239" s="26" t="s">
        <v>6805</v>
      </c>
      <c r="M1239" s="55" t="s">
        <v>9015</v>
      </c>
      <c r="N1239" s="26" t="s">
        <v>3924</v>
      </c>
    </row>
    <row r="1240" spans="1:14" ht="75" customHeight="1" thickTop="1" thickBot="1">
      <c r="A1240" s="26">
        <v>1238</v>
      </c>
      <c r="B1240" s="34">
        <v>1242</v>
      </c>
      <c r="C1240" s="57" t="s">
        <v>9016</v>
      </c>
      <c r="D1240" s="56" t="s">
        <v>26</v>
      </c>
      <c r="E1240" s="56" t="s">
        <v>7451</v>
      </c>
      <c r="F1240" s="26" t="s">
        <v>3923</v>
      </c>
      <c r="G1240" s="26" t="s">
        <v>1419</v>
      </c>
      <c r="H1240" s="26" t="s">
        <v>13</v>
      </c>
      <c r="I1240" s="26" t="s">
        <v>3924</v>
      </c>
      <c r="J1240" s="26" t="s">
        <v>9011</v>
      </c>
      <c r="K1240" s="26" t="s">
        <v>6445</v>
      </c>
      <c r="L1240" s="26" t="s">
        <v>9017</v>
      </c>
      <c r="M1240" s="55" t="s">
        <v>9018</v>
      </c>
      <c r="N1240" s="26" t="s">
        <v>3924</v>
      </c>
    </row>
    <row r="1241" spans="1:14" ht="75" customHeight="1" thickTop="1" thickBot="1">
      <c r="A1241" s="34">
        <v>1239</v>
      </c>
      <c r="B1241" s="26">
        <v>1243</v>
      </c>
      <c r="C1241" s="57" t="s">
        <v>9016</v>
      </c>
      <c r="D1241" s="56" t="s">
        <v>26</v>
      </c>
      <c r="E1241" s="56" t="s">
        <v>7451</v>
      </c>
      <c r="F1241" s="26" t="s">
        <v>3923</v>
      </c>
      <c r="G1241" s="26" t="s">
        <v>1419</v>
      </c>
      <c r="H1241" s="26" t="s">
        <v>13</v>
      </c>
      <c r="I1241" s="26" t="s">
        <v>3924</v>
      </c>
      <c r="J1241" s="26" t="s">
        <v>9011</v>
      </c>
      <c r="K1241" s="26" t="s">
        <v>6445</v>
      </c>
      <c r="L1241" s="26" t="s">
        <v>4082</v>
      </c>
      <c r="M1241" s="55" t="s">
        <v>9019</v>
      </c>
      <c r="N1241" s="26" t="s">
        <v>3924</v>
      </c>
    </row>
    <row r="1242" spans="1:14" ht="75" customHeight="1" thickTop="1" thickBot="1">
      <c r="A1242" s="26">
        <v>1240</v>
      </c>
      <c r="B1242" s="34">
        <v>1244</v>
      </c>
      <c r="C1242" s="57" t="s">
        <v>9020</v>
      </c>
      <c r="D1242" s="56" t="s">
        <v>26</v>
      </c>
      <c r="E1242" s="56" t="s">
        <v>7451</v>
      </c>
      <c r="F1242" s="26" t="s">
        <v>3923</v>
      </c>
      <c r="G1242" s="26" t="s">
        <v>1419</v>
      </c>
      <c r="H1242" s="26" t="s">
        <v>13</v>
      </c>
      <c r="I1242" s="26" t="s">
        <v>3924</v>
      </c>
      <c r="J1242" s="26" t="s">
        <v>9011</v>
      </c>
      <c r="K1242" s="26" t="s">
        <v>6476</v>
      </c>
      <c r="L1242" s="26" t="s">
        <v>9021</v>
      </c>
      <c r="M1242" s="55" t="s">
        <v>9022</v>
      </c>
      <c r="N1242" s="26" t="s">
        <v>3924</v>
      </c>
    </row>
    <row r="1243" spans="1:14" ht="75" customHeight="1" thickTop="1" thickBot="1">
      <c r="A1243" s="34">
        <v>1241</v>
      </c>
      <c r="B1243" s="26">
        <v>1245</v>
      </c>
      <c r="C1243" s="57" t="s">
        <v>9020</v>
      </c>
      <c r="D1243" s="56" t="s">
        <v>26</v>
      </c>
      <c r="E1243" s="56" t="s">
        <v>7451</v>
      </c>
      <c r="F1243" s="26" t="s">
        <v>3923</v>
      </c>
      <c r="G1243" s="26" t="s">
        <v>1419</v>
      </c>
      <c r="H1243" s="26" t="s">
        <v>13</v>
      </c>
      <c r="I1243" s="26" t="s">
        <v>3924</v>
      </c>
      <c r="J1243" s="26" t="s">
        <v>9011</v>
      </c>
      <c r="K1243" s="26" t="s">
        <v>6434</v>
      </c>
      <c r="L1243" s="26" t="s">
        <v>6469</v>
      </c>
      <c r="M1243" s="55" t="s">
        <v>9023</v>
      </c>
      <c r="N1243" s="26" t="s">
        <v>3924</v>
      </c>
    </row>
    <row r="1244" spans="1:14" ht="75" customHeight="1" thickTop="1" thickBot="1">
      <c r="A1244" s="26">
        <v>1242</v>
      </c>
      <c r="B1244" s="34">
        <v>1246</v>
      </c>
      <c r="C1244" s="57" t="s">
        <v>9020</v>
      </c>
      <c r="D1244" s="56" t="s">
        <v>26</v>
      </c>
      <c r="E1244" s="56" t="s">
        <v>7451</v>
      </c>
      <c r="F1244" s="26" t="s">
        <v>3923</v>
      </c>
      <c r="G1244" s="26" t="s">
        <v>1419</v>
      </c>
      <c r="H1244" s="26" t="s">
        <v>13</v>
      </c>
      <c r="I1244" s="26" t="s">
        <v>3924</v>
      </c>
      <c r="J1244" s="26" t="s">
        <v>9024</v>
      </c>
      <c r="K1244" s="26" t="s">
        <v>6483</v>
      </c>
      <c r="L1244" s="26" t="s">
        <v>6451</v>
      </c>
      <c r="M1244" s="55" t="s">
        <v>9025</v>
      </c>
      <c r="N1244" s="26" t="s">
        <v>3924</v>
      </c>
    </row>
    <row r="1245" spans="1:14" ht="75" customHeight="1" thickTop="1" thickBot="1">
      <c r="A1245" s="34">
        <v>1243</v>
      </c>
      <c r="B1245" s="34">
        <v>1247</v>
      </c>
      <c r="C1245" s="57" t="s">
        <v>9026</v>
      </c>
      <c r="D1245" s="56" t="s">
        <v>26</v>
      </c>
      <c r="E1245" s="56" t="s">
        <v>7451</v>
      </c>
      <c r="F1245" s="26" t="s">
        <v>3923</v>
      </c>
      <c r="G1245" s="26" t="s">
        <v>1419</v>
      </c>
      <c r="H1245" s="26" t="s">
        <v>13</v>
      </c>
      <c r="I1245" s="26" t="s">
        <v>3924</v>
      </c>
      <c r="J1245" s="26" t="s">
        <v>9024</v>
      </c>
      <c r="K1245" s="26" t="s">
        <v>6476</v>
      </c>
      <c r="L1245" s="26" t="s">
        <v>4942</v>
      </c>
      <c r="M1245" s="55" t="s">
        <v>9027</v>
      </c>
      <c r="N1245" s="26" t="s">
        <v>3924</v>
      </c>
    </row>
    <row r="1246" spans="1:14" ht="75" customHeight="1" thickTop="1" thickBot="1">
      <c r="A1246" s="26">
        <v>1244</v>
      </c>
      <c r="B1246" s="26">
        <v>1248</v>
      </c>
      <c r="C1246" s="57" t="s">
        <v>9028</v>
      </c>
      <c r="D1246" s="56" t="s">
        <v>26</v>
      </c>
      <c r="E1246" s="56" t="s">
        <v>7451</v>
      </c>
      <c r="F1246" s="26" t="s">
        <v>3923</v>
      </c>
      <c r="G1246" s="26" t="s">
        <v>1419</v>
      </c>
      <c r="H1246" s="26" t="s">
        <v>13</v>
      </c>
      <c r="I1246" s="26" t="s">
        <v>3924</v>
      </c>
      <c r="J1246" s="26" t="s">
        <v>9024</v>
      </c>
      <c r="K1246" s="26" t="s">
        <v>7683</v>
      </c>
      <c r="L1246" s="26" t="s">
        <v>9029</v>
      </c>
      <c r="M1246" s="55" t="s">
        <v>9030</v>
      </c>
      <c r="N1246" s="26" t="s">
        <v>3924</v>
      </c>
    </row>
    <row r="1247" spans="1:14" ht="75" customHeight="1" thickTop="1" thickBot="1">
      <c r="A1247" s="34">
        <v>1245</v>
      </c>
      <c r="B1247" s="34">
        <v>1249</v>
      </c>
      <c r="C1247" s="57" t="s">
        <v>9028</v>
      </c>
      <c r="D1247" s="56" t="s">
        <v>26</v>
      </c>
      <c r="E1247" s="56" t="s">
        <v>7451</v>
      </c>
      <c r="F1247" s="26" t="s">
        <v>3923</v>
      </c>
      <c r="G1247" s="26" t="s">
        <v>1419</v>
      </c>
      <c r="H1247" s="26" t="s">
        <v>13</v>
      </c>
      <c r="I1247" s="26" t="s">
        <v>3924</v>
      </c>
      <c r="J1247" s="26" t="s">
        <v>9024</v>
      </c>
      <c r="K1247" s="26" t="s">
        <v>6434</v>
      </c>
      <c r="L1247" s="26" t="s">
        <v>7273</v>
      </c>
      <c r="M1247" s="55" t="s">
        <v>9031</v>
      </c>
      <c r="N1247" s="26" t="s">
        <v>3924</v>
      </c>
    </row>
    <row r="1248" spans="1:14" ht="75" customHeight="1" thickTop="1" thickBot="1">
      <c r="A1248" s="26">
        <v>1246</v>
      </c>
      <c r="B1248" s="26">
        <v>1250</v>
      </c>
      <c r="C1248" s="57" t="s">
        <v>9032</v>
      </c>
      <c r="D1248" s="56" t="s">
        <v>26</v>
      </c>
      <c r="E1248" s="56" t="s">
        <v>7451</v>
      </c>
      <c r="F1248" s="26" t="s">
        <v>3923</v>
      </c>
      <c r="G1248" s="26" t="s">
        <v>1419</v>
      </c>
      <c r="H1248" s="26" t="s">
        <v>13</v>
      </c>
      <c r="I1248" s="26" t="s">
        <v>3924</v>
      </c>
      <c r="J1248" s="26" t="s">
        <v>9024</v>
      </c>
      <c r="K1248" s="26" t="s">
        <v>6434</v>
      </c>
      <c r="L1248" s="26" t="s">
        <v>9033</v>
      </c>
      <c r="M1248" s="55" t="s">
        <v>9034</v>
      </c>
      <c r="N1248" s="26" t="s">
        <v>3924</v>
      </c>
    </row>
    <row r="1249" spans="1:14" ht="75" customHeight="1" thickTop="1" thickBot="1">
      <c r="A1249" s="34">
        <v>1247</v>
      </c>
      <c r="B1249" s="34">
        <v>1251</v>
      </c>
      <c r="C1249" s="57" t="s">
        <v>9035</v>
      </c>
      <c r="D1249" s="56" t="s">
        <v>26</v>
      </c>
      <c r="E1249" s="56" t="s">
        <v>7451</v>
      </c>
      <c r="F1249" s="26" t="s">
        <v>3923</v>
      </c>
      <c r="G1249" s="26" t="s">
        <v>1419</v>
      </c>
      <c r="H1249" s="26" t="s">
        <v>13</v>
      </c>
      <c r="I1249" s="26" t="s">
        <v>3924</v>
      </c>
      <c r="J1249" s="26" t="s">
        <v>9024</v>
      </c>
      <c r="K1249" s="26" t="s">
        <v>8706</v>
      </c>
      <c r="L1249" s="26" t="s">
        <v>4942</v>
      </c>
      <c r="M1249" s="55" t="s">
        <v>9036</v>
      </c>
      <c r="N1249" s="26" t="s">
        <v>3924</v>
      </c>
    </row>
    <row r="1250" spans="1:14" ht="75" customHeight="1" thickTop="1" thickBot="1">
      <c r="A1250" s="26">
        <v>1248</v>
      </c>
      <c r="B1250" s="26">
        <v>1252</v>
      </c>
      <c r="C1250" s="57" t="s">
        <v>9037</v>
      </c>
      <c r="D1250" s="56" t="s">
        <v>26</v>
      </c>
      <c r="E1250" s="56" t="s">
        <v>7451</v>
      </c>
      <c r="F1250" s="26" t="s">
        <v>3923</v>
      </c>
      <c r="G1250" s="26" t="s">
        <v>1419</v>
      </c>
      <c r="H1250" s="26" t="s">
        <v>13</v>
      </c>
      <c r="I1250" s="26" t="s">
        <v>3924</v>
      </c>
      <c r="J1250" s="26" t="s">
        <v>9038</v>
      </c>
      <c r="K1250" s="26" t="s">
        <v>6434</v>
      </c>
      <c r="L1250" s="26" t="s">
        <v>9039</v>
      </c>
      <c r="M1250" s="55" t="s">
        <v>9040</v>
      </c>
      <c r="N1250" s="26" t="s">
        <v>3924</v>
      </c>
    </row>
    <row r="1251" spans="1:14" ht="75" customHeight="1" thickTop="1" thickBot="1">
      <c r="A1251" s="34">
        <v>1249</v>
      </c>
      <c r="B1251" s="34">
        <v>1253</v>
      </c>
      <c r="C1251" s="57" t="s">
        <v>9041</v>
      </c>
      <c r="D1251" s="56" t="s">
        <v>26</v>
      </c>
      <c r="E1251" s="56" t="s">
        <v>7451</v>
      </c>
      <c r="F1251" s="26" t="s">
        <v>3923</v>
      </c>
      <c r="G1251" s="26" t="s">
        <v>1419</v>
      </c>
      <c r="H1251" s="26" t="s">
        <v>13</v>
      </c>
      <c r="I1251" s="26" t="s">
        <v>3924</v>
      </c>
      <c r="J1251" s="26" t="s">
        <v>9038</v>
      </c>
      <c r="K1251" s="26" t="s">
        <v>6440</v>
      </c>
      <c r="L1251" s="26" t="s">
        <v>6805</v>
      </c>
      <c r="M1251" s="55" t="s">
        <v>9042</v>
      </c>
      <c r="N1251" s="26" t="s">
        <v>3924</v>
      </c>
    </row>
    <row r="1252" spans="1:14" ht="75" customHeight="1" thickTop="1" thickBot="1">
      <c r="A1252" s="26">
        <v>1250</v>
      </c>
      <c r="B1252" s="34">
        <v>1254</v>
      </c>
      <c r="C1252" s="57" t="s">
        <v>9043</v>
      </c>
      <c r="D1252" s="56" t="s">
        <v>26</v>
      </c>
      <c r="E1252" s="56" t="s">
        <v>7451</v>
      </c>
      <c r="F1252" s="26" t="s">
        <v>3923</v>
      </c>
      <c r="G1252" s="26" t="s">
        <v>1419</v>
      </c>
      <c r="H1252" s="26" t="s">
        <v>13</v>
      </c>
      <c r="I1252" s="26" t="s">
        <v>3924</v>
      </c>
      <c r="J1252" s="26" t="s">
        <v>9038</v>
      </c>
      <c r="K1252" s="26" t="s">
        <v>6434</v>
      </c>
      <c r="L1252" s="26" t="s">
        <v>6435</v>
      </c>
      <c r="M1252" s="55" t="s">
        <v>9044</v>
      </c>
      <c r="N1252" s="26" t="s">
        <v>3924</v>
      </c>
    </row>
    <row r="1253" spans="1:14" ht="75" customHeight="1" thickTop="1" thickBot="1">
      <c r="A1253" s="34">
        <v>1251</v>
      </c>
      <c r="B1253" s="26">
        <v>1255</v>
      </c>
      <c r="C1253" s="57" t="s">
        <v>9043</v>
      </c>
      <c r="D1253" s="56" t="s">
        <v>26</v>
      </c>
      <c r="E1253" s="56" t="s">
        <v>7451</v>
      </c>
      <c r="F1253" s="26" t="s">
        <v>3923</v>
      </c>
      <c r="G1253" s="26" t="s">
        <v>1419</v>
      </c>
      <c r="H1253" s="26" t="s">
        <v>13</v>
      </c>
      <c r="I1253" s="26" t="s">
        <v>3924</v>
      </c>
      <c r="J1253" s="26" t="s">
        <v>9045</v>
      </c>
      <c r="K1253" s="26" t="s">
        <v>6445</v>
      </c>
      <c r="L1253" s="26" t="s">
        <v>4082</v>
      </c>
      <c r="M1253" s="55" t="s">
        <v>9046</v>
      </c>
      <c r="N1253" s="26" t="s">
        <v>3924</v>
      </c>
    </row>
    <row r="1254" spans="1:14" ht="75" customHeight="1" thickTop="1" thickBot="1">
      <c r="A1254" s="26">
        <v>1252</v>
      </c>
      <c r="B1254" s="34">
        <v>1256</v>
      </c>
      <c r="C1254" s="57" t="s">
        <v>9047</v>
      </c>
      <c r="D1254" s="56" t="s">
        <v>26</v>
      </c>
      <c r="E1254" s="56" t="s">
        <v>7451</v>
      </c>
      <c r="F1254" s="26" t="s">
        <v>3923</v>
      </c>
      <c r="G1254" s="26" t="s">
        <v>1419</v>
      </c>
      <c r="H1254" s="26" t="s">
        <v>13</v>
      </c>
      <c r="I1254" s="26" t="s">
        <v>3924</v>
      </c>
      <c r="J1254" s="26" t="s">
        <v>9045</v>
      </c>
      <c r="K1254" s="26" t="s">
        <v>7603</v>
      </c>
      <c r="L1254" s="26" t="s">
        <v>4082</v>
      </c>
      <c r="M1254" s="55" t="s">
        <v>9048</v>
      </c>
      <c r="N1254" s="26" t="s">
        <v>3924</v>
      </c>
    </row>
    <row r="1255" spans="1:14" ht="75" customHeight="1" thickTop="1" thickBot="1">
      <c r="A1255" s="34">
        <v>1253</v>
      </c>
      <c r="B1255" s="26">
        <v>1257</v>
      </c>
      <c r="C1255" s="57" t="s">
        <v>9049</v>
      </c>
      <c r="D1255" s="56" t="s">
        <v>26</v>
      </c>
      <c r="E1255" s="56" t="s">
        <v>7451</v>
      </c>
      <c r="F1255" s="26" t="s">
        <v>3923</v>
      </c>
      <c r="G1255" s="26" t="s">
        <v>1419</v>
      </c>
      <c r="H1255" s="26" t="s">
        <v>13</v>
      </c>
      <c r="I1255" s="26" t="s">
        <v>3924</v>
      </c>
      <c r="J1255" s="26" t="s">
        <v>9045</v>
      </c>
      <c r="K1255" s="26" t="s">
        <v>6440</v>
      </c>
      <c r="L1255" s="26" t="s">
        <v>4082</v>
      </c>
      <c r="M1255" s="55" t="s">
        <v>9048</v>
      </c>
      <c r="N1255" s="26" t="s">
        <v>3924</v>
      </c>
    </row>
    <row r="1256" spans="1:14" ht="75" customHeight="1" thickTop="1" thickBot="1">
      <c r="A1256" s="26">
        <v>1254</v>
      </c>
      <c r="B1256" s="34">
        <v>1258</v>
      </c>
      <c r="C1256" s="57" t="s">
        <v>9049</v>
      </c>
      <c r="D1256" s="56" t="s">
        <v>26</v>
      </c>
      <c r="E1256" s="56" t="s">
        <v>7451</v>
      </c>
      <c r="F1256" s="26" t="s">
        <v>3923</v>
      </c>
      <c r="G1256" s="26" t="s">
        <v>1419</v>
      </c>
      <c r="H1256" s="26" t="s">
        <v>13</v>
      </c>
      <c r="I1256" s="26" t="s">
        <v>3924</v>
      </c>
      <c r="J1256" s="26" t="s">
        <v>9045</v>
      </c>
      <c r="K1256" s="26" t="s">
        <v>6434</v>
      </c>
      <c r="L1256" s="26" t="s">
        <v>6493</v>
      </c>
      <c r="M1256" s="55" t="s">
        <v>9050</v>
      </c>
      <c r="N1256" s="26" t="s">
        <v>3924</v>
      </c>
    </row>
    <row r="1257" spans="1:14" ht="75" customHeight="1" thickTop="1" thickBot="1">
      <c r="A1257" s="34">
        <v>1255</v>
      </c>
      <c r="B1257" s="26">
        <v>1259</v>
      </c>
      <c r="C1257" s="57" t="s">
        <v>9051</v>
      </c>
      <c r="D1257" s="56" t="s">
        <v>26</v>
      </c>
      <c r="E1257" s="56" t="s">
        <v>7451</v>
      </c>
      <c r="F1257" s="26" t="s">
        <v>3923</v>
      </c>
      <c r="G1257" s="26" t="s">
        <v>1419</v>
      </c>
      <c r="H1257" s="26" t="s">
        <v>13</v>
      </c>
      <c r="I1257" s="26" t="s">
        <v>3924</v>
      </c>
      <c r="J1257" s="26" t="s">
        <v>9045</v>
      </c>
      <c r="K1257" s="26" t="s">
        <v>8035</v>
      </c>
      <c r="L1257" s="26" t="s">
        <v>4942</v>
      </c>
      <c r="M1257" s="55" t="s">
        <v>9052</v>
      </c>
      <c r="N1257" s="26" t="s">
        <v>3924</v>
      </c>
    </row>
    <row r="1258" spans="1:14" ht="75" customHeight="1" thickTop="1" thickBot="1">
      <c r="A1258" s="26">
        <v>1256</v>
      </c>
      <c r="B1258" s="34">
        <v>1260</v>
      </c>
      <c r="C1258" s="57" t="s">
        <v>9051</v>
      </c>
      <c r="D1258" s="56" t="s">
        <v>26</v>
      </c>
      <c r="E1258" s="56" t="s">
        <v>7451</v>
      </c>
      <c r="F1258" s="26" t="s">
        <v>3923</v>
      </c>
      <c r="G1258" s="26" t="s">
        <v>1419</v>
      </c>
      <c r="H1258" s="26" t="s">
        <v>13</v>
      </c>
      <c r="I1258" s="26" t="s">
        <v>3924</v>
      </c>
      <c r="J1258" s="26" t="s">
        <v>9045</v>
      </c>
      <c r="K1258" s="26" t="s">
        <v>8616</v>
      </c>
      <c r="L1258" s="26" t="s">
        <v>3927</v>
      </c>
      <c r="M1258" s="55" t="s">
        <v>9053</v>
      </c>
      <c r="N1258" s="26" t="s">
        <v>3924</v>
      </c>
    </row>
    <row r="1259" spans="1:14" ht="75" customHeight="1" thickTop="1" thickBot="1">
      <c r="A1259" s="34">
        <v>1257</v>
      </c>
      <c r="B1259" s="34">
        <v>1261</v>
      </c>
      <c r="C1259" s="57" t="s">
        <v>9054</v>
      </c>
      <c r="D1259" s="56" t="s">
        <v>26</v>
      </c>
      <c r="E1259" s="56" t="s">
        <v>6480</v>
      </c>
      <c r="F1259" s="26" t="s">
        <v>3923</v>
      </c>
      <c r="G1259" s="26" t="s">
        <v>16</v>
      </c>
      <c r="H1259" s="26" t="s">
        <v>13</v>
      </c>
      <c r="I1259" s="26" t="s">
        <v>3924</v>
      </c>
      <c r="J1259" s="26" t="s">
        <v>9054</v>
      </c>
      <c r="K1259" s="26" t="s">
        <v>6434</v>
      </c>
      <c r="L1259" s="26" t="s">
        <v>8985</v>
      </c>
      <c r="M1259" s="55" t="s">
        <v>9055</v>
      </c>
      <c r="N1259" s="26" t="s">
        <v>3924</v>
      </c>
    </row>
    <row r="1260" spans="1:14" ht="75" customHeight="1" thickTop="1" thickBot="1">
      <c r="A1260" s="26">
        <v>1258</v>
      </c>
      <c r="B1260" s="26">
        <v>1262</v>
      </c>
      <c r="C1260" s="57" t="s">
        <v>9056</v>
      </c>
      <c r="D1260" s="56" t="s">
        <v>26</v>
      </c>
      <c r="E1260" s="56" t="s">
        <v>6480</v>
      </c>
      <c r="F1260" s="26" t="s">
        <v>3923</v>
      </c>
      <c r="G1260" s="26" t="s">
        <v>16</v>
      </c>
      <c r="H1260" s="26" t="s">
        <v>13</v>
      </c>
      <c r="I1260" s="26" t="s">
        <v>3924</v>
      </c>
      <c r="J1260" s="26" t="s">
        <v>9056</v>
      </c>
      <c r="K1260" s="26" t="s">
        <v>6434</v>
      </c>
      <c r="L1260" s="26" t="s">
        <v>7082</v>
      </c>
      <c r="M1260" s="55" t="s">
        <v>9057</v>
      </c>
      <c r="N1260" s="26" t="s">
        <v>3924</v>
      </c>
    </row>
    <row r="1261" spans="1:14" ht="75" customHeight="1" thickTop="1" thickBot="1">
      <c r="A1261" s="34">
        <v>1259</v>
      </c>
      <c r="B1261" s="34">
        <v>1263</v>
      </c>
      <c r="C1261" s="57" t="s">
        <v>9056</v>
      </c>
      <c r="D1261" s="56" t="s">
        <v>26</v>
      </c>
      <c r="E1261" s="56" t="s">
        <v>6480</v>
      </c>
      <c r="F1261" s="26" t="s">
        <v>3923</v>
      </c>
      <c r="G1261" s="26" t="s">
        <v>16</v>
      </c>
      <c r="H1261" s="26" t="s">
        <v>13</v>
      </c>
      <c r="I1261" s="26" t="s">
        <v>3924</v>
      </c>
      <c r="J1261" s="26" t="s">
        <v>9056</v>
      </c>
      <c r="K1261" s="26" t="s">
        <v>6445</v>
      </c>
      <c r="L1261" s="26" t="s">
        <v>7082</v>
      </c>
      <c r="M1261" s="55" t="s">
        <v>9057</v>
      </c>
      <c r="N1261" s="26" t="s">
        <v>3924</v>
      </c>
    </row>
    <row r="1262" spans="1:14" ht="75" customHeight="1" thickTop="1" thickBot="1">
      <c r="A1262" s="26">
        <v>1260</v>
      </c>
      <c r="B1262" s="26">
        <v>1264</v>
      </c>
      <c r="C1262" s="57" t="s">
        <v>9058</v>
      </c>
      <c r="D1262" s="56" t="s">
        <v>26</v>
      </c>
      <c r="E1262" s="56" t="s">
        <v>6480</v>
      </c>
      <c r="F1262" s="26" t="s">
        <v>3923</v>
      </c>
      <c r="G1262" s="26" t="s">
        <v>16</v>
      </c>
      <c r="H1262" s="26" t="s">
        <v>13</v>
      </c>
      <c r="I1262" s="26" t="s">
        <v>3924</v>
      </c>
      <c r="J1262" s="26" t="s">
        <v>9058</v>
      </c>
      <c r="K1262" s="26" t="s">
        <v>6552</v>
      </c>
      <c r="L1262" s="26" t="s">
        <v>8925</v>
      </c>
      <c r="M1262" s="55" t="s">
        <v>875</v>
      </c>
      <c r="N1262" s="26" t="s">
        <v>3924</v>
      </c>
    </row>
    <row r="1263" spans="1:14" ht="75" customHeight="1" thickTop="1" thickBot="1">
      <c r="A1263" s="34">
        <v>1261</v>
      </c>
      <c r="B1263" s="34">
        <v>1265</v>
      </c>
      <c r="C1263" s="57" t="s">
        <v>9059</v>
      </c>
      <c r="D1263" s="56" t="s">
        <v>26</v>
      </c>
      <c r="E1263" s="56" t="s">
        <v>6480</v>
      </c>
      <c r="F1263" s="26" t="s">
        <v>3923</v>
      </c>
      <c r="G1263" s="26" t="s">
        <v>16</v>
      </c>
      <c r="H1263" s="26" t="s">
        <v>13</v>
      </c>
      <c r="I1263" s="26" t="s">
        <v>3924</v>
      </c>
      <c r="J1263" s="26" t="s">
        <v>9059</v>
      </c>
      <c r="K1263" s="26" t="s">
        <v>6445</v>
      </c>
      <c r="L1263" s="26" t="s">
        <v>8925</v>
      </c>
      <c r="M1263" s="55" t="s">
        <v>875</v>
      </c>
      <c r="N1263" s="26" t="s">
        <v>3924</v>
      </c>
    </row>
    <row r="1264" spans="1:14" ht="75" customHeight="1" thickTop="1" thickBot="1">
      <c r="A1264" s="26">
        <v>1262</v>
      </c>
      <c r="B1264" s="26">
        <v>1266</v>
      </c>
      <c r="C1264" s="57" t="s">
        <v>9059</v>
      </c>
      <c r="D1264" s="56" t="s">
        <v>26</v>
      </c>
      <c r="E1264" s="56" t="s">
        <v>6480</v>
      </c>
      <c r="F1264" s="26" t="s">
        <v>3923</v>
      </c>
      <c r="G1264" s="26" t="s">
        <v>16</v>
      </c>
      <c r="H1264" s="26" t="s">
        <v>13</v>
      </c>
      <c r="I1264" s="26" t="s">
        <v>3924</v>
      </c>
      <c r="J1264" s="26" t="s">
        <v>9059</v>
      </c>
      <c r="K1264" s="26" t="s">
        <v>3954</v>
      </c>
      <c r="L1264" s="26" t="s">
        <v>9060</v>
      </c>
      <c r="M1264" s="55" t="s">
        <v>9061</v>
      </c>
      <c r="N1264" s="26" t="s">
        <v>3924</v>
      </c>
    </row>
    <row r="1265" spans="1:14" ht="75" customHeight="1" thickTop="1" thickBot="1">
      <c r="A1265" s="34">
        <v>1263</v>
      </c>
      <c r="B1265" s="34">
        <v>1267</v>
      </c>
      <c r="C1265" s="57" t="s">
        <v>9062</v>
      </c>
      <c r="D1265" s="56" t="s">
        <v>26</v>
      </c>
      <c r="E1265" s="56" t="s">
        <v>6480</v>
      </c>
      <c r="F1265" s="26" t="s">
        <v>3923</v>
      </c>
      <c r="G1265" s="26" t="s">
        <v>16</v>
      </c>
      <c r="H1265" s="26" t="s">
        <v>13</v>
      </c>
      <c r="I1265" s="26" t="s">
        <v>3924</v>
      </c>
      <c r="J1265" s="26" t="s">
        <v>9062</v>
      </c>
      <c r="K1265" s="26" t="s">
        <v>6434</v>
      </c>
      <c r="L1265" s="26" t="s">
        <v>7030</v>
      </c>
      <c r="M1265" s="55" t="s">
        <v>9063</v>
      </c>
      <c r="N1265" s="26" t="s">
        <v>3924</v>
      </c>
    </row>
    <row r="1266" spans="1:14" ht="75" customHeight="1" thickTop="1" thickBot="1">
      <c r="A1266" s="26">
        <v>1264</v>
      </c>
      <c r="B1266" s="34">
        <v>1268</v>
      </c>
      <c r="C1266" s="57" t="s">
        <v>9064</v>
      </c>
      <c r="D1266" s="56" t="s">
        <v>26</v>
      </c>
      <c r="E1266" s="56" t="s">
        <v>6480</v>
      </c>
      <c r="F1266" s="26" t="s">
        <v>3923</v>
      </c>
      <c r="G1266" s="26" t="s">
        <v>16</v>
      </c>
      <c r="H1266" s="26" t="s">
        <v>13</v>
      </c>
      <c r="I1266" s="26" t="s">
        <v>3924</v>
      </c>
      <c r="J1266" s="26" t="s">
        <v>9064</v>
      </c>
      <c r="K1266" s="26" t="s">
        <v>6434</v>
      </c>
      <c r="L1266" s="26" t="s">
        <v>7030</v>
      </c>
      <c r="M1266" s="55" t="s">
        <v>9065</v>
      </c>
      <c r="N1266" s="26" t="s">
        <v>3924</v>
      </c>
    </row>
    <row r="1267" spans="1:14" ht="75" customHeight="1" thickTop="1" thickBot="1">
      <c r="A1267" s="34">
        <v>1265</v>
      </c>
      <c r="B1267" s="26">
        <v>1269</v>
      </c>
      <c r="C1267" s="57" t="s">
        <v>9066</v>
      </c>
      <c r="D1267" s="56" t="s">
        <v>26</v>
      </c>
      <c r="E1267" s="56" t="s">
        <v>6438</v>
      </c>
      <c r="F1267" s="26" t="s">
        <v>3995</v>
      </c>
      <c r="G1267" s="26" t="s">
        <v>16</v>
      </c>
      <c r="H1267" s="26" t="s">
        <v>13</v>
      </c>
      <c r="I1267" s="26" t="s">
        <v>3924</v>
      </c>
      <c r="J1267" s="26" t="s">
        <v>9067</v>
      </c>
      <c r="K1267" s="26" t="s">
        <v>6552</v>
      </c>
      <c r="L1267" s="26" t="s">
        <v>6877</v>
      </c>
      <c r="M1267" s="55" t="s">
        <v>9068</v>
      </c>
      <c r="N1267" s="26" t="s">
        <v>3924</v>
      </c>
    </row>
    <row r="1268" spans="1:14" ht="75" customHeight="1" thickTop="1" thickBot="1">
      <c r="A1268" s="26">
        <v>1266</v>
      </c>
      <c r="B1268" s="34">
        <v>1270</v>
      </c>
      <c r="C1268" s="57" t="s">
        <v>9069</v>
      </c>
      <c r="D1268" s="56" t="s">
        <v>26</v>
      </c>
      <c r="E1268" s="56" t="s">
        <v>8550</v>
      </c>
      <c r="F1268" s="26" t="s">
        <v>3995</v>
      </c>
      <c r="G1268" s="26" t="s">
        <v>1419</v>
      </c>
      <c r="H1268" s="26" t="s">
        <v>13</v>
      </c>
      <c r="I1268" s="26" t="s">
        <v>3924</v>
      </c>
      <c r="J1268" s="26" t="s">
        <v>9067</v>
      </c>
      <c r="K1268" s="26" t="s">
        <v>6440</v>
      </c>
      <c r="L1268" s="26" t="s">
        <v>3927</v>
      </c>
      <c r="M1268" s="55" t="s">
        <v>9070</v>
      </c>
      <c r="N1268" s="26" t="s">
        <v>3924</v>
      </c>
    </row>
    <row r="1269" spans="1:14" ht="75" customHeight="1" thickTop="1" thickBot="1">
      <c r="A1269" s="34">
        <v>1267</v>
      </c>
      <c r="B1269" s="26">
        <v>1271</v>
      </c>
      <c r="C1269" s="57" t="s">
        <v>9071</v>
      </c>
      <c r="D1269" s="56" t="s">
        <v>26</v>
      </c>
      <c r="E1269" s="56" t="s">
        <v>6438</v>
      </c>
      <c r="F1269" s="26" t="s">
        <v>3995</v>
      </c>
      <c r="G1269" s="26" t="s">
        <v>16</v>
      </c>
      <c r="H1269" s="26" t="s">
        <v>13</v>
      </c>
      <c r="I1269" s="26" t="s">
        <v>3924</v>
      </c>
      <c r="J1269" s="26" t="s">
        <v>9067</v>
      </c>
      <c r="K1269" s="26" t="s">
        <v>6552</v>
      </c>
      <c r="L1269" s="26" t="s">
        <v>3927</v>
      </c>
      <c r="M1269" s="55" t="s">
        <v>9072</v>
      </c>
      <c r="N1269" s="26" t="s">
        <v>3924</v>
      </c>
    </row>
    <row r="1270" spans="1:14" ht="75" customHeight="1" thickTop="1" thickBot="1">
      <c r="A1270" s="26">
        <v>1268</v>
      </c>
      <c r="B1270" s="34">
        <v>1272</v>
      </c>
      <c r="C1270" s="57" t="s">
        <v>9073</v>
      </c>
      <c r="D1270" s="56" t="s">
        <v>26</v>
      </c>
      <c r="E1270" s="56" t="s">
        <v>6586</v>
      </c>
      <c r="F1270" s="26" t="s">
        <v>3923</v>
      </c>
      <c r="G1270" s="26" t="s">
        <v>12</v>
      </c>
      <c r="H1270" s="26" t="s">
        <v>13</v>
      </c>
      <c r="I1270" s="26" t="s">
        <v>3924</v>
      </c>
      <c r="J1270" s="26" t="s">
        <v>9074</v>
      </c>
      <c r="K1270" s="26" t="s">
        <v>6434</v>
      </c>
      <c r="L1270" s="26" t="s">
        <v>6455</v>
      </c>
      <c r="M1270" s="55" t="s">
        <v>9075</v>
      </c>
      <c r="N1270" s="26" t="s">
        <v>3924</v>
      </c>
    </row>
    <row r="1271" spans="1:14" ht="75" customHeight="1" thickTop="1" thickBot="1">
      <c r="A1271" s="34">
        <v>1269</v>
      </c>
      <c r="B1271" s="26">
        <v>1273</v>
      </c>
      <c r="C1271" s="57" t="s">
        <v>9076</v>
      </c>
      <c r="D1271" s="56" t="s">
        <v>26</v>
      </c>
      <c r="E1271" s="56" t="s">
        <v>6586</v>
      </c>
      <c r="F1271" s="26" t="s">
        <v>3923</v>
      </c>
      <c r="G1271" s="26" t="s">
        <v>12</v>
      </c>
      <c r="H1271" s="26" t="s">
        <v>13</v>
      </c>
      <c r="I1271" s="26" t="s">
        <v>3924</v>
      </c>
      <c r="J1271" s="26" t="s">
        <v>9074</v>
      </c>
      <c r="K1271" s="26" t="s">
        <v>3954</v>
      </c>
      <c r="L1271" s="26" t="s">
        <v>3927</v>
      </c>
      <c r="M1271" s="55" t="s">
        <v>9077</v>
      </c>
      <c r="N1271" s="26" t="s">
        <v>3924</v>
      </c>
    </row>
    <row r="1272" spans="1:14" ht="75" customHeight="1" thickTop="1" thickBot="1">
      <c r="A1272" s="26">
        <v>1270</v>
      </c>
      <c r="B1272" s="34">
        <v>1274</v>
      </c>
      <c r="C1272" s="57" t="s">
        <v>9078</v>
      </c>
      <c r="D1272" s="56" t="s">
        <v>26</v>
      </c>
      <c r="E1272" s="56" t="s">
        <v>6586</v>
      </c>
      <c r="F1272" s="26" t="s">
        <v>3923</v>
      </c>
      <c r="G1272" s="26" t="s">
        <v>12</v>
      </c>
      <c r="H1272" s="26" t="s">
        <v>13</v>
      </c>
      <c r="I1272" s="26" t="s">
        <v>3924</v>
      </c>
      <c r="J1272" s="26" t="s">
        <v>9079</v>
      </c>
      <c r="K1272" s="26" t="s">
        <v>3954</v>
      </c>
      <c r="L1272" s="26" t="s">
        <v>3927</v>
      </c>
      <c r="M1272" s="55" t="s">
        <v>8372</v>
      </c>
      <c r="N1272" s="26" t="s">
        <v>3924</v>
      </c>
    </row>
    <row r="1273" spans="1:14" ht="75" customHeight="1" thickTop="1" thickBot="1">
      <c r="A1273" s="34">
        <v>1271</v>
      </c>
      <c r="B1273" s="34">
        <v>1275</v>
      </c>
      <c r="C1273" s="57" t="s">
        <v>9078</v>
      </c>
      <c r="D1273" s="56" t="s">
        <v>26</v>
      </c>
      <c r="E1273" s="56" t="s">
        <v>6586</v>
      </c>
      <c r="F1273" s="26" t="s">
        <v>3923</v>
      </c>
      <c r="G1273" s="26" t="s">
        <v>12</v>
      </c>
      <c r="H1273" s="26" t="s">
        <v>13</v>
      </c>
      <c r="I1273" s="26" t="s">
        <v>3924</v>
      </c>
      <c r="J1273" s="26" t="s">
        <v>9079</v>
      </c>
      <c r="K1273" s="26" t="s">
        <v>3954</v>
      </c>
      <c r="L1273" s="26" t="s">
        <v>3927</v>
      </c>
      <c r="M1273" s="55" t="s">
        <v>8362</v>
      </c>
      <c r="N1273" s="26" t="s">
        <v>3924</v>
      </c>
    </row>
    <row r="1274" spans="1:14" ht="75" customHeight="1" thickTop="1" thickBot="1">
      <c r="A1274" s="26">
        <v>1272</v>
      </c>
      <c r="B1274" s="26">
        <v>1276</v>
      </c>
      <c r="C1274" s="57" t="s">
        <v>9078</v>
      </c>
      <c r="D1274" s="56" t="s">
        <v>26</v>
      </c>
      <c r="E1274" s="56" t="s">
        <v>6586</v>
      </c>
      <c r="F1274" s="26" t="s">
        <v>3923</v>
      </c>
      <c r="G1274" s="26" t="s">
        <v>12</v>
      </c>
      <c r="H1274" s="26" t="s">
        <v>13</v>
      </c>
      <c r="I1274" s="26" t="s">
        <v>3924</v>
      </c>
      <c r="J1274" s="26" t="s">
        <v>9079</v>
      </c>
      <c r="K1274" s="26" t="s">
        <v>6440</v>
      </c>
      <c r="L1274" s="26" t="s">
        <v>6493</v>
      </c>
      <c r="M1274" s="55" t="s">
        <v>9080</v>
      </c>
      <c r="N1274" s="26" t="s">
        <v>3924</v>
      </c>
    </row>
    <row r="1275" spans="1:14" ht="75" customHeight="1" thickTop="1" thickBot="1">
      <c r="A1275" s="34">
        <v>1273</v>
      </c>
      <c r="B1275" s="34">
        <v>1277</v>
      </c>
      <c r="C1275" s="57" t="s">
        <v>9081</v>
      </c>
      <c r="D1275" s="56" t="s">
        <v>26</v>
      </c>
      <c r="E1275" s="56" t="s">
        <v>6586</v>
      </c>
      <c r="F1275" s="26" t="s">
        <v>3923</v>
      </c>
      <c r="G1275" s="26" t="s">
        <v>12</v>
      </c>
      <c r="H1275" s="26" t="s">
        <v>13</v>
      </c>
      <c r="I1275" s="26" t="s">
        <v>3924</v>
      </c>
      <c r="J1275" s="26" t="s">
        <v>9082</v>
      </c>
      <c r="K1275" s="26" t="s">
        <v>6440</v>
      </c>
      <c r="L1275" s="26" t="s">
        <v>6469</v>
      </c>
      <c r="M1275" s="55" t="s">
        <v>9083</v>
      </c>
      <c r="N1275" s="26" t="s">
        <v>3924</v>
      </c>
    </row>
    <row r="1276" spans="1:14" ht="75" customHeight="1" thickTop="1" thickBot="1">
      <c r="A1276" s="26">
        <v>1274</v>
      </c>
      <c r="B1276" s="26">
        <v>1278</v>
      </c>
      <c r="C1276" s="57" t="s">
        <v>9084</v>
      </c>
      <c r="D1276" s="56" t="s">
        <v>26</v>
      </c>
      <c r="E1276" s="56" t="s">
        <v>6586</v>
      </c>
      <c r="F1276" s="26" t="s">
        <v>3923</v>
      </c>
      <c r="G1276" s="26" t="s">
        <v>12</v>
      </c>
      <c r="H1276" s="26" t="s">
        <v>13</v>
      </c>
      <c r="I1276" s="26" t="s">
        <v>3924</v>
      </c>
      <c r="J1276" s="26" t="s">
        <v>9082</v>
      </c>
      <c r="K1276" s="26" t="s">
        <v>6552</v>
      </c>
      <c r="L1276" s="26" t="s">
        <v>4082</v>
      </c>
      <c r="M1276" s="55" t="s">
        <v>9085</v>
      </c>
      <c r="N1276" s="26" t="s">
        <v>3924</v>
      </c>
    </row>
    <row r="1277" spans="1:14" ht="75" customHeight="1" thickTop="1" thickBot="1">
      <c r="A1277" s="34">
        <v>1275</v>
      </c>
      <c r="B1277" s="34">
        <v>1279</v>
      </c>
      <c r="C1277" s="57" t="s">
        <v>9084</v>
      </c>
      <c r="D1277" s="56" t="s">
        <v>26</v>
      </c>
      <c r="E1277" s="56" t="s">
        <v>6586</v>
      </c>
      <c r="F1277" s="26" t="s">
        <v>3923</v>
      </c>
      <c r="G1277" s="26" t="s">
        <v>12</v>
      </c>
      <c r="H1277" s="26" t="s">
        <v>13</v>
      </c>
      <c r="I1277" s="26" t="s">
        <v>3924</v>
      </c>
      <c r="J1277" s="26" t="s">
        <v>9082</v>
      </c>
      <c r="K1277" s="26" t="s">
        <v>6434</v>
      </c>
      <c r="L1277" s="26" t="s">
        <v>6559</v>
      </c>
      <c r="M1277" s="55" t="s">
        <v>9086</v>
      </c>
      <c r="N1277" s="26" t="s">
        <v>3924</v>
      </c>
    </row>
    <row r="1278" spans="1:14" ht="75" customHeight="1" thickTop="1" thickBot="1">
      <c r="A1278" s="26">
        <v>1276</v>
      </c>
      <c r="B1278" s="26">
        <v>1280</v>
      </c>
      <c r="C1278" s="57" t="s">
        <v>9087</v>
      </c>
      <c r="D1278" s="56" t="s">
        <v>26</v>
      </c>
      <c r="E1278" s="56" t="s">
        <v>6586</v>
      </c>
      <c r="F1278" s="26" t="s">
        <v>3923</v>
      </c>
      <c r="G1278" s="26" t="s">
        <v>12</v>
      </c>
      <c r="H1278" s="26" t="s">
        <v>13</v>
      </c>
      <c r="I1278" s="26" t="s">
        <v>3924</v>
      </c>
      <c r="J1278" s="26" t="s">
        <v>9088</v>
      </c>
      <c r="K1278" s="26" t="s">
        <v>6445</v>
      </c>
      <c r="L1278" s="26" t="s">
        <v>6805</v>
      </c>
      <c r="M1278" s="55" t="s">
        <v>9089</v>
      </c>
      <c r="N1278" s="26" t="s">
        <v>3924</v>
      </c>
    </row>
    <row r="1279" spans="1:14" ht="75" customHeight="1" thickTop="1" thickBot="1">
      <c r="A1279" s="34">
        <v>1277</v>
      </c>
      <c r="B1279" s="34">
        <v>1281</v>
      </c>
      <c r="C1279" s="57" t="s">
        <v>9087</v>
      </c>
      <c r="D1279" s="56" t="s">
        <v>26</v>
      </c>
      <c r="E1279" s="56" t="s">
        <v>6586</v>
      </c>
      <c r="F1279" s="26" t="s">
        <v>3923</v>
      </c>
      <c r="G1279" s="26" t="s">
        <v>12</v>
      </c>
      <c r="H1279" s="26" t="s">
        <v>13</v>
      </c>
      <c r="I1279" s="26" t="s">
        <v>3924</v>
      </c>
      <c r="J1279" s="26" t="s">
        <v>9088</v>
      </c>
      <c r="K1279" s="26" t="s">
        <v>6445</v>
      </c>
      <c r="L1279" s="26" t="s">
        <v>6805</v>
      </c>
      <c r="M1279" s="55" t="s">
        <v>9090</v>
      </c>
      <c r="N1279" s="26" t="s">
        <v>3924</v>
      </c>
    </row>
    <row r="1280" spans="1:14" ht="75" customHeight="1" thickTop="1" thickBot="1">
      <c r="A1280" s="26">
        <v>1278</v>
      </c>
      <c r="B1280" s="34">
        <v>1282</v>
      </c>
      <c r="C1280" s="57" t="s">
        <v>9091</v>
      </c>
      <c r="D1280" s="56" t="s">
        <v>26</v>
      </c>
      <c r="E1280" s="56" t="s">
        <v>6586</v>
      </c>
      <c r="F1280" s="26" t="s">
        <v>3923</v>
      </c>
      <c r="G1280" s="26" t="s">
        <v>12</v>
      </c>
      <c r="H1280" s="26" t="s">
        <v>13</v>
      </c>
      <c r="I1280" s="26" t="s">
        <v>3924</v>
      </c>
      <c r="J1280" s="26" t="s">
        <v>9092</v>
      </c>
      <c r="K1280" s="26" t="s">
        <v>6434</v>
      </c>
      <c r="L1280" s="26" t="s">
        <v>6435</v>
      </c>
      <c r="M1280" s="55" t="s">
        <v>9093</v>
      </c>
      <c r="N1280" s="26" t="s">
        <v>3924</v>
      </c>
    </row>
    <row r="1281" spans="1:14" ht="75" customHeight="1" thickTop="1" thickBot="1">
      <c r="A1281" s="34">
        <v>1279</v>
      </c>
      <c r="B1281" s="26">
        <v>1283</v>
      </c>
      <c r="C1281" s="57" t="s">
        <v>9091</v>
      </c>
      <c r="D1281" s="56" t="s">
        <v>26</v>
      </c>
      <c r="E1281" s="56" t="s">
        <v>6586</v>
      </c>
      <c r="F1281" s="26" t="s">
        <v>3923</v>
      </c>
      <c r="G1281" s="26" t="s">
        <v>12</v>
      </c>
      <c r="H1281" s="26" t="s">
        <v>13</v>
      </c>
      <c r="I1281" s="26" t="s">
        <v>3924</v>
      </c>
      <c r="J1281" s="26" t="s">
        <v>9092</v>
      </c>
      <c r="K1281" s="26" t="s">
        <v>6434</v>
      </c>
      <c r="L1281" s="26" t="s">
        <v>6435</v>
      </c>
      <c r="M1281" s="55" t="s">
        <v>9094</v>
      </c>
      <c r="N1281" s="26" t="s">
        <v>3924</v>
      </c>
    </row>
    <row r="1282" spans="1:14" ht="75" customHeight="1" thickTop="1" thickBot="1">
      <c r="A1282" s="26">
        <v>1280</v>
      </c>
      <c r="B1282" s="34">
        <v>1284</v>
      </c>
      <c r="C1282" s="57" t="s">
        <v>9095</v>
      </c>
      <c r="D1282" s="56" t="s">
        <v>26</v>
      </c>
      <c r="E1282" s="56" t="s">
        <v>6586</v>
      </c>
      <c r="F1282" s="26" t="s">
        <v>3923</v>
      </c>
      <c r="G1282" s="26" t="s">
        <v>12</v>
      </c>
      <c r="H1282" s="26" t="s">
        <v>13</v>
      </c>
      <c r="I1282" s="26" t="s">
        <v>3924</v>
      </c>
      <c r="J1282" s="26" t="s">
        <v>9092</v>
      </c>
      <c r="K1282" s="26" t="s">
        <v>6440</v>
      </c>
      <c r="L1282" s="26" t="s">
        <v>6435</v>
      </c>
      <c r="M1282" s="55" t="s">
        <v>9096</v>
      </c>
      <c r="N1282" s="26" t="s">
        <v>3924</v>
      </c>
    </row>
    <row r="1283" spans="1:14" ht="75" customHeight="1" thickTop="1" thickBot="1">
      <c r="A1283" s="34">
        <v>1281</v>
      </c>
      <c r="B1283" s="26">
        <v>1285</v>
      </c>
      <c r="C1283" s="57" t="s">
        <v>9095</v>
      </c>
      <c r="D1283" s="56" t="s">
        <v>26</v>
      </c>
      <c r="E1283" s="56" t="s">
        <v>6586</v>
      </c>
      <c r="F1283" s="26" t="s">
        <v>3923</v>
      </c>
      <c r="G1283" s="26" t="s">
        <v>12</v>
      </c>
      <c r="H1283" s="26" t="s">
        <v>13</v>
      </c>
      <c r="I1283" s="26" t="s">
        <v>3924</v>
      </c>
      <c r="J1283" s="26" t="s">
        <v>9092</v>
      </c>
      <c r="K1283" s="26" t="s">
        <v>6440</v>
      </c>
      <c r="L1283" s="26" t="s">
        <v>6435</v>
      </c>
      <c r="M1283" s="55" t="s">
        <v>9097</v>
      </c>
      <c r="N1283" s="26" t="s">
        <v>3924</v>
      </c>
    </row>
    <row r="1284" spans="1:14" ht="75" customHeight="1" thickTop="1" thickBot="1">
      <c r="A1284" s="26">
        <v>1282</v>
      </c>
      <c r="B1284" s="34">
        <v>1286</v>
      </c>
      <c r="C1284" s="57" t="s">
        <v>9098</v>
      </c>
      <c r="D1284" s="56" t="s">
        <v>26</v>
      </c>
      <c r="E1284" s="56" t="s">
        <v>6586</v>
      </c>
      <c r="F1284" s="26" t="s">
        <v>3923</v>
      </c>
      <c r="G1284" s="26" t="s">
        <v>12</v>
      </c>
      <c r="H1284" s="26" t="s">
        <v>13</v>
      </c>
      <c r="I1284" s="26" t="s">
        <v>3924</v>
      </c>
      <c r="J1284" s="26" t="s">
        <v>9092</v>
      </c>
      <c r="K1284" s="26" t="s">
        <v>6483</v>
      </c>
      <c r="L1284" s="26" t="s">
        <v>6451</v>
      </c>
      <c r="M1284" s="55" t="s">
        <v>9099</v>
      </c>
      <c r="N1284" s="26" t="s">
        <v>3924</v>
      </c>
    </row>
    <row r="1285" spans="1:14" ht="75" customHeight="1" thickTop="1" thickBot="1">
      <c r="A1285" s="34">
        <v>1283</v>
      </c>
      <c r="B1285" s="26">
        <v>1287</v>
      </c>
      <c r="C1285" s="57" t="s">
        <v>9100</v>
      </c>
      <c r="D1285" s="56" t="s">
        <v>26</v>
      </c>
      <c r="E1285" s="56" t="s">
        <v>27</v>
      </c>
      <c r="F1285" s="26" t="s">
        <v>3995</v>
      </c>
      <c r="G1285" s="26" t="s">
        <v>1419</v>
      </c>
      <c r="H1285" s="26" t="s">
        <v>13</v>
      </c>
      <c r="I1285" s="26" t="s">
        <v>3924</v>
      </c>
      <c r="J1285" s="26" t="s">
        <v>9101</v>
      </c>
      <c r="K1285" s="26" t="s">
        <v>6434</v>
      </c>
      <c r="L1285" s="26" t="s">
        <v>6435</v>
      </c>
      <c r="M1285" s="55" t="s">
        <v>9102</v>
      </c>
      <c r="N1285" s="26" t="s">
        <v>3924</v>
      </c>
    </row>
    <row r="1286" spans="1:14" ht="75" customHeight="1" thickTop="1" thickBot="1">
      <c r="A1286" s="26">
        <v>1284</v>
      </c>
      <c r="B1286" s="34">
        <v>1288</v>
      </c>
      <c r="C1286" s="57" t="s">
        <v>9103</v>
      </c>
      <c r="D1286" s="56" t="s">
        <v>26</v>
      </c>
      <c r="E1286" s="56" t="s">
        <v>6586</v>
      </c>
      <c r="F1286" s="26" t="s">
        <v>3923</v>
      </c>
      <c r="G1286" s="26" t="s">
        <v>12</v>
      </c>
      <c r="H1286" s="26" t="s">
        <v>13</v>
      </c>
      <c r="I1286" s="26" t="s">
        <v>3924</v>
      </c>
      <c r="J1286" s="26" t="s">
        <v>9092</v>
      </c>
      <c r="K1286" s="26" t="s">
        <v>6445</v>
      </c>
      <c r="L1286" s="26" t="s">
        <v>4082</v>
      </c>
      <c r="M1286" s="55" t="s">
        <v>9104</v>
      </c>
      <c r="N1286" s="26" t="s">
        <v>3924</v>
      </c>
    </row>
    <row r="1287" spans="1:14" ht="75" customHeight="1" thickTop="1" thickBot="1">
      <c r="A1287" s="34">
        <v>1285</v>
      </c>
      <c r="B1287" s="34">
        <v>1289</v>
      </c>
      <c r="C1287" s="57" t="s">
        <v>9105</v>
      </c>
      <c r="D1287" s="56" t="s">
        <v>26</v>
      </c>
      <c r="E1287" s="56" t="s">
        <v>6586</v>
      </c>
      <c r="F1287" s="26" t="s">
        <v>3923</v>
      </c>
      <c r="G1287" s="26" t="s">
        <v>12</v>
      </c>
      <c r="H1287" s="26" t="s">
        <v>13</v>
      </c>
      <c r="I1287" s="26" t="s">
        <v>3924</v>
      </c>
      <c r="J1287" s="26" t="s">
        <v>9092</v>
      </c>
      <c r="K1287" s="26" t="s">
        <v>6445</v>
      </c>
      <c r="L1287" s="26" t="s">
        <v>6559</v>
      </c>
      <c r="M1287" s="55" t="s">
        <v>9106</v>
      </c>
      <c r="N1287" s="26" t="s">
        <v>3924</v>
      </c>
    </row>
    <row r="1288" spans="1:14" ht="75" customHeight="1" thickTop="1" thickBot="1">
      <c r="A1288" s="26">
        <v>1286</v>
      </c>
      <c r="B1288" s="26">
        <v>1290</v>
      </c>
      <c r="C1288" s="57" t="s">
        <v>9107</v>
      </c>
      <c r="D1288" s="56" t="s">
        <v>26</v>
      </c>
      <c r="E1288" s="56" t="s">
        <v>6586</v>
      </c>
      <c r="F1288" s="26" t="s">
        <v>3923</v>
      </c>
      <c r="G1288" s="26" t="s">
        <v>12</v>
      </c>
      <c r="H1288" s="26" t="s">
        <v>13</v>
      </c>
      <c r="I1288" s="26" t="s">
        <v>3924</v>
      </c>
      <c r="J1288" s="26" t="s">
        <v>9074</v>
      </c>
      <c r="K1288" s="26" t="s">
        <v>3954</v>
      </c>
      <c r="L1288" s="26" t="s">
        <v>3927</v>
      </c>
      <c r="M1288" s="55" t="s">
        <v>8372</v>
      </c>
      <c r="N1288" s="26" t="s">
        <v>3924</v>
      </c>
    </row>
    <row r="1289" spans="1:14" ht="75" customHeight="1" thickTop="1" thickBot="1">
      <c r="A1289" s="34">
        <v>1287</v>
      </c>
      <c r="B1289" s="34">
        <v>1291</v>
      </c>
      <c r="C1289" s="57" t="s">
        <v>9107</v>
      </c>
      <c r="D1289" s="56" t="s">
        <v>26</v>
      </c>
      <c r="E1289" s="56" t="s">
        <v>6586</v>
      </c>
      <c r="F1289" s="26" t="s">
        <v>3923</v>
      </c>
      <c r="G1289" s="26" t="s">
        <v>12</v>
      </c>
      <c r="H1289" s="26" t="s">
        <v>13</v>
      </c>
      <c r="I1289" s="26" t="s">
        <v>3924</v>
      </c>
      <c r="J1289" s="26" t="s">
        <v>9074</v>
      </c>
      <c r="K1289" s="26" t="s">
        <v>3954</v>
      </c>
      <c r="L1289" s="26" t="s">
        <v>3927</v>
      </c>
      <c r="M1289" s="55" t="s">
        <v>8362</v>
      </c>
      <c r="N1289" s="26" t="s">
        <v>3924</v>
      </c>
    </row>
    <row r="1290" spans="1:14" ht="75" customHeight="1" thickTop="1" thickBot="1">
      <c r="A1290" s="26">
        <v>1288</v>
      </c>
      <c r="B1290" s="26">
        <v>1292</v>
      </c>
      <c r="C1290" s="57" t="s">
        <v>9108</v>
      </c>
      <c r="D1290" s="56" t="s">
        <v>26</v>
      </c>
      <c r="E1290" s="56" t="s">
        <v>6438</v>
      </c>
      <c r="F1290" s="26" t="s">
        <v>3995</v>
      </c>
      <c r="G1290" s="26" t="s">
        <v>16</v>
      </c>
      <c r="H1290" s="26" t="s">
        <v>13</v>
      </c>
      <c r="I1290" s="26" t="s">
        <v>3924</v>
      </c>
      <c r="J1290" s="26" t="s">
        <v>9109</v>
      </c>
      <c r="K1290" s="26" t="s">
        <v>6445</v>
      </c>
      <c r="L1290" s="26" t="s">
        <v>6469</v>
      </c>
      <c r="M1290" s="55" t="s">
        <v>9110</v>
      </c>
      <c r="N1290" s="26" t="s">
        <v>3924</v>
      </c>
    </row>
    <row r="1291" spans="1:14" ht="75" customHeight="1" thickTop="1" thickBot="1">
      <c r="A1291" s="34">
        <v>1289</v>
      </c>
      <c r="B1291" s="34">
        <v>1293</v>
      </c>
      <c r="C1291" s="57" t="s">
        <v>9111</v>
      </c>
      <c r="D1291" s="56" t="s">
        <v>26</v>
      </c>
      <c r="E1291" s="56" t="s">
        <v>6586</v>
      </c>
      <c r="F1291" s="26" t="s">
        <v>3923</v>
      </c>
      <c r="G1291" s="26" t="s">
        <v>12</v>
      </c>
      <c r="H1291" s="26" t="s">
        <v>13</v>
      </c>
      <c r="I1291" s="26" t="s">
        <v>3924</v>
      </c>
      <c r="J1291" s="26" t="s">
        <v>9074</v>
      </c>
      <c r="K1291" s="26" t="s">
        <v>6445</v>
      </c>
      <c r="L1291" s="26" t="s">
        <v>6559</v>
      </c>
      <c r="M1291" s="55" t="s">
        <v>9112</v>
      </c>
      <c r="N1291" s="26" t="s">
        <v>3924</v>
      </c>
    </row>
    <row r="1292" spans="1:14" ht="75" customHeight="1" thickTop="1" thickBot="1">
      <c r="A1292" s="26">
        <v>1290</v>
      </c>
      <c r="B1292" s="26">
        <v>1294</v>
      </c>
      <c r="C1292" s="57" t="s">
        <v>9113</v>
      </c>
      <c r="D1292" s="56" t="s">
        <v>26</v>
      </c>
      <c r="E1292" s="56" t="s">
        <v>27</v>
      </c>
      <c r="F1292" s="26" t="s">
        <v>3995</v>
      </c>
      <c r="G1292" s="26" t="s">
        <v>6265</v>
      </c>
      <c r="H1292" s="26" t="s">
        <v>717</v>
      </c>
      <c r="I1292" s="26" t="s">
        <v>3924</v>
      </c>
      <c r="J1292" s="26" t="s">
        <v>9114</v>
      </c>
      <c r="K1292" s="26" t="s">
        <v>6434</v>
      </c>
      <c r="L1292" s="26" t="s">
        <v>6493</v>
      </c>
      <c r="M1292" s="55" t="s">
        <v>9115</v>
      </c>
      <c r="N1292" s="26" t="s">
        <v>3924</v>
      </c>
    </row>
    <row r="1293" spans="1:14" ht="75" customHeight="1" thickTop="1" thickBot="1">
      <c r="A1293" s="34">
        <v>1291</v>
      </c>
      <c r="B1293" s="34">
        <v>1295</v>
      </c>
      <c r="C1293" s="57" t="s">
        <v>9113</v>
      </c>
      <c r="D1293" s="56" t="s">
        <v>26</v>
      </c>
      <c r="E1293" s="56" t="s">
        <v>6586</v>
      </c>
      <c r="F1293" s="26" t="s">
        <v>3923</v>
      </c>
      <c r="G1293" s="26" t="s">
        <v>12</v>
      </c>
      <c r="H1293" s="26" t="s">
        <v>13</v>
      </c>
      <c r="I1293" s="26" t="s">
        <v>3924</v>
      </c>
      <c r="J1293" s="26" t="s">
        <v>9074</v>
      </c>
      <c r="K1293" s="26" t="s">
        <v>6434</v>
      </c>
      <c r="L1293" s="26" t="s">
        <v>6559</v>
      </c>
      <c r="M1293" s="55" t="s">
        <v>9106</v>
      </c>
      <c r="N1293" s="26" t="s">
        <v>3924</v>
      </c>
    </row>
    <row r="1294" spans="1:14" ht="75" customHeight="1" thickTop="1" thickBot="1">
      <c r="A1294" s="26">
        <v>1292</v>
      </c>
      <c r="B1294" s="34">
        <v>1296</v>
      </c>
      <c r="C1294" s="57" t="s">
        <v>9113</v>
      </c>
      <c r="D1294" s="56" t="s">
        <v>26</v>
      </c>
      <c r="E1294" s="56" t="s">
        <v>6586</v>
      </c>
      <c r="F1294" s="26" t="s">
        <v>3923</v>
      </c>
      <c r="G1294" s="26" t="s">
        <v>12</v>
      </c>
      <c r="H1294" s="26" t="s">
        <v>13</v>
      </c>
      <c r="I1294" s="26" t="s">
        <v>3924</v>
      </c>
      <c r="J1294" s="26" t="s">
        <v>9074</v>
      </c>
      <c r="K1294" s="26" t="s">
        <v>3954</v>
      </c>
      <c r="L1294" s="26" t="s">
        <v>3927</v>
      </c>
      <c r="M1294" s="55" t="s">
        <v>8372</v>
      </c>
      <c r="N1294" s="26" t="s">
        <v>3924</v>
      </c>
    </row>
    <row r="1295" spans="1:14" ht="75" customHeight="1" thickTop="1" thickBot="1">
      <c r="A1295" s="34">
        <v>1293</v>
      </c>
      <c r="B1295" s="26">
        <v>1297</v>
      </c>
      <c r="C1295" s="57" t="s">
        <v>9116</v>
      </c>
      <c r="D1295" s="56" t="s">
        <v>26</v>
      </c>
      <c r="E1295" s="56" t="s">
        <v>6586</v>
      </c>
      <c r="F1295" s="26" t="s">
        <v>3923</v>
      </c>
      <c r="G1295" s="26" t="s">
        <v>12</v>
      </c>
      <c r="H1295" s="26" t="s">
        <v>13</v>
      </c>
      <c r="I1295" s="26" t="s">
        <v>3924</v>
      </c>
      <c r="J1295" s="26" t="s">
        <v>9117</v>
      </c>
      <c r="K1295" s="26" t="s">
        <v>3954</v>
      </c>
      <c r="L1295" s="26" t="s">
        <v>3927</v>
      </c>
      <c r="M1295" s="55" t="s">
        <v>8362</v>
      </c>
      <c r="N1295" s="26" t="s">
        <v>3924</v>
      </c>
    </row>
    <row r="1296" spans="1:14" ht="75" customHeight="1" thickTop="1" thickBot="1">
      <c r="A1296" s="26">
        <v>1294</v>
      </c>
      <c r="B1296" s="34">
        <v>1298</v>
      </c>
      <c r="C1296" s="57" t="s">
        <v>9118</v>
      </c>
      <c r="D1296" s="56" t="s">
        <v>26</v>
      </c>
      <c r="E1296" s="56" t="s">
        <v>6586</v>
      </c>
      <c r="F1296" s="26" t="s">
        <v>3923</v>
      </c>
      <c r="G1296" s="26" t="s">
        <v>12</v>
      </c>
      <c r="H1296" s="26" t="s">
        <v>13</v>
      </c>
      <c r="I1296" s="26" t="s">
        <v>3924</v>
      </c>
      <c r="J1296" s="26" t="s">
        <v>9117</v>
      </c>
      <c r="K1296" s="26" t="s">
        <v>6445</v>
      </c>
      <c r="L1296" s="26" t="s">
        <v>4942</v>
      </c>
      <c r="M1296" s="55" t="s">
        <v>9119</v>
      </c>
      <c r="N1296" s="26" t="s">
        <v>3924</v>
      </c>
    </row>
    <row r="1297" spans="1:14" ht="75" customHeight="1" thickTop="1" thickBot="1">
      <c r="A1297" s="34">
        <v>1295</v>
      </c>
      <c r="B1297" s="26">
        <v>1299</v>
      </c>
      <c r="C1297" s="57" t="s">
        <v>9120</v>
      </c>
      <c r="D1297" s="56" t="s">
        <v>26</v>
      </c>
      <c r="E1297" s="56" t="s">
        <v>6586</v>
      </c>
      <c r="F1297" s="26" t="s">
        <v>3923</v>
      </c>
      <c r="G1297" s="26" t="s">
        <v>12</v>
      </c>
      <c r="H1297" s="26" t="s">
        <v>13</v>
      </c>
      <c r="I1297" s="26" t="s">
        <v>3924</v>
      </c>
      <c r="J1297" s="26" t="s">
        <v>9117</v>
      </c>
      <c r="K1297" s="26" t="s">
        <v>6445</v>
      </c>
      <c r="L1297" s="26" t="s">
        <v>4942</v>
      </c>
      <c r="M1297" s="55" t="s">
        <v>9121</v>
      </c>
      <c r="N1297" s="26" t="s">
        <v>3924</v>
      </c>
    </row>
    <row r="1298" spans="1:14" ht="75" customHeight="1" thickTop="1" thickBot="1">
      <c r="A1298" s="26">
        <v>1296</v>
      </c>
      <c r="B1298" s="34">
        <v>1300</v>
      </c>
      <c r="C1298" s="57" t="s">
        <v>9120</v>
      </c>
      <c r="D1298" s="56" t="s">
        <v>26</v>
      </c>
      <c r="E1298" s="56" t="s">
        <v>6586</v>
      </c>
      <c r="F1298" s="26" t="s">
        <v>3923</v>
      </c>
      <c r="G1298" s="26" t="s">
        <v>12</v>
      </c>
      <c r="H1298" s="26" t="s">
        <v>13</v>
      </c>
      <c r="I1298" s="26" t="s">
        <v>3924</v>
      </c>
      <c r="J1298" s="26" t="s">
        <v>9117</v>
      </c>
      <c r="K1298" s="26" t="s">
        <v>6552</v>
      </c>
      <c r="L1298" s="26" t="s">
        <v>4942</v>
      </c>
      <c r="M1298" s="55" t="s">
        <v>9122</v>
      </c>
      <c r="N1298" s="26" t="s">
        <v>3924</v>
      </c>
    </row>
    <row r="1299" spans="1:14" ht="75" customHeight="1" thickTop="1" thickBot="1">
      <c r="A1299" s="34">
        <v>1297</v>
      </c>
      <c r="B1299" s="26">
        <v>1301</v>
      </c>
      <c r="C1299" s="57" t="s">
        <v>9123</v>
      </c>
      <c r="D1299" s="56" t="s">
        <v>26</v>
      </c>
      <c r="E1299" s="56" t="s">
        <v>6586</v>
      </c>
      <c r="F1299" s="26" t="s">
        <v>3923</v>
      </c>
      <c r="G1299" s="26" t="s">
        <v>12</v>
      </c>
      <c r="H1299" s="26" t="s">
        <v>13</v>
      </c>
      <c r="I1299" s="26" t="s">
        <v>3924</v>
      </c>
      <c r="J1299" s="26" t="s">
        <v>9117</v>
      </c>
      <c r="K1299" s="26" t="s">
        <v>6552</v>
      </c>
      <c r="L1299" s="26" t="s">
        <v>4942</v>
      </c>
      <c r="M1299" s="55" t="s">
        <v>9124</v>
      </c>
      <c r="N1299" s="26" t="s">
        <v>3924</v>
      </c>
    </row>
    <row r="1300" spans="1:14" ht="75" customHeight="1" thickTop="1" thickBot="1">
      <c r="A1300" s="26">
        <v>1298</v>
      </c>
      <c r="B1300" s="34">
        <v>1302</v>
      </c>
      <c r="C1300" s="57" t="s">
        <v>9123</v>
      </c>
      <c r="D1300" s="56" t="s">
        <v>26</v>
      </c>
      <c r="E1300" s="56" t="s">
        <v>6586</v>
      </c>
      <c r="F1300" s="26" t="s">
        <v>3923</v>
      </c>
      <c r="G1300" s="26" t="s">
        <v>12</v>
      </c>
      <c r="H1300" s="26" t="s">
        <v>13</v>
      </c>
      <c r="I1300" s="26" t="s">
        <v>3924</v>
      </c>
      <c r="J1300" s="26" t="s">
        <v>9125</v>
      </c>
      <c r="K1300" s="26" t="s">
        <v>6440</v>
      </c>
      <c r="L1300" s="26" t="s">
        <v>6559</v>
      </c>
      <c r="M1300" s="55" t="s">
        <v>9112</v>
      </c>
      <c r="N1300" s="26" t="s">
        <v>3924</v>
      </c>
    </row>
    <row r="1301" spans="1:14" ht="75" customHeight="1" thickTop="1" thickBot="1">
      <c r="A1301" s="34">
        <v>1299</v>
      </c>
      <c r="B1301" s="34">
        <v>1303</v>
      </c>
      <c r="C1301" s="57" t="s">
        <v>9126</v>
      </c>
      <c r="D1301" s="56" t="s">
        <v>26</v>
      </c>
      <c r="E1301" s="56" t="s">
        <v>6586</v>
      </c>
      <c r="F1301" s="26" t="s">
        <v>3923</v>
      </c>
      <c r="G1301" s="26" t="s">
        <v>12</v>
      </c>
      <c r="H1301" s="26" t="s">
        <v>13</v>
      </c>
      <c r="I1301" s="26" t="s">
        <v>3924</v>
      </c>
      <c r="J1301" s="26" t="s">
        <v>9125</v>
      </c>
      <c r="K1301" s="26" t="s">
        <v>6434</v>
      </c>
      <c r="L1301" s="26" t="s">
        <v>4942</v>
      </c>
      <c r="M1301" s="55" t="s">
        <v>9122</v>
      </c>
      <c r="N1301" s="26" t="s">
        <v>3924</v>
      </c>
    </row>
    <row r="1302" spans="1:14" ht="75" customHeight="1" thickTop="1" thickBot="1">
      <c r="A1302" s="26">
        <v>1300</v>
      </c>
      <c r="B1302" s="26">
        <v>1304</v>
      </c>
      <c r="C1302" s="57" t="s">
        <v>9127</v>
      </c>
      <c r="D1302" s="56" t="s">
        <v>26</v>
      </c>
      <c r="E1302" s="56" t="s">
        <v>6586</v>
      </c>
      <c r="F1302" s="26" t="s">
        <v>3923</v>
      </c>
      <c r="G1302" s="26" t="s">
        <v>12</v>
      </c>
      <c r="H1302" s="26" t="s">
        <v>13</v>
      </c>
      <c r="I1302" s="26" t="s">
        <v>3924</v>
      </c>
      <c r="J1302" s="26" t="s">
        <v>9125</v>
      </c>
      <c r="K1302" s="26" t="s">
        <v>6434</v>
      </c>
      <c r="L1302" s="26" t="s">
        <v>6435</v>
      </c>
      <c r="M1302" s="55" t="s">
        <v>9128</v>
      </c>
      <c r="N1302" s="26" t="s">
        <v>3924</v>
      </c>
    </row>
    <row r="1303" spans="1:14" ht="75" customHeight="1" thickTop="1" thickBot="1">
      <c r="A1303" s="34">
        <v>1301</v>
      </c>
      <c r="B1303" s="34">
        <v>1305</v>
      </c>
      <c r="C1303" s="57" t="s">
        <v>9129</v>
      </c>
      <c r="D1303" s="56" t="s">
        <v>26</v>
      </c>
      <c r="E1303" s="56" t="s">
        <v>6586</v>
      </c>
      <c r="F1303" s="26" t="s">
        <v>3923</v>
      </c>
      <c r="G1303" s="26" t="s">
        <v>12</v>
      </c>
      <c r="H1303" s="26" t="s">
        <v>13</v>
      </c>
      <c r="I1303" s="26" t="s">
        <v>3924</v>
      </c>
      <c r="J1303" s="26" t="s">
        <v>9125</v>
      </c>
      <c r="K1303" s="26" t="s">
        <v>6434</v>
      </c>
      <c r="L1303" s="26" t="s">
        <v>6805</v>
      </c>
      <c r="M1303" s="55" t="s">
        <v>9130</v>
      </c>
      <c r="N1303" s="26" t="s">
        <v>3924</v>
      </c>
    </row>
    <row r="1304" spans="1:14" ht="75" customHeight="1" thickTop="1" thickBot="1">
      <c r="A1304" s="26">
        <v>1302</v>
      </c>
      <c r="B1304" s="26">
        <v>1306</v>
      </c>
      <c r="C1304" s="57" t="s">
        <v>9131</v>
      </c>
      <c r="D1304" s="56" t="s">
        <v>26</v>
      </c>
      <c r="E1304" s="56" t="s">
        <v>6586</v>
      </c>
      <c r="F1304" s="26" t="s">
        <v>3923</v>
      </c>
      <c r="G1304" s="26" t="s">
        <v>12</v>
      </c>
      <c r="H1304" s="26" t="s">
        <v>13</v>
      </c>
      <c r="I1304" s="26" t="s">
        <v>3924</v>
      </c>
      <c r="J1304" s="26" t="s">
        <v>9125</v>
      </c>
      <c r="K1304" s="26" t="s">
        <v>6434</v>
      </c>
      <c r="L1304" s="26" t="s">
        <v>6559</v>
      </c>
      <c r="M1304" s="55" t="s">
        <v>9112</v>
      </c>
      <c r="N1304" s="26" t="s">
        <v>3924</v>
      </c>
    </row>
    <row r="1305" spans="1:14" ht="75" customHeight="1" thickTop="1" thickBot="1">
      <c r="A1305" s="34">
        <v>1303</v>
      </c>
      <c r="B1305" s="34">
        <v>1307</v>
      </c>
      <c r="C1305" s="57" t="s">
        <v>9131</v>
      </c>
      <c r="D1305" s="56" t="s">
        <v>26</v>
      </c>
      <c r="E1305" s="56" t="s">
        <v>6586</v>
      </c>
      <c r="F1305" s="26" t="s">
        <v>3923</v>
      </c>
      <c r="G1305" s="26" t="s">
        <v>12</v>
      </c>
      <c r="H1305" s="26" t="s">
        <v>13</v>
      </c>
      <c r="I1305" s="26" t="s">
        <v>3924</v>
      </c>
      <c r="J1305" s="26" t="s">
        <v>9125</v>
      </c>
      <c r="K1305" s="26" t="s">
        <v>6440</v>
      </c>
      <c r="L1305" s="26" t="s">
        <v>4942</v>
      </c>
      <c r="M1305" s="55" t="s">
        <v>9132</v>
      </c>
      <c r="N1305" s="26" t="s">
        <v>3924</v>
      </c>
    </row>
    <row r="1306" spans="1:14" ht="75" customHeight="1" thickTop="1" thickBot="1">
      <c r="A1306" s="26">
        <v>1304</v>
      </c>
      <c r="B1306" s="26">
        <v>1308</v>
      </c>
      <c r="C1306" s="57" t="s">
        <v>9133</v>
      </c>
      <c r="D1306" s="56" t="s">
        <v>26</v>
      </c>
      <c r="E1306" s="56" t="s">
        <v>6586</v>
      </c>
      <c r="F1306" s="26" t="s">
        <v>3923</v>
      </c>
      <c r="G1306" s="26" t="s">
        <v>12</v>
      </c>
      <c r="H1306" s="26" t="s">
        <v>13</v>
      </c>
      <c r="I1306" s="26" t="s">
        <v>3924</v>
      </c>
      <c r="J1306" s="26" t="s">
        <v>9125</v>
      </c>
      <c r="K1306" s="26" t="s">
        <v>6440</v>
      </c>
      <c r="L1306" s="26" t="s">
        <v>6455</v>
      </c>
      <c r="M1306" s="55" t="s">
        <v>9134</v>
      </c>
      <c r="N1306" s="26" t="s">
        <v>3924</v>
      </c>
    </row>
    <row r="1307" spans="1:14" ht="75" customHeight="1" thickTop="1" thickBot="1">
      <c r="A1307" s="34">
        <v>1305</v>
      </c>
      <c r="B1307" s="34">
        <v>1309</v>
      </c>
      <c r="C1307" s="57" t="s">
        <v>9133</v>
      </c>
      <c r="D1307" s="56" t="s">
        <v>26</v>
      </c>
      <c r="E1307" s="56" t="s">
        <v>6586</v>
      </c>
      <c r="F1307" s="26" t="s">
        <v>3923</v>
      </c>
      <c r="G1307" s="26" t="s">
        <v>12</v>
      </c>
      <c r="H1307" s="26" t="s">
        <v>13</v>
      </c>
      <c r="I1307" s="26" t="s">
        <v>3924</v>
      </c>
      <c r="J1307" s="26" t="s">
        <v>9125</v>
      </c>
      <c r="K1307" s="26" t="s">
        <v>3954</v>
      </c>
      <c r="L1307" s="26" t="s">
        <v>3927</v>
      </c>
      <c r="M1307" s="55" t="s">
        <v>8372</v>
      </c>
      <c r="N1307" s="26" t="s">
        <v>3924</v>
      </c>
    </row>
    <row r="1308" spans="1:14" ht="75" customHeight="1" thickTop="1" thickBot="1">
      <c r="A1308" s="26">
        <v>1306</v>
      </c>
      <c r="B1308" s="34">
        <v>1310</v>
      </c>
      <c r="C1308" s="57" t="s">
        <v>9133</v>
      </c>
      <c r="D1308" s="56" t="s">
        <v>26</v>
      </c>
      <c r="E1308" s="56" t="s">
        <v>6586</v>
      </c>
      <c r="F1308" s="26" t="s">
        <v>3923</v>
      </c>
      <c r="G1308" s="26" t="s">
        <v>12</v>
      </c>
      <c r="H1308" s="26" t="s">
        <v>13</v>
      </c>
      <c r="I1308" s="26" t="s">
        <v>3924</v>
      </c>
      <c r="J1308" s="26" t="s">
        <v>9125</v>
      </c>
      <c r="K1308" s="26" t="s">
        <v>3954</v>
      </c>
      <c r="L1308" s="26" t="s">
        <v>3927</v>
      </c>
      <c r="M1308" s="55" t="s">
        <v>8362</v>
      </c>
      <c r="N1308" s="26" t="s">
        <v>3924</v>
      </c>
    </row>
    <row r="1309" spans="1:14" ht="75" customHeight="1" thickTop="1" thickBot="1">
      <c r="A1309" s="34">
        <v>1307</v>
      </c>
      <c r="B1309" s="26">
        <v>1311</v>
      </c>
      <c r="C1309" s="57" t="s">
        <v>9135</v>
      </c>
      <c r="D1309" s="56" t="s">
        <v>26</v>
      </c>
      <c r="E1309" s="56" t="s">
        <v>6586</v>
      </c>
      <c r="F1309" s="26" t="s">
        <v>3923</v>
      </c>
      <c r="G1309" s="26" t="s">
        <v>12</v>
      </c>
      <c r="H1309" s="26" t="s">
        <v>13</v>
      </c>
      <c r="I1309" s="26" t="s">
        <v>3924</v>
      </c>
      <c r="J1309" s="26" t="s">
        <v>9136</v>
      </c>
      <c r="K1309" s="26" t="s">
        <v>6434</v>
      </c>
      <c r="L1309" s="26" t="s">
        <v>3927</v>
      </c>
      <c r="M1309" s="55" t="s">
        <v>9137</v>
      </c>
      <c r="N1309" s="26" t="s">
        <v>3924</v>
      </c>
    </row>
    <row r="1310" spans="1:14" ht="75" customHeight="1" thickTop="1" thickBot="1">
      <c r="A1310" s="26">
        <v>1308</v>
      </c>
      <c r="B1310" s="34">
        <v>1312</v>
      </c>
      <c r="C1310" s="57" t="s">
        <v>9135</v>
      </c>
      <c r="D1310" s="56" t="s">
        <v>26</v>
      </c>
      <c r="E1310" s="56" t="s">
        <v>6586</v>
      </c>
      <c r="F1310" s="26" t="s">
        <v>3923</v>
      </c>
      <c r="G1310" s="26" t="s">
        <v>12</v>
      </c>
      <c r="H1310" s="26" t="s">
        <v>13</v>
      </c>
      <c r="I1310" s="26" t="s">
        <v>3924</v>
      </c>
      <c r="J1310" s="26" t="s">
        <v>9136</v>
      </c>
      <c r="K1310" s="26" t="s">
        <v>6445</v>
      </c>
      <c r="L1310" s="26" t="s">
        <v>6435</v>
      </c>
      <c r="M1310" s="55" t="s">
        <v>9138</v>
      </c>
      <c r="N1310" s="26" t="s">
        <v>3924</v>
      </c>
    </row>
    <row r="1311" spans="1:14" ht="75" customHeight="1" thickTop="1" thickBot="1">
      <c r="A1311" s="34">
        <v>1309</v>
      </c>
      <c r="B1311" s="26">
        <v>1313</v>
      </c>
      <c r="C1311" s="57" t="s">
        <v>9139</v>
      </c>
      <c r="D1311" s="56" t="s">
        <v>26</v>
      </c>
      <c r="E1311" s="56" t="s">
        <v>8550</v>
      </c>
      <c r="F1311" s="26" t="s">
        <v>3995</v>
      </c>
      <c r="G1311" s="26" t="s">
        <v>1419</v>
      </c>
      <c r="H1311" s="26" t="s">
        <v>13</v>
      </c>
      <c r="I1311" s="26" t="s">
        <v>3924</v>
      </c>
      <c r="J1311" s="26" t="s">
        <v>9101</v>
      </c>
      <c r="K1311" s="26" t="s">
        <v>6440</v>
      </c>
      <c r="L1311" s="26" t="s">
        <v>3927</v>
      </c>
      <c r="M1311" s="55" t="s">
        <v>9140</v>
      </c>
      <c r="N1311" s="26" t="s">
        <v>3924</v>
      </c>
    </row>
    <row r="1312" spans="1:14" ht="75" customHeight="1" thickTop="1" thickBot="1">
      <c r="A1312" s="26">
        <v>1310</v>
      </c>
      <c r="B1312" s="34">
        <v>1314</v>
      </c>
      <c r="C1312" s="57" t="s">
        <v>9139</v>
      </c>
      <c r="D1312" s="56" t="s">
        <v>26</v>
      </c>
      <c r="E1312" s="56" t="s">
        <v>6586</v>
      </c>
      <c r="F1312" s="26" t="s">
        <v>3923</v>
      </c>
      <c r="G1312" s="26" t="s">
        <v>12</v>
      </c>
      <c r="H1312" s="26" t="s">
        <v>13</v>
      </c>
      <c r="I1312" s="26" t="s">
        <v>3924</v>
      </c>
      <c r="J1312" s="26" t="s">
        <v>9136</v>
      </c>
      <c r="K1312" s="26" t="s">
        <v>6434</v>
      </c>
      <c r="L1312" s="26" t="s">
        <v>6469</v>
      </c>
      <c r="M1312" s="55" t="s">
        <v>9141</v>
      </c>
      <c r="N1312" s="26" t="s">
        <v>3924</v>
      </c>
    </row>
    <row r="1313" spans="1:14" ht="75" customHeight="1" thickTop="1" thickBot="1">
      <c r="A1313" s="34">
        <v>1311</v>
      </c>
      <c r="B1313" s="26">
        <v>1315</v>
      </c>
      <c r="C1313" s="57" t="s">
        <v>9139</v>
      </c>
      <c r="D1313" s="56" t="s">
        <v>26</v>
      </c>
      <c r="E1313" s="56" t="s">
        <v>6586</v>
      </c>
      <c r="F1313" s="26" t="s">
        <v>3923</v>
      </c>
      <c r="G1313" s="26" t="s">
        <v>12</v>
      </c>
      <c r="H1313" s="26" t="s">
        <v>13</v>
      </c>
      <c r="I1313" s="26" t="s">
        <v>3924</v>
      </c>
      <c r="J1313" s="26" t="s">
        <v>9136</v>
      </c>
      <c r="K1313" s="26" t="s">
        <v>6440</v>
      </c>
      <c r="L1313" s="26" t="s">
        <v>6469</v>
      </c>
      <c r="M1313" s="55" t="s">
        <v>9142</v>
      </c>
      <c r="N1313" s="26" t="s">
        <v>3924</v>
      </c>
    </row>
    <row r="1314" spans="1:14" ht="75" customHeight="1" thickTop="1" thickBot="1">
      <c r="A1314" s="26">
        <v>1312</v>
      </c>
      <c r="B1314" s="34">
        <v>1316</v>
      </c>
      <c r="C1314" s="57" t="s">
        <v>9143</v>
      </c>
      <c r="D1314" s="56" t="s">
        <v>26</v>
      </c>
      <c r="E1314" s="56" t="s">
        <v>8550</v>
      </c>
      <c r="F1314" s="26" t="s">
        <v>3995</v>
      </c>
      <c r="G1314" s="26" t="s">
        <v>16</v>
      </c>
      <c r="H1314" s="26" t="s">
        <v>13</v>
      </c>
      <c r="I1314" s="26" t="s">
        <v>3924</v>
      </c>
      <c r="J1314" s="26" t="s">
        <v>9109</v>
      </c>
      <c r="K1314" s="26" t="s">
        <v>6440</v>
      </c>
      <c r="L1314" s="26" t="s">
        <v>3927</v>
      </c>
      <c r="M1314" s="55" t="s">
        <v>9144</v>
      </c>
      <c r="N1314" s="26" t="s">
        <v>3924</v>
      </c>
    </row>
    <row r="1315" spans="1:14" ht="75" customHeight="1" thickTop="1" thickBot="1">
      <c r="A1315" s="34">
        <v>1313</v>
      </c>
      <c r="B1315" s="34">
        <v>1317</v>
      </c>
      <c r="C1315" s="57" t="s">
        <v>9143</v>
      </c>
      <c r="D1315" s="56" t="s">
        <v>26</v>
      </c>
      <c r="E1315" s="56" t="s">
        <v>6586</v>
      </c>
      <c r="F1315" s="26" t="s">
        <v>3923</v>
      </c>
      <c r="G1315" s="26" t="s">
        <v>12</v>
      </c>
      <c r="H1315" s="26" t="s">
        <v>13</v>
      </c>
      <c r="I1315" s="26" t="s">
        <v>3924</v>
      </c>
      <c r="J1315" s="26" t="s">
        <v>9136</v>
      </c>
      <c r="K1315" s="26" t="s">
        <v>6445</v>
      </c>
      <c r="L1315" s="26" t="s">
        <v>6435</v>
      </c>
      <c r="M1315" s="55" t="s">
        <v>9145</v>
      </c>
      <c r="N1315" s="26" t="s">
        <v>3924</v>
      </c>
    </row>
    <row r="1316" spans="1:14" ht="75" customHeight="1" thickTop="1" thickBot="1">
      <c r="A1316" s="26">
        <v>1314</v>
      </c>
      <c r="B1316" s="26">
        <v>1318</v>
      </c>
      <c r="C1316" s="57" t="s">
        <v>9146</v>
      </c>
      <c r="D1316" s="56" t="s">
        <v>26</v>
      </c>
      <c r="E1316" s="56" t="s">
        <v>6586</v>
      </c>
      <c r="F1316" s="26" t="s">
        <v>3923</v>
      </c>
      <c r="G1316" s="26" t="s">
        <v>12</v>
      </c>
      <c r="H1316" s="26" t="s">
        <v>13</v>
      </c>
      <c r="I1316" s="26" t="s">
        <v>3924</v>
      </c>
      <c r="J1316" s="26" t="s">
        <v>9147</v>
      </c>
      <c r="K1316" s="26" t="s">
        <v>3954</v>
      </c>
      <c r="L1316" s="26" t="s">
        <v>3927</v>
      </c>
      <c r="M1316" s="55" t="s">
        <v>8372</v>
      </c>
      <c r="N1316" s="26" t="s">
        <v>3924</v>
      </c>
    </row>
    <row r="1317" spans="1:14" ht="75" customHeight="1" thickTop="1" thickBot="1">
      <c r="A1317" s="34">
        <v>1315</v>
      </c>
      <c r="B1317" s="34">
        <v>1319</v>
      </c>
      <c r="C1317" s="57" t="s">
        <v>9146</v>
      </c>
      <c r="D1317" s="56" t="s">
        <v>26</v>
      </c>
      <c r="E1317" s="56" t="s">
        <v>6586</v>
      </c>
      <c r="F1317" s="26" t="s">
        <v>3923</v>
      </c>
      <c r="G1317" s="26" t="s">
        <v>12</v>
      </c>
      <c r="H1317" s="26" t="s">
        <v>13</v>
      </c>
      <c r="I1317" s="26" t="s">
        <v>3924</v>
      </c>
      <c r="J1317" s="26" t="s">
        <v>9147</v>
      </c>
      <c r="K1317" s="26" t="s">
        <v>3954</v>
      </c>
      <c r="L1317" s="26" t="s">
        <v>3927</v>
      </c>
      <c r="M1317" s="55" t="s">
        <v>8362</v>
      </c>
      <c r="N1317" s="26" t="s">
        <v>3924</v>
      </c>
    </row>
    <row r="1318" spans="1:14" ht="75" customHeight="1" thickTop="1" thickBot="1">
      <c r="A1318" s="26">
        <v>1316</v>
      </c>
      <c r="B1318" s="26">
        <v>1320</v>
      </c>
      <c r="C1318" s="57" t="s">
        <v>9146</v>
      </c>
      <c r="D1318" s="56" t="s">
        <v>26</v>
      </c>
      <c r="E1318" s="56" t="s">
        <v>6586</v>
      </c>
      <c r="F1318" s="26" t="s">
        <v>3923</v>
      </c>
      <c r="G1318" s="26" t="s">
        <v>12</v>
      </c>
      <c r="H1318" s="26" t="s">
        <v>13</v>
      </c>
      <c r="I1318" s="26" t="s">
        <v>3924</v>
      </c>
      <c r="J1318" s="26" t="s">
        <v>9147</v>
      </c>
      <c r="K1318" s="26" t="s">
        <v>6552</v>
      </c>
      <c r="L1318" s="26" t="s">
        <v>3927</v>
      </c>
      <c r="M1318" s="55" t="s">
        <v>9148</v>
      </c>
      <c r="N1318" s="26" t="s">
        <v>3924</v>
      </c>
    </row>
    <row r="1319" spans="1:14" ht="75" customHeight="1" thickTop="1" thickBot="1">
      <c r="A1319" s="34">
        <v>1317</v>
      </c>
      <c r="B1319" s="34">
        <v>1321</v>
      </c>
      <c r="C1319" s="57" t="s">
        <v>9149</v>
      </c>
      <c r="D1319" s="56" t="s">
        <v>26</v>
      </c>
      <c r="E1319" s="56" t="s">
        <v>6586</v>
      </c>
      <c r="F1319" s="26" t="s">
        <v>3923</v>
      </c>
      <c r="G1319" s="26" t="s">
        <v>12</v>
      </c>
      <c r="H1319" s="26" t="s">
        <v>13</v>
      </c>
      <c r="I1319" s="26" t="s">
        <v>3924</v>
      </c>
      <c r="J1319" s="26" t="s">
        <v>9147</v>
      </c>
      <c r="K1319" s="26" t="s">
        <v>6445</v>
      </c>
      <c r="L1319" s="26" t="s">
        <v>6469</v>
      </c>
      <c r="M1319" s="55" t="s">
        <v>9150</v>
      </c>
      <c r="N1319" s="26" t="s">
        <v>3924</v>
      </c>
    </row>
    <row r="1320" spans="1:14" ht="75" customHeight="1" thickTop="1" thickBot="1">
      <c r="A1320" s="26">
        <v>1318</v>
      </c>
      <c r="B1320" s="26">
        <v>1322</v>
      </c>
      <c r="C1320" s="57" t="s">
        <v>9149</v>
      </c>
      <c r="D1320" s="56" t="s">
        <v>26</v>
      </c>
      <c r="E1320" s="56" t="s">
        <v>6586</v>
      </c>
      <c r="F1320" s="26" t="s">
        <v>3923</v>
      </c>
      <c r="G1320" s="26" t="s">
        <v>12</v>
      </c>
      <c r="H1320" s="26" t="s">
        <v>13</v>
      </c>
      <c r="I1320" s="26" t="s">
        <v>3924</v>
      </c>
      <c r="J1320" s="26" t="s">
        <v>9147</v>
      </c>
      <c r="K1320" s="26" t="s">
        <v>6445</v>
      </c>
      <c r="L1320" s="26" t="s">
        <v>6435</v>
      </c>
      <c r="M1320" s="55" t="s">
        <v>9151</v>
      </c>
      <c r="N1320" s="26" t="s">
        <v>3924</v>
      </c>
    </row>
    <row r="1321" spans="1:14" ht="75" customHeight="1" thickTop="1" thickBot="1">
      <c r="A1321" s="34">
        <v>1319</v>
      </c>
      <c r="B1321" s="34">
        <v>1323</v>
      </c>
      <c r="C1321" s="57" t="s">
        <v>9149</v>
      </c>
      <c r="D1321" s="56" t="s">
        <v>26</v>
      </c>
      <c r="E1321" s="56" t="s">
        <v>6586</v>
      </c>
      <c r="F1321" s="26" t="s">
        <v>3923</v>
      </c>
      <c r="G1321" s="26" t="s">
        <v>12</v>
      </c>
      <c r="H1321" s="26" t="s">
        <v>13</v>
      </c>
      <c r="I1321" s="26" t="s">
        <v>3924</v>
      </c>
      <c r="J1321" s="26" t="s">
        <v>9147</v>
      </c>
      <c r="K1321" s="26" t="s">
        <v>6434</v>
      </c>
      <c r="L1321" s="26" t="s">
        <v>6435</v>
      </c>
      <c r="M1321" s="55" t="s">
        <v>4693</v>
      </c>
      <c r="N1321" s="26" t="s">
        <v>3924</v>
      </c>
    </row>
    <row r="1322" spans="1:14" ht="75" customHeight="1" thickTop="1" thickBot="1">
      <c r="A1322" s="26">
        <v>1320</v>
      </c>
      <c r="B1322" s="34">
        <v>1324</v>
      </c>
      <c r="C1322" s="57" t="s">
        <v>9152</v>
      </c>
      <c r="D1322" s="56" t="s">
        <v>26</v>
      </c>
      <c r="E1322" s="56" t="s">
        <v>6586</v>
      </c>
      <c r="F1322" s="26" t="s">
        <v>3923</v>
      </c>
      <c r="G1322" s="26" t="s">
        <v>6265</v>
      </c>
      <c r="H1322" s="26" t="s">
        <v>717</v>
      </c>
      <c r="I1322" s="26" t="s">
        <v>3924</v>
      </c>
      <c r="J1322" s="26" t="s">
        <v>9153</v>
      </c>
      <c r="K1322" s="26" t="s">
        <v>6445</v>
      </c>
      <c r="L1322" s="26" t="s">
        <v>6805</v>
      </c>
      <c r="M1322" s="55" t="s">
        <v>9154</v>
      </c>
      <c r="N1322" s="26" t="s">
        <v>3924</v>
      </c>
    </row>
    <row r="1323" spans="1:14" ht="75" customHeight="1" thickTop="1" thickBot="1">
      <c r="A1323" s="34">
        <v>1321</v>
      </c>
      <c r="B1323" s="26">
        <v>1325</v>
      </c>
      <c r="C1323" s="57" t="s">
        <v>9153</v>
      </c>
      <c r="D1323" s="56" t="s">
        <v>26</v>
      </c>
      <c r="E1323" s="56" t="s">
        <v>6586</v>
      </c>
      <c r="F1323" s="26" t="s">
        <v>3923</v>
      </c>
      <c r="G1323" s="26" t="s">
        <v>12</v>
      </c>
      <c r="H1323" s="26" t="s">
        <v>13</v>
      </c>
      <c r="I1323" s="26" t="s">
        <v>3924</v>
      </c>
      <c r="J1323" s="26" t="s">
        <v>9147</v>
      </c>
      <c r="K1323" s="26" t="s">
        <v>6445</v>
      </c>
      <c r="L1323" s="26" t="s">
        <v>6805</v>
      </c>
      <c r="M1323" s="55" t="s">
        <v>9155</v>
      </c>
      <c r="N1323" s="26" t="s">
        <v>3924</v>
      </c>
    </row>
    <row r="1324" spans="1:14" ht="75" customHeight="1" thickTop="1" thickBot="1">
      <c r="A1324" s="26">
        <v>1322</v>
      </c>
      <c r="B1324" s="34">
        <v>1326</v>
      </c>
      <c r="C1324" s="57" t="s">
        <v>9156</v>
      </c>
      <c r="D1324" s="56" t="s">
        <v>26</v>
      </c>
      <c r="E1324" s="56" t="s">
        <v>6586</v>
      </c>
      <c r="F1324" s="26" t="s">
        <v>3923</v>
      </c>
      <c r="G1324" s="26" t="s">
        <v>12</v>
      </c>
      <c r="H1324" s="26" t="s">
        <v>13</v>
      </c>
      <c r="I1324" s="26" t="s">
        <v>3924</v>
      </c>
      <c r="J1324" s="26" t="s">
        <v>9136</v>
      </c>
      <c r="K1324" s="26" t="s">
        <v>6440</v>
      </c>
      <c r="L1324" s="26" t="s">
        <v>6469</v>
      </c>
      <c r="M1324" s="55" t="s">
        <v>9157</v>
      </c>
      <c r="N1324" s="26" t="s">
        <v>3924</v>
      </c>
    </row>
    <row r="1325" spans="1:14" ht="75" customHeight="1" thickTop="1" thickBot="1">
      <c r="A1325" s="34">
        <v>1323</v>
      </c>
      <c r="B1325" s="26">
        <v>1327</v>
      </c>
      <c r="C1325" s="57" t="s">
        <v>9156</v>
      </c>
      <c r="D1325" s="56" t="s">
        <v>26</v>
      </c>
      <c r="E1325" s="56" t="s">
        <v>6586</v>
      </c>
      <c r="F1325" s="26" t="s">
        <v>3923</v>
      </c>
      <c r="G1325" s="26" t="s">
        <v>12</v>
      </c>
      <c r="H1325" s="26" t="s">
        <v>13</v>
      </c>
      <c r="I1325" s="26" t="s">
        <v>3924</v>
      </c>
      <c r="J1325" s="26" t="s">
        <v>9136</v>
      </c>
      <c r="K1325" s="26" t="s">
        <v>3954</v>
      </c>
      <c r="L1325" s="26" t="s">
        <v>3927</v>
      </c>
      <c r="M1325" s="55" t="s">
        <v>8372</v>
      </c>
      <c r="N1325" s="26" t="s">
        <v>3924</v>
      </c>
    </row>
    <row r="1326" spans="1:14" ht="75" customHeight="1" thickTop="1" thickBot="1">
      <c r="A1326" s="26">
        <v>1324</v>
      </c>
      <c r="B1326" s="34">
        <v>1328</v>
      </c>
      <c r="C1326" s="57" t="s">
        <v>9156</v>
      </c>
      <c r="D1326" s="56" t="s">
        <v>26</v>
      </c>
      <c r="E1326" s="56" t="s">
        <v>6586</v>
      </c>
      <c r="F1326" s="26" t="s">
        <v>3923</v>
      </c>
      <c r="G1326" s="26" t="s">
        <v>12</v>
      </c>
      <c r="H1326" s="26" t="s">
        <v>13</v>
      </c>
      <c r="I1326" s="26" t="s">
        <v>3924</v>
      </c>
      <c r="J1326" s="26" t="s">
        <v>9136</v>
      </c>
      <c r="K1326" s="26" t="s">
        <v>3954</v>
      </c>
      <c r="L1326" s="26" t="s">
        <v>3927</v>
      </c>
      <c r="M1326" s="55" t="s">
        <v>8362</v>
      </c>
      <c r="N1326" s="26" t="s">
        <v>3924</v>
      </c>
    </row>
    <row r="1327" spans="1:14" ht="75" customHeight="1" thickTop="1" thickBot="1">
      <c r="A1327" s="34">
        <v>1325</v>
      </c>
      <c r="B1327" s="26">
        <v>1329</v>
      </c>
      <c r="C1327" s="57" t="s">
        <v>9158</v>
      </c>
      <c r="D1327" s="56" t="s">
        <v>26</v>
      </c>
      <c r="E1327" s="56" t="s">
        <v>6586</v>
      </c>
      <c r="F1327" s="26" t="s">
        <v>3923</v>
      </c>
      <c r="G1327" s="26" t="s">
        <v>12</v>
      </c>
      <c r="H1327" s="26" t="s">
        <v>13</v>
      </c>
      <c r="I1327" s="26" t="s">
        <v>3924</v>
      </c>
      <c r="J1327" s="26" t="s">
        <v>9159</v>
      </c>
      <c r="K1327" s="26" t="s">
        <v>6483</v>
      </c>
      <c r="L1327" s="26" t="s">
        <v>6451</v>
      </c>
      <c r="M1327" s="55" t="s">
        <v>9160</v>
      </c>
      <c r="N1327" s="26" t="s">
        <v>3924</v>
      </c>
    </row>
    <row r="1328" spans="1:14" ht="75" customHeight="1" thickTop="1" thickBot="1">
      <c r="A1328" s="26">
        <v>1326</v>
      </c>
      <c r="B1328" s="34">
        <v>1330</v>
      </c>
      <c r="C1328" s="57" t="s">
        <v>9161</v>
      </c>
      <c r="D1328" s="56" t="s">
        <v>26</v>
      </c>
      <c r="E1328" s="56" t="s">
        <v>6586</v>
      </c>
      <c r="F1328" s="26" t="s">
        <v>3923</v>
      </c>
      <c r="G1328" s="26" t="s">
        <v>12</v>
      </c>
      <c r="H1328" s="26" t="s">
        <v>13</v>
      </c>
      <c r="I1328" s="26" t="s">
        <v>3924</v>
      </c>
      <c r="J1328" s="26" t="s">
        <v>9159</v>
      </c>
      <c r="K1328" s="26" t="s">
        <v>6434</v>
      </c>
      <c r="L1328" s="26" t="s">
        <v>6469</v>
      </c>
      <c r="M1328" s="55" t="s">
        <v>9162</v>
      </c>
      <c r="N1328" s="26" t="s">
        <v>3924</v>
      </c>
    </row>
    <row r="1329" spans="1:14" ht="75" customHeight="1" thickTop="1" thickBot="1">
      <c r="A1329" s="34">
        <v>1327</v>
      </c>
      <c r="B1329" s="34">
        <v>1331</v>
      </c>
      <c r="C1329" s="57" t="s">
        <v>9161</v>
      </c>
      <c r="D1329" s="56" t="s">
        <v>26</v>
      </c>
      <c r="E1329" s="56" t="s">
        <v>6586</v>
      </c>
      <c r="F1329" s="26" t="s">
        <v>3923</v>
      </c>
      <c r="G1329" s="26" t="s">
        <v>12</v>
      </c>
      <c r="H1329" s="26" t="s">
        <v>13</v>
      </c>
      <c r="I1329" s="26" t="s">
        <v>3924</v>
      </c>
      <c r="J1329" s="26" t="s">
        <v>9159</v>
      </c>
      <c r="K1329" s="26" t="s">
        <v>3954</v>
      </c>
      <c r="L1329" s="26" t="s">
        <v>3927</v>
      </c>
      <c r="M1329" s="55" t="s">
        <v>8372</v>
      </c>
      <c r="N1329" s="26" t="s">
        <v>3924</v>
      </c>
    </row>
    <row r="1330" spans="1:14" ht="75" customHeight="1" thickTop="1" thickBot="1">
      <c r="A1330" s="26">
        <v>1328</v>
      </c>
      <c r="B1330" s="26">
        <v>1332</v>
      </c>
      <c r="C1330" s="57" t="s">
        <v>9163</v>
      </c>
      <c r="D1330" s="56" t="s">
        <v>26</v>
      </c>
      <c r="E1330" s="56" t="s">
        <v>6586</v>
      </c>
      <c r="F1330" s="26" t="s">
        <v>3923</v>
      </c>
      <c r="G1330" s="26" t="s">
        <v>12</v>
      </c>
      <c r="H1330" s="26" t="s">
        <v>13</v>
      </c>
      <c r="I1330" s="26" t="s">
        <v>3924</v>
      </c>
      <c r="J1330" s="26" t="s">
        <v>9159</v>
      </c>
      <c r="K1330" s="26" t="s">
        <v>3954</v>
      </c>
      <c r="L1330" s="26" t="s">
        <v>3927</v>
      </c>
      <c r="M1330" s="55" t="s">
        <v>8362</v>
      </c>
      <c r="N1330" s="26" t="s">
        <v>3924</v>
      </c>
    </row>
    <row r="1331" spans="1:14" ht="75" customHeight="1" thickTop="1" thickBot="1">
      <c r="A1331" s="34">
        <v>1329</v>
      </c>
      <c r="B1331" s="34">
        <v>1333</v>
      </c>
      <c r="C1331" s="57" t="s">
        <v>9163</v>
      </c>
      <c r="D1331" s="56" t="s">
        <v>26</v>
      </c>
      <c r="E1331" s="56" t="s">
        <v>6586</v>
      </c>
      <c r="F1331" s="26" t="s">
        <v>3923</v>
      </c>
      <c r="G1331" s="26" t="s">
        <v>12</v>
      </c>
      <c r="H1331" s="26" t="s">
        <v>13</v>
      </c>
      <c r="I1331" s="26" t="s">
        <v>3924</v>
      </c>
      <c r="J1331" s="26" t="s">
        <v>9159</v>
      </c>
      <c r="K1331" s="26" t="s">
        <v>6440</v>
      </c>
      <c r="L1331" s="26" t="s">
        <v>6469</v>
      </c>
      <c r="M1331" s="55" t="s">
        <v>9164</v>
      </c>
      <c r="N1331" s="26" t="s">
        <v>3924</v>
      </c>
    </row>
    <row r="1332" spans="1:14" ht="75" customHeight="1" thickTop="1" thickBot="1">
      <c r="A1332" s="26">
        <v>1330</v>
      </c>
      <c r="B1332" s="26">
        <v>1334</v>
      </c>
      <c r="C1332" s="57" t="s">
        <v>9165</v>
      </c>
      <c r="D1332" s="56" t="s">
        <v>26</v>
      </c>
      <c r="E1332" s="56" t="s">
        <v>6586</v>
      </c>
      <c r="F1332" s="26" t="s">
        <v>3923</v>
      </c>
      <c r="G1332" s="26" t="s">
        <v>12</v>
      </c>
      <c r="H1332" s="26" t="s">
        <v>13</v>
      </c>
      <c r="I1332" s="26" t="s">
        <v>3924</v>
      </c>
      <c r="J1332" s="26" t="s">
        <v>9159</v>
      </c>
      <c r="K1332" s="26" t="s">
        <v>6434</v>
      </c>
      <c r="L1332" s="26" t="s">
        <v>3927</v>
      </c>
      <c r="M1332" s="55" t="s">
        <v>9166</v>
      </c>
      <c r="N1332" s="26" t="s">
        <v>3924</v>
      </c>
    </row>
    <row r="1333" spans="1:14" ht="75" customHeight="1" thickTop="1" thickBot="1">
      <c r="A1333" s="34">
        <v>1331</v>
      </c>
      <c r="B1333" s="34">
        <v>1335</v>
      </c>
      <c r="C1333" s="57" t="s">
        <v>9167</v>
      </c>
      <c r="D1333" s="56" t="s">
        <v>26</v>
      </c>
      <c r="E1333" s="56" t="s">
        <v>6586</v>
      </c>
      <c r="F1333" s="26" t="s">
        <v>3923</v>
      </c>
      <c r="G1333" s="26" t="s">
        <v>12</v>
      </c>
      <c r="H1333" s="26" t="s">
        <v>13</v>
      </c>
      <c r="I1333" s="26" t="s">
        <v>3924</v>
      </c>
      <c r="J1333" s="26" t="s">
        <v>9159</v>
      </c>
      <c r="K1333" s="26" t="s">
        <v>6440</v>
      </c>
      <c r="L1333" s="26" t="s">
        <v>6469</v>
      </c>
      <c r="M1333" s="55" t="s">
        <v>9168</v>
      </c>
      <c r="N1333" s="26" t="s">
        <v>3924</v>
      </c>
    </row>
    <row r="1334" spans="1:14" ht="75" customHeight="1" thickTop="1" thickBot="1">
      <c r="A1334" s="26">
        <v>1332</v>
      </c>
      <c r="B1334" s="26">
        <v>1336</v>
      </c>
      <c r="C1334" s="57" t="s">
        <v>9167</v>
      </c>
      <c r="D1334" s="56" t="s">
        <v>26</v>
      </c>
      <c r="E1334" s="56" t="s">
        <v>6586</v>
      </c>
      <c r="F1334" s="26" t="s">
        <v>3923</v>
      </c>
      <c r="G1334" s="26" t="s">
        <v>12</v>
      </c>
      <c r="H1334" s="26" t="s">
        <v>13</v>
      </c>
      <c r="I1334" s="26" t="s">
        <v>3924</v>
      </c>
      <c r="J1334" s="26" t="s">
        <v>9169</v>
      </c>
      <c r="K1334" s="26" t="s">
        <v>3954</v>
      </c>
      <c r="L1334" s="26" t="s">
        <v>3927</v>
      </c>
      <c r="M1334" s="55" t="s">
        <v>8372</v>
      </c>
      <c r="N1334" s="26" t="s">
        <v>3924</v>
      </c>
    </row>
    <row r="1335" spans="1:14" ht="75" customHeight="1" thickTop="1" thickBot="1">
      <c r="A1335" s="34">
        <v>1333</v>
      </c>
      <c r="B1335" s="34">
        <v>1337</v>
      </c>
      <c r="C1335" s="57" t="s">
        <v>9167</v>
      </c>
      <c r="D1335" s="56" t="s">
        <v>26</v>
      </c>
      <c r="E1335" s="56" t="s">
        <v>6586</v>
      </c>
      <c r="F1335" s="26" t="s">
        <v>3923</v>
      </c>
      <c r="G1335" s="26" t="s">
        <v>12</v>
      </c>
      <c r="H1335" s="26" t="s">
        <v>13</v>
      </c>
      <c r="I1335" s="26" t="s">
        <v>3924</v>
      </c>
      <c r="J1335" s="26" t="s">
        <v>9169</v>
      </c>
      <c r="K1335" s="26" t="s">
        <v>3954</v>
      </c>
      <c r="L1335" s="26" t="s">
        <v>3927</v>
      </c>
      <c r="M1335" s="55" t="s">
        <v>8362</v>
      </c>
      <c r="N1335" s="26" t="s">
        <v>3924</v>
      </c>
    </row>
    <row r="1336" spans="1:14" ht="75" customHeight="1" thickTop="1" thickBot="1">
      <c r="A1336" s="26">
        <v>1334</v>
      </c>
      <c r="B1336" s="34">
        <v>1338</v>
      </c>
      <c r="C1336" s="57" t="s">
        <v>9170</v>
      </c>
      <c r="D1336" s="56" t="s">
        <v>26</v>
      </c>
      <c r="E1336" s="56" t="s">
        <v>6586</v>
      </c>
      <c r="F1336" s="26" t="s">
        <v>3923</v>
      </c>
      <c r="G1336" s="26" t="s">
        <v>12</v>
      </c>
      <c r="H1336" s="26" t="s">
        <v>13</v>
      </c>
      <c r="I1336" s="26" t="s">
        <v>3924</v>
      </c>
      <c r="J1336" s="26" t="s">
        <v>9169</v>
      </c>
      <c r="K1336" s="26" t="s">
        <v>6434</v>
      </c>
      <c r="L1336" s="26" t="s">
        <v>6469</v>
      </c>
      <c r="M1336" s="55" t="s">
        <v>9171</v>
      </c>
      <c r="N1336" s="26" t="s">
        <v>3924</v>
      </c>
    </row>
    <row r="1337" spans="1:14" ht="75" customHeight="1" thickTop="1" thickBot="1">
      <c r="A1337" s="34">
        <v>1335</v>
      </c>
      <c r="B1337" s="26">
        <v>1339</v>
      </c>
      <c r="C1337" s="57" t="s">
        <v>9172</v>
      </c>
      <c r="D1337" s="56" t="s">
        <v>26</v>
      </c>
      <c r="E1337" s="56" t="s">
        <v>6586</v>
      </c>
      <c r="F1337" s="26" t="s">
        <v>3923</v>
      </c>
      <c r="G1337" s="26" t="s">
        <v>12</v>
      </c>
      <c r="H1337" s="26" t="s">
        <v>13</v>
      </c>
      <c r="I1337" s="26" t="s">
        <v>3924</v>
      </c>
      <c r="J1337" s="26" t="s">
        <v>9169</v>
      </c>
      <c r="K1337" s="26" t="s">
        <v>6445</v>
      </c>
      <c r="L1337" s="26" t="s">
        <v>6469</v>
      </c>
      <c r="M1337" s="55" t="s">
        <v>4693</v>
      </c>
      <c r="N1337" s="26" t="s">
        <v>3924</v>
      </c>
    </row>
    <row r="1338" spans="1:14" ht="75" customHeight="1" thickTop="1" thickBot="1">
      <c r="A1338" s="26">
        <v>1336</v>
      </c>
      <c r="B1338" s="34">
        <v>1340</v>
      </c>
      <c r="C1338" s="57" t="s">
        <v>9172</v>
      </c>
      <c r="D1338" s="56" t="s">
        <v>26</v>
      </c>
      <c r="E1338" s="56" t="s">
        <v>6586</v>
      </c>
      <c r="F1338" s="26" t="s">
        <v>3923</v>
      </c>
      <c r="G1338" s="26" t="s">
        <v>12</v>
      </c>
      <c r="H1338" s="26" t="s">
        <v>13</v>
      </c>
      <c r="I1338" s="26" t="s">
        <v>3924</v>
      </c>
      <c r="J1338" s="26" t="s">
        <v>9169</v>
      </c>
      <c r="K1338" s="26" t="s">
        <v>6434</v>
      </c>
      <c r="L1338" s="26" t="s">
        <v>6469</v>
      </c>
      <c r="M1338" s="55" t="s">
        <v>9173</v>
      </c>
      <c r="N1338" s="26" t="s">
        <v>3924</v>
      </c>
    </row>
    <row r="1339" spans="1:14" ht="75" customHeight="1" thickTop="1" thickBot="1">
      <c r="A1339" s="34">
        <v>1337</v>
      </c>
      <c r="B1339" s="26">
        <v>1341</v>
      </c>
      <c r="C1339" s="57" t="s">
        <v>9147</v>
      </c>
      <c r="D1339" s="56" t="s">
        <v>26</v>
      </c>
      <c r="E1339" s="56" t="s">
        <v>8550</v>
      </c>
      <c r="F1339" s="26" t="s">
        <v>3995</v>
      </c>
      <c r="G1339" s="26" t="s">
        <v>12</v>
      </c>
      <c r="H1339" s="26" t="s">
        <v>13</v>
      </c>
      <c r="I1339" s="26" t="s">
        <v>3924</v>
      </c>
      <c r="J1339" s="26" t="s">
        <v>9174</v>
      </c>
      <c r="K1339" s="26" t="s">
        <v>6440</v>
      </c>
      <c r="L1339" s="26" t="s">
        <v>6435</v>
      </c>
      <c r="M1339" s="55" t="s">
        <v>9175</v>
      </c>
      <c r="N1339" s="26" t="s">
        <v>3924</v>
      </c>
    </row>
    <row r="1340" spans="1:14" ht="75" customHeight="1" thickTop="1" thickBot="1">
      <c r="A1340" s="26">
        <v>1338</v>
      </c>
      <c r="B1340" s="34">
        <v>1342</v>
      </c>
      <c r="C1340" s="57" t="s">
        <v>9176</v>
      </c>
      <c r="D1340" s="56" t="s">
        <v>26</v>
      </c>
      <c r="E1340" s="56" t="s">
        <v>6438</v>
      </c>
      <c r="F1340" s="26" t="s">
        <v>3995</v>
      </c>
      <c r="G1340" s="26" t="s">
        <v>1419</v>
      </c>
      <c r="H1340" s="26" t="s">
        <v>13</v>
      </c>
      <c r="I1340" s="26" t="s">
        <v>3924</v>
      </c>
      <c r="J1340" s="26" t="s">
        <v>9177</v>
      </c>
      <c r="K1340" s="26" t="s">
        <v>6445</v>
      </c>
      <c r="L1340" s="26" t="s">
        <v>6469</v>
      </c>
      <c r="M1340" s="55" t="s">
        <v>9178</v>
      </c>
      <c r="N1340" s="26" t="s">
        <v>3924</v>
      </c>
    </row>
    <row r="1341" spans="1:14" ht="75" customHeight="1" thickTop="1" thickBot="1">
      <c r="A1341" s="34">
        <v>1339</v>
      </c>
      <c r="B1341" s="26">
        <v>1343</v>
      </c>
      <c r="C1341" s="57" t="s">
        <v>9179</v>
      </c>
      <c r="D1341" s="56" t="s">
        <v>26</v>
      </c>
      <c r="E1341" s="56" t="s">
        <v>27</v>
      </c>
      <c r="F1341" s="26" t="s">
        <v>3995</v>
      </c>
      <c r="G1341" s="26" t="s">
        <v>12</v>
      </c>
      <c r="H1341" s="26" t="s">
        <v>13</v>
      </c>
      <c r="I1341" s="26" t="s">
        <v>3924</v>
      </c>
      <c r="J1341" s="26" t="s">
        <v>9180</v>
      </c>
      <c r="K1341" s="26" t="s">
        <v>6434</v>
      </c>
      <c r="L1341" s="26" t="s">
        <v>6435</v>
      </c>
      <c r="M1341" s="55" t="s">
        <v>9181</v>
      </c>
      <c r="N1341" s="26" t="s">
        <v>3924</v>
      </c>
    </row>
    <row r="1342" spans="1:14" ht="75" customHeight="1" thickTop="1" thickBot="1">
      <c r="A1342" s="26">
        <v>1340</v>
      </c>
      <c r="B1342" s="34">
        <v>1344</v>
      </c>
      <c r="C1342" s="57" t="s">
        <v>9182</v>
      </c>
      <c r="D1342" s="56" t="s">
        <v>26</v>
      </c>
      <c r="E1342" s="56" t="s">
        <v>6480</v>
      </c>
      <c r="F1342" s="26" t="s">
        <v>3923</v>
      </c>
      <c r="G1342" s="26" t="s">
        <v>16</v>
      </c>
      <c r="H1342" s="26" t="s">
        <v>13</v>
      </c>
      <c r="I1342" s="26" t="s">
        <v>3924</v>
      </c>
      <c r="J1342" s="26" t="s">
        <v>9182</v>
      </c>
      <c r="K1342" s="26" t="s">
        <v>6445</v>
      </c>
      <c r="L1342" s="26" t="s">
        <v>9183</v>
      </c>
      <c r="M1342" s="55" t="s">
        <v>9184</v>
      </c>
      <c r="N1342" s="26" t="s">
        <v>3924</v>
      </c>
    </row>
    <row r="1343" spans="1:14" ht="75" customHeight="1" thickTop="1" thickBot="1">
      <c r="A1343" s="34">
        <v>1341</v>
      </c>
      <c r="B1343" s="34">
        <v>1345</v>
      </c>
      <c r="C1343" s="57" t="s">
        <v>9185</v>
      </c>
      <c r="D1343" s="56" t="s">
        <v>26</v>
      </c>
      <c r="E1343" s="56" t="s">
        <v>6480</v>
      </c>
      <c r="F1343" s="26" t="s">
        <v>3923</v>
      </c>
      <c r="G1343" s="26" t="s">
        <v>16</v>
      </c>
      <c r="H1343" s="26" t="s">
        <v>13</v>
      </c>
      <c r="I1343" s="26" t="s">
        <v>3924</v>
      </c>
      <c r="J1343" s="26" t="s">
        <v>9185</v>
      </c>
      <c r="K1343" s="26" t="s">
        <v>6445</v>
      </c>
      <c r="L1343" s="26" t="s">
        <v>9186</v>
      </c>
      <c r="M1343" s="55" t="s">
        <v>9187</v>
      </c>
      <c r="N1343" s="26" t="s">
        <v>3924</v>
      </c>
    </row>
    <row r="1344" spans="1:14" ht="75" customHeight="1" thickTop="1" thickBot="1">
      <c r="A1344" s="26">
        <v>1342</v>
      </c>
      <c r="B1344" s="26">
        <v>1346</v>
      </c>
      <c r="C1344" s="57" t="s">
        <v>9185</v>
      </c>
      <c r="D1344" s="56" t="s">
        <v>26</v>
      </c>
      <c r="E1344" s="56" t="s">
        <v>6480</v>
      </c>
      <c r="F1344" s="26" t="s">
        <v>3923</v>
      </c>
      <c r="G1344" s="26" t="s">
        <v>16</v>
      </c>
      <c r="H1344" s="26" t="s">
        <v>13</v>
      </c>
      <c r="I1344" s="26" t="s">
        <v>3924</v>
      </c>
      <c r="J1344" s="26" t="s">
        <v>9188</v>
      </c>
      <c r="K1344" s="26" t="s">
        <v>6445</v>
      </c>
      <c r="L1344" s="26" t="s">
        <v>8262</v>
      </c>
      <c r="M1344" s="55" t="s">
        <v>9055</v>
      </c>
      <c r="N1344" s="26" t="s">
        <v>3924</v>
      </c>
    </row>
    <row r="1345" spans="1:14" ht="75" customHeight="1" thickTop="1" thickBot="1">
      <c r="A1345" s="34">
        <v>1343</v>
      </c>
      <c r="B1345" s="34">
        <v>1347</v>
      </c>
      <c r="C1345" s="57" t="s">
        <v>9188</v>
      </c>
      <c r="D1345" s="56" t="s">
        <v>26</v>
      </c>
      <c r="E1345" s="56" t="s">
        <v>6480</v>
      </c>
      <c r="F1345" s="26" t="s">
        <v>3923</v>
      </c>
      <c r="G1345" s="26" t="s">
        <v>16</v>
      </c>
      <c r="H1345" s="26" t="s">
        <v>13</v>
      </c>
      <c r="I1345" s="26" t="s">
        <v>3924</v>
      </c>
      <c r="J1345" s="26" t="s">
        <v>9188</v>
      </c>
      <c r="K1345" s="26" t="s">
        <v>6552</v>
      </c>
      <c r="L1345" s="26" t="s">
        <v>9189</v>
      </c>
      <c r="M1345" s="55" t="s">
        <v>9190</v>
      </c>
      <c r="N1345" s="26" t="s">
        <v>3924</v>
      </c>
    </row>
    <row r="1346" spans="1:14" ht="75" customHeight="1" thickTop="1" thickBot="1">
      <c r="A1346" s="26">
        <v>1344</v>
      </c>
      <c r="B1346" s="26">
        <v>1348</v>
      </c>
      <c r="C1346" s="57" t="s">
        <v>9191</v>
      </c>
      <c r="D1346" s="56" t="s">
        <v>26</v>
      </c>
      <c r="E1346" s="56" t="s">
        <v>6480</v>
      </c>
      <c r="F1346" s="26" t="s">
        <v>3923</v>
      </c>
      <c r="G1346" s="26" t="s">
        <v>16</v>
      </c>
      <c r="H1346" s="26" t="s">
        <v>13</v>
      </c>
      <c r="I1346" s="26" t="s">
        <v>3924</v>
      </c>
      <c r="J1346" s="26" t="s">
        <v>9191</v>
      </c>
      <c r="K1346" s="26" t="s">
        <v>6552</v>
      </c>
      <c r="L1346" s="26" t="s">
        <v>9192</v>
      </c>
      <c r="M1346" s="55" t="s">
        <v>8290</v>
      </c>
      <c r="N1346" s="26" t="s">
        <v>3924</v>
      </c>
    </row>
    <row r="1347" spans="1:14" ht="75" customHeight="1" thickTop="1" thickBot="1">
      <c r="A1347" s="34">
        <v>1345</v>
      </c>
      <c r="B1347" s="34">
        <v>1349</v>
      </c>
      <c r="C1347" s="57" t="s">
        <v>9193</v>
      </c>
      <c r="D1347" s="56" t="s">
        <v>26</v>
      </c>
      <c r="E1347" s="56" t="s">
        <v>6480</v>
      </c>
      <c r="F1347" s="26" t="s">
        <v>3923</v>
      </c>
      <c r="G1347" s="26" t="s">
        <v>16</v>
      </c>
      <c r="H1347" s="26" t="s">
        <v>13</v>
      </c>
      <c r="I1347" s="26" t="s">
        <v>3924</v>
      </c>
      <c r="J1347" s="26" t="s">
        <v>9193</v>
      </c>
      <c r="K1347" s="26" t="s">
        <v>6440</v>
      </c>
      <c r="L1347" s="26" t="s">
        <v>6435</v>
      </c>
      <c r="M1347" s="55" t="s">
        <v>9194</v>
      </c>
      <c r="N1347" s="26" t="s">
        <v>3924</v>
      </c>
    </row>
    <row r="1348" spans="1:14" ht="75" customHeight="1" thickTop="1" thickBot="1">
      <c r="A1348" s="26">
        <v>1346</v>
      </c>
      <c r="B1348" s="26">
        <v>1350</v>
      </c>
      <c r="C1348" s="57" t="s">
        <v>9195</v>
      </c>
      <c r="D1348" s="56" t="s">
        <v>26</v>
      </c>
      <c r="E1348" s="56" t="s">
        <v>6480</v>
      </c>
      <c r="F1348" s="26" t="s">
        <v>3923</v>
      </c>
      <c r="G1348" s="26" t="s">
        <v>16</v>
      </c>
      <c r="H1348" s="26" t="s">
        <v>13</v>
      </c>
      <c r="I1348" s="26" t="s">
        <v>3924</v>
      </c>
      <c r="J1348" s="26" t="s">
        <v>9195</v>
      </c>
      <c r="K1348" s="26" t="s">
        <v>9196</v>
      </c>
      <c r="L1348" s="26" t="s">
        <v>9197</v>
      </c>
      <c r="M1348" s="55" t="s">
        <v>9198</v>
      </c>
      <c r="N1348" s="26" t="s">
        <v>3924</v>
      </c>
    </row>
    <row r="1349" spans="1:14" ht="75" customHeight="1" thickTop="1" thickBot="1">
      <c r="A1349" s="34">
        <v>1347</v>
      </c>
      <c r="B1349" s="34">
        <v>1351</v>
      </c>
      <c r="C1349" s="57" t="s">
        <v>9199</v>
      </c>
      <c r="D1349" s="56" t="s">
        <v>26</v>
      </c>
      <c r="E1349" s="56" t="s">
        <v>6480</v>
      </c>
      <c r="F1349" s="26" t="s">
        <v>3923</v>
      </c>
      <c r="G1349" s="26" t="s">
        <v>16</v>
      </c>
      <c r="H1349" s="26" t="s">
        <v>13</v>
      </c>
      <c r="I1349" s="26" t="s">
        <v>3924</v>
      </c>
      <c r="J1349" s="26" t="s">
        <v>9199</v>
      </c>
      <c r="K1349" s="26" t="s">
        <v>6445</v>
      </c>
      <c r="L1349" s="26" t="s">
        <v>6493</v>
      </c>
      <c r="M1349" s="55" t="s">
        <v>9200</v>
      </c>
      <c r="N1349" s="26" t="s">
        <v>3924</v>
      </c>
    </row>
    <row r="1350" spans="1:14" ht="75" customHeight="1" thickTop="1" thickBot="1">
      <c r="A1350" s="26">
        <v>1348</v>
      </c>
      <c r="B1350" s="34">
        <v>1352</v>
      </c>
      <c r="C1350" s="57" t="s">
        <v>9201</v>
      </c>
      <c r="D1350" s="56" t="s">
        <v>26</v>
      </c>
      <c r="E1350" s="56" t="s">
        <v>6480</v>
      </c>
      <c r="F1350" s="26" t="s">
        <v>3923</v>
      </c>
      <c r="G1350" s="26" t="s">
        <v>16</v>
      </c>
      <c r="H1350" s="26" t="s">
        <v>13</v>
      </c>
      <c r="I1350" s="26" t="s">
        <v>3924</v>
      </c>
      <c r="J1350" s="26" t="s">
        <v>9201</v>
      </c>
      <c r="K1350" s="26" t="s">
        <v>6445</v>
      </c>
      <c r="L1350" s="26" t="s">
        <v>9202</v>
      </c>
      <c r="M1350" s="55" t="s">
        <v>874</v>
      </c>
      <c r="N1350" s="26" t="s">
        <v>3924</v>
      </c>
    </row>
    <row r="1351" spans="1:14" ht="75" customHeight="1" thickTop="1" thickBot="1">
      <c r="A1351" s="34">
        <v>1349</v>
      </c>
      <c r="B1351" s="26">
        <v>1353</v>
      </c>
      <c r="C1351" s="57" t="s">
        <v>9203</v>
      </c>
      <c r="D1351" s="56" t="s">
        <v>26</v>
      </c>
      <c r="E1351" s="56" t="s">
        <v>6480</v>
      </c>
      <c r="F1351" s="26" t="s">
        <v>3923</v>
      </c>
      <c r="G1351" s="26" t="s">
        <v>16</v>
      </c>
      <c r="H1351" s="26" t="s">
        <v>13</v>
      </c>
      <c r="I1351" s="26" t="s">
        <v>3924</v>
      </c>
      <c r="J1351" s="26" t="s">
        <v>9203</v>
      </c>
      <c r="K1351" s="26" t="s">
        <v>6445</v>
      </c>
      <c r="L1351" s="26" t="s">
        <v>7030</v>
      </c>
      <c r="M1351" s="55" t="s">
        <v>9204</v>
      </c>
      <c r="N1351" s="26" t="s">
        <v>3924</v>
      </c>
    </row>
    <row r="1352" spans="1:14" ht="75" customHeight="1" thickTop="1" thickBot="1">
      <c r="A1352" s="26">
        <v>1350</v>
      </c>
      <c r="B1352" s="34">
        <v>1354</v>
      </c>
      <c r="C1352" s="57" t="s">
        <v>9205</v>
      </c>
      <c r="D1352" s="56" t="s">
        <v>26</v>
      </c>
      <c r="E1352" s="56" t="s">
        <v>6438</v>
      </c>
      <c r="F1352" s="26" t="s">
        <v>3995</v>
      </c>
      <c r="G1352" s="26" t="s">
        <v>1419</v>
      </c>
      <c r="H1352" s="26" t="s">
        <v>13</v>
      </c>
      <c r="I1352" s="26" t="s">
        <v>3924</v>
      </c>
      <c r="J1352" s="26" t="s">
        <v>9206</v>
      </c>
      <c r="K1352" s="26" t="s">
        <v>6552</v>
      </c>
      <c r="L1352" s="26" t="s">
        <v>6877</v>
      </c>
      <c r="M1352" s="55" t="s">
        <v>9207</v>
      </c>
      <c r="N1352" s="26" t="s">
        <v>3924</v>
      </c>
    </row>
    <row r="1353" spans="1:14" ht="75" customHeight="1" thickTop="1" thickBot="1">
      <c r="A1353" s="34">
        <v>1351</v>
      </c>
      <c r="B1353" s="26">
        <v>1355</v>
      </c>
      <c r="C1353" s="57" t="s">
        <v>9208</v>
      </c>
      <c r="D1353" s="56" t="s">
        <v>26</v>
      </c>
      <c r="E1353" s="56" t="s">
        <v>8550</v>
      </c>
      <c r="F1353" s="26" t="s">
        <v>3995</v>
      </c>
      <c r="G1353" s="26" t="s">
        <v>16</v>
      </c>
      <c r="H1353" s="26" t="s">
        <v>13</v>
      </c>
      <c r="I1353" s="26" t="s">
        <v>3924</v>
      </c>
      <c r="J1353" s="26" t="s">
        <v>9209</v>
      </c>
      <c r="K1353" s="26" t="s">
        <v>6440</v>
      </c>
      <c r="L1353" s="26" t="s">
        <v>3927</v>
      </c>
      <c r="M1353" s="55" t="s">
        <v>9210</v>
      </c>
      <c r="N1353" s="26" t="s">
        <v>3924</v>
      </c>
    </row>
    <row r="1354" spans="1:14" ht="75" customHeight="1" thickTop="1" thickBot="1">
      <c r="A1354" s="26">
        <v>1352</v>
      </c>
      <c r="B1354" s="34">
        <v>1356</v>
      </c>
      <c r="C1354" s="57" t="s">
        <v>9211</v>
      </c>
      <c r="D1354" s="56" t="s">
        <v>26</v>
      </c>
      <c r="E1354" s="56" t="s">
        <v>8550</v>
      </c>
      <c r="F1354" s="26" t="s">
        <v>3995</v>
      </c>
      <c r="G1354" s="26" t="s">
        <v>1419</v>
      </c>
      <c r="H1354" s="26" t="s">
        <v>13</v>
      </c>
      <c r="I1354" s="26" t="s">
        <v>3924</v>
      </c>
      <c r="J1354" s="26" t="s">
        <v>9212</v>
      </c>
      <c r="K1354" s="26" t="s">
        <v>6440</v>
      </c>
      <c r="L1354" s="26" t="s">
        <v>6455</v>
      </c>
      <c r="M1354" s="55" t="s">
        <v>9213</v>
      </c>
      <c r="N1354" s="26" t="s">
        <v>3924</v>
      </c>
    </row>
    <row r="1355" spans="1:14" ht="75" customHeight="1" thickTop="1" thickBot="1">
      <c r="A1355" s="34">
        <v>1353</v>
      </c>
      <c r="B1355" s="26">
        <v>1357</v>
      </c>
      <c r="C1355" s="57" t="s">
        <v>9214</v>
      </c>
      <c r="D1355" s="56" t="s">
        <v>26</v>
      </c>
      <c r="E1355" s="56" t="s">
        <v>27</v>
      </c>
      <c r="F1355" s="26" t="s">
        <v>3995</v>
      </c>
      <c r="G1355" s="26" t="s">
        <v>16</v>
      </c>
      <c r="H1355" s="26" t="s">
        <v>13</v>
      </c>
      <c r="I1355" s="26" t="s">
        <v>3924</v>
      </c>
      <c r="J1355" s="26" t="s">
        <v>9209</v>
      </c>
      <c r="K1355" s="26" t="s">
        <v>6434</v>
      </c>
      <c r="L1355" s="26" t="s">
        <v>6469</v>
      </c>
      <c r="M1355" s="55" t="s">
        <v>9215</v>
      </c>
      <c r="N1355" s="26" t="s">
        <v>16</v>
      </c>
    </row>
    <row r="1356" spans="1:14" ht="75" customHeight="1" thickTop="1" thickBot="1">
      <c r="A1356" s="26">
        <v>1354</v>
      </c>
      <c r="B1356" s="34">
        <v>1358</v>
      </c>
      <c r="C1356" s="57" t="s">
        <v>9216</v>
      </c>
      <c r="D1356" s="56" t="s">
        <v>26</v>
      </c>
      <c r="E1356" s="56" t="s">
        <v>8550</v>
      </c>
      <c r="F1356" s="26" t="s">
        <v>3995</v>
      </c>
      <c r="G1356" s="26" t="s">
        <v>16</v>
      </c>
      <c r="H1356" s="26" t="s">
        <v>13</v>
      </c>
      <c r="I1356" s="26" t="s">
        <v>3924</v>
      </c>
      <c r="J1356" s="26" t="s">
        <v>9209</v>
      </c>
      <c r="K1356" s="26" t="s">
        <v>6440</v>
      </c>
      <c r="L1356" s="26" t="s">
        <v>6455</v>
      </c>
      <c r="M1356" s="55" t="s">
        <v>9217</v>
      </c>
      <c r="N1356" s="26" t="s">
        <v>9218</v>
      </c>
    </row>
    <row r="1357" spans="1:14" ht="75" customHeight="1" thickTop="1" thickBot="1">
      <c r="A1357" s="34">
        <v>1355</v>
      </c>
      <c r="B1357" s="34">
        <v>1359</v>
      </c>
      <c r="C1357" s="57" t="s">
        <v>9219</v>
      </c>
      <c r="D1357" s="56" t="s">
        <v>26</v>
      </c>
      <c r="E1357" s="56" t="s">
        <v>8550</v>
      </c>
      <c r="F1357" s="26" t="s">
        <v>3995</v>
      </c>
      <c r="G1357" s="26" t="s">
        <v>1419</v>
      </c>
      <c r="H1357" s="26" t="s">
        <v>13</v>
      </c>
      <c r="I1357" s="26" t="s">
        <v>3924</v>
      </c>
      <c r="J1357" s="26" t="s">
        <v>9220</v>
      </c>
      <c r="K1357" s="26" t="s">
        <v>6440</v>
      </c>
      <c r="L1357" s="26" t="s">
        <v>6493</v>
      </c>
      <c r="M1357" s="55" t="s">
        <v>9221</v>
      </c>
      <c r="N1357" s="26" t="s">
        <v>3924</v>
      </c>
    </row>
    <row r="1358" spans="1:14" ht="75" customHeight="1" thickTop="1" thickBot="1">
      <c r="A1358" s="26">
        <v>1356</v>
      </c>
      <c r="B1358" s="26">
        <v>1360</v>
      </c>
      <c r="C1358" s="57" t="s">
        <v>9222</v>
      </c>
      <c r="D1358" s="56" t="s">
        <v>26</v>
      </c>
      <c r="E1358" s="56" t="s">
        <v>6438</v>
      </c>
      <c r="F1358" s="26" t="s">
        <v>3995</v>
      </c>
      <c r="G1358" s="26" t="s">
        <v>16</v>
      </c>
      <c r="H1358" s="26" t="s">
        <v>13</v>
      </c>
      <c r="I1358" s="26" t="s">
        <v>3924</v>
      </c>
      <c r="J1358" s="26" t="s">
        <v>9223</v>
      </c>
      <c r="K1358" s="26" t="s">
        <v>6445</v>
      </c>
      <c r="L1358" s="26" t="s">
        <v>6469</v>
      </c>
      <c r="M1358" s="55" t="s">
        <v>9224</v>
      </c>
      <c r="N1358" s="26" t="s">
        <v>3924</v>
      </c>
    </row>
    <row r="1359" spans="1:14" ht="75" customHeight="1" thickTop="1" thickBot="1">
      <c r="A1359" s="34">
        <v>1357</v>
      </c>
      <c r="B1359" s="34">
        <v>1361</v>
      </c>
      <c r="C1359" s="57" t="s">
        <v>9225</v>
      </c>
      <c r="D1359" s="56" t="s">
        <v>26</v>
      </c>
      <c r="E1359" s="56" t="s">
        <v>6438</v>
      </c>
      <c r="F1359" s="26" t="s">
        <v>3995</v>
      </c>
      <c r="G1359" s="26" t="s">
        <v>16</v>
      </c>
      <c r="H1359" s="26" t="s">
        <v>13</v>
      </c>
      <c r="I1359" s="26" t="s">
        <v>3924</v>
      </c>
      <c r="J1359" s="26" t="s">
        <v>9226</v>
      </c>
      <c r="K1359" s="26" t="s">
        <v>6552</v>
      </c>
      <c r="L1359" s="26" t="s">
        <v>3927</v>
      </c>
      <c r="M1359" s="55" t="s">
        <v>9227</v>
      </c>
      <c r="N1359" s="26" t="s">
        <v>3924</v>
      </c>
    </row>
    <row r="1360" spans="1:14" ht="75" customHeight="1" thickTop="1" thickBot="1">
      <c r="A1360" s="26">
        <v>1358</v>
      </c>
      <c r="B1360" s="26">
        <v>1362</v>
      </c>
      <c r="C1360" s="57" t="s">
        <v>9228</v>
      </c>
      <c r="D1360" s="56" t="s">
        <v>26</v>
      </c>
      <c r="E1360" s="56" t="s">
        <v>8550</v>
      </c>
      <c r="F1360" s="26" t="s">
        <v>3995</v>
      </c>
      <c r="G1360" s="26" t="s">
        <v>12</v>
      </c>
      <c r="H1360" s="26" t="s">
        <v>13</v>
      </c>
      <c r="I1360" s="26" t="s">
        <v>3924</v>
      </c>
      <c r="J1360" s="26" t="s">
        <v>9229</v>
      </c>
      <c r="K1360" s="26" t="s">
        <v>6440</v>
      </c>
      <c r="L1360" s="26" t="s">
        <v>3927</v>
      </c>
      <c r="M1360" s="55" t="s">
        <v>9230</v>
      </c>
      <c r="N1360" s="26" t="s">
        <v>3924</v>
      </c>
    </row>
    <row r="1361" spans="1:14" ht="75" customHeight="1" thickTop="1" thickBot="1">
      <c r="A1361" s="34">
        <v>1359</v>
      </c>
      <c r="B1361" s="34">
        <v>1363</v>
      </c>
      <c r="C1361" s="57" t="s">
        <v>9231</v>
      </c>
      <c r="D1361" s="56" t="s">
        <v>26</v>
      </c>
      <c r="E1361" s="56" t="s">
        <v>8550</v>
      </c>
      <c r="F1361" s="26" t="s">
        <v>3995</v>
      </c>
      <c r="G1361" s="26" t="s">
        <v>12</v>
      </c>
      <c r="H1361" s="26" t="s">
        <v>13</v>
      </c>
      <c r="I1361" s="26" t="s">
        <v>3924</v>
      </c>
      <c r="J1361" s="26" t="s">
        <v>9232</v>
      </c>
      <c r="K1361" s="26" t="s">
        <v>6440</v>
      </c>
      <c r="L1361" s="26" t="s">
        <v>3927</v>
      </c>
      <c r="M1361" s="55" t="s">
        <v>9233</v>
      </c>
      <c r="N1361" s="26" t="s">
        <v>3924</v>
      </c>
    </row>
    <row r="1362" spans="1:14" ht="75" customHeight="1" thickTop="1" thickBot="1">
      <c r="A1362" s="26">
        <v>1360</v>
      </c>
      <c r="B1362" s="26">
        <v>1364</v>
      </c>
      <c r="C1362" s="57" t="s">
        <v>9234</v>
      </c>
      <c r="D1362" s="56" t="s">
        <v>26</v>
      </c>
      <c r="E1362" s="56" t="s">
        <v>9235</v>
      </c>
      <c r="F1362" s="26" t="s">
        <v>3995</v>
      </c>
      <c r="G1362" s="26" t="s">
        <v>1419</v>
      </c>
      <c r="H1362" s="26" t="s">
        <v>13</v>
      </c>
      <c r="I1362" s="26" t="s">
        <v>3924</v>
      </c>
      <c r="J1362" s="26" t="s">
        <v>9236</v>
      </c>
      <c r="K1362" s="26" t="s">
        <v>6445</v>
      </c>
      <c r="L1362" s="26" t="s">
        <v>3927</v>
      </c>
      <c r="M1362" s="55" t="s">
        <v>9237</v>
      </c>
      <c r="N1362" s="26" t="s">
        <v>3924</v>
      </c>
    </row>
    <row r="1363" spans="1:14" ht="75" customHeight="1" thickTop="1" thickBot="1">
      <c r="A1363" s="34">
        <v>1361</v>
      </c>
      <c r="B1363" s="34">
        <v>1365</v>
      </c>
      <c r="C1363" s="57" t="s">
        <v>9238</v>
      </c>
      <c r="D1363" s="56" t="s">
        <v>26</v>
      </c>
      <c r="E1363" s="56" t="s">
        <v>27</v>
      </c>
      <c r="F1363" s="26" t="s">
        <v>3995</v>
      </c>
      <c r="G1363" s="26" t="s">
        <v>12</v>
      </c>
      <c r="H1363" s="26" t="s">
        <v>13</v>
      </c>
      <c r="I1363" s="26" t="s">
        <v>9239</v>
      </c>
      <c r="J1363" s="26" t="s">
        <v>9240</v>
      </c>
      <c r="K1363" s="26" t="s">
        <v>6445</v>
      </c>
      <c r="L1363" s="26" t="s">
        <v>6435</v>
      </c>
      <c r="M1363" s="55" t="s">
        <v>9241</v>
      </c>
      <c r="N1363" s="26" t="s">
        <v>3924</v>
      </c>
    </row>
    <row r="1364" spans="1:14" ht="75" customHeight="1" thickTop="1" thickBot="1">
      <c r="A1364" s="26">
        <v>1362</v>
      </c>
      <c r="B1364" s="34">
        <v>1366</v>
      </c>
      <c r="C1364" s="57" t="s">
        <v>9242</v>
      </c>
      <c r="D1364" s="56" t="s">
        <v>26</v>
      </c>
      <c r="E1364" s="56" t="s">
        <v>27</v>
      </c>
      <c r="F1364" s="26" t="s">
        <v>3995</v>
      </c>
      <c r="G1364" s="26" t="s">
        <v>1419</v>
      </c>
      <c r="H1364" s="26" t="s">
        <v>13</v>
      </c>
      <c r="I1364" s="26" t="s">
        <v>3924</v>
      </c>
      <c r="J1364" s="26" t="s">
        <v>9243</v>
      </c>
      <c r="K1364" s="26" t="s">
        <v>6445</v>
      </c>
      <c r="L1364" s="26" t="s">
        <v>6435</v>
      </c>
      <c r="M1364" s="55" t="s">
        <v>9244</v>
      </c>
      <c r="N1364" s="26" t="s">
        <v>3924</v>
      </c>
    </row>
    <row r="1365" spans="1:14" ht="75" customHeight="1" thickTop="1" thickBot="1">
      <c r="A1365" s="34">
        <v>1363</v>
      </c>
      <c r="B1365" s="26">
        <v>1367</v>
      </c>
      <c r="C1365" s="57" t="s">
        <v>9245</v>
      </c>
      <c r="D1365" s="56" t="s">
        <v>26</v>
      </c>
      <c r="E1365" s="56" t="s">
        <v>27</v>
      </c>
      <c r="F1365" s="26" t="s">
        <v>3995</v>
      </c>
      <c r="G1365" s="26" t="s">
        <v>16</v>
      </c>
      <c r="H1365" s="26" t="s">
        <v>13</v>
      </c>
      <c r="I1365" s="26" t="s">
        <v>3924</v>
      </c>
      <c r="J1365" s="26" t="s">
        <v>9246</v>
      </c>
      <c r="K1365" s="26" t="s">
        <v>6445</v>
      </c>
      <c r="L1365" s="26" t="s">
        <v>6435</v>
      </c>
      <c r="M1365" s="55" t="s">
        <v>9247</v>
      </c>
      <c r="N1365" s="26" t="s">
        <v>3924</v>
      </c>
    </row>
    <row r="1366" spans="1:14" ht="75" customHeight="1" thickTop="1" thickBot="1">
      <c r="A1366" s="26">
        <v>1364</v>
      </c>
      <c r="B1366" s="34">
        <v>1368</v>
      </c>
      <c r="C1366" s="57" t="s">
        <v>9248</v>
      </c>
      <c r="D1366" s="56" t="s">
        <v>26</v>
      </c>
      <c r="E1366" s="56" t="s">
        <v>8550</v>
      </c>
      <c r="F1366" s="26" t="s">
        <v>3995</v>
      </c>
      <c r="G1366" s="26" t="s">
        <v>16</v>
      </c>
      <c r="H1366" s="26" t="s">
        <v>13</v>
      </c>
      <c r="I1366" s="26" t="s">
        <v>3924</v>
      </c>
      <c r="J1366" s="26" t="s">
        <v>9249</v>
      </c>
      <c r="K1366" s="26" t="s">
        <v>6440</v>
      </c>
      <c r="L1366" s="26" t="s">
        <v>6455</v>
      </c>
      <c r="M1366" s="55" t="s">
        <v>9250</v>
      </c>
      <c r="N1366" s="26" t="s">
        <v>3924</v>
      </c>
    </row>
    <row r="1367" spans="1:14" ht="75" customHeight="1" thickTop="1" thickBot="1">
      <c r="A1367" s="34">
        <v>1365</v>
      </c>
      <c r="B1367" s="26">
        <v>1369</v>
      </c>
      <c r="C1367" s="57" t="s">
        <v>9251</v>
      </c>
      <c r="D1367" s="56" t="s">
        <v>26</v>
      </c>
      <c r="E1367" s="56" t="s">
        <v>27</v>
      </c>
      <c r="F1367" s="26" t="s">
        <v>3995</v>
      </c>
      <c r="G1367" s="26" t="s">
        <v>16</v>
      </c>
      <c r="H1367" s="26" t="s">
        <v>13</v>
      </c>
      <c r="I1367" s="26" t="s">
        <v>3924</v>
      </c>
      <c r="J1367" s="26" t="s">
        <v>9249</v>
      </c>
      <c r="K1367" s="26" t="s">
        <v>6445</v>
      </c>
      <c r="L1367" s="26" t="s">
        <v>6469</v>
      </c>
      <c r="M1367" s="55" t="s">
        <v>9252</v>
      </c>
      <c r="N1367" s="26" t="s">
        <v>8735</v>
      </c>
    </row>
    <row r="1368" spans="1:14" ht="75" customHeight="1" thickTop="1" thickBot="1">
      <c r="A1368" s="26">
        <v>1366</v>
      </c>
      <c r="B1368" s="34">
        <v>1370</v>
      </c>
      <c r="C1368" s="57" t="s">
        <v>9253</v>
      </c>
      <c r="D1368" s="56" t="s">
        <v>26</v>
      </c>
      <c r="E1368" s="56" t="s">
        <v>27</v>
      </c>
      <c r="F1368" s="26" t="s">
        <v>3995</v>
      </c>
      <c r="G1368" s="26" t="s">
        <v>16</v>
      </c>
      <c r="H1368" s="26" t="s">
        <v>13</v>
      </c>
      <c r="I1368" s="26" t="s">
        <v>3924</v>
      </c>
      <c r="J1368" s="26" t="s">
        <v>9254</v>
      </c>
      <c r="K1368" s="26" t="s">
        <v>6445</v>
      </c>
      <c r="L1368" s="26" t="s">
        <v>6435</v>
      </c>
      <c r="M1368" s="55" t="s">
        <v>9255</v>
      </c>
      <c r="N1368" s="26" t="s">
        <v>16</v>
      </c>
    </row>
    <row r="1369" spans="1:14" ht="75" customHeight="1" thickTop="1" thickBot="1">
      <c r="A1369" s="34">
        <v>1367</v>
      </c>
      <c r="B1369" s="26">
        <v>1371</v>
      </c>
      <c r="C1369" s="57" t="s">
        <v>9256</v>
      </c>
      <c r="D1369" s="56" t="s">
        <v>26</v>
      </c>
      <c r="E1369" s="56" t="s">
        <v>8550</v>
      </c>
      <c r="F1369" s="26" t="s">
        <v>3995</v>
      </c>
      <c r="G1369" s="26" t="s">
        <v>16</v>
      </c>
      <c r="H1369" s="26" t="s">
        <v>13</v>
      </c>
      <c r="I1369" s="26" t="s">
        <v>3924</v>
      </c>
      <c r="J1369" s="26" t="s">
        <v>9254</v>
      </c>
      <c r="K1369" s="26" t="s">
        <v>6440</v>
      </c>
      <c r="L1369" s="26" t="s">
        <v>3927</v>
      </c>
      <c r="M1369" s="55" t="s">
        <v>9257</v>
      </c>
      <c r="N1369" s="26" t="s">
        <v>3924</v>
      </c>
    </row>
    <row r="1370" spans="1:14" ht="75" customHeight="1" thickTop="1" thickBot="1">
      <c r="A1370" s="26">
        <v>1368</v>
      </c>
      <c r="B1370" s="34">
        <v>1372</v>
      </c>
      <c r="C1370" s="57" t="s">
        <v>9258</v>
      </c>
      <c r="D1370" s="56" t="s">
        <v>26</v>
      </c>
      <c r="E1370" s="56" t="s">
        <v>27</v>
      </c>
      <c r="F1370" s="26" t="s">
        <v>3995</v>
      </c>
      <c r="G1370" s="26" t="s">
        <v>16</v>
      </c>
      <c r="H1370" s="26" t="s">
        <v>13</v>
      </c>
      <c r="I1370" s="26" t="s">
        <v>3924</v>
      </c>
      <c r="J1370" s="26" t="s">
        <v>9259</v>
      </c>
      <c r="K1370" s="26" t="s">
        <v>6445</v>
      </c>
      <c r="L1370" s="26" t="s">
        <v>6435</v>
      </c>
      <c r="M1370" s="55" t="s">
        <v>9260</v>
      </c>
      <c r="N1370" s="26" t="s">
        <v>3924</v>
      </c>
    </row>
    <row r="1371" spans="1:14" ht="75" customHeight="1" thickTop="1" thickBot="1">
      <c r="A1371" s="34">
        <v>1369</v>
      </c>
      <c r="B1371" s="34">
        <v>1373</v>
      </c>
      <c r="C1371" s="57" t="s">
        <v>9261</v>
      </c>
      <c r="D1371" s="56" t="s">
        <v>26</v>
      </c>
      <c r="E1371" s="56" t="s">
        <v>6438</v>
      </c>
      <c r="F1371" s="26" t="s">
        <v>3995</v>
      </c>
      <c r="G1371" s="26" t="s">
        <v>12</v>
      </c>
      <c r="H1371" s="26" t="s">
        <v>13</v>
      </c>
      <c r="I1371" s="26" t="s">
        <v>3924</v>
      </c>
      <c r="J1371" s="26" t="s">
        <v>9262</v>
      </c>
      <c r="K1371" s="26" t="s">
        <v>6552</v>
      </c>
      <c r="L1371" s="26" t="s">
        <v>6435</v>
      </c>
      <c r="M1371" s="55" t="s">
        <v>9263</v>
      </c>
      <c r="N1371" s="26" t="s">
        <v>3924</v>
      </c>
    </row>
    <row r="1372" spans="1:14" ht="75" customHeight="1" thickTop="1" thickBot="1">
      <c r="A1372" s="26">
        <v>1370</v>
      </c>
      <c r="B1372" s="26">
        <v>1374</v>
      </c>
      <c r="C1372" s="57" t="s">
        <v>9261</v>
      </c>
      <c r="D1372" s="56" t="s">
        <v>26</v>
      </c>
      <c r="E1372" s="56" t="s">
        <v>6438</v>
      </c>
      <c r="F1372" s="26" t="s">
        <v>3995</v>
      </c>
      <c r="G1372" s="26" t="s">
        <v>1419</v>
      </c>
      <c r="H1372" s="26" t="s">
        <v>13</v>
      </c>
      <c r="I1372" s="26" t="s">
        <v>3924</v>
      </c>
      <c r="J1372" s="26" t="s">
        <v>9264</v>
      </c>
      <c r="K1372" s="26" t="s">
        <v>6552</v>
      </c>
      <c r="L1372" s="26" t="s">
        <v>6877</v>
      </c>
      <c r="M1372" s="55" t="s">
        <v>9265</v>
      </c>
      <c r="N1372" s="26" t="s">
        <v>3924</v>
      </c>
    </row>
    <row r="1373" spans="1:14" ht="75" customHeight="1" thickTop="1" thickBot="1">
      <c r="A1373" s="34">
        <v>1371</v>
      </c>
      <c r="B1373" s="34">
        <v>1375</v>
      </c>
      <c r="C1373" s="57" t="s">
        <v>9266</v>
      </c>
      <c r="D1373" s="56" t="s">
        <v>26</v>
      </c>
      <c r="E1373" s="56" t="s">
        <v>6586</v>
      </c>
      <c r="F1373" s="26" t="s">
        <v>3923</v>
      </c>
      <c r="G1373" s="26" t="s">
        <v>12</v>
      </c>
      <c r="H1373" s="26" t="s">
        <v>13</v>
      </c>
      <c r="I1373" s="26" t="s">
        <v>3924</v>
      </c>
      <c r="J1373" s="26" t="s">
        <v>9267</v>
      </c>
      <c r="K1373" s="26" t="s">
        <v>3954</v>
      </c>
      <c r="L1373" s="26" t="s">
        <v>3927</v>
      </c>
      <c r="M1373" s="55" t="s">
        <v>8372</v>
      </c>
      <c r="N1373" s="26" t="s">
        <v>3924</v>
      </c>
    </row>
    <row r="1374" spans="1:14" ht="75" customHeight="1" thickTop="1" thickBot="1">
      <c r="A1374" s="26">
        <v>1372</v>
      </c>
      <c r="B1374" s="26">
        <v>1376</v>
      </c>
      <c r="C1374" s="57" t="s">
        <v>9266</v>
      </c>
      <c r="D1374" s="56" t="s">
        <v>26</v>
      </c>
      <c r="E1374" s="56" t="s">
        <v>6586</v>
      </c>
      <c r="F1374" s="26" t="s">
        <v>3923</v>
      </c>
      <c r="G1374" s="26" t="s">
        <v>12</v>
      </c>
      <c r="H1374" s="26" t="s">
        <v>13</v>
      </c>
      <c r="I1374" s="26" t="s">
        <v>3924</v>
      </c>
      <c r="J1374" s="26" t="s">
        <v>9268</v>
      </c>
      <c r="K1374" s="26" t="s">
        <v>3954</v>
      </c>
      <c r="L1374" s="26" t="s">
        <v>3927</v>
      </c>
      <c r="M1374" s="55" t="s">
        <v>8362</v>
      </c>
      <c r="N1374" s="26" t="s">
        <v>3924</v>
      </c>
    </row>
    <row r="1375" spans="1:14" ht="75" customHeight="1" thickTop="1" thickBot="1">
      <c r="A1375" s="34">
        <v>1373</v>
      </c>
      <c r="B1375" s="34">
        <v>1377</v>
      </c>
      <c r="C1375" s="57" t="s">
        <v>9266</v>
      </c>
      <c r="D1375" s="56" t="s">
        <v>26</v>
      </c>
      <c r="E1375" s="56" t="s">
        <v>6586</v>
      </c>
      <c r="F1375" s="26" t="s">
        <v>3923</v>
      </c>
      <c r="G1375" s="26" t="s">
        <v>12</v>
      </c>
      <c r="H1375" s="26" t="s">
        <v>13</v>
      </c>
      <c r="I1375" s="26" t="s">
        <v>3924</v>
      </c>
      <c r="J1375" s="26" t="s">
        <v>9268</v>
      </c>
      <c r="K1375" s="26" t="s">
        <v>6445</v>
      </c>
      <c r="L1375" s="26" t="s">
        <v>3927</v>
      </c>
      <c r="M1375" s="55" t="s">
        <v>9269</v>
      </c>
      <c r="N1375" s="26" t="s">
        <v>3924</v>
      </c>
    </row>
    <row r="1376" spans="1:14" ht="75" customHeight="1" thickTop="1" thickBot="1">
      <c r="A1376" s="26">
        <v>1374</v>
      </c>
      <c r="B1376" s="26">
        <v>1378</v>
      </c>
      <c r="C1376" s="57" t="s">
        <v>9270</v>
      </c>
      <c r="D1376" s="56" t="s">
        <v>26</v>
      </c>
      <c r="E1376" s="56" t="s">
        <v>6586</v>
      </c>
      <c r="F1376" s="26" t="s">
        <v>3923</v>
      </c>
      <c r="G1376" s="26" t="s">
        <v>12</v>
      </c>
      <c r="H1376" s="26" t="s">
        <v>13</v>
      </c>
      <c r="I1376" s="26" t="s">
        <v>3924</v>
      </c>
      <c r="J1376" s="26" t="s">
        <v>9271</v>
      </c>
      <c r="K1376" s="26" t="s">
        <v>6445</v>
      </c>
      <c r="L1376" s="26" t="s">
        <v>6493</v>
      </c>
      <c r="M1376" s="55" t="s">
        <v>9272</v>
      </c>
      <c r="N1376" s="26" t="s">
        <v>3924</v>
      </c>
    </row>
    <row r="1377" spans="1:14" ht="75" customHeight="1" thickTop="1" thickBot="1">
      <c r="A1377" s="34">
        <v>1375</v>
      </c>
      <c r="B1377" s="34">
        <v>1379</v>
      </c>
      <c r="C1377" s="57" t="s">
        <v>9270</v>
      </c>
      <c r="D1377" s="56" t="s">
        <v>26</v>
      </c>
      <c r="E1377" s="56" t="s">
        <v>6586</v>
      </c>
      <c r="F1377" s="26" t="s">
        <v>3923</v>
      </c>
      <c r="G1377" s="26" t="s">
        <v>12</v>
      </c>
      <c r="H1377" s="26" t="s">
        <v>13</v>
      </c>
      <c r="I1377" s="26" t="s">
        <v>3924</v>
      </c>
      <c r="J1377" s="26" t="s">
        <v>9273</v>
      </c>
      <c r="K1377" s="26" t="s">
        <v>6440</v>
      </c>
      <c r="L1377" s="26" t="s">
        <v>6435</v>
      </c>
      <c r="M1377" s="55" t="s">
        <v>9274</v>
      </c>
      <c r="N1377" s="26" t="s">
        <v>3924</v>
      </c>
    </row>
    <row r="1378" spans="1:14" ht="75" customHeight="1" thickTop="1" thickBot="1">
      <c r="A1378" s="26">
        <v>1376</v>
      </c>
      <c r="B1378" s="34">
        <v>1380</v>
      </c>
      <c r="C1378" s="57" t="s">
        <v>9275</v>
      </c>
      <c r="D1378" s="56" t="s">
        <v>26</v>
      </c>
      <c r="E1378" s="56" t="s">
        <v>6586</v>
      </c>
      <c r="F1378" s="26" t="s">
        <v>3923</v>
      </c>
      <c r="G1378" s="26" t="s">
        <v>12</v>
      </c>
      <c r="H1378" s="26" t="s">
        <v>13</v>
      </c>
      <c r="I1378" s="26" t="s">
        <v>3924</v>
      </c>
      <c r="J1378" s="26" t="s">
        <v>9276</v>
      </c>
      <c r="K1378" s="26" t="s">
        <v>6445</v>
      </c>
      <c r="L1378" s="26" t="s">
        <v>6559</v>
      </c>
      <c r="M1378" s="55" t="s">
        <v>9277</v>
      </c>
      <c r="N1378" s="26" t="s">
        <v>3924</v>
      </c>
    </row>
    <row r="1379" spans="1:14" ht="75" customHeight="1" thickTop="1" thickBot="1">
      <c r="A1379" s="34">
        <v>1377</v>
      </c>
      <c r="B1379" s="26">
        <v>1381</v>
      </c>
      <c r="C1379" s="57" t="s">
        <v>9278</v>
      </c>
      <c r="D1379" s="56" t="s">
        <v>26</v>
      </c>
      <c r="E1379" s="56" t="s">
        <v>6586</v>
      </c>
      <c r="F1379" s="26" t="s">
        <v>3923</v>
      </c>
      <c r="G1379" s="26" t="s">
        <v>12</v>
      </c>
      <c r="H1379" s="26" t="s">
        <v>13</v>
      </c>
      <c r="I1379" s="26" t="s">
        <v>3924</v>
      </c>
      <c r="J1379" s="26" t="s">
        <v>9276</v>
      </c>
      <c r="K1379" s="26" t="s">
        <v>6552</v>
      </c>
      <c r="L1379" s="26" t="s">
        <v>3927</v>
      </c>
      <c r="M1379" s="55" t="s">
        <v>9279</v>
      </c>
      <c r="N1379" s="26" t="s">
        <v>3924</v>
      </c>
    </row>
    <row r="1380" spans="1:14" ht="75" customHeight="1" thickTop="1" thickBot="1">
      <c r="A1380" s="26">
        <v>1378</v>
      </c>
      <c r="B1380" s="34">
        <v>1382</v>
      </c>
      <c r="C1380" s="57" t="s">
        <v>9278</v>
      </c>
      <c r="D1380" s="56" t="s">
        <v>26</v>
      </c>
      <c r="E1380" s="56" t="s">
        <v>6586</v>
      </c>
      <c r="F1380" s="26" t="s">
        <v>3923</v>
      </c>
      <c r="G1380" s="26" t="s">
        <v>12</v>
      </c>
      <c r="H1380" s="26" t="s">
        <v>13</v>
      </c>
      <c r="I1380" s="26" t="s">
        <v>3924</v>
      </c>
      <c r="J1380" s="26" t="s">
        <v>9276</v>
      </c>
      <c r="K1380" s="26" t="s">
        <v>6434</v>
      </c>
      <c r="L1380" s="26" t="s">
        <v>6435</v>
      </c>
      <c r="M1380" s="55" t="s">
        <v>9280</v>
      </c>
      <c r="N1380" s="26" t="s">
        <v>3924</v>
      </c>
    </row>
    <row r="1381" spans="1:14" ht="75" customHeight="1" thickTop="1" thickBot="1">
      <c r="A1381" s="34">
        <v>1379</v>
      </c>
      <c r="B1381" s="26">
        <v>1383</v>
      </c>
      <c r="C1381" s="57" t="s">
        <v>9281</v>
      </c>
      <c r="D1381" s="56" t="s">
        <v>26</v>
      </c>
      <c r="E1381" s="56" t="s">
        <v>6586</v>
      </c>
      <c r="F1381" s="26" t="s">
        <v>3923</v>
      </c>
      <c r="G1381" s="26" t="s">
        <v>12</v>
      </c>
      <c r="H1381" s="26" t="s">
        <v>13</v>
      </c>
      <c r="I1381" s="26" t="s">
        <v>3924</v>
      </c>
      <c r="J1381" s="26" t="s">
        <v>9282</v>
      </c>
      <c r="K1381" s="26" t="s">
        <v>6552</v>
      </c>
      <c r="L1381" s="26" t="s">
        <v>3927</v>
      </c>
      <c r="M1381" s="55" t="s">
        <v>9283</v>
      </c>
      <c r="N1381" s="26" t="s">
        <v>3924</v>
      </c>
    </row>
    <row r="1382" spans="1:14" ht="75" customHeight="1" thickTop="1" thickBot="1">
      <c r="A1382" s="26">
        <v>1380</v>
      </c>
      <c r="B1382" s="34">
        <v>1384</v>
      </c>
      <c r="C1382" s="57" t="s">
        <v>9282</v>
      </c>
      <c r="D1382" s="56" t="s">
        <v>26</v>
      </c>
      <c r="E1382" s="56" t="s">
        <v>6586</v>
      </c>
      <c r="F1382" s="26" t="s">
        <v>3923</v>
      </c>
      <c r="G1382" s="26" t="s">
        <v>12</v>
      </c>
      <c r="H1382" s="26" t="s">
        <v>13</v>
      </c>
      <c r="I1382" s="26" t="s">
        <v>3924</v>
      </c>
      <c r="J1382" s="26" t="s">
        <v>9282</v>
      </c>
      <c r="K1382" s="26" t="s">
        <v>6434</v>
      </c>
      <c r="L1382" s="26" t="s">
        <v>6469</v>
      </c>
      <c r="M1382" s="55" t="s">
        <v>9284</v>
      </c>
      <c r="N1382" s="26" t="s">
        <v>3924</v>
      </c>
    </row>
    <row r="1383" spans="1:14" ht="75" customHeight="1" thickTop="1" thickBot="1">
      <c r="A1383" s="34">
        <v>1381</v>
      </c>
      <c r="B1383" s="26">
        <v>1385</v>
      </c>
      <c r="C1383" s="57" t="s">
        <v>9282</v>
      </c>
      <c r="D1383" s="56" t="s">
        <v>26</v>
      </c>
      <c r="E1383" s="56" t="s">
        <v>6586</v>
      </c>
      <c r="F1383" s="26" t="s">
        <v>3923</v>
      </c>
      <c r="G1383" s="26" t="s">
        <v>12</v>
      </c>
      <c r="H1383" s="26" t="s">
        <v>13</v>
      </c>
      <c r="I1383" s="26" t="s">
        <v>3924</v>
      </c>
      <c r="J1383" s="26" t="s">
        <v>9285</v>
      </c>
      <c r="K1383" s="26" t="s">
        <v>7683</v>
      </c>
      <c r="L1383" s="26" t="s">
        <v>6493</v>
      </c>
      <c r="M1383" s="55" t="s">
        <v>9286</v>
      </c>
      <c r="N1383" s="26" t="s">
        <v>3924</v>
      </c>
    </row>
    <row r="1384" spans="1:14" ht="75" customHeight="1" thickTop="1" thickBot="1">
      <c r="A1384" s="26">
        <v>1382</v>
      </c>
      <c r="B1384" s="34">
        <v>1386</v>
      </c>
      <c r="C1384" s="57" t="s">
        <v>9282</v>
      </c>
      <c r="D1384" s="56" t="s">
        <v>26</v>
      </c>
      <c r="E1384" s="56" t="s">
        <v>6586</v>
      </c>
      <c r="F1384" s="26" t="s">
        <v>3923</v>
      </c>
      <c r="G1384" s="26" t="s">
        <v>12</v>
      </c>
      <c r="H1384" s="26" t="s">
        <v>13</v>
      </c>
      <c r="I1384" s="26" t="s">
        <v>3924</v>
      </c>
      <c r="J1384" s="26" t="s">
        <v>9285</v>
      </c>
      <c r="K1384" s="26" t="s">
        <v>3954</v>
      </c>
      <c r="L1384" s="26" t="s">
        <v>3927</v>
      </c>
      <c r="M1384" s="55" t="s">
        <v>8372</v>
      </c>
      <c r="N1384" s="26" t="s">
        <v>3924</v>
      </c>
    </row>
    <row r="1385" spans="1:14" ht="75" customHeight="1" thickTop="1" thickBot="1">
      <c r="A1385" s="34">
        <v>1383</v>
      </c>
      <c r="B1385" s="34">
        <v>1387</v>
      </c>
      <c r="C1385" s="57" t="s">
        <v>9285</v>
      </c>
      <c r="D1385" s="56" t="s">
        <v>26</v>
      </c>
      <c r="E1385" s="56" t="s">
        <v>6586</v>
      </c>
      <c r="F1385" s="26" t="s">
        <v>3923</v>
      </c>
      <c r="G1385" s="26" t="s">
        <v>12</v>
      </c>
      <c r="H1385" s="26" t="s">
        <v>13</v>
      </c>
      <c r="I1385" s="26" t="s">
        <v>3924</v>
      </c>
      <c r="J1385" s="26" t="s">
        <v>9285</v>
      </c>
      <c r="K1385" s="26" t="s">
        <v>3954</v>
      </c>
      <c r="L1385" s="26" t="s">
        <v>3927</v>
      </c>
      <c r="M1385" s="55" t="s">
        <v>8362</v>
      </c>
      <c r="N1385" s="26" t="s">
        <v>3924</v>
      </c>
    </row>
    <row r="1386" spans="1:14" ht="75" customHeight="1" thickTop="1" thickBot="1">
      <c r="A1386" s="26">
        <v>1384</v>
      </c>
      <c r="B1386" s="26">
        <v>1388</v>
      </c>
      <c r="C1386" s="57" t="s">
        <v>9273</v>
      </c>
      <c r="D1386" s="56" t="s">
        <v>26</v>
      </c>
      <c r="E1386" s="56" t="s">
        <v>6586</v>
      </c>
      <c r="F1386" s="26" t="s">
        <v>3923</v>
      </c>
      <c r="G1386" s="26" t="s">
        <v>12</v>
      </c>
      <c r="H1386" s="26" t="s">
        <v>13</v>
      </c>
      <c r="I1386" s="26" t="s">
        <v>3924</v>
      </c>
      <c r="J1386" s="26" t="s">
        <v>9273</v>
      </c>
      <c r="K1386" s="26" t="s">
        <v>3954</v>
      </c>
      <c r="L1386" s="26" t="s">
        <v>4082</v>
      </c>
      <c r="M1386" s="55" t="s">
        <v>9287</v>
      </c>
      <c r="N1386" s="26" t="s">
        <v>3924</v>
      </c>
    </row>
    <row r="1387" spans="1:14" ht="75" customHeight="1" thickTop="1" thickBot="1">
      <c r="A1387" s="34">
        <v>1385</v>
      </c>
      <c r="B1387" s="34">
        <v>1389</v>
      </c>
      <c r="C1387" s="57" t="s">
        <v>9273</v>
      </c>
      <c r="D1387" s="56" t="s">
        <v>26</v>
      </c>
      <c r="E1387" s="56" t="s">
        <v>6586</v>
      </c>
      <c r="F1387" s="26" t="s">
        <v>3923</v>
      </c>
      <c r="G1387" s="26" t="s">
        <v>12</v>
      </c>
      <c r="H1387" s="26" t="s">
        <v>13</v>
      </c>
      <c r="I1387" s="26" t="s">
        <v>3924</v>
      </c>
      <c r="J1387" s="26" t="s">
        <v>9267</v>
      </c>
      <c r="K1387" s="26" t="s">
        <v>6440</v>
      </c>
      <c r="L1387" s="26" t="s">
        <v>9288</v>
      </c>
      <c r="M1387" s="55" t="s">
        <v>9289</v>
      </c>
      <c r="N1387" s="26" t="s">
        <v>3924</v>
      </c>
    </row>
    <row r="1388" spans="1:14" ht="75" customHeight="1" thickTop="1" thickBot="1">
      <c r="A1388" s="26">
        <v>1386</v>
      </c>
      <c r="B1388" s="26">
        <v>1390</v>
      </c>
      <c r="C1388" s="57" t="s">
        <v>9271</v>
      </c>
      <c r="D1388" s="56" t="s">
        <v>26</v>
      </c>
      <c r="E1388" s="56" t="s">
        <v>6586</v>
      </c>
      <c r="F1388" s="26" t="s">
        <v>3923</v>
      </c>
      <c r="G1388" s="26" t="s">
        <v>12</v>
      </c>
      <c r="H1388" s="26" t="s">
        <v>13</v>
      </c>
      <c r="I1388" s="26" t="s">
        <v>3924</v>
      </c>
      <c r="J1388" s="26" t="s">
        <v>9267</v>
      </c>
      <c r="K1388" s="26" t="s">
        <v>6552</v>
      </c>
      <c r="L1388" s="26" t="s">
        <v>3927</v>
      </c>
      <c r="M1388" s="55" t="s">
        <v>9290</v>
      </c>
      <c r="N1388" s="26" t="s">
        <v>3924</v>
      </c>
    </row>
    <row r="1389" spans="1:14" ht="75" customHeight="1" thickTop="1" thickBot="1">
      <c r="A1389" s="34">
        <v>1387</v>
      </c>
      <c r="B1389" s="34">
        <v>1391</v>
      </c>
      <c r="C1389" s="57" t="s">
        <v>9291</v>
      </c>
      <c r="D1389" s="56" t="s">
        <v>26</v>
      </c>
      <c r="E1389" s="56" t="s">
        <v>6586</v>
      </c>
      <c r="F1389" s="26" t="s">
        <v>3923</v>
      </c>
      <c r="G1389" s="26" t="s">
        <v>12</v>
      </c>
      <c r="H1389" s="26" t="s">
        <v>13</v>
      </c>
      <c r="I1389" s="26" t="s">
        <v>3924</v>
      </c>
      <c r="J1389" s="26" t="s">
        <v>9292</v>
      </c>
      <c r="K1389" s="26" t="s">
        <v>3954</v>
      </c>
      <c r="L1389" s="26" t="s">
        <v>3927</v>
      </c>
      <c r="M1389" s="55" t="s">
        <v>8372</v>
      </c>
      <c r="N1389" s="26" t="s">
        <v>3924</v>
      </c>
    </row>
    <row r="1390" spans="1:14" ht="75" customHeight="1" thickTop="1" thickBot="1">
      <c r="A1390" s="26">
        <v>1388</v>
      </c>
      <c r="B1390" s="26">
        <v>1392</v>
      </c>
      <c r="C1390" s="57" t="s">
        <v>9291</v>
      </c>
      <c r="D1390" s="56" t="s">
        <v>26</v>
      </c>
      <c r="E1390" s="56" t="s">
        <v>6586</v>
      </c>
      <c r="F1390" s="26" t="s">
        <v>3923</v>
      </c>
      <c r="G1390" s="26" t="s">
        <v>12</v>
      </c>
      <c r="H1390" s="26" t="s">
        <v>13</v>
      </c>
      <c r="I1390" s="26" t="s">
        <v>3924</v>
      </c>
      <c r="J1390" s="26" t="s">
        <v>9292</v>
      </c>
      <c r="K1390" s="26" t="s">
        <v>3954</v>
      </c>
      <c r="L1390" s="26" t="s">
        <v>3927</v>
      </c>
      <c r="M1390" s="55" t="s">
        <v>8362</v>
      </c>
      <c r="N1390" s="26" t="s">
        <v>3924</v>
      </c>
    </row>
    <row r="1391" spans="1:14" ht="75" customHeight="1" thickTop="1" thickBot="1">
      <c r="A1391" s="34">
        <v>1389</v>
      </c>
      <c r="B1391" s="34">
        <v>1393</v>
      </c>
      <c r="C1391" s="57" t="s">
        <v>9291</v>
      </c>
      <c r="D1391" s="56" t="s">
        <v>26</v>
      </c>
      <c r="E1391" s="56" t="s">
        <v>6586</v>
      </c>
      <c r="F1391" s="26" t="s">
        <v>3923</v>
      </c>
      <c r="G1391" s="26" t="s">
        <v>12</v>
      </c>
      <c r="H1391" s="26" t="s">
        <v>13</v>
      </c>
      <c r="I1391" s="26" t="s">
        <v>3924</v>
      </c>
      <c r="J1391" s="26" t="s">
        <v>9292</v>
      </c>
      <c r="K1391" s="26" t="s">
        <v>6552</v>
      </c>
      <c r="L1391" s="26" t="s">
        <v>3927</v>
      </c>
      <c r="M1391" s="55" t="s">
        <v>9293</v>
      </c>
      <c r="N1391" s="26" t="s">
        <v>3924</v>
      </c>
    </row>
    <row r="1392" spans="1:14" ht="75" customHeight="1" thickTop="1" thickBot="1">
      <c r="A1392" s="26">
        <v>1390</v>
      </c>
      <c r="B1392" s="34">
        <v>1394</v>
      </c>
      <c r="C1392" s="57" t="s">
        <v>9294</v>
      </c>
      <c r="D1392" s="56" t="s">
        <v>26</v>
      </c>
      <c r="E1392" s="56" t="s">
        <v>6586</v>
      </c>
      <c r="F1392" s="26" t="s">
        <v>3923</v>
      </c>
      <c r="G1392" s="26" t="s">
        <v>12</v>
      </c>
      <c r="H1392" s="26" t="s">
        <v>13</v>
      </c>
      <c r="I1392" s="26" t="s">
        <v>3924</v>
      </c>
      <c r="J1392" s="26" t="s">
        <v>9292</v>
      </c>
      <c r="K1392" s="26" t="s">
        <v>6552</v>
      </c>
      <c r="L1392" s="26" t="s">
        <v>3927</v>
      </c>
      <c r="M1392" s="55" t="s">
        <v>9295</v>
      </c>
      <c r="N1392" s="26" t="s">
        <v>3924</v>
      </c>
    </row>
    <row r="1393" spans="1:14" ht="75" customHeight="1" thickTop="1" thickBot="1">
      <c r="A1393" s="34">
        <v>1391</v>
      </c>
      <c r="B1393" s="26">
        <v>1395</v>
      </c>
      <c r="C1393" s="57" t="s">
        <v>9294</v>
      </c>
      <c r="D1393" s="56" t="s">
        <v>26</v>
      </c>
      <c r="E1393" s="56" t="s">
        <v>6586</v>
      </c>
      <c r="F1393" s="26" t="s">
        <v>3923</v>
      </c>
      <c r="G1393" s="26" t="s">
        <v>12</v>
      </c>
      <c r="H1393" s="26" t="s">
        <v>13</v>
      </c>
      <c r="I1393" s="26" t="s">
        <v>3924</v>
      </c>
      <c r="J1393" s="26" t="s">
        <v>9294</v>
      </c>
      <c r="K1393" s="26" t="s">
        <v>3954</v>
      </c>
      <c r="L1393" s="26" t="s">
        <v>3927</v>
      </c>
      <c r="M1393" s="55" t="s">
        <v>8372</v>
      </c>
      <c r="N1393" s="26" t="s">
        <v>3924</v>
      </c>
    </row>
    <row r="1394" spans="1:14" ht="75" customHeight="1" thickTop="1" thickBot="1">
      <c r="A1394" s="26">
        <v>1392</v>
      </c>
      <c r="B1394" s="34">
        <v>1396</v>
      </c>
      <c r="C1394" s="57" t="s">
        <v>9294</v>
      </c>
      <c r="D1394" s="56" t="s">
        <v>26</v>
      </c>
      <c r="E1394" s="56" t="s">
        <v>6586</v>
      </c>
      <c r="F1394" s="26" t="s">
        <v>3923</v>
      </c>
      <c r="G1394" s="26" t="s">
        <v>12</v>
      </c>
      <c r="H1394" s="26" t="s">
        <v>13</v>
      </c>
      <c r="I1394" s="26" t="s">
        <v>3924</v>
      </c>
      <c r="J1394" s="26" t="s">
        <v>9294</v>
      </c>
      <c r="K1394" s="26" t="s">
        <v>3954</v>
      </c>
      <c r="L1394" s="26" t="s">
        <v>3927</v>
      </c>
      <c r="M1394" s="55" t="s">
        <v>8362</v>
      </c>
      <c r="N1394" s="26" t="s">
        <v>3924</v>
      </c>
    </row>
    <row r="1395" spans="1:14" ht="75" customHeight="1" thickTop="1" thickBot="1">
      <c r="A1395" s="34">
        <v>1393</v>
      </c>
      <c r="B1395" s="26">
        <v>1397</v>
      </c>
      <c r="C1395" s="57" t="s">
        <v>9292</v>
      </c>
      <c r="D1395" s="56" t="s">
        <v>26</v>
      </c>
      <c r="E1395" s="56" t="s">
        <v>6586</v>
      </c>
      <c r="F1395" s="26" t="s">
        <v>3923</v>
      </c>
      <c r="G1395" s="26" t="s">
        <v>12</v>
      </c>
      <c r="H1395" s="26" t="s">
        <v>13</v>
      </c>
      <c r="I1395" s="26" t="s">
        <v>3924</v>
      </c>
      <c r="J1395" s="26" t="s">
        <v>9292</v>
      </c>
      <c r="K1395" s="26" t="s">
        <v>6445</v>
      </c>
      <c r="L1395" s="26" t="s">
        <v>6435</v>
      </c>
      <c r="M1395" s="55" t="s">
        <v>9296</v>
      </c>
      <c r="N1395" s="26" t="s">
        <v>3924</v>
      </c>
    </row>
    <row r="1396" spans="1:14" ht="75" customHeight="1" thickTop="1" thickBot="1">
      <c r="A1396" s="26">
        <v>1394</v>
      </c>
      <c r="B1396" s="34">
        <v>1398</v>
      </c>
      <c r="C1396" s="57" t="s">
        <v>9292</v>
      </c>
      <c r="D1396" s="56" t="s">
        <v>26</v>
      </c>
      <c r="E1396" s="56" t="s">
        <v>6586</v>
      </c>
      <c r="F1396" s="26" t="s">
        <v>3923</v>
      </c>
      <c r="G1396" s="26" t="s">
        <v>12</v>
      </c>
      <c r="H1396" s="26" t="s">
        <v>13</v>
      </c>
      <c r="I1396" s="26" t="s">
        <v>3924</v>
      </c>
      <c r="J1396" s="26" t="s">
        <v>9267</v>
      </c>
      <c r="K1396" s="26" t="s">
        <v>6552</v>
      </c>
      <c r="L1396" s="26" t="s">
        <v>3927</v>
      </c>
      <c r="M1396" s="55" t="s">
        <v>9297</v>
      </c>
      <c r="N1396" s="26" t="s">
        <v>3924</v>
      </c>
    </row>
    <row r="1397" spans="1:14" ht="75" customHeight="1" thickTop="1" thickBot="1">
      <c r="A1397" s="34">
        <v>1395</v>
      </c>
      <c r="B1397" s="26">
        <v>1399</v>
      </c>
      <c r="C1397" s="57" t="s">
        <v>9298</v>
      </c>
      <c r="D1397" s="56" t="s">
        <v>26</v>
      </c>
      <c r="E1397" s="56" t="s">
        <v>6438</v>
      </c>
      <c r="F1397" s="26" t="s">
        <v>3995</v>
      </c>
      <c r="G1397" s="26" t="s">
        <v>12</v>
      </c>
      <c r="H1397" s="26" t="s">
        <v>13</v>
      </c>
      <c r="I1397" s="26" t="s">
        <v>3924</v>
      </c>
      <c r="J1397" s="26" t="s">
        <v>9299</v>
      </c>
      <c r="K1397" s="26" t="s">
        <v>6552</v>
      </c>
      <c r="L1397" s="26" t="s">
        <v>3927</v>
      </c>
      <c r="M1397" s="55" t="s">
        <v>9300</v>
      </c>
      <c r="N1397" s="26" t="s">
        <v>3924</v>
      </c>
    </row>
    <row r="1398" spans="1:14" ht="75" customHeight="1" thickTop="1" thickBot="1">
      <c r="A1398" s="26">
        <v>1396</v>
      </c>
      <c r="B1398" s="34">
        <v>1400</v>
      </c>
      <c r="C1398" s="57" t="s">
        <v>9301</v>
      </c>
      <c r="D1398" s="56" t="s">
        <v>26</v>
      </c>
      <c r="E1398" s="56" t="s">
        <v>6438</v>
      </c>
      <c r="F1398" s="26" t="s">
        <v>3995</v>
      </c>
      <c r="G1398" s="26" t="s">
        <v>16</v>
      </c>
      <c r="H1398" s="26" t="s">
        <v>13</v>
      </c>
      <c r="I1398" s="26" t="s">
        <v>3924</v>
      </c>
      <c r="J1398" s="26" t="s">
        <v>9302</v>
      </c>
      <c r="K1398" s="26" t="s">
        <v>6552</v>
      </c>
      <c r="L1398" s="26" t="s">
        <v>6455</v>
      </c>
      <c r="M1398" s="55" t="s">
        <v>9303</v>
      </c>
      <c r="N1398" s="26" t="s">
        <v>3924</v>
      </c>
    </row>
    <row r="1399" spans="1:14" ht="75" customHeight="1" thickTop="1" thickBot="1">
      <c r="A1399" s="34">
        <v>1397</v>
      </c>
      <c r="B1399" s="34">
        <v>1401</v>
      </c>
      <c r="C1399" s="57" t="s">
        <v>5795</v>
      </c>
      <c r="D1399" s="56" t="s">
        <v>26</v>
      </c>
      <c r="E1399" s="56" t="s">
        <v>9235</v>
      </c>
      <c r="F1399" s="26" t="s">
        <v>3995</v>
      </c>
      <c r="G1399" s="26" t="s">
        <v>16</v>
      </c>
      <c r="H1399" s="26" t="s">
        <v>13</v>
      </c>
      <c r="I1399" s="26" t="s">
        <v>3924</v>
      </c>
      <c r="J1399" s="26" t="s">
        <v>9304</v>
      </c>
      <c r="K1399" s="26" t="s">
        <v>7683</v>
      </c>
      <c r="L1399" s="26" t="s">
        <v>3924</v>
      </c>
      <c r="M1399" s="55" t="s">
        <v>9305</v>
      </c>
      <c r="N1399" s="26" t="s">
        <v>3924</v>
      </c>
    </row>
    <row r="1400" spans="1:14" ht="75" customHeight="1" thickTop="1" thickBot="1">
      <c r="A1400" s="26">
        <v>1398</v>
      </c>
      <c r="B1400" s="26">
        <v>1402</v>
      </c>
      <c r="C1400" s="57" t="s">
        <v>5809</v>
      </c>
      <c r="D1400" s="56" t="s">
        <v>26</v>
      </c>
      <c r="E1400" s="56" t="s">
        <v>27</v>
      </c>
      <c r="F1400" s="26" t="s">
        <v>3995</v>
      </c>
      <c r="G1400" s="26" t="s">
        <v>1419</v>
      </c>
      <c r="H1400" s="26" t="s">
        <v>13</v>
      </c>
      <c r="I1400" s="26" t="s">
        <v>3924</v>
      </c>
      <c r="J1400" s="26" t="s">
        <v>9306</v>
      </c>
      <c r="K1400" s="26" t="s">
        <v>6434</v>
      </c>
      <c r="L1400" s="26" t="s">
        <v>9029</v>
      </c>
      <c r="M1400" s="55" t="s">
        <v>9307</v>
      </c>
      <c r="N1400" s="26" t="s">
        <v>3924</v>
      </c>
    </row>
    <row r="1401" spans="1:14" ht="75" customHeight="1" thickTop="1" thickBot="1">
      <c r="A1401" s="34">
        <v>1399</v>
      </c>
      <c r="B1401" s="34">
        <v>1403</v>
      </c>
      <c r="C1401" s="57" t="s">
        <v>5860</v>
      </c>
      <c r="D1401" s="56" t="s">
        <v>26</v>
      </c>
      <c r="E1401" s="56" t="s">
        <v>27</v>
      </c>
      <c r="F1401" s="26" t="s">
        <v>3995</v>
      </c>
      <c r="G1401" s="26" t="s">
        <v>16</v>
      </c>
      <c r="H1401" s="26" t="s">
        <v>13</v>
      </c>
      <c r="I1401" s="26" t="s">
        <v>3924</v>
      </c>
      <c r="J1401" s="26" t="s">
        <v>9302</v>
      </c>
      <c r="K1401" s="26" t="s">
        <v>6434</v>
      </c>
      <c r="L1401" s="26" t="s">
        <v>6469</v>
      </c>
      <c r="M1401" s="55" t="s">
        <v>9308</v>
      </c>
      <c r="N1401" s="26" t="s">
        <v>3924</v>
      </c>
    </row>
    <row r="1402" spans="1:14" ht="75" customHeight="1" thickTop="1" thickBot="1">
      <c r="A1402" s="26">
        <v>1400</v>
      </c>
      <c r="B1402" s="26">
        <v>1404</v>
      </c>
      <c r="C1402" s="57" t="s">
        <v>5862</v>
      </c>
      <c r="D1402" s="56" t="s">
        <v>26</v>
      </c>
      <c r="E1402" s="56" t="s">
        <v>27</v>
      </c>
      <c r="F1402" s="26" t="s">
        <v>3995</v>
      </c>
      <c r="G1402" s="26" t="s">
        <v>16</v>
      </c>
      <c r="H1402" s="26" t="s">
        <v>13</v>
      </c>
      <c r="I1402" s="26" t="s">
        <v>3924</v>
      </c>
      <c r="J1402" s="26" t="s">
        <v>9302</v>
      </c>
      <c r="K1402" s="26" t="s">
        <v>6434</v>
      </c>
      <c r="L1402" s="26" t="s">
        <v>6469</v>
      </c>
      <c r="M1402" s="55" t="s">
        <v>9309</v>
      </c>
      <c r="N1402" s="26" t="s">
        <v>3924</v>
      </c>
    </row>
    <row r="1403" spans="1:14" ht="75" customHeight="1" thickTop="1" thickBot="1">
      <c r="A1403" s="34">
        <v>1401</v>
      </c>
      <c r="B1403" s="34">
        <v>1405</v>
      </c>
      <c r="C1403" s="57" t="s">
        <v>9310</v>
      </c>
      <c r="D1403" s="56" t="s">
        <v>26</v>
      </c>
      <c r="E1403" s="56" t="s">
        <v>27</v>
      </c>
      <c r="F1403" s="26" t="s">
        <v>3995</v>
      </c>
      <c r="G1403" s="26" t="s">
        <v>12</v>
      </c>
      <c r="H1403" s="26" t="s">
        <v>13</v>
      </c>
      <c r="I1403" s="26" t="s">
        <v>3924</v>
      </c>
      <c r="J1403" s="26" t="s">
        <v>9311</v>
      </c>
      <c r="K1403" s="26" t="s">
        <v>6445</v>
      </c>
      <c r="L1403" s="26" t="s">
        <v>6435</v>
      </c>
      <c r="M1403" s="55" t="s">
        <v>9312</v>
      </c>
      <c r="N1403" s="26" t="s">
        <v>3924</v>
      </c>
    </row>
    <row r="1404" spans="1:14" ht="75" customHeight="1" thickTop="1" thickBot="1">
      <c r="A1404" s="26">
        <v>1402</v>
      </c>
      <c r="B1404" s="26">
        <v>1406</v>
      </c>
      <c r="C1404" s="57" t="s">
        <v>9313</v>
      </c>
      <c r="D1404" s="56" t="s">
        <v>26</v>
      </c>
      <c r="E1404" s="56" t="s">
        <v>6438</v>
      </c>
      <c r="F1404" s="26" t="s">
        <v>3995</v>
      </c>
      <c r="G1404" s="26" t="s">
        <v>1419</v>
      </c>
      <c r="H1404" s="26" t="s">
        <v>13</v>
      </c>
      <c r="I1404" s="26" t="s">
        <v>3924</v>
      </c>
      <c r="J1404" s="26" t="s">
        <v>9314</v>
      </c>
      <c r="K1404" s="26" t="s">
        <v>6552</v>
      </c>
      <c r="L1404" s="26" t="s">
        <v>6877</v>
      </c>
      <c r="M1404" s="55" t="s">
        <v>9315</v>
      </c>
      <c r="N1404" s="26" t="s">
        <v>3924</v>
      </c>
    </row>
    <row r="1405" spans="1:14" ht="75" customHeight="1" thickTop="1" thickBot="1">
      <c r="A1405" s="34">
        <v>1403</v>
      </c>
      <c r="B1405" s="34">
        <v>1407</v>
      </c>
      <c r="C1405" s="57" t="s">
        <v>9316</v>
      </c>
      <c r="D1405" s="56" t="s">
        <v>26</v>
      </c>
      <c r="E1405" s="56" t="s">
        <v>27</v>
      </c>
      <c r="F1405" s="26" t="s">
        <v>3995</v>
      </c>
      <c r="G1405" s="26" t="s">
        <v>12</v>
      </c>
      <c r="H1405" s="26" t="s">
        <v>717</v>
      </c>
      <c r="I1405" s="26" t="s">
        <v>9317</v>
      </c>
      <c r="J1405" s="26" t="s">
        <v>9318</v>
      </c>
      <c r="K1405" s="26" t="s">
        <v>6434</v>
      </c>
      <c r="L1405" s="26" t="s">
        <v>4942</v>
      </c>
      <c r="M1405" s="55" t="s">
        <v>9319</v>
      </c>
      <c r="N1405" s="26" t="s">
        <v>3924</v>
      </c>
    </row>
    <row r="1406" spans="1:14" ht="75" customHeight="1" thickTop="1" thickBot="1">
      <c r="A1406" s="26">
        <v>1404</v>
      </c>
      <c r="B1406" s="34">
        <v>1408</v>
      </c>
      <c r="C1406" s="57" t="s">
        <v>9320</v>
      </c>
      <c r="D1406" s="56" t="s">
        <v>26</v>
      </c>
      <c r="E1406" s="56" t="s">
        <v>27</v>
      </c>
      <c r="F1406" s="26" t="s">
        <v>3995</v>
      </c>
      <c r="G1406" s="26" t="s">
        <v>1419</v>
      </c>
      <c r="H1406" s="26" t="s">
        <v>13</v>
      </c>
      <c r="I1406" s="26" t="s">
        <v>3924</v>
      </c>
      <c r="J1406" s="26" t="s">
        <v>9321</v>
      </c>
      <c r="K1406" s="26" t="s">
        <v>6445</v>
      </c>
      <c r="L1406" s="26" t="s">
        <v>6593</v>
      </c>
      <c r="M1406" s="55" t="s">
        <v>9322</v>
      </c>
      <c r="N1406" s="26" t="s">
        <v>3924</v>
      </c>
    </row>
    <row r="1407" spans="1:14" ht="75" customHeight="1" thickTop="1" thickBot="1">
      <c r="A1407" s="34">
        <v>1405</v>
      </c>
      <c r="B1407" s="26">
        <v>1409</v>
      </c>
      <c r="C1407" s="57" t="s">
        <v>9323</v>
      </c>
      <c r="D1407" s="56" t="s">
        <v>26</v>
      </c>
      <c r="E1407" s="56" t="s">
        <v>27</v>
      </c>
      <c r="F1407" s="26" t="s">
        <v>3995</v>
      </c>
      <c r="G1407" s="26" t="s">
        <v>12</v>
      </c>
      <c r="H1407" s="26" t="s">
        <v>13</v>
      </c>
      <c r="I1407" s="26" t="s">
        <v>9324</v>
      </c>
      <c r="J1407" s="26" t="s">
        <v>5995</v>
      </c>
      <c r="K1407" s="26" t="s">
        <v>6434</v>
      </c>
      <c r="L1407" s="26" t="s">
        <v>6469</v>
      </c>
      <c r="M1407" s="55" t="s">
        <v>9325</v>
      </c>
      <c r="N1407" s="26" t="s">
        <v>3924</v>
      </c>
    </row>
    <row r="1408" spans="1:14" ht="75" customHeight="1" thickTop="1" thickBot="1">
      <c r="A1408" s="26">
        <v>1406</v>
      </c>
      <c r="B1408" s="34">
        <v>1410</v>
      </c>
      <c r="C1408" s="57" t="s">
        <v>5942</v>
      </c>
      <c r="D1408" s="56" t="s">
        <v>26</v>
      </c>
      <c r="E1408" s="56" t="s">
        <v>8550</v>
      </c>
      <c r="F1408" s="26" t="s">
        <v>3995</v>
      </c>
      <c r="G1408" s="26" t="s">
        <v>1419</v>
      </c>
      <c r="H1408" s="26" t="s">
        <v>13</v>
      </c>
      <c r="I1408" s="26" t="s">
        <v>3924</v>
      </c>
      <c r="J1408" s="26" t="s">
        <v>9326</v>
      </c>
      <c r="K1408" s="26" t="s">
        <v>6440</v>
      </c>
      <c r="L1408" s="26" t="s">
        <v>3927</v>
      </c>
      <c r="M1408" s="55" t="s">
        <v>9327</v>
      </c>
      <c r="N1408" s="26" t="s">
        <v>3924</v>
      </c>
    </row>
    <row r="1409" spans="1:14" ht="75" customHeight="1" thickTop="1" thickBot="1">
      <c r="A1409" s="34">
        <v>1407</v>
      </c>
      <c r="B1409" s="26">
        <v>1411</v>
      </c>
      <c r="C1409" s="57" t="s">
        <v>9328</v>
      </c>
      <c r="D1409" s="56" t="s">
        <v>26</v>
      </c>
      <c r="E1409" s="56" t="s">
        <v>8550</v>
      </c>
      <c r="F1409" s="26" t="s">
        <v>3995</v>
      </c>
      <c r="G1409" s="26" t="s">
        <v>12</v>
      </c>
      <c r="H1409" s="26" t="s">
        <v>13</v>
      </c>
      <c r="I1409" s="26" t="s">
        <v>3924</v>
      </c>
      <c r="J1409" s="26" t="s">
        <v>9329</v>
      </c>
      <c r="K1409" s="26" t="s">
        <v>6440</v>
      </c>
      <c r="L1409" s="26" t="s">
        <v>3927</v>
      </c>
      <c r="M1409" s="55" t="s">
        <v>9330</v>
      </c>
      <c r="N1409" s="26" t="s">
        <v>9331</v>
      </c>
    </row>
    <row r="1410" spans="1:14" ht="75" customHeight="1" thickTop="1" thickBot="1">
      <c r="A1410" s="26">
        <v>1408</v>
      </c>
      <c r="B1410" s="34">
        <v>1412</v>
      </c>
      <c r="C1410" s="57" t="s">
        <v>5975</v>
      </c>
      <c r="D1410" s="56" t="s">
        <v>26</v>
      </c>
      <c r="E1410" s="56" t="s">
        <v>8550</v>
      </c>
      <c r="F1410" s="26" t="s">
        <v>3995</v>
      </c>
      <c r="G1410" s="26" t="s">
        <v>1419</v>
      </c>
      <c r="H1410" s="26" t="s">
        <v>13</v>
      </c>
      <c r="I1410" s="26" t="s">
        <v>3924</v>
      </c>
      <c r="J1410" s="26" t="s">
        <v>9332</v>
      </c>
      <c r="K1410" s="26" t="s">
        <v>6440</v>
      </c>
      <c r="L1410" s="26" t="s">
        <v>6723</v>
      </c>
      <c r="M1410" s="55" t="s">
        <v>9333</v>
      </c>
      <c r="N1410" s="26" t="s">
        <v>9334</v>
      </c>
    </row>
    <row r="1411" spans="1:14" ht="75" customHeight="1" thickTop="1" thickBot="1">
      <c r="A1411" s="34">
        <v>1409</v>
      </c>
      <c r="B1411" s="26">
        <v>1413</v>
      </c>
      <c r="C1411" s="57" t="s">
        <v>5979</v>
      </c>
      <c r="D1411" s="56" t="s">
        <v>26</v>
      </c>
      <c r="E1411" s="56" t="s">
        <v>8550</v>
      </c>
      <c r="F1411" s="26" t="s">
        <v>3995</v>
      </c>
      <c r="G1411" s="26" t="s">
        <v>16</v>
      </c>
      <c r="H1411" s="26" t="s">
        <v>13</v>
      </c>
      <c r="I1411" s="26" t="s">
        <v>3924</v>
      </c>
      <c r="J1411" s="26" t="s">
        <v>9335</v>
      </c>
      <c r="K1411" s="26" t="s">
        <v>6440</v>
      </c>
      <c r="L1411" s="26" t="s">
        <v>6723</v>
      </c>
      <c r="M1411" s="55" t="s">
        <v>9336</v>
      </c>
      <c r="N1411" s="26" t="s">
        <v>9337</v>
      </c>
    </row>
    <row r="1412" spans="1:14" ht="75" customHeight="1" thickTop="1" thickBot="1">
      <c r="A1412" s="26">
        <v>1410</v>
      </c>
      <c r="B1412" s="34">
        <v>1414</v>
      </c>
      <c r="C1412" s="57" t="s">
        <v>9338</v>
      </c>
      <c r="D1412" s="56" t="s">
        <v>26</v>
      </c>
      <c r="E1412" s="56" t="s">
        <v>27</v>
      </c>
      <c r="F1412" s="26" t="s">
        <v>3995</v>
      </c>
      <c r="G1412" s="26" t="s">
        <v>1419</v>
      </c>
      <c r="H1412" s="26" t="s">
        <v>13</v>
      </c>
      <c r="I1412" s="26" t="s">
        <v>3924</v>
      </c>
      <c r="J1412" s="26" t="s">
        <v>9339</v>
      </c>
      <c r="K1412" s="26" t="s">
        <v>6434</v>
      </c>
      <c r="L1412" s="26" t="s">
        <v>6469</v>
      </c>
      <c r="M1412" s="55" t="s">
        <v>9340</v>
      </c>
      <c r="N1412" s="26" t="s">
        <v>3924</v>
      </c>
    </row>
    <row r="1413" spans="1:14" ht="75" customHeight="1" thickTop="1" thickBot="1">
      <c r="A1413" s="34">
        <v>1411</v>
      </c>
      <c r="B1413" s="34">
        <v>1415</v>
      </c>
      <c r="C1413" s="57" t="s">
        <v>9341</v>
      </c>
      <c r="D1413" s="56" t="s">
        <v>26</v>
      </c>
      <c r="E1413" s="56" t="s">
        <v>27</v>
      </c>
      <c r="F1413" s="26" t="s">
        <v>3995</v>
      </c>
      <c r="G1413" s="26" t="s">
        <v>1419</v>
      </c>
      <c r="H1413" s="26" t="s">
        <v>13</v>
      </c>
      <c r="I1413" s="26" t="s">
        <v>3924</v>
      </c>
      <c r="J1413" s="26" t="s">
        <v>9342</v>
      </c>
      <c r="K1413" s="26" t="s">
        <v>6445</v>
      </c>
      <c r="L1413" s="26" t="s">
        <v>6593</v>
      </c>
      <c r="M1413" s="55" t="s">
        <v>9343</v>
      </c>
      <c r="N1413" s="26" t="s">
        <v>3924</v>
      </c>
    </row>
    <row r="1414" spans="1:14" ht="75" customHeight="1" thickTop="1" thickBot="1">
      <c r="A1414" s="26">
        <v>1412</v>
      </c>
      <c r="B1414" s="26">
        <v>1416</v>
      </c>
      <c r="C1414" s="57" t="s">
        <v>9344</v>
      </c>
      <c r="D1414" s="56" t="s">
        <v>26</v>
      </c>
      <c r="E1414" s="56" t="s">
        <v>8550</v>
      </c>
      <c r="F1414" s="26" t="s">
        <v>3995</v>
      </c>
      <c r="G1414" s="26" t="s">
        <v>1419</v>
      </c>
      <c r="H1414" s="26" t="s">
        <v>13</v>
      </c>
      <c r="I1414" s="26" t="s">
        <v>3924</v>
      </c>
      <c r="J1414" s="26" t="s">
        <v>9345</v>
      </c>
      <c r="K1414" s="26" t="s">
        <v>6440</v>
      </c>
      <c r="L1414" s="26" t="s">
        <v>6593</v>
      </c>
      <c r="M1414" s="55" t="s">
        <v>9346</v>
      </c>
      <c r="N1414" s="26" t="s">
        <v>9347</v>
      </c>
    </row>
    <row r="1415" spans="1:14" ht="75" customHeight="1" thickTop="1" thickBot="1">
      <c r="A1415" s="34">
        <v>1413</v>
      </c>
      <c r="B1415" s="34">
        <v>1417</v>
      </c>
      <c r="C1415" s="57" t="s">
        <v>9348</v>
      </c>
      <c r="D1415" s="56" t="s">
        <v>26</v>
      </c>
      <c r="E1415" s="56" t="s">
        <v>6438</v>
      </c>
      <c r="F1415" s="26" t="s">
        <v>3995</v>
      </c>
      <c r="G1415" s="26" t="s">
        <v>1419</v>
      </c>
      <c r="H1415" s="26" t="s">
        <v>13</v>
      </c>
      <c r="I1415" s="26" t="s">
        <v>3924</v>
      </c>
      <c r="J1415" s="26" t="s">
        <v>9349</v>
      </c>
      <c r="K1415" s="26" t="s">
        <v>6552</v>
      </c>
      <c r="L1415" s="26" t="s">
        <v>3927</v>
      </c>
      <c r="M1415" s="55" t="s">
        <v>9350</v>
      </c>
      <c r="N1415" s="26" t="s">
        <v>3924</v>
      </c>
    </row>
    <row r="1416" spans="1:14" ht="75" customHeight="1" thickTop="1" thickBot="1">
      <c r="A1416" s="26">
        <v>1414</v>
      </c>
      <c r="B1416" s="26">
        <v>1418</v>
      </c>
      <c r="C1416" s="57" t="s">
        <v>9351</v>
      </c>
      <c r="D1416" s="56" t="s">
        <v>26</v>
      </c>
      <c r="E1416" s="56" t="s">
        <v>27</v>
      </c>
      <c r="F1416" s="26" t="s">
        <v>3995</v>
      </c>
      <c r="G1416" s="26" t="s">
        <v>16</v>
      </c>
      <c r="H1416" s="26" t="s">
        <v>13</v>
      </c>
      <c r="I1416" s="26" t="s">
        <v>3924</v>
      </c>
      <c r="J1416" s="26" t="s">
        <v>9352</v>
      </c>
      <c r="K1416" s="26" t="s">
        <v>6434</v>
      </c>
      <c r="L1416" s="26" t="s">
        <v>6493</v>
      </c>
      <c r="M1416" s="55" t="s">
        <v>9353</v>
      </c>
      <c r="N1416" s="26" t="s">
        <v>3924</v>
      </c>
    </row>
    <row r="1417" spans="1:14" ht="75" customHeight="1" thickTop="1" thickBot="1">
      <c r="A1417" s="34">
        <v>1415</v>
      </c>
      <c r="B1417" s="34">
        <v>1419</v>
      </c>
      <c r="C1417" s="57" t="s">
        <v>9354</v>
      </c>
      <c r="D1417" s="56" t="s">
        <v>26</v>
      </c>
      <c r="E1417" s="56" t="s">
        <v>9235</v>
      </c>
      <c r="F1417" s="26" t="s">
        <v>3995</v>
      </c>
      <c r="G1417" s="26" t="s">
        <v>1419</v>
      </c>
      <c r="H1417" s="26" t="s">
        <v>13</v>
      </c>
      <c r="I1417" s="26" t="s">
        <v>3924</v>
      </c>
      <c r="J1417" s="26" t="s">
        <v>9355</v>
      </c>
      <c r="K1417" s="26" t="s">
        <v>6552</v>
      </c>
      <c r="L1417" s="26" t="s">
        <v>3924</v>
      </c>
      <c r="M1417" s="55" t="s">
        <v>9356</v>
      </c>
      <c r="N1417" s="26" t="s">
        <v>3924</v>
      </c>
    </row>
    <row r="1418" spans="1:14" ht="75" customHeight="1" thickTop="1" thickBot="1">
      <c r="A1418" s="26">
        <v>1416</v>
      </c>
      <c r="B1418" s="26">
        <v>1420</v>
      </c>
      <c r="C1418" s="57" t="s">
        <v>9357</v>
      </c>
      <c r="D1418" s="56" t="s">
        <v>26</v>
      </c>
      <c r="E1418" s="56" t="s">
        <v>27</v>
      </c>
      <c r="F1418" s="26" t="s">
        <v>3995</v>
      </c>
      <c r="G1418" s="26" t="s">
        <v>1419</v>
      </c>
      <c r="H1418" s="26" t="s">
        <v>13</v>
      </c>
      <c r="I1418" s="26" t="s">
        <v>3924</v>
      </c>
      <c r="J1418" s="26" t="s">
        <v>9355</v>
      </c>
      <c r="K1418" s="26" t="s">
        <v>6445</v>
      </c>
      <c r="L1418" s="26" t="s">
        <v>6469</v>
      </c>
      <c r="M1418" s="55" t="s">
        <v>9358</v>
      </c>
      <c r="N1418" s="26" t="s">
        <v>3924</v>
      </c>
    </row>
    <row r="1419" spans="1:14" ht="75" customHeight="1" thickTop="1" thickBot="1">
      <c r="A1419" s="34">
        <v>1417</v>
      </c>
      <c r="B1419" s="34">
        <v>1421</v>
      </c>
      <c r="C1419" s="57" t="s">
        <v>9359</v>
      </c>
      <c r="D1419" s="56" t="s">
        <v>26</v>
      </c>
      <c r="E1419" s="56" t="s">
        <v>27</v>
      </c>
      <c r="F1419" s="26" t="s">
        <v>3995</v>
      </c>
      <c r="G1419" s="26" t="s">
        <v>12</v>
      </c>
      <c r="H1419" s="26" t="s">
        <v>13</v>
      </c>
      <c r="I1419" s="26" t="s">
        <v>3924</v>
      </c>
      <c r="J1419" s="26" t="s">
        <v>9360</v>
      </c>
      <c r="K1419" s="26" t="s">
        <v>6445</v>
      </c>
      <c r="L1419" s="26" t="s">
        <v>6559</v>
      </c>
      <c r="M1419" s="55" t="s">
        <v>9361</v>
      </c>
      <c r="N1419" s="26" t="s">
        <v>3924</v>
      </c>
    </row>
    <row r="1420" spans="1:14" ht="75" customHeight="1" thickTop="1" thickBot="1">
      <c r="A1420" s="26">
        <v>1418</v>
      </c>
      <c r="B1420" s="34">
        <v>1422</v>
      </c>
      <c r="C1420" s="57" t="s">
        <v>9362</v>
      </c>
      <c r="D1420" s="56" t="s">
        <v>26</v>
      </c>
      <c r="E1420" s="56" t="s">
        <v>27</v>
      </c>
      <c r="F1420" s="26" t="s">
        <v>3995</v>
      </c>
      <c r="G1420" s="26" t="s">
        <v>1419</v>
      </c>
      <c r="H1420" s="26" t="s">
        <v>13</v>
      </c>
      <c r="I1420" s="26" t="s">
        <v>3924</v>
      </c>
      <c r="J1420" s="26" t="s">
        <v>9363</v>
      </c>
      <c r="K1420" s="26" t="s">
        <v>6434</v>
      </c>
      <c r="L1420" s="26" t="s">
        <v>6469</v>
      </c>
      <c r="M1420" s="55" t="s">
        <v>9364</v>
      </c>
      <c r="N1420" s="26" t="s">
        <v>3924</v>
      </c>
    </row>
    <row r="1421" spans="1:14" ht="75" customHeight="1" thickTop="1" thickBot="1">
      <c r="A1421" s="34">
        <v>1419</v>
      </c>
      <c r="B1421" s="26">
        <v>1423</v>
      </c>
      <c r="C1421" s="57" t="s">
        <v>9365</v>
      </c>
      <c r="D1421" s="56" t="s">
        <v>26</v>
      </c>
      <c r="E1421" s="56" t="s">
        <v>8550</v>
      </c>
      <c r="F1421" s="26" t="s">
        <v>3995</v>
      </c>
      <c r="G1421" s="26" t="s">
        <v>16</v>
      </c>
      <c r="H1421" s="26" t="s">
        <v>13</v>
      </c>
      <c r="I1421" s="26" t="s">
        <v>3924</v>
      </c>
      <c r="J1421" s="26" t="s">
        <v>9366</v>
      </c>
      <c r="K1421" s="26" t="s">
        <v>6440</v>
      </c>
      <c r="L1421" s="26" t="s">
        <v>6455</v>
      </c>
      <c r="M1421" s="55" t="s">
        <v>9367</v>
      </c>
      <c r="N1421" s="26" t="s">
        <v>9368</v>
      </c>
    </row>
    <row r="1422" spans="1:14" ht="75" customHeight="1" thickTop="1" thickBot="1">
      <c r="A1422" s="26">
        <v>1420</v>
      </c>
      <c r="B1422" s="34">
        <v>1424</v>
      </c>
      <c r="C1422" s="57" t="s">
        <v>9369</v>
      </c>
      <c r="D1422" s="56" t="s">
        <v>26</v>
      </c>
      <c r="E1422" s="56" t="s">
        <v>6480</v>
      </c>
      <c r="F1422" s="26" t="s">
        <v>3923</v>
      </c>
      <c r="G1422" s="26" t="s">
        <v>16</v>
      </c>
      <c r="H1422" s="26" t="s">
        <v>13</v>
      </c>
      <c r="I1422" s="26" t="s">
        <v>3924</v>
      </c>
      <c r="J1422" s="26" t="s">
        <v>9369</v>
      </c>
      <c r="K1422" s="26" t="s">
        <v>6552</v>
      </c>
      <c r="L1422" s="26" t="s">
        <v>3927</v>
      </c>
      <c r="M1422" s="55" t="s">
        <v>9370</v>
      </c>
      <c r="N1422" s="26" t="s">
        <v>3924</v>
      </c>
    </row>
    <row r="1423" spans="1:14" ht="75" customHeight="1" thickTop="1" thickBot="1">
      <c r="A1423" s="34">
        <v>1421</v>
      </c>
      <c r="B1423" s="26">
        <v>1425</v>
      </c>
      <c r="C1423" s="57" t="s">
        <v>9371</v>
      </c>
      <c r="D1423" s="56" t="s">
        <v>26</v>
      </c>
      <c r="E1423" s="56" t="s">
        <v>6480</v>
      </c>
      <c r="F1423" s="26" t="s">
        <v>3923</v>
      </c>
      <c r="G1423" s="26" t="s">
        <v>16</v>
      </c>
      <c r="H1423" s="26" t="s">
        <v>13</v>
      </c>
      <c r="I1423" s="26" t="s">
        <v>3924</v>
      </c>
      <c r="J1423" s="26" t="s">
        <v>9371</v>
      </c>
      <c r="K1423" s="26" t="s">
        <v>6552</v>
      </c>
      <c r="L1423" s="26" t="s">
        <v>4942</v>
      </c>
      <c r="M1423" s="55" t="s">
        <v>8246</v>
      </c>
      <c r="N1423" s="26" t="s">
        <v>3924</v>
      </c>
    </row>
    <row r="1424" spans="1:14" ht="75" customHeight="1" thickTop="1" thickBot="1">
      <c r="A1424" s="26">
        <v>1422</v>
      </c>
      <c r="B1424" s="34">
        <v>1426</v>
      </c>
      <c r="C1424" s="57" t="s">
        <v>9371</v>
      </c>
      <c r="D1424" s="56" t="s">
        <v>26</v>
      </c>
      <c r="E1424" s="56" t="s">
        <v>6480</v>
      </c>
      <c r="F1424" s="26" t="s">
        <v>3923</v>
      </c>
      <c r="G1424" s="26" t="s">
        <v>16</v>
      </c>
      <c r="H1424" s="26" t="s">
        <v>13</v>
      </c>
      <c r="I1424" s="26" t="s">
        <v>3924</v>
      </c>
      <c r="J1424" s="26" t="s">
        <v>9371</v>
      </c>
      <c r="K1424" s="26" t="s">
        <v>6552</v>
      </c>
      <c r="L1424" s="26" t="s">
        <v>3927</v>
      </c>
      <c r="M1424" s="55" t="s">
        <v>9372</v>
      </c>
      <c r="N1424" s="26" t="s">
        <v>3924</v>
      </c>
    </row>
    <row r="1425" spans="1:14" ht="75" customHeight="1" thickTop="1" thickBot="1">
      <c r="A1425" s="34">
        <v>1423</v>
      </c>
      <c r="B1425" s="26">
        <v>1427</v>
      </c>
      <c r="C1425" s="57" t="s">
        <v>9373</v>
      </c>
      <c r="D1425" s="56" t="s">
        <v>26</v>
      </c>
      <c r="E1425" s="56" t="s">
        <v>6480</v>
      </c>
      <c r="F1425" s="26" t="s">
        <v>3923</v>
      </c>
      <c r="G1425" s="26" t="s">
        <v>16</v>
      </c>
      <c r="H1425" s="26" t="s">
        <v>13</v>
      </c>
      <c r="I1425" s="26" t="s">
        <v>3924</v>
      </c>
      <c r="J1425" s="26" t="s">
        <v>9373</v>
      </c>
      <c r="K1425" s="26" t="s">
        <v>6552</v>
      </c>
      <c r="L1425" s="26" t="s">
        <v>9374</v>
      </c>
      <c r="M1425" s="55" t="s">
        <v>9375</v>
      </c>
      <c r="N1425" s="26" t="s">
        <v>3924</v>
      </c>
    </row>
    <row r="1426" spans="1:14" ht="75" customHeight="1" thickTop="1" thickBot="1">
      <c r="A1426" s="26">
        <v>1424</v>
      </c>
      <c r="B1426" s="34">
        <v>1428</v>
      </c>
      <c r="C1426" s="57" t="s">
        <v>9376</v>
      </c>
      <c r="D1426" s="56" t="s">
        <v>26</v>
      </c>
      <c r="E1426" s="56" t="s">
        <v>6480</v>
      </c>
      <c r="F1426" s="26" t="s">
        <v>3923</v>
      </c>
      <c r="G1426" s="26" t="s">
        <v>16</v>
      </c>
      <c r="H1426" s="26" t="s">
        <v>13</v>
      </c>
      <c r="I1426" s="26" t="s">
        <v>3924</v>
      </c>
      <c r="J1426" s="26" t="s">
        <v>9376</v>
      </c>
      <c r="K1426" s="26" t="s">
        <v>6434</v>
      </c>
      <c r="L1426" s="26" t="s">
        <v>8892</v>
      </c>
      <c r="M1426" s="55" t="s">
        <v>9377</v>
      </c>
      <c r="N1426" s="26" t="s">
        <v>3924</v>
      </c>
    </row>
    <row r="1427" spans="1:14" ht="75" customHeight="1" thickTop="1" thickBot="1">
      <c r="A1427" s="34">
        <v>1425</v>
      </c>
      <c r="B1427" s="34">
        <v>1429</v>
      </c>
      <c r="C1427" s="57" t="s">
        <v>9376</v>
      </c>
      <c r="D1427" s="56" t="s">
        <v>26</v>
      </c>
      <c r="E1427" s="56" t="s">
        <v>6480</v>
      </c>
      <c r="F1427" s="26" t="s">
        <v>3923</v>
      </c>
      <c r="G1427" s="26" t="s">
        <v>16</v>
      </c>
      <c r="H1427" s="26" t="s">
        <v>13</v>
      </c>
      <c r="I1427" s="26" t="s">
        <v>3924</v>
      </c>
      <c r="J1427" s="26" t="s">
        <v>9378</v>
      </c>
      <c r="K1427" s="26" t="s">
        <v>6434</v>
      </c>
      <c r="L1427" s="26" t="s">
        <v>7089</v>
      </c>
      <c r="M1427" s="55" t="s">
        <v>9379</v>
      </c>
      <c r="N1427" s="26" t="s">
        <v>3924</v>
      </c>
    </row>
    <row r="1428" spans="1:14" ht="75" customHeight="1" thickTop="1" thickBot="1">
      <c r="A1428" s="26">
        <v>1426</v>
      </c>
      <c r="B1428" s="26">
        <v>1430</v>
      </c>
      <c r="C1428" s="57" t="s">
        <v>9378</v>
      </c>
      <c r="D1428" s="56" t="s">
        <v>26</v>
      </c>
      <c r="E1428" s="56" t="s">
        <v>6480</v>
      </c>
      <c r="F1428" s="26" t="s">
        <v>3923</v>
      </c>
      <c r="G1428" s="26" t="s">
        <v>16</v>
      </c>
      <c r="H1428" s="26" t="s">
        <v>13</v>
      </c>
      <c r="I1428" s="26" t="s">
        <v>3924</v>
      </c>
      <c r="J1428" s="26" t="s">
        <v>9378</v>
      </c>
      <c r="K1428" s="26" t="s">
        <v>6445</v>
      </c>
      <c r="L1428" s="26" t="s">
        <v>9380</v>
      </c>
      <c r="M1428" s="55" t="s">
        <v>1622</v>
      </c>
      <c r="N1428" s="26" t="s">
        <v>3924</v>
      </c>
    </row>
    <row r="1429" spans="1:14" ht="75" customHeight="1" thickTop="1" thickBot="1">
      <c r="A1429" s="34">
        <v>1427</v>
      </c>
      <c r="B1429" s="34">
        <v>1431</v>
      </c>
      <c r="C1429" s="57" t="s">
        <v>9381</v>
      </c>
      <c r="D1429" s="56" t="s">
        <v>26</v>
      </c>
      <c r="E1429" s="56" t="s">
        <v>6480</v>
      </c>
      <c r="F1429" s="26" t="s">
        <v>3923</v>
      </c>
      <c r="G1429" s="26" t="s">
        <v>16</v>
      </c>
      <c r="H1429" s="26" t="s">
        <v>13</v>
      </c>
      <c r="I1429" s="26" t="s">
        <v>3924</v>
      </c>
      <c r="J1429" s="26" t="s">
        <v>9381</v>
      </c>
      <c r="K1429" s="26" t="s">
        <v>6440</v>
      </c>
      <c r="L1429" s="26" t="s">
        <v>8610</v>
      </c>
      <c r="M1429" s="55" t="s">
        <v>9382</v>
      </c>
      <c r="N1429" s="26" t="s">
        <v>3924</v>
      </c>
    </row>
    <row r="1430" spans="1:14" ht="75" customHeight="1" thickTop="1" thickBot="1">
      <c r="A1430" s="26">
        <v>1428</v>
      </c>
      <c r="B1430" s="26">
        <v>1432</v>
      </c>
      <c r="C1430" s="57" t="s">
        <v>9383</v>
      </c>
      <c r="D1430" s="56" t="s">
        <v>26</v>
      </c>
      <c r="E1430" s="56" t="s">
        <v>6480</v>
      </c>
      <c r="F1430" s="26" t="s">
        <v>3923</v>
      </c>
      <c r="G1430" s="26" t="s">
        <v>16</v>
      </c>
      <c r="H1430" s="26" t="s">
        <v>13</v>
      </c>
      <c r="I1430" s="26" t="s">
        <v>3924</v>
      </c>
      <c r="J1430" s="26" t="s">
        <v>9383</v>
      </c>
      <c r="K1430" s="26" t="s">
        <v>6440</v>
      </c>
      <c r="L1430" s="26" t="s">
        <v>6469</v>
      </c>
      <c r="M1430" s="55" t="s">
        <v>9384</v>
      </c>
      <c r="N1430" s="26" t="s">
        <v>3924</v>
      </c>
    </row>
    <row r="1431" spans="1:14" ht="75" customHeight="1" thickTop="1" thickBot="1">
      <c r="A1431" s="34">
        <v>1429</v>
      </c>
      <c r="B1431" s="34">
        <v>1433</v>
      </c>
      <c r="C1431" s="57" t="s">
        <v>9385</v>
      </c>
      <c r="D1431" s="56" t="s">
        <v>26</v>
      </c>
      <c r="E1431" s="56" t="s">
        <v>6480</v>
      </c>
      <c r="F1431" s="26" t="s">
        <v>3923</v>
      </c>
      <c r="G1431" s="26" t="s">
        <v>16</v>
      </c>
      <c r="H1431" s="26" t="s">
        <v>13</v>
      </c>
      <c r="I1431" s="26" t="s">
        <v>3924</v>
      </c>
      <c r="J1431" s="26" t="s">
        <v>9385</v>
      </c>
      <c r="K1431" s="26" t="s">
        <v>6434</v>
      </c>
      <c r="L1431" s="26" t="s">
        <v>9386</v>
      </c>
      <c r="M1431" s="55" t="s">
        <v>9387</v>
      </c>
      <c r="N1431" s="26" t="s">
        <v>3924</v>
      </c>
    </row>
    <row r="1432" spans="1:14" ht="75" customHeight="1" thickTop="1" thickBot="1">
      <c r="A1432" s="26">
        <v>1430</v>
      </c>
      <c r="B1432" s="26">
        <v>1434</v>
      </c>
      <c r="C1432" s="57" t="s">
        <v>9388</v>
      </c>
      <c r="D1432" s="56" t="s">
        <v>26</v>
      </c>
      <c r="E1432" s="56" t="s">
        <v>6480</v>
      </c>
      <c r="F1432" s="26" t="s">
        <v>3923</v>
      </c>
      <c r="G1432" s="26" t="s">
        <v>16</v>
      </c>
      <c r="H1432" s="26" t="s">
        <v>13</v>
      </c>
      <c r="I1432" s="26" t="s">
        <v>3924</v>
      </c>
      <c r="J1432" s="26" t="s">
        <v>9388</v>
      </c>
      <c r="K1432" s="26" t="s">
        <v>6434</v>
      </c>
      <c r="L1432" s="26" t="s">
        <v>7296</v>
      </c>
      <c r="M1432" s="55" t="s">
        <v>7702</v>
      </c>
      <c r="N1432" s="26" t="s">
        <v>3924</v>
      </c>
    </row>
    <row r="1433" spans="1:14" ht="75" customHeight="1" thickTop="1" thickBot="1">
      <c r="A1433" s="34">
        <v>1431</v>
      </c>
      <c r="B1433" s="34">
        <v>1435</v>
      </c>
      <c r="C1433" s="57" t="s">
        <v>9389</v>
      </c>
      <c r="D1433" s="56" t="s">
        <v>26</v>
      </c>
      <c r="E1433" s="56" t="s">
        <v>6480</v>
      </c>
      <c r="F1433" s="26" t="s">
        <v>3923</v>
      </c>
      <c r="G1433" s="26" t="s">
        <v>16</v>
      </c>
      <c r="H1433" s="26" t="s">
        <v>13</v>
      </c>
      <c r="I1433" s="26" t="s">
        <v>3924</v>
      </c>
      <c r="J1433" s="26" t="s">
        <v>9389</v>
      </c>
      <c r="K1433" s="26" t="s">
        <v>6434</v>
      </c>
      <c r="L1433" s="26" t="s">
        <v>7932</v>
      </c>
      <c r="M1433" s="55" t="s">
        <v>9390</v>
      </c>
      <c r="N1433" s="26" t="s">
        <v>3924</v>
      </c>
    </row>
    <row r="1434" spans="1:14" ht="75" customHeight="1" thickTop="1" thickBot="1">
      <c r="A1434" s="26">
        <v>1432</v>
      </c>
      <c r="B1434" s="34">
        <v>1436</v>
      </c>
      <c r="C1434" s="57" t="s">
        <v>9391</v>
      </c>
      <c r="D1434" s="56" t="s">
        <v>26</v>
      </c>
      <c r="E1434" s="56" t="s">
        <v>6480</v>
      </c>
      <c r="F1434" s="26" t="s">
        <v>3923</v>
      </c>
      <c r="G1434" s="26" t="s">
        <v>16</v>
      </c>
      <c r="H1434" s="26" t="s">
        <v>13</v>
      </c>
      <c r="I1434" s="26" t="s">
        <v>3924</v>
      </c>
      <c r="J1434" s="26" t="s">
        <v>9391</v>
      </c>
      <c r="K1434" s="26" t="s">
        <v>6434</v>
      </c>
      <c r="L1434" s="26" t="s">
        <v>9392</v>
      </c>
      <c r="M1434" s="55" t="s">
        <v>9393</v>
      </c>
      <c r="N1434" s="26" t="s">
        <v>3924</v>
      </c>
    </row>
    <row r="1435" spans="1:14" ht="75" customHeight="1" thickTop="1" thickBot="1">
      <c r="A1435" s="34">
        <v>1433</v>
      </c>
      <c r="B1435" s="26">
        <v>1437</v>
      </c>
      <c r="C1435" s="57" t="s">
        <v>9394</v>
      </c>
      <c r="D1435" s="56" t="s">
        <v>26</v>
      </c>
      <c r="E1435" s="56" t="s">
        <v>6480</v>
      </c>
      <c r="F1435" s="26" t="s">
        <v>3923</v>
      </c>
      <c r="G1435" s="26" t="s">
        <v>16</v>
      </c>
      <c r="H1435" s="26" t="s">
        <v>13</v>
      </c>
      <c r="I1435" s="26" t="s">
        <v>3924</v>
      </c>
      <c r="J1435" s="26" t="s">
        <v>9394</v>
      </c>
      <c r="K1435" s="26" t="s">
        <v>6434</v>
      </c>
      <c r="L1435" s="26" t="s">
        <v>9395</v>
      </c>
      <c r="M1435" s="55" t="s">
        <v>9396</v>
      </c>
      <c r="N1435" s="26" t="s">
        <v>3924</v>
      </c>
    </row>
    <row r="1436" spans="1:14" ht="75" customHeight="1" thickTop="1" thickBot="1">
      <c r="A1436" s="26">
        <v>1434</v>
      </c>
      <c r="B1436" s="34">
        <v>1438</v>
      </c>
      <c r="C1436" s="57" t="s">
        <v>9397</v>
      </c>
      <c r="D1436" s="56" t="s">
        <v>26</v>
      </c>
      <c r="E1436" s="56" t="s">
        <v>6480</v>
      </c>
      <c r="F1436" s="26" t="s">
        <v>3923</v>
      </c>
      <c r="G1436" s="26" t="s">
        <v>16</v>
      </c>
      <c r="H1436" s="26" t="s">
        <v>13</v>
      </c>
      <c r="I1436" s="26" t="s">
        <v>3924</v>
      </c>
      <c r="J1436" s="26" t="s">
        <v>9397</v>
      </c>
      <c r="K1436" s="26" t="s">
        <v>6434</v>
      </c>
      <c r="L1436" s="26" t="s">
        <v>9398</v>
      </c>
      <c r="M1436" s="55" t="s">
        <v>9399</v>
      </c>
      <c r="N1436" s="26" t="s">
        <v>3924</v>
      </c>
    </row>
    <row r="1437" spans="1:14" ht="75" customHeight="1" thickTop="1" thickBot="1">
      <c r="A1437" s="34">
        <v>1435</v>
      </c>
      <c r="B1437" s="26">
        <v>1439</v>
      </c>
      <c r="C1437" s="57" t="s">
        <v>9397</v>
      </c>
      <c r="D1437" s="56" t="s">
        <v>26</v>
      </c>
      <c r="E1437" s="56" t="s">
        <v>6480</v>
      </c>
      <c r="F1437" s="26" t="s">
        <v>3923</v>
      </c>
      <c r="G1437" s="26" t="s">
        <v>16</v>
      </c>
      <c r="H1437" s="26" t="s">
        <v>13</v>
      </c>
      <c r="I1437" s="26" t="s">
        <v>3924</v>
      </c>
      <c r="J1437" s="26" t="s">
        <v>9400</v>
      </c>
      <c r="K1437" s="26" t="s">
        <v>6434</v>
      </c>
      <c r="L1437" s="26" t="s">
        <v>9401</v>
      </c>
      <c r="M1437" s="55" t="s">
        <v>566</v>
      </c>
      <c r="N1437" s="26" t="s">
        <v>3924</v>
      </c>
    </row>
    <row r="1438" spans="1:14" ht="75" customHeight="1" thickTop="1" thickBot="1">
      <c r="A1438" s="26">
        <v>1436</v>
      </c>
      <c r="B1438" s="34">
        <v>1440</v>
      </c>
      <c r="C1438" s="57" t="s">
        <v>9400</v>
      </c>
      <c r="D1438" s="56" t="s">
        <v>26</v>
      </c>
      <c r="E1438" s="56" t="s">
        <v>6480</v>
      </c>
      <c r="F1438" s="26" t="s">
        <v>3923</v>
      </c>
      <c r="G1438" s="26" t="s">
        <v>16</v>
      </c>
      <c r="H1438" s="26" t="s">
        <v>13</v>
      </c>
      <c r="I1438" s="26" t="s">
        <v>3924</v>
      </c>
      <c r="J1438" s="26" t="s">
        <v>9400</v>
      </c>
      <c r="K1438" s="26" t="s">
        <v>6440</v>
      </c>
      <c r="L1438" s="26" t="s">
        <v>6805</v>
      </c>
      <c r="M1438" s="55" t="s">
        <v>9402</v>
      </c>
      <c r="N1438" s="26" t="s">
        <v>3924</v>
      </c>
    </row>
    <row r="1439" spans="1:14" ht="75" customHeight="1" thickTop="1" thickBot="1">
      <c r="A1439" s="34">
        <v>1437</v>
      </c>
      <c r="B1439" s="26">
        <v>1441</v>
      </c>
      <c r="C1439" s="57" t="s">
        <v>9403</v>
      </c>
      <c r="D1439" s="56" t="s">
        <v>26</v>
      </c>
      <c r="E1439" s="56" t="s">
        <v>6480</v>
      </c>
      <c r="F1439" s="26" t="s">
        <v>3923</v>
      </c>
      <c r="G1439" s="26" t="s">
        <v>16</v>
      </c>
      <c r="H1439" s="26" t="s">
        <v>13</v>
      </c>
      <c r="I1439" s="26" t="s">
        <v>3924</v>
      </c>
      <c r="J1439" s="26" t="s">
        <v>9403</v>
      </c>
      <c r="K1439" s="26" t="s">
        <v>6552</v>
      </c>
      <c r="L1439" s="26" t="s">
        <v>9374</v>
      </c>
      <c r="M1439" s="55" t="s">
        <v>9404</v>
      </c>
      <c r="N1439" s="26" t="s">
        <v>3924</v>
      </c>
    </row>
    <row r="1440" spans="1:14" ht="75" customHeight="1" thickTop="1" thickBot="1">
      <c r="A1440" s="26">
        <v>1438</v>
      </c>
      <c r="B1440" s="34">
        <v>1442</v>
      </c>
      <c r="C1440" s="57" t="s">
        <v>9405</v>
      </c>
      <c r="D1440" s="56" t="s">
        <v>26</v>
      </c>
      <c r="E1440" s="56" t="s">
        <v>6480</v>
      </c>
      <c r="F1440" s="26" t="s">
        <v>3923</v>
      </c>
      <c r="G1440" s="26" t="s">
        <v>16</v>
      </c>
      <c r="H1440" s="26" t="s">
        <v>13</v>
      </c>
      <c r="I1440" s="26" t="s">
        <v>3924</v>
      </c>
      <c r="J1440" s="26" t="s">
        <v>9405</v>
      </c>
      <c r="K1440" s="26" t="s">
        <v>6434</v>
      </c>
      <c r="L1440" s="26" t="s">
        <v>6805</v>
      </c>
      <c r="M1440" s="55" t="s">
        <v>9406</v>
      </c>
      <c r="N1440" s="26" t="s">
        <v>3924</v>
      </c>
    </row>
    <row r="1441" spans="1:14" ht="75" customHeight="1" thickTop="1" thickBot="1">
      <c r="A1441" s="34">
        <v>1439</v>
      </c>
      <c r="B1441" s="34">
        <v>1443</v>
      </c>
      <c r="C1441" s="57" t="s">
        <v>9407</v>
      </c>
      <c r="D1441" s="56" t="s">
        <v>26</v>
      </c>
      <c r="E1441" s="56" t="s">
        <v>8550</v>
      </c>
      <c r="F1441" s="26" t="s">
        <v>3995</v>
      </c>
      <c r="G1441" s="26" t="s">
        <v>16</v>
      </c>
      <c r="H1441" s="26" t="s">
        <v>13</v>
      </c>
      <c r="I1441" s="26" t="s">
        <v>3924</v>
      </c>
      <c r="J1441" s="26" t="s">
        <v>9408</v>
      </c>
      <c r="K1441" s="26" t="s">
        <v>6440</v>
      </c>
      <c r="L1441" s="26" t="s">
        <v>6455</v>
      </c>
      <c r="M1441" s="55" t="s">
        <v>9409</v>
      </c>
      <c r="N1441" s="26" t="s">
        <v>9410</v>
      </c>
    </row>
    <row r="1442" spans="1:14" ht="75" customHeight="1" thickTop="1" thickBot="1">
      <c r="A1442" s="26">
        <v>1440</v>
      </c>
      <c r="B1442" s="26">
        <v>1444</v>
      </c>
      <c r="C1442" s="57" t="s">
        <v>9407</v>
      </c>
      <c r="D1442" s="56" t="s">
        <v>26</v>
      </c>
      <c r="E1442" s="56" t="s">
        <v>6480</v>
      </c>
      <c r="F1442" s="26" t="s">
        <v>3923</v>
      </c>
      <c r="G1442" s="26" t="s">
        <v>16</v>
      </c>
      <c r="H1442" s="26" t="s">
        <v>13</v>
      </c>
      <c r="I1442" s="26" t="s">
        <v>3924</v>
      </c>
      <c r="J1442" s="26" t="s">
        <v>9407</v>
      </c>
      <c r="K1442" s="26" t="s">
        <v>6445</v>
      </c>
      <c r="L1442" s="26" t="s">
        <v>6805</v>
      </c>
      <c r="M1442" s="55" t="s">
        <v>9411</v>
      </c>
      <c r="N1442" s="26" t="s">
        <v>3924</v>
      </c>
    </row>
    <row r="1443" spans="1:14" ht="75" customHeight="1" thickTop="1" thickBot="1">
      <c r="A1443" s="34">
        <v>1441</v>
      </c>
      <c r="B1443" s="34">
        <v>1445</v>
      </c>
      <c r="C1443" s="57" t="s">
        <v>9412</v>
      </c>
      <c r="D1443" s="56" t="s">
        <v>26</v>
      </c>
      <c r="E1443" s="56" t="s">
        <v>6480</v>
      </c>
      <c r="F1443" s="26" t="s">
        <v>3923</v>
      </c>
      <c r="G1443" s="26" t="s">
        <v>16</v>
      </c>
      <c r="H1443" s="26" t="s">
        <v>13</v>
      </c>
      <c r="I1443" s="26" t="s">
        <v>3924</v>
      </c>
      <c r="J1443" s="26" t="s">
        <v>9412</v>
      </c>
      <c r="K1443" s="26" t="s">
        <v>6445</v>
      </c>
      <c r="L1443" s="26" t="s">
        <v>7758</v>
      </c>
      <c r="M1443" s="55" t="s">
        <v>9413</v>
      </c>
      <c r="N1443" s="26" t="s">
        <v>3924</v>
      </c>
    </row>
    <row r="1444" spans="1:14" ht="75" customHeight="1" thickTop="1" thickBot="1">
      <c r="A1444" s="26">
        <v>1442</v>
      </c>
      <c r="B1444" s="26">
        <v>1446</v>
      </c>
      <c r="C1444" s="57" t="s">
        <v>9414</v>
      </c>
      <c r="D1444" s="56" t="s">
        <v>26</v>
      </c>
      <c r="E1444" s="56" t="s">
        <v>6480</v>
      </c>
      <c r="F1444" s="26" t="s">
        <v>3923</v>
      </c>
      <c r="G1444" s="26" t="s">
        <v>16</v>
      </c>
      <c r="H1444" s="26" t="s">
        <v>13</v>
      </c>
      <c r="I1444" s="26" t="s">
        <v>3924</v>
      </c>
      <c r="J1444" s="26" t="s">
        <v>9414</v>
      </c>
      <c r="K1444" s="26" t="s">
        <v>6445</v>
      </c>
      <c r="L1444" s="26" t="s">
        <v>6469</v>
      </c>
      <c r="M1444" s="55" t="s">
        <v>9415</v>
      </c>
      <c r="N1444" s="26" t="s">
        <v>3924</v>
      </c>
    </row>
    <row r="1445" spans="1:14" ht="75" customHeight="1" thickTop="1" thickBot="1">
      <c r="A1445" s="34">
        <v>1443</v>
      </c>
      <c r="B1445" s="34">
        <v>1447</v>
      </c>
      <c r="C1445" s="57" t="s">
        <v>9416</v>
      </c>
      <c r="D1445" s="56" t="s">
        <v>26</v>
      </c>
      <c r="E1445" s="56" t="s">
        <v>6480</v>
      </c>
      <c r="F1445" s="26" t="s">
        <v>3923</v>
      </c>
      <c r="G1445" s="26" t="s">
        <v>16</v>
      </c>
      <c r="H1445" s="26" t="s">
        <v>13</v>
      </c>
      <c r="I1445" s="26" t="s">
        <v>3924</v>
      </c>
      <c r="J1445" s="26" t="s">
        <v>9416</v>
      </c>
      <c r="K1445" s="26" t="s">
        <v>6445</v>
      </c>
      <c r="L1445" s="26" t="s">
        <v>8944</v>
      </c>
      <c r="M1445" s="55" t="s">
        <v>9417</v>
      </c>
      <c r="N1445" s="26" t="s">
        <v>3924</v>
      </c>
    </row>
    <row r="1446" spans="1:14" ht="75" customHeight="1" thickTop="1" thickBot="1">
      <c r="A1446" s="26">
        <v>1444</v>
      </c>
      <c r="B1446" s="26">
        <v>1448</v>
      </c>
      <c r="C1446" s="57" t="s">
        <v>9418</v>
      </c>
      <c r="D1446" s="56" t="s">
        <v>26</v>
      </c>
      <c r="E1446" s="56" t="s">
        <v>6480</v>
      </c>
      <c r="F1446" s="26" t="s">
        <v>3923</v>
      </c>
      <c r="G1446" s="26" t="s">
        <v>16</v>
      </c>
      <c r="H1446" s="26" t="s">
        <v>13</v>
      </c>
      <c r="I1446" s="26" t="s">
        <v>3924</v>
      </c>
      <c r="J1446" s="26" t="s">
        <v>9418</v>
      </c>
      <c r="K1446" s="26" t="s">
        <v>6445</v>
      </c>
      <c r="L1446" s="26" t="s">
        <v>9419</v>
      </c>
      <c r="M1446" s="55" t="s">
        <v>9413</v>
      </c>
      <c r="N1446" s="26" t="s">
        <v>3924</v>
      </c>
    </row>
    <row r="1447" spans="1:14" ht="75" customHeight="1" thickTop="1" thickBot="1">
      <c r="A1447" s="34">
        <v>1445</v>
      </c>
      <c r="B1447" s="34">
        <v>1449</v>
      </c>
      <c r="C1447" s="57" t="s">
        <v>9418</v>
      </c>
      <c r="D1447" s="56" t="s">
        <v>26</v>
      </c>
      <c r="E1447" s="56" t="s">
        <v>6480</v>
      </c>
      <c r="F1447" s="26" t="s">
        <v>3923</v>
      </c>
      <c r="G1447" s="26" t="s">
        <v>16</v>
      </c>
      <c r="H1447" s="26" t="s">
        <v>13</v>
      </c>
      <c r="I1447" s="26" t="s">
        <v>3924</v>
      </c>
      <c r="J1447" s="26" t="s">
        <v>9420</v>
      </c>
      <c r="K1447" s="26" t="s">
        <v>6445</v>
      </c>
      <c r="L1447" s="26" t="s">
        <v>7758</v>
      </c>
      <c r="M1447" s="55" t="s">
        <v>9421</v>
      </c>
      <c r="N1447" s="26" t="s">
        <v>3924</v>
      </c>
    </row>
    <row r="1448" spans="1:14" ht="75" customHeight="1" thickTop="1" thickBot="1">
      <c r="A1448" s="26">
        <v>1446</v>
      </c>
      <c r="B1448" s="34">
        <v>1450</v>
      </c>
      <c r="C1448" s="57" t="s">
        <v>9420</v>
      </c>
      <c r="D1448" s="56" t="s">
        <v>26</v>
      </c>
      <c r="E1448" s="56" t="s">
        <v>6480</v>
      </c>
      <c r="F1448" s="26" t="s">
        <v>3923</v>
      </c>
      <c r="G1448" s="26" t="s">
        <v>16</v>
      </c>
      <c r="H1448" s="26" t="s">
        <v>13</v>
      </c>
      <c r="I1448" s="26" t="s">
        <v>3924</v>
      </c>
      <c r="J1448" s="26" t="s">
        <v>9422</v>
      </c>
      <c r="K1448" s="26" t="s">
        <v>6445</v>
      </c>
      <c r="L1448" s="26" t="s">
        <v>6469</v>
      </c>
      <c r="M1448" s="55" t="s">
        <v>9423</v>
      </c>
      <c r="N1448" s="26" t="s">
        <v>3924</v>
      </c>
    </row>
    <row r="1449" spans="1:14" ht="75" customHeight="1" thickTop="1" thickBot="1">
      <c r="A1449" s="34">
        <v>1447</v>
      </c>
      <c r="B1449" s="26">
        <v>1451</v>
      </c>
      <c r="C1449" s="57" t="s">
        <v>9422</v>
      </c>
      <c r="D1449" s="56" t="s">
        <v>26</v>
      </c>
      <c r="E1449" s="56" t="s">
        <v>6480</v>
      </c>
      <c r="F1449" s="26" t="s">
        <v>3923</v>
      </c>
      <c r="G1449" s="26" t="s">
        <v>16</v>
      </c>
      <c r="H1449" s="26" t="s">
        <v>13</v>
      </c>
      <c r="I1449" s="26" t="s">
        <v>3924</v>
      </c>
      <c r="J1449" s="26" t="s">
        <v>9424</v>
      </c>
      <c r="K1449" s="26" t="s">
        <v>9425</v>
      </c>
      <c r="L1449" s="26" t="s">
        <v>3924</v>
      </c>
      <c r="M1449" s="55" t="s">
        <v>9426</v>
      </c>
      <c r="N1449" s="26" t="s">
        <v>3924</v>
      </c>
    </row>
    <row r="1450" spans="1:14" ht="75" customHeight="1" thickTop="1" thickBot="1">
      <c r="A1450" s="26">
        <v>1448</v>
      </c>
      <c r="B1450" s="34">
        <v>1452</v>
      </c>
      <c r="C1450" s="57" t="s">
        <v>9424</v>
      </c>
      <c r="D1450" s="56" t="s">
        <v>26</v>
      </c>
      <c r="E1450" s="56" t="s">
        <v>6480</v>
      </c>
      <c r="F1450" s="26" t="s">
        <v>3923</v>
      </c>
      <c r="G1450" s="26" t="s">
        <v>16</v>
      </c>
      <c r="H1450" s="26" t="s">
        <v>13</v>
      </c>
      <c r="I1450" s="26" t="s">
        <v>3924</v>
      </c>
      <c r="J1450" s="26" t="s">
        <v>9424</v>
      </c>
      <c r="K1450" s="26" t="s">
        <v>6434</v>
      </c>
      <c r="L1450" s="26" t="s">
        <v>6469</v>
      </c>
      <c r="M1450" s="55" t="s">
        <v>9427</v>
      </c>
      <c r="N1450" s="26" t="s">
        <v>3924</v>
      </c>
    </row>
    <row r="1451" spans="1:14" ht="75" customHeight="1" thickTop="1" thickBot="1">
      <c r="A1451" s="34">
        <v>1449</v>
      </c>
      <c r="B1451" s="26">
        <v>1453</v>
      </c>
      <c r="C1451" s="57" t="s">
        <v>9428</v>
      </c>
      <c r="D1451" s="56" t="s">
        <v>26</v>
      </c>
      <c r="E1451" s="56" t="s">
        <v>6480</v>
      </c>
      <c r="F1451" s="26" t="s">
        <v>3923</v>
      </c>
      <c r="G1451" s="26" t="s">
        <v>16</v>
      </c>
      <c r="H1451" s="26" t="s">
        <v>13</v>
      </c>
      <c r="I1451" s="26" t="s">
        <v>3924</v>
      </c>
      <c r="J1451" s="26" t="s">
        <v>9428</v>
      </c>
      <c r="K1451" s="26" t="s">
        <v>6434</v>
      </c>
      <c r="L1451" s="26" t="s">
        <v>9429</v>
      </c>
      <c r="M1451" s="55" t="s">
        <v>1583</v>
      </c>
      <c r="N1451" s="26" t="s">
        <v>3924</v>
      </c>
    </row>
    <row r="1452" spans="1:14" ht="75" customHeight="1" thickTop="1" thickBot="1">
      <c r="A1452" s="26">
        <v>1450</v>
      </c>
      <c r="B1452" s="34">
        <v>1454</v>
      </c>
      <c r="C1452" s="57" t="s">
        <v>9430</v>
      </c>
      <c r="D1452" s="56" t="s">
        <v>26</v>
      </c>
      <c r="E1452" s="56" t="s">
        <v>6480</v>
      </c>
      <c r="F1452" s="26" t="s">
        <v>3923</v>
      </c>
      <c r="G1452" s="26" t="s">
        <v>16</v>
      </c>
      <c r="H1452" s="26" t="s">
        <v>13</v>
      </c>
      <c r="I1452" s="26" t="s">
        <v>3924</v>
      </c>
      <c r="J1452" s="26" t="s">
        <v>9430</v>
      </c>
      <c r="K1452" s="26" t="s">
        <v>6434</v>
      </c>
      <c r="L1452" s="26" t="s">
        <v>6469</v>
      </c>
      <c r="M1452" s="55" t="s">
        <v>7702</v>
      </c>
      <c r="N1452" s="26" t="s">
        <v>3924</v>
      </c>
    </row>
    <row r="1453" spans="1:14" ht="75" customHeight="1" thickTop="1" thickBot="1">
      <c r="A1453" s="34">
        <v>1451</v>
      </c>
      <c r="B1453" s="26">
        <v>1455</v>
      </c>
      <c r="C1453" s="57" t="s">
        <v>9431</v>
      </c>
      <c r="D1453" s="56" t="s">
        <v>26</v>
      </c>
      <c r="E1453" s="56" t="s">
        <v>6480</v>
      </c>
      <c r="F1453" s="26" t="s">
        <v>3923</v>
      </c>
      <c r="G1453" s="26" t="s">
        <v>16</v>
      </c>
      <c r="H1453" s="26" t="s">
        <v>13</v>
      </c>
      <c r="I1453" s="26" t="s">
        <v>3924</v>
      </c>
      <c r="J1453" s="26" t="s">
        <v>9431</v>
      </c>
      <c r="K1453" s="26" t="s">
        <v>6445</v>
      </c>
      <c r="L1453" s="26" t="s">
        <v>6469</v>
      </c>
      <c r="M1453" s="55" t="s">
        <v>9432</v>
      </c>
      <c r="N1453" s="26" t="s">
        <v>3924</v>
      </c>
    </row>
    <row r="1454" spans="1:14" ht="75" customHeight="1" thickTop="1" thickBot="1">
      <c r="A1454" s="26">
        <v>1452</v>
      </c>
      <c r="B1454" s="34">
        <v>1456</v>
      </c>
      <c r="C1454" s="57" t="s">
        <v>9433</v>
      </c>
      <c r="D1454" s="56" t="s">
        <v>26</v>
      </c>
      <c r="E1454" s="56" t="s">
        <v>6480</v>
      </c>
      <c r="F1454" s="26" t="s">
        <v>3923</v>
      </c>
      <c r="G1454" s="26" t="s">
        <v>16</v>
      </c>
      <c r="H1454" s="26" t="s">
        <v>13</v>
      </c>
      <c r="I1454" s="26" t="s">
        <v>3924</v>
      </c>
      <c r="J1454" s="26" t="s">
        <v>9433</v>
      </c>
      <c r="K1454" s="26" t="s">
        <v>6445</v>
      </c>
      <c r="L1454" s="26" t="s">
        <v>6493</v>
      </c>
      <c r="M1454" s="55" t="s">
        <v>9434</v>
      </c>
      <c r="N1454" s="26" t="s">
        <v>3924</v>
      </c>
    </row>
    <row r="1455" spans="1:14" ht="75" customHeight="1" thickTop="1" thickBot="1">
      <c r="A1455" s="34">
        <v>1453</v>
      </c>
      <c r="B1455" s="34">
        <v>1457</v>
      </c>
      <c r="C1455" s="57" t="s">
        <v>9433</v>
      </c>
      <c r="D1455" s="56" t="s">
        <v>26</v>
      </c>
      <c r="E1455" s="56" t="s">
        <v>6480</v>
      </c>
      <c r="F1455" s="26" t="s">
        <v>3923</v>
      </c>
      <c r="G1455" s="26" t="s">
        <v>16</v>
      </c>
      <c r="H1455" s="26" t="s">
        <v>13</v>
      </c>
      <c r="I1455" s="26" t="s">
        <v>3924</v>
      </c>
      <c r="J1455" s="26" t="s">
        <v>9435</v>
      </c>
      <c r="K1455" s="26" t="s">
        <v>6434</v>
      </c>
      <c r="L1455" s="26" t="s">
        <v>9392</v>
      </c>
      <c r="M1455" s="55" t="s">
        <v>9436</v>
      </c>
      <c r="N1455" s="26" t="s">
        <v>3924</v>
      </c>
    </row>
    <row r="1456" spans="1:14" ht="75" customHeight="1" thickTop="1" thickBot="1">
      <c r="A1456" s="26">
        <v>1454</v>
      </c>
      <c r="B1456" s="26">
        <v>1458</v>
      </c>
      <c r="C1456" s="57" t="s">
        <v>9435</v>
      </c>
      <c r="D1456" s="56" t="s">
        <v>26</v>
      </c>
      <c r="E1456" s="56" t="s">
        <v>6480</v>
      </c>
      <c r="F1456" s="26" t="s">
        <v>3923</v>
      </c>
      <c r="G1456" s="26" t="s">
        <v>16</v>
      </c>
      <c r="H1456" s="26" t="s">
        <v>13</v>
      </c>
      <c r="I1456" s="26" t="s">
        <v>3924</v>
      </c>
      <c r="J1456" s="26" t="s">
        <v>9437</v>
      </c>
      <c r="K1456" s="26" t="s">
        <v>6434</v>
      </c>
      <c r="L1456" s="26" t="s">
        <v>9438</v>
      </c>
      <c r="M1456" s="55" t="s">
        <v>9439</v>
      </c>
      <c r="N1456" s="26" t="s">
        <v>3924</v>
      </c>
    </row>
    <row r="1457" spans="1:14" ht="75" customHeight="1" thickTop="1" thickBot="1">
      <c r="A1457" s="34">
        <v>1455</v>
      </c>
      <c r="B1457" s="34">
        <v>1459</v>
      </c>
      <c r="C1457" s="57" t="s">
        <v>9437</v>
      </c>
      <c r="D1457" s="56" t="s">
        <v>26</v>
      </c>
      <c r="E1457" s="56" t="s">
        <v>6480</v>
      </c>
      <c r="F1457" s="26" t="s">
        <v>3923</v>
      </c>
      <c r="G1457" s="26" t="s">
        <v>16</v>
      </c>
      <c r="H1457" s="26" t="s">
        <v>13</v>
      </c>
      <c r="I1457" s="26" t="s">
        <v>3924</v>
      </c>
      <c r="J1457" s="26" t="s">
        <v>9440</v>
      </c>
      <c r="K1457" s="26" t="s">
        <v>6434</v>
      </c>
      <c r="L1457" s="26" t="s">
        <v>9441</v>
      </c>
      <c r="M1457" s="55" t="s">
        <v>9442</v>
      </c>
      <c r="N1457" s="26" t="s">
        <v>3924</v>
      </c>
    </row>
    <row r="1458" spans="1:14" ht="75" customHeight="1" thickTop="1" thickBot="1">
      <c r="A1458" s="26">
        <v>1456</v>
      </c>
      <c r="B1458" s="26">
        <v>1460</v>
      </c>
      <c r="C1458" s="57" t="s">
        <v>9440</v>
      </c>
      <c r="D1458" s="56" t="s">
        <v>26</v>
      </c>
      <c r="E1458" s="56" t="s">
        <v>6480</v>
      </c>
      <c r="F1458" s="26" t="s">
        <v>3923</v>
      </c>
      <c r="G1458" s="26" t="s">
        <v>16</v>
      </c>
      <c r="H1458" s="26" t="s">
        <v>13</v>
      </c>
      <c r="I1458" s="26" t="s">
        <v>3924</v>
      </c>
      <c r="J1458" s="26" t="s">
        <v>9440</v>
      </c>
      <c r="K1458" s="26" t="s">
        <v>6434</v>
      </c>
      <c r="L1458" s="26" t="s">
        <v>6723</v>
      </c>
      <c r="M1458" s="55" t="s">
        <v>7702</v>
      </c>
      <c r="N1458" s="26" t="s">
        <v>3924</v>
      </c>
    </row>
    <row r="1459" spans="1:14" ht="75" customHeight="1" thickTop="1" thickBot="1">
      <c r="A1459" s="34">
        <v>1457</v>
      </c>
      <c r="B1459" s="34">
        <v>1461</v>
      </c>
      <c r="C1459" s="57" t="s">
        <v>9443</v>
      </c>
      <c r="D1459" s="56" t="s">
        <v>26</v>
      </c>
      <c r="E1459" s="56" t="s">
        <v>6480</v>
      </c>
      <c r="F1459" s="26" t="s">
        <v>3923</v>
      </c>
      <c r="G1459" s="26" t="s">
        <v>16</v>
      </c>
      <c r="H1459" s="26" t="s">
        <v>13</v>
      </c>
      <c r="I1459" s="26" t="s">
        <v>3924</v>
      </c>
      <c r="J1459" s="26" t="s">
        <v>9443</v>
      </c>
      <c r="K1459" s="26" t="s">
        <v>8267</v>
      </c>
      <c r="L1459" s="26" t="s">
        <v>3924</v>
      </c>
      <c r="M1459" s="55" t="s">
        <v>9444</v>
      </c>
      <c r="N1459" s="26" t="s">
        <v>3924</v>
      </c>
    </row>
    <row r="1460" spans="1:14" ht="75" customHeight="1" thickTop="1" thickBot="1">
      <c r="A1460" s="26">
        <v>1458</v>
      </c>
      <c r="B1460" s="26">
        <v>1462</v>
      </c>
      <c r="C1460" s="57" t="s">
        <v>9445</v>
      </c>
      <c r="D1460" s="56" t="s">
        <v>26</v>
      </c>
      <c r="E1460" s="56" t="s">
        <v>6480</v>
      </c>
      <c r="F1460" s="26" t="s">
        <v>3923</v>
      </c>
      <c r="G1460" s="26" t="s">
        <v>16</v>
      </c>
      <c r="H1460" s="26" t="s">
        <v>13</v>
      </c>
      <c r="I1460" s="26" t="s">
        <v>3924</v>
      </c>
      <c r="J1460" s="26" t="s">
        <v>9446</v>
      </c>
      <c r="K1460" s="26" t="s">
        <v>8267</v>
      </c>
      <c r="L1460" s="26" t="s">
        <v>3924</v>
      </c>
      <c r="M1460" s="55" t="s">
        <v>9447</v>
      </c>
      <c r="N1460" s="26" t="s">
        <v>3924</v>
      </c>
    </row>
    <row r="1461" spans="1:14" ht="75" customHeight="1" thickTop="1" thickBot="1">
      <c r="A1461" s="34">
        <v>1459</v>
      </c>
      <c r="B1461" s="34">
        <v>1463</v>
      </c>
      <c r="C1461" s="57" t="s">
        <v>9445</v>
      </c>
      <c r="D1461" s="56" t="s">
        <v>26</v>
      </c>
      <c r="E1461" s="56" t="s">
        <v>6480</v>
      </c>
      <c r="F1461" s="26" t="s">
        <v>3923</v>
      </c>
      <c r="G1461" s="26" t="s">
        <v>16</v>
      </c>
      <c r="H1461" s="26" t="s">
        <v>13</v>
      </c>
      <c r="I1461" s="26" t="s">
        <v>3924</v>
      </c>
      <c r="J1461" s="26" t="s">
        <v>9446</v>
      </c>
      <c r="K1461" s="26" t="s">
        <v>6434</v>
      </c>
      <c r="L1461" s="26" t="s">
        <v>6435</v>
      </c>
      <c r="M1461" s="55" t="s">
        <v>9448</v>
      </c>
      <c r="N1461" s="26" t="s">
        <v>3924</v>
      </c>
    </row>
    <row r="1462" spans="1:14" ht="75" customHeight="1" thickTop="1" thickBot="1">
      <c r="A1462" s="26">
        <v>1460</v>
      </c>
      <c r="B1462" s="34">
        <v>1464</v>
      </c>
      <c r="C1462" s="57" t="s">
        <v>9446</v>
      </c>
      <c r="D1462" s="56" t="s">
        <v>26</v>
      </c>
      <c r="E1462" s="56" t="s">
        <v>6480</v>
      </c>
      <c r="F1462" s="26" t="s">
        <v>3923</v>
      </c>
      <c r="G1462" s="26" t="s">
        <v>16</v>
      </c>
      <c r="H1462" s="26" t="s">
        <v>13</v>
      </c>
      <c r="I1462" s="26" t="s">
        <v>3924</v>
      </c>
      <c r="J1462" s="26" t="s">
        <v>9449</v>
      </c>
      <c r="K1462" s="26" t="s">
        <v>6434</v>
      </c>
      <c r="L1462" s="26" t="s">
        <v>6469</v>
      </c>
      <c r="M1462" s="55" t="s">
        <v>9450</v>
      </c>
      <c r="N1462" s="26" t="s">
        <v>3924</v>
      </c>
    </row>
    <row r="1463" spans="1:14" ht="75" customHeight="1" thickTop="1" thickBot="1">
      <c r="A1463" s="34">
        <v>1461</v>
      </c>
      <c r="B1463" s="26">
        <v>1465</v>
      </c>
      <c r="C1463" s="57" t="s">
        <v>9451</v>
      </c>
      <c r="D1463" s="56" t="s">
        <v>26</v>
      </c>
      <c r="E1463" s="56" t="s">
        <v>8550</v>
      </c>
      <c r="F1463" s="26" t="s">
        <v>3995</v>
      </c>
      <c r="G1463" s="26" t="s">
        <v>1419</v>
      </c>
      <c r="H1463" s="26" t="s">
        <v>9452</v>
      </c>
      <c r="I1463" s="26" t="s">
        <v>3924</v>
      </c>
      <c r="J1463" s="26" t="s">
        <v>3924</v>
      </c>
      <c r="K1463" s="26" t="s">
        <v>6440</v>
      </c>
      <c r="L1463" s="26" t="s">
        <v>6877</v>
      </c>
      <c r="M1463" s="55" t="s">
        <v>9453</v>
      </c>
      <c r="N1463" s="26" t="s">
        <v>9454</v>
      </c>
    </row>
    <row r="1464" spans="1:14" ht="75" customHeight="1" thickTop="1" thickBot="1">
      <c r="A1464" s="26">
        <v>1462</v>
      </c>
      <c r="B1464" s="34">
        <v>1466</v>
      </c>
      <c r="C1464" s="57" t="s">
        <v>9455</v>
      </c>
      <c r="D1464" s="56" t="s">
        <v>26</v>
      </c>
      <c r="E1464" s="56" t="s">
        <v>6438</v>
      </c>
      <c r="F1464" s="26" t="s">
        <v>3995</v>
      </c>
      <c r="G1464" s="26" t="s">
        <v>16</v>
      </c>
      <c r="H1464" s="26" t="s">
        <v>13</v>
      </c>
      <c r="I1464" s="26" t="s">
        <v>3924</v>
      </c>
      <c r="J1464" s="26" t="s">
        <v>6061</v>
      </c>
      <c r="K1464" s="26" t="s">
        <v>6552</v>
      </c>
      <c r="L1464" s="26" t="s">
        <v>6877</v>
      </c>
      <c r="M1464" s="55" t="s">
        <v>9456</v>
      </c>
      <c r="N1464" s="26" t="s">
        <v>3924</v>
      </c>
    </row>
    <row r="1465" spans="1:14" ht="75" customHeight="1" thickTop="1" thickBot="1">
      <c r="A1465" s="34">
        <v>1463</v>
      </c>
      <c r="B1465" s="26">
        <v>1467</v>
      </c>
      <c r="C1465" s="57" t="s">
        <v>9457</v>
      </c>
      <c r="D1465" s="56" t="s">
        <v>26</v>
      </c>
      <c r="E1465" s="56" t="s">
        <v>6480</v>
      </c>
      <c r="F1465" s="26" t="s">
        <v>3923</v>
      </c>
      <c r="G1465" s="26" t="s">
        <v>16</v>
      </c>
      <c r="H1465" s="26" t="s">
        <v>13</v>
      </c>
      <c r="I1465" s="26" t="s">
        <v>3924</v>
      </c>
      <c r="J1465" s="26" t="s">
        <v>9457</v>
      </c>
      <c r="K1465" s="26" t="s">
        <v>6434</v>
      </c>
      <c r="L1465" s="26" t="s">
        <v>7082</v>
      </c>
      <c r="M1465" s="55" t="s">
        <v>7702</v>
      </c>
      <c r="N1465" s="26" t="s">
        <v>3924</v>
      </c>
    </row>
    <row r="1466" spans="1:14" ht="75" customHeight="1" thickTop="1" thickBot="1">
      <c r="A1466" s="26">
        <v>1464</v>
      </c>
      <c r="B1466" s="34">
        <v>1468</v>
      </c>
      <c r="C1466" s="57" t="s">
        <v>6066</v>
      </c>
      <c r="D1466" s="56" t="s">
        <v>26</v>
      </c>
      <c r="E1466" s="56" t="s">
        <v>8550</v>
      </c>
      <c r="F1466" s="26" t="s">
        <v>3995</v>
      </c>
      <c r="G1466" s="26" t="s">
        <v>16</v>
      </c>
      <c r="H1466" s="26" t="s">
        <v>13</v>
      </c>
      <c r="I1466" s="26" t="s">
        <v>3924</v>
      </c>
      <c r="J1466" s="26" t="s">
        <v>9458</v>
      </c>
      <c r="K1466" s="26" t="s">
        <v>6440</v>
      </c>
      <c r="L1466" s="26" t="s">
        <v>6455</v>
      </c>
      <c r="M1466" s="55" t="s">
        <v>9459</v>
      </c>
      <c r="N1466" s="26" t="s">
        <v>9460</v>
      </c>
    </row>
    <row r="1467" spans="1:14" ht="75" customHeight="1" thickTop="1" thickBot="1">
      <c r="A1467" s="34">
        <v>1465</v>
      </c>
      <c r="B1467" s="26">
        <v>1469</v>
      </c>
      <c r="C1467" s="57" t="s">
        <v>6066</v>
      </c>
      <c r="D1467" s="56" t="s">
        <v>26</v>
      </c>
      <c r="E1467" s="56" t="s">
        <v>6480</v>
      </c>
      <c r="F1467" s="26" t="s">
        <v>3923</v>
      </c>
      <c r="G1467" s="26" t="s">
        <v>16</v>
      </c>
      <c r="H1467" s="26" t="s">
        <v>13</v>
      </c>
      <c r="I1467" s="26" t="s">
        <v>3924</v>
      </c>
      <c r="J1467" s="26" t="s">
        <v>6071</v>
      </c>
      <c r="K1467" s="26" t="s">
        <v>6434</v>
      </c>
      <c r="L1467" s="26" t="s">
        <v>7082</v>
      </c>
      <c r="M1467" s="55" t="s">
        <v>875</v>
      </c>
      <c r="N1467" s="26" t="s">
        <v>3924</v>
      </c>
    </row>
    <row r="1468" spans="1:14" ht="75" customHeight="1" thickTop="1" thickBot="1">
      <c r="A1468" s="26">
        <v>1466</v>
      </c>
      <c r="B1468" s="34">
        <v>1470</v>
      </c>
      <c r="C1468" s="57" t="s">
        <v>6071</v>
      </c>
      <c r="D1468" s="56" t="s">
        <v>26</v>
      </c>
      <c r="E1468" s="56" t="s">
        <v>6480</v>
      </c>
      <c r="F1468" s="26" t="s">
        <v>3923</v>
      </c>
      <c r="G1468" s="26" t="s">
        <v>16</v>
      </c>
      <c r="H1468" s="26" t="s">
        <v>13</v>
      </c>
      <c r="I1468" s="26" t="s">
        <v>3924</v>
      </c>
      <c r="J1468" s="26" t="s">
        <v>6071</v>
      </c>
      <c r="K1468" s="26" t="s">
        <v>6440</v>
      </c>
      <c r="L1468" s="26" t="s">
        <v>7628</v>
      </c>
      <c r="M1468" s="55" t="s">
        <v>555</v>
      </c>
      <c r="N1468" s="26" t="s">
        <v>3924</v>
      </c>
    </row>
    <row r="1469" spans="1:14" ht="75" customHeight="1" thickTop="1" thickBot="1">
      <c r="A1469" s="34">
        <v>1467</v>
      </c>
      <c r="B1469" s="34">
        <v>1471</v>
      </c>
      <c r="C1469" s="57" t="s">
        <v>9461</v>
      </c>
      <c r="D1469" s="56" t="s">
        <v>26</v>
      </c>
      <c r="E1469" s="56" t="s">
        <v>6480</v>
      </c>
      <c r="F1469" s="26" t="s">
        <v>3923</v>
      </c>
      <c r="G1469" s="26" t="s">
        <v>16</v>
      </c>
      <c r="H1469" s="26" t="s">
        <v>13</v>
      </c>
      <c r="I1469" s="26" t="s">
        <v>3924</v>
      </c>
      <c r="J1469" s="26" t="s">
        <v>9461</v>
      </c>
      <c r="K1469" s="26" t="s">
        <v>6440</v>
      </c>
      <c r="L1469" s="26" t="s">
        <v>6723</v>
      </c>
      <c r="M1469" s="55" t="s">
        <v>9442</v>
      </c>
      <c r="N1469" s="26" t="s">
        <v>3924</v>
      </c>
    </row>
    <row r="1470" spans="1:14" ht="75" customHeight="1" thickTop="1" thickBot="1">
      <c r="A1470" s="26">
        <v>1468</v>
      </c>
      <c r="B1470" s="26">
        <v>1472</v>
      </c>
      <c r="C1470" s="57" t="s">
        <v>9462</v>
      </c>
      <c r="D1470" s="56" t="s">
        <v>26</v>
      </c>
      <c r="E1470" s="56" t="s">
        <v>8550</v>
      </c>
      <c r="F1470" s="26" t="s">
        <v>3995</v>
      </c>
      <c r="G1470" s="26" t="s">
        <v>16</v>
      </c>
      <c r="H1470" s="26" t="s">
        <v>13</v>
      </c>
      <c r="I1470" s="26" t="s">
        <v>3924</v>
      </c>
      <c r="J1470" s="26" t="s">
        <v>9463</v>
      </c>
      <c r="K1470" s="26" t="s">
        <v>6440</v>
      </c>
      <c r="L1470" s="26" t="s">
        <v>6493</v>
      </c>
      <c r="M1470" s="55" t="s">
        <v>9464</v>
      </c>
      <c r="N1470" s="26" t="s">
        <v>9465</v>
      </c>
    </row>
    <row r="1471" spans="1:14" ht="75" customHeight="1" thickTop="1" thickBot="1">
      <c r="A1471" s="34">
        <v>1469</v>
      </c>
      <c r="B1471" s="34">
        <v>1473</v>
      </c>
      <c r="C1471" s="57" t="s">
        <v>6079</v>
      </c>
      <c r="D1471" s="56" t="s">
        <v>26</v>
      </c>
      <c r="E1471" s="56" t="s">
        <v>6480</v>
      </c>
      <c r="F1471" s="26" t="s">
        <v>3923</v>
      </c>
      <c r="G1471" s="26" t="s">
        <v>16</v>
      </c>
      <c r="H1471" s="26" t="s">
        <v>13</v>
      </c>
      <c r="I1471" s="26" t="s">
        <v>3924</v>
      </c>
      <c r="J1471" s="26" t="s">
        <v>6079</v>
      </c>
      <c r="K1471" s="26" t="s">
        <v>6440</v>
      </c>
      <c r="L1471" s="26" t="s">
        <v>6469</v>
      </c>
      <c r="M1471" s="55" t="s">
        <v>7706</v>
      </c>
      <c r="N1471" s="26" t="s">
        <v>3924</v>
      </c>
    </row>
    <row r="1472" spans="1:14" ht="75" customHeight="1" thickTop="1" thickBot="1">
      <c r="A1472" s="26">
        <v>1470</v>
      </c>
      <c r="B1472" s="26">
        <v>1474</v>
      </c>
      <c r="C1472" s="57" t="s">
        <v>6082</v>
      </c>
      <c r="D1472" s="56" t="s">
        <v>26</v>
      </c>
      <c r="E1472" s="56" t="s">
        <v>8550</v>
      </c>
      <c r="F1472" s="26" t="s">
        <v>3995</v>
      </c>
      <c r="G1472" s="26" t="s">
        <v>16</v>
      </c>
      <c r="H1472" s="26" t="s">
        <v>13</v>
      </c>
      <c r="I1472" s="26" t="s">
        <v>3924</v>
      </c>
      <c r="J1472" s="26" t="s">
        <v>9463</v>
      </c>
      <c r="K1472" s="26" t="s">
        <v>6440</v>
      </c>
      <c r="L1472" s="26" t="s">
        <v>3927</v>
      </c>
      <c r="M1472" s="55" t="s">
        <v>9466</v>
      </c>
      <c r="N1472" s="26" t="s">
        <v>9467</v>
      </c>
    </row>
    <row r="1473" spans="1:14" ht="75" customHeight="1" thickTop="1" thickBot="1">
      <c r="A1473" s="34">
        <v>1471</v>
      </c>
      <c r="B1473" s="34">
        <v>1475</v>
      </c>
      <c r="C1473" s="57" t="s">
        <v>6082</v>
      </c>
      <c r="D1473" s="56" t="s">
        <v>26</v>
      </c>
      <c r="E1473" s="56" t="s">
        <v>6480</v>
      </c>
      <c r="F1473" s="26" t="s">
        <v>3923</v>
      </c>
      <c r="G1473" s="26" t="s">
        <v>16</v>
      </c>
      <c r="H1473" s="26" t="s">
        <v>13</v>
      </c>
      <c r="I1473" s="26" t="s">
        <v>3924</v>
      </c>
      <c r="J1473" s="26" t="s">
        <v>6082</v>
      </c>
      <c r="K1473" s="26" t="s">
        <v>6445</v>
      </c>
      <c r="L1473" s="26" t="s">
        <v>7763</v>
      </c>
      <c r="M1473" s="55" t="s">
        <v>7710</v>
      </c>
      <c r="N1473" s="26" t="s">
        <v>3924</v>
      </c>
    </row>
    <row r="1474" spans="1:14" ht="75" customHeight="1" thickTop="1" thickBot="1">
      <c r="A1474" s="26">
        <v>1472</v>
      </c>
      <c r="B1474" s="26">
        <v>1476</v>
      </c>
      <c r="C1474" s="57" t="s">
        <v>6084</v>
      </c>
      <c r="D1474" s="56" t="s">
        <v>26</v>
      </c>
      <c r="E1474" s="56" t="s">
        <v>8550</v>
      </c>
      <c r="F1474" s="26" t="s">
        <v>3995</v>
      </c>
      <c r="G1474" s="26" t="s">
        <v>16</v>
      </c>
      <c r="H1474" s="26" t="s">
        <v>13</v>
      </c>
      <c r="I1474" s="26" t="s">
        <v>3924</v>
      </c>
      <c r="J1474" s="26" t="s">
        <v>9463</v>
      </c>
      <c r="K1474" s="26" t="s">
        <v>6440</v>
      </c>
      <c r="L1474" s="26" t="s">
        <v>6493</v>
      </c>
      <c r="M1474" s="55" t="s">
        <v>9468</v>
      </c>
      <c r="N1474" s="26" t="s">
        <v>9469</v>
      </c>
    </row>
    <row r="1475" spans="1:14" ht="75" customHeight="1" thickTop="1" thickBot="1">
      <c r="A1475" s="34">
        <v>1473</v>
      </c>
      <c r="B1475" s="34">
        <v>1477</v>
      </c>
      <c r="C1475" s="57" t="s">
        <v>6084</v>
      </c>
      <c r="D1475" s="56" t="s">
        <v>26</v>
      </c>
      <c r="E1475" s="56" t="s">
        <v>6480</v>
      </c>
      <c r="F1475" s="26" t="s">
        <v>3923</v>
      </c>
      <c r="G1475" s="26" t="s">
        <v>16</v>
      </c>
      <c r="H1475" s="26" t="s">
        <v>13</v>
      </c>
      <c r="I1475" s="26" t="s">
        <v>3924</v>
      </c>
      <c r="J1475" s="26" t="s">
        <v>6084</v>
      </c>
      <c r="K1475" s="26" t="s">
        <v>6445</v>
      </c>
      <c r="L1475" s="26" t="s">
        <v>8946</v>
      </c>
      <c r="M1475" s="55" t="s">
        <v>9470</v>
      </c>
      <c r="N1475" s="26" t="s">
        <v>3924</v>
      </c>
    </row>
    <row r="1476" spans="1:14" ht="75" customHeight="1" thickTop="1" thickBot="1">
      <c r="A1476" s="26">
        <v>1474</v>
      </c>
      <c r="B1476" s="34">
        <v>1478</v>
      </c>
      <c r="C1476" s="57" t="s">
        <v>6088</v>
      </c>
      <c r="D1476" s="56" t="s">
        <v>26</v>
      </c>
      <c r="E1476" s="56" t="s">
        <v>6480</v>
      </c>
      <c r="F1476" s="26" t="s">
        <v>3923</v>
      </c>
      <c r="G1476" s="26" t="s">
        <v>16</v>
      </c>
      <c r="H1476" s="26" t="s">
        <v>13</v>
      </c>
      <c r="I1476" s="26" t="s">
        <v>3924</v>
      </c>
      <c r="J1476" s="26" t="s">
        <v>6092</v>
      </c>
      <c r="K1476" s="26" t="s">
        <v>6445</v>
      </c>
      <c r="L1476" s="26" t="s">
        <v>8946</v>
      </c>
      <c r="M1476" s="55" t="s">
        <v>9471</v>
      </c>
      <c r="N1476" s="26" t="s">
        <v>3924</v>
      </c>
    </row>
    <row r="1477" spans="1:14" ht="75" customHeight="1" thickTop="1" thickBot="1">
      <c r="A1477" s="34">
        <v>1475</v>
      </c>
      <c r="B1477" s="26">
        <v>1479</v>
      </c>
      <c r="C1477" s="57" t="s">
        <v>9472</v>
      </c>
      <c r="D1477" s="56" t="s">
        <v>26</v>
      </c>
      <c r="E1477" s="56" t="s">
        <v>6480</v>
      </c>
      <c r="F1477" s="26" t="s">
        <v>3923</v>
      </c>
      <c r="G1477" s="26" t="s">
        <v>16</v>
      </c>
      <c r="H1477" s="26" t="s">
        <v>13</v>
      </c>
      <c r="I1477" s="26" t="s">
        <v>3924</v>
      </c>
      <c r="J1477" s="26" t="s">
        <v>9472</v>
      </c>
      <c r="K1477" s="26" t="s">
        <v>6445</v>
      </c>
      <c r="L1477" s="26" t="s">
        <v>6992</v>
      </c>
      <c r="M1477" s="55" t="s">
        <v>9473</v>
      </c>
      <c r="N1477" s="26" t="s">
        <v>3924</v>
      </c>
    </row>
    <row r="1478" spans="1:14" ht="75" customHeight="1" thickTop="1" thickBot="1">
      <c r="A1478" s="26">
        <v>1476</v>
      </c>
      <c r="B1478" s="34">
        <v>1480</v>
      </c>
      <c r="C1478" s="57" t="s">
        <v>9474</v>
      </c>
      <c r="D1478" s="56" t="s">
        <v>26</v>
      </c>
      <c r="E1478" s="56" t="s">
        <v>6480</v>
      </c>
      <c r="F1478" s="26" t="s">
        <v>3923</v>
      </c>
      <c r="G1478" s="26" t="s">
        <v>16</v>
      </c>
      <c r="H1478" s="26" t="s">
        <v>13</v>
      </c>
      <c r="I1478" s="26" t="s">
        <v>3924</v>
      </c>
      <c r="J1478" s="26" t="s">
        <v>9474</v>
      </c>
      <c r="K1478" s="26" t="s">
        <v>6445</v>
      </c>
      <c r="L1478" s="26" t="s">
        <v>9475</v>
      </c>
      <c r="M1478" s="55" t="s">
        <v>9476</v>
      </c>
      <c r="N1478" s="26" t="s">
        <v>3924</v>
      </c>
    </row>
    <row r="1479" spans="1:14" ht="75" customHeight="1" thickTop="1" thickBot="1">
      <c r="A1479" s="34">
        <v>1477</v>
      </c>
      <c r="B1479" s="26">
        <v>1481</v>
      </c>
      <c r="C1479" s="57" t="s">
        <v>6094</v>
      </c>
      <c r="D1479" s="56" t="s">
        <v>26</v>
      </c>
      <c r="E1479" s="56" t="s">
        <v>6480</v>
      </c>
      <c r="F1479" s="26" t="s">
        <v>3923</v>
      </c>
      <c r="G1479" s="26" t="s">
        <v>16</v>
      </c>
      <c r="H1479" s="26" t="s">
        <v>13</v>
      </c>
      <c r="I1479" s="26" t="s">
        <v>3924</v>
      </c>
      <c r="J1479" s="26" t="s">
        <v>6094</v>
      </c>
      <c r="K1479" s="26" t="s">
        <v>6434</v>
      </c>
      <c r="L1479" s="26" t="s">
        <v>6493</v>
      </c>
      <c r="M1479" s="55" t="s">
        <v>9477</v>
      </c>
      <c r="N1479" s="26" t="s">
        <v>3924</v>
      </c>
    </row>
    <row r="1480" spans="1:14" ht="75" customHeight="1" thickTop="1" thickBot="1">
      <c r="A1480" s="26">
        <v>1478</v>
      </c>
      <c r="B1480" s="34">
        <v>1482</v>
      </c>
      <c r="C1480" s="57" t="s">
        <v>6096</v>
      </c>
      <c r="D1480" s="56" t="s">
        <v>26</v>
      </c>
      <c r="E1480" s="56" t="s">
        <v>6480</v>
      </c>
      <c r="F1480" s="26" t="s">
        <v>3923</v>
      </c>
      <c r="G1480" s="26" t="s">
        <v>16</v>
      </c>
      <c r="H1480" s="26" t="s">
        <v>13</v>
      </c>
      <c r="I1480" s="26" t="s">
        <v>3924</v>
      </c>
      <c r="J1480" s="26" t="s">
        <v>6096</v>
      </c>
      <c r="K1480" s="26" t="s">
        <v>6440</v>
      </c>
      <c r="L1480" s="26" t="s">
        <v>8892</v>
      </c>
      <c r="M1480" s="55" t="s">
        <v>9413</v>
      </c>
      <c r="N1480" s="26" t="s">
        <v>3924</v>
      </c>
    </row>
    <row r="1481" spans="1:14" ht="75" customHeight="1" thickTop="1" thickBot="1">
      <c r="A1481" s="34">
        <v>1479</v>
      </c>
      <c r="B1481" s="26">
        <v>1483</v>
      </c>
      <c r="C1481" s="57" t="s">
        <v>6100</v>
      </c>
      <c r="D1481" s="56" t="s">
        <v>26</v>
      </c>
      <c r="E1481" s="56" t="s">
        <v>6480</v>
      </c>
      <c r="F1481" s="26" t="s">
        <v>3923</v>
      </c>
      <c r="G1481" s="26" t="s">
        <v>16</v>
      </c>
      <c r="H1481" s="26" t="s">
        <v>13</v>
      </c>
      <c r="I1481" s="26" t="s">
        <v>3924</v>
      </c>
      <c r="J1481" s="26" t="s">
        <v>6100</v>
      </c>
      <c r="K1481" s="26" t="s">
        <v>6445</v>
      </c>
      <c r="L1481" s="26" t="s">
        <v>7773</v>
      </c>
      <c r="M1481" s="55" t="s">
        <v>9478</v>
      </c>
      <c r="N1481" s="26" t="s">
        <v>3924</v>
      </c>
    </row>
    <row r="1482" spans="1:14" ht="75" customHeight="1" thickTop="1" thickBot="1">
      <c r="A1482" s="26">
        <v>1480</v>
      </c>
      <c r="B1482" s="34">
        <v>1484</v>
      </c>
      <c r="C1482" s="57" t="s">
        <v>6102</v>
      </c>
      <c r="D1482" s="56" t="s">
        <v>26</v>
      </c>
      <c r="E1482" s="56" t="s">
        <v>6480</v>
      </c>
      <c r="F1482" s="26" t="s">
        <v>3923</v>
      </c>
      <c r="G1482" s="26" t="s">
        <v>16</v>
      </c>
      <c r="H1482" s="26" t="s">
        <v>13</v>
      </c>
      <c r="I1482" s="26" t="s">
        <v>3924</v>
      </c>
      <c r="J1482" s="26" t="s">
        <v>6102</v>
      </c>
      <c r="K1482" s="26" t="s">
        <v>6445</v>
      </c>
      <c r="L1482" s="26" t="s">
        <v>7773</v>
      </c>
      <c r="M1482" s="55" t="s">
        <v>9479</v>
      </c>
      <c r="N1482" s="26" t="s">
        <v>3924</v>
      </c>
    </row>
    <row r="1483" spans="1:14" ht="75" customHeight="1" thickTop="1" thickBot="1">
      <c r="A1483" s="34">
        <v>1481</v>
      </c>
      <c r="B1483" s="34">
        <v>1485</v>
      </c>
      <c r="C1483" s="57" t="s">
        <v>6102</v>
      </c>
      <c r="D1483" s="56" t="s">
        <v>26</v>
      </c>
      <c r="E1483" s="56" t="s">
        <v>6480</v>
      </c>
      <c r="F1483" s="26" t="s">
        <v>3923</v>
      </c>
      <c r="G1483" s="26" t="s">
        <v>16</v>
      </c>
      <c r="H1483" s="26" t="s">
        <v>13</v>
      </c>
      <c r="I1483" s="26" t="s">
        <v>3924</v>
      </c>
      <c r="J1483" s="26" t="s">
        <v>6105</v>
      </c>
      <c r="K1483" s="26" t="s">
        <v>6552</v>
      </c>
      <c r="L1483" s="26" t="s">
        <v>4942</v>
      </c>
      <c r="M1483" s="55" t="s">
        <v>9480</v>
      </c>
      <c r="N1483" s="26" t="s">
        <v>3924</v>
      </c>
    </row>
    <row r="1484" spans="1:14" ht="75" customHeight="1" thickTop="1" thickBot="1">
      <c r="A1484" s="26">
        <v>1482</v>
      </c>
      <c r="B1484" s="26">
        <v>1486</v>
      </c>
      <c r="C1484" s="57" t="s">
        <v>6107</v>
      </c>
      <c r="D1484" s="56" t="s">
        <v>26</v>
      </c>
      <c r="E1484" s="56" t="s">
        <v>6480</v>
      </c>
      <c r="F1484" s="26" t="s">
        <v>3923</v>
      </c>
      <c r="G1484" s="26" t="s">
        <v>16</v>
      </c>
      <c r="H1484" s="26" t="s">
        <v>13</v>
      </c>
      <c r="I1484" s="26" t="s">
        <v>3924</v>
      </c>
      <c r="J1484" s="26" t="s">
        <v>6107</v>
      </c>
      <c r="K1484" s="26" t="s">
        <v>6440</v>
      </c>
      <c r="L1484" s="26" t="s">
        <v>9481</v>
      </c>
      <c r="M1484" s="55" t="s">
        <v>9482</v>
      </c>
      <c r="N1484" s="26" t="s">
        <v>3924</v>
      </c>
    </row>
    <row r="1485" spans="1:14" ht="75" customHeight="1" thickTop="1" thickBot="1">
      <c r="A1485" s="34">
        <v>1483</v>
      </c>
      <c r="B1485" s="34">
        <v>1487</v>
      </c>
      <c r="C1485" s="57" t="s">
        <v>6109</v>
      </c>
      <c r="D1485" s="56" t="s">
        <v>26</v>
      </c>
      <c r="E1485" s="56" t="s">
        <v>6480</v>
      </c>
      <c r="F1485" s="26" t="s">
        <v>3923</v>
      </c>
      <c r="G1485" s="26" t="s">
        <v>16</v>
      </c>
      <c r="H1485" s="26" t="s">
        <v>13</v>
      </c>
      <c r="I1485" s="26" t="s">
        <v>3924</v>
      </c>
      <c r="J1485" s="26" t="s">
        <v>6109</v>
      </c>
      <c r="K1485" s="26" t="s">
        <v>6440</v>
      </c>
      <c r="L1485" s="26" t="s">
        <v>9483</v>
      </c>
      <c r="M1485" s="55" t="s">
        <v>9484</v>
      </c>
      <c r="N1485" s="26" t="s">
        <v>3924</v>
      </c>
    </row>
    <row r="1486" spans="1:14" ht="75" customHeight="1" thickTop="1" thickBot="1">
      <c r="A1486" s="26">
        <v>1484</v>
      </c>
      <c r="B1486" s="26">
        <v>1488</v>
      </c>
      <c r="C1486" s="57" t="s">
        <v>9485</v>
      </c>
      <c r="D1486" s="56" t="s">
        <v>26</v>
      </c>
      <c r="E1486" s="56" t="s">
        <v>8550</v>
      </c>
      <c r="F1486" s="26" t="s">
        <v>3995</v>
      </c>
      <c r="G1486" s="26" t="s">
        <v>16</v>
      </c>
      <c r="H1486" s="26" t="s">
        <v>13</v>
      </c>
      <c r="I1486" s="26" t="s">
        <v>3924</v>
      </c>
      <c r="J1486" s="26" t="s">
        <v>9458</v>
      </c>
      <c r="K1486" s="26" t="s">
        <v>6440</v>
      </c>
      <c r="L1486" s="26" t="s">
        <v>3927</v>
      </c>
      <c r="M1486" s="55" t="s">
        <v>9486</v>
      </c>
      <c r="N1486" s="26" t="s">
        <v>3924</v>
      </c>
    </row>
    <row r="1487" spans="1:14" ht="75" customHeight="1" thickTop="1" thickBot="1">
      <c r="A1487" s="34">
        <v>1485</v>
      </c>
      <c r="B1487" s="34">
        <v>1489</v>
      </c>
      <c r="C1487" s="57" t="s">
        <v>6080</v>
      </c>
      <c r="D1487" s="56" t="s">
        <v>26</v>
      </c>
      <c r="E1487" s="56" t="s">
        <v>27</v>
      </c>
      <c r="F1487" s="26" t="s">
        <v>3995</v>
      </c>
      <c r="G1487" s="26" t="s">
        <v>12</v>
      </c>
      <c r="H1487" s="26" t="s">
        <v>13</v>
      </c>
      <c r="I1487" s="26" t="s">
        <v>3924</v>
      </c>
      <c r="J1487" s="26" t="s">
        <v>6317</v>
      </c>
      <c r="K1487" s="26" t="s">
        <v>6434</v>
      </c>
      <c r="L1487" s="26" t="s">
        <v>6435</v>
      </c>
      <c r="M1487" s="55" t="s">
        <v>9487</v>
      </c>
      <c r="N1487" s="26" t="s">
        <v>3924</v>
      </c>
    </row>
    <row r="1488" spans="1:14" ht="75" customHeight="1" thickTop="1" thickBot="1">
      <c r="A1488" s="26">
        <v>1486</v>
      </c>
      <c r="B1488" s="26">
        <v>1490</v>
      </c>
      <c r="C1488" s="57" t="s">
        <v>9488</v>
      </c>
      <c r="D1488" s="56" t="s">
        <v>26</v>
      </c>
      <c r="E1488" s="56" t="s">
        <v>27</v>
      </c>
      <c r="F1488" s="26" t="s">
        <v>3995</v>
      </c>
      <c r="G1488" s="26" t="s">
        <v>1419</v>
      </c>
      <c r="H1488" s="26" t="s">
        <v>13</v>
      </c>
      <c r="I1488" s="26" t="s">
        <v>3924</v>
      </c>
      <c r="J1488" s="26" t="s">
        <v>9489</v>
      </c>
      <c r="K1488" s="26" t="s">
        <v>6445</v>
      </c>
      <c r="L1488" s="26" t="s">
        <v>6805</v>
      </c>
      <c r="M1488" s="55" t="s">
        <v>9490</v>
      </c>
      <c r="N1488" s="26" t="s">
        <v>3924</v>
      </c>
    </row>
    <row r="1489" spans="1:14" ht="75" customHeight="1" thickTop="1" thickBot="1">
      <c r="A1489" s="34">
        <v>1487</v>
      </c>
      <c r="B1489" s="34">
        <v>1491</v>
      </c>
      <c r="C1489" s="57" t="s">
        <v>9491</v>
      </c>
      <c r="D1489" s="56" t="s">
        <v>26</v>
      </c>
      <c r="E1489" s="56" t="s">
        <v>27</v>
      </c>
      <c r="F1489" s="26" t="s">
        <v>3995</v>
      </c>
      <c r="G1489" s="26" t="s">
        <v>12</v>
      </c>
      <c r="H1489" s="26" t="s">
        <v>13</v>
      </c>
      <c r="I1489" s="26" t="s">
        <v>3924</v>
      </c>
      <c r="J1489" s="26" t="s">
        <v>6317</v>
      </c>
      <c r="K1489" s="26" t="s">
        <v>6445</v>
      </c>
      <c r="L1489" s="26" t="s">
        <v>6805</v>
      </c>
      <c r="M1489" s="55" t="s">
        <v>9492</v>
      </c>
      <c r="N1489" s="26" t="s">
        <v>9493</v>
      </c>
    </row>
    <row r="1490" spans="1:14" ht="75" customHeight="1" thickTop="1" thickBot="1">
      <c r="A1490" s="26">
        <v>1488</v>
      </c>
      <c r="B1490" s="34">
        <v>1492</v>
      </c>
      <c r="C1490" s="57" t="s">
        <v>9494</v>
      </c>
      <c r="D1490" s="56" t="s">
        <v>26</v>
      </c>
      <c r="E1490" s="56" t="s">
        <v>8550</v>
      </c>
      <c r="F1490" s="26" t="s">
        <v>3995</v>
      </c>
      <c r="G1490" s="26" t="s">
        <v>12</v>
      </c>
      <c r="H1490" s="26" t="s">
        <v>13</v>
      </c>
      <c r="I1490" s="26" t="s">
        <v>3924</v>
      </c>
      <c r="J1490" s="26" t="s">
        <v>6318</v>
      </c>
      <c r="K1490" s="26" t="s">
        <v>6440</v>
      </c>
      <c r="L1490" s="26" t="s">
        <v>6435</v>
      </c>
      <c r="M1490" s="55" t="s">
        <v>9495</v>
      </c>
      <c r="N1490" s="26" t="s">
        <v>9496</v>
      </c>
    </row>
    <row r="1491" spans="1:14" ht="75" customHeight="1" thickTop="1" thickBot="1">
      <c r="A1491" s="34">
        <v>1489</v>
      </c>
      <c r="B1491" s="26">
        <v>1493</v>
      </c>
      <c r="C1491" s="57" t="s">
        <v>9497</v>
      </c>
      <c r="D1491" s="56" t="s">
        <v>26</v>
      </c>
      <c r="E1491" s="56" t="s">
        <v>6438</v>
      </c>
      <c r="F1491" s="26" t="s">
        <v>3995</v>
      </c>
      <c r="G1491" s="26" t="s">
        <v>1419</v>
      </c>
      <c r="H1491" s="26" t="s">
        <v>13</v>
      </c>
      <c r="I1491" s="26" t="s">
        <v>3924</v>
      </c>
      <c r="J1491" s="26" t="s">
        <v>9498</v>
      </c>
      <c r="K1491" s="26" t="s">
        <v>6552</v>
      </c>
      <c r="L1491" s="26" t="s">
        <v>3927</v>
      </c>
      <c r="M1491" s="55" t="s">
        <v>9499</v>
      </c>
      <c r="N1491" s="26" t="s">
        <v>3924</v>
      </c>
    </row>
    <row r="1492" spans="1:14" ht="75" customHeight="1" thickTop="1" thickBot="1">
      <c r="A1492" s="26">
        <v>1490</v>
      </c>
      <c r="B1492" s="34">
        <v>1494</v>
      </c>
      <c r="C1492" s="57" t="s">
        <v>9500</v>
      </c>
      <c r="D1492" s="56" t="s">
        <v>26</v>
      </c>
      <c r="E1492" s="56" t="s">
        <v>27</v>
      </c>
      <c r="F1492" s="26" t="s">
        <v>3995</v>
      </c>
      <c r="G1492" s="26" t="s">
        <v>16</v>
      </c>
      <c r="H1492" s="26" t="s">
        <v>13</v>
      </c>
      <c r="I1492" s="26" t="s">
        <v>3924</v>
      </c>
      <c r="J1492" s="26" t="s">
        <v>9458</v>
      </c>
      <c r="K1492" s="26" t="s">
        <v>6445</v>
      </c>
      <c r="L1492" s="26" t="s">
        <v>6469</v>
      </c>
      <c r="M1492" s="55" t="s">
        <v>9501</v>
      </c>
      <c r="N1492" s="26" t="s">
        <v>3924</v>
      </c>
    </row>
    <row r="1493" spans="1:14" ht="75" customHeight="1" thickTop="1" thickBot="1">
      <c r="A1493" s="34">
        <v>1491</v>
      </c>
      <c r="B1493" s="34">
        <v>1495</v>
      </c>
      <c r="C1493" s="57" t="s">
        <v>9502</v>
      </c>
      <c r="D1493" s="56" t="s">
        <v>26</v>
      </c>
      <c r="E1493" s="56" t="s">
        <v>6438</v>
      </c>
      <c r="F1493" s="26" t="s">
        <v>3995</v>
      </c>
      <c r="G1493" s="26" t="s">
        <v>16</v>
      </c>
      <c r="H1493" s="26" t="s">
        <v>13</v>
      </c>
      <c r="I1493" s="26" t="s">
        <v>3924</v>
      </c>
      <c r="J1493" s="26" t="s">
        <v>9503</v>
      </c>
      <c r="K1493" s="69" t="s">
        <v>6552</v>
      </c>
      <c r="L1493" s="26" t="s">
        <v>3927</v>
      </c>
      <c r="M1493" s="55" t="s">
        <v>9504</v>
      </c>
      <c r="N1493" s="26" t="s">
        <v>3924</v>
      </c>
    </row>
    <row r="1494" spans="1:14" ht="75" customHeight="1" thickTop="1" thickBot="1">
      <c r="A1494" s="26">
        <v>1492</v>
      </c>
      <c r="B1494" s="34">
        <v>1496</v>
      </c>
      <c r="C1494" s="57" t="s">
        <v>9505</v>
      </c>
      <c r="D1494" s="56" t="s">
        <v>26</v>
      </c>
      <c r="E1494" s="56" t="s">
        <v>8550</v>
      </c>
      <c r="F1494" s="26" t="s">
        <v>3995</v>
      </c>
      <c r="G1494" s="26" t="s">
        <v>1419</v>
      </c>
      <c r="H1494" s="26" t="s">
        <v>13</v>
      </c>
      <c r="I1494" s="26" t="s">
        <v>3924</v>
      </c>
      <c r="J1494" s="26" t="s">
        <v>9506</v>
      </c>
      <c r="K1494" s="26" t="s">
        <v>6440</v>
      </c>
      <c r="L1494" s="26" t="s">
        <v>3927</v>
      </c>
      <c r="M1494" s="55" t="s">
        <v>9507</v>
      </c>
      <c r="N1494" s="26" t="s">
        <v>9508</v>
      </c>
    </row>
    <row r="1495" spans="1:14" ht="75" customHeight="1" thickTop="1" thickBot="1">
      <c r="A1495" s="34">
        <v>1493</v>
      </c>
      <c r="B1495" s="34">
        <v>1497</v>
      </c>
      <c r="C1495" s="57" t="s">
        <v>9509</v>
      </c>
      <c r="D1495" s="56" t="s">
        <v>26</v>
      </c>
      <c r="E1495" s="56" t="s">
        <v>27</v>
      </c>
      <c r="F1495" s="26" t="s">
        <v>3995</v>
      </c>
      <c r="G1495" s="26" t="s">
        <v>12</v>
      </c>
      <c r="H1495" s="26" t="s">
        <v>13</v>
      </c>
      <c r="I1495" s="26" t="s">
        <v>3924</v>
      </c>
      <c r="J1495" s="26" t="s">
        <v>9510</v>
      </c>
      <c r="K1495" s="26" t="s">
        <v>6434</v>
      </c>
      <c r="L1495" s="26" t="s">
        <v>6469</v>
      </c>
      <c r="M1495" s="55" t="s">
        <v>9511</v>
      </c>
      <c r="N1495" s="26" t="s">
        <v>3924</v>
      </c>
    </row>
    <row r="1496" spans="1:14" ht="75" customHeight="1" thickTop="1" thickBot="1">
      <c r="A1496" s="26">
        <v>1494</v>
      </c>
      <c r="B1496" s="34">
        <v>1498</v>
      </c>
      <c r="C1496" s="57" t="s">
        <v>9512</v>
      </c>
      <c r="D1496" s="56" t="s">
        <v>26</v>
      </c>
      <c r="E1496" s="56" t="s">
        <v>27</v>
      </c>
      <c r="F1496" s="26" t="s">
        <v>3995</v>
      </c>
      <c r="G1496" s="26" t="s">
        <v>12</v>
      </c>
      <c r="H1496" s="26" t="s">
        <v>13</v>
      </c>
      <c r="I1496" s="26" t="s">
        <v>3924</v>
      </c>
      <c r="J1496" s="26" t="s">
        <v>9510</v>
      </c>
      <c r="K1496" s="26" t="s">
        <v>6434</v>
      </c>
      <c r="L1496" s="26" t="s">
        <v>6469</v>
      </c>
      <c r="M1496" s="55" t="s">
        <v>9513</v>
      </c>
      <c r="N1496" s="26" t="s">
        <v>12</v>
      </c>
    </row>
    <row r="1497" spans="1:14" ht="75" customHeight="1" thickTop="1" thickBot="1">
      <c r="A1497" s="34">
        <v>1495</v>
      </c>
      <c r="B1497" s="34">
        <v>1499</v>
      </c>
      <c r="C1497" s="57" t="s">
        <v>9514</v>
      </c>
      <c r="D1497" s="56" t="s">
        <v>26</v>
      </c>
      <c r="E1497" s="56" t="s">
        <v>27</v>
      </c>
      <c r="F1497" s="26" t="s">
        <v>3995</v>
      </c>
      <c r="G1497" s="26" t="s">
        <v>16</v>
      </c>
      <c r="H1497" s="26" t="s">
        <v>13</v>
      </c>
      <c r="I1497" s="26" t="s">
        <v>3924</v>
      </c>
      <c r="J1497" s="26" t="s">
        <v>9510</v>
      </c>
      <c r="K1497" s="26" t="s">
        <v>6434</v>
      </c>
      <c r="L1497" s="26" t="s">
        <v>6805</v>
      </c>
      <c r="M1497" s="55" t="s">
        <v>9515</v>
      </c>
      <c r="N1497" s="26" t="s">
        <v>3924</v>
      </c>
    </row>
    <row r="1498" spans="1:14" ht="75" customHeight="1" thickTop="1" thickBot="1">
      <c r="A1498" s="26"/>
      <c r="B1498" s="34"/>
      <c r="C1498" s="57"/>
      <c r="D1498" s="56"/>
      <c r="E1498" s="56"/>
      <c r="F1498" s="26"/>
      <c r="G1498" s="26"/>
      <c r="H1498" s="26"/>
      <c r="I1498" s="26"/>
      <c r="J1498" s="26"/>
      <c r="K1498" s="26"/>
      <c r="L1498" s="26"/>
      <c r="M1498" s="55"/>
      <c r="N1498" s="26"/>
    </row>
    <row r="1499" spans="1:14" ht="75" customHeight="1" thickTop="1" thickBot="1">
      <c r="A1499" s="34"/>
      <c r="B1499" s="34"/>
      <c r="C1499" s="57"/>
      <c r="D1499" s="56"/>
      <c r="E1499" s="56"/>
      <c r="F1499" s="26"/>
      <c r="G1499" s="26"/>
      <c r="H1499" s="26"/>
      <c r="I1499" s="26"/>
      <c r="J1499" s="26"/>
      <c r="K1499" s="26"/>
      <c r="L1499" s="26"/>
      <c r="M1499" s="55"/>
      <c r="N1499" s="26"/>
    </row>
    <row r="1500" spans="1:14" ht="75" customHeight="1" thickTop="1" thickBot="1">
      <c r="A1500" s="34"/>
      <c r="B1500" s="34"/>
      <c r="C1500" s="57"/>
      <c r="D1500" s="56"/>
      <c r="E1500" s="56"/>
      <c r="F1500" s="26"/>
      <c r="G1500" s="26"/>
      <c r="H1500" s="26"/>
      <c r="I1500" s="26"/>
      <c r="J1500" s="26"/>
      <c r="K1500" s="26"/>
      <c r="L1500" s="26"/>
      <c r="M1500" s="55"/>
      <c r="N1500" s="26"/>
    </row>
    <row r="1501" spans="1:14" ht="75" customHeight="1" thickTop="1" thickBot="1">
      <c r="A1501" s="26"/>
      <c r="B1501" s="34"/>
      <c r="C1501" s="57"/>
      <c r="D1501" s="56"/>
      <c r="E1501" s="56"/>
      <c r="F1501" s="26"/>
      <c r="G1501" s="26"/>
      <c r="H1501" s="26"/>
      <c r="I1501" s="26"/>
      <c r="J1501" s="26"/>
      <c r="K1501" s="26"/>
      <c r="L1501" s="26"/>
      <c r="M1501" s="55"/>
      <c r="N1501" s="26"/>
    </row>
    <row r="1502" spans="1:14" ht="75" customHeight="1" thickTop="1" thickBot="1">
      <c r="A1502" s="34"/>
      <c r="B1502" s="34"/>
      <c r="C1502" s="57"/>
      <c r="D1502" s="56"/>
      <c r="E1502" s="56"/>
      <c r="F1502" s="26"/>
      <c r="G1502" s="26"/>
      <c r="H1502" s="26"/>
      <c r="I1502" s="26"/>
      <c r="J1502" s="26"/>
      <c r="K1502" s="26"/>
      <c r="L1502" s="26"/>
      <c r="M1502" s="55"/>
      <c r="N1502" s="26"/>
    </row>
    <row r="1503" spans="1:14" ht="75" customHeight="1" thickTop="1" thickBot="1">
      <c r="A1503" s="34"/>
      <c r="B1503" s="34"/>
      <c r="C1503" s="57"/>
      <c r="D1503" s="56"/>
      <c r="E1503" s="56"/>
      <c r="F1503" s="26"/>
      <c r="G1503" s="26"/>
      <c r="H1503" s="26"/>
      <c r="I1503" s="26"/>
      <c r="J1503" s="26"/>
      <c r="K1503" s="26"/>
      <c r="L1503" s="26"/>
      <c r="M1503" s="55"/>
      <c r="N1503" s="26"/>
    </row>
    <row r="1504" spans="1:14" ht="75" customHeight="1" thickTop="1" thickBot="1">
      <c r="A1504" s="26"/>
      <c r="B1504" s="34"/>
      <c r="C1504" s="57"/>
      <c r="D1504" s="56"/>
      <c r="E1504" s="56"/>
      <c r="F1504" s="26"/>
      <c r="G1504" s="26"/>
      <c r="H1504" s="26"/>
      <c r="I1504" s="26"/>
      <c r="J1504" s="26"/>
      <c r="K1504" s="26"/>
      <c r="L1504" s="26"/>
      <c r="M1504" s="55"/>
      <c r="N1504" s="26"/>
    </row>
    <row r="1505" spans="1:14" ht="75" customHeight="1" thickTop="1" thickBot="1">
      <c r="A1505" s="34"/>
      <c r="B1505" s="34"/>
      <c r="C1505" s="57"/>
      <c r="D1505" s="56"/>
      <c r="E1505" s="56"/>
      <c r="F1505" s="26"/>
      <c r="G1505" s="26"/>
      <c r="H1505" s="26"/>
      <c r="I1505" s="26"/>
      <c r="J1505" s="26"/>
      <c r="K1505" s="26"/>
      <c r="L1505" s="26"/>
      <c r="M1505" s="55"/>
      <c r="N1505" s="26"/>
    </row>
    <row r="1506" spans="1:14" ht="75" customHeight="1" thickTop="1" thickBot="1">
      <c r="A1506" s="34"/>
      <c r="B1506" s="34"/>
      <c r="C1506" s="57"/>
      <c r="D1506" s="56"/>
      <c r="E1506" s="56"/>
      <c r="F1506" s="26"/>
      <c r="G1506" s="26"/>
      <c r="H1506" s="26"/>
      <c r="I1506" s="26"/>
      <c r="J1506" s="26"/>
      <c r="K1506" s="26"/>
      <c r="L1506" s="26"/>
      <c r="M1506" s="55"/>
      <c r="N1506" s="26"/>
    </row>
    <row r="1507" spans="1:14" ht="75" customHeight="1" thickTop="1" thickBot="1">
      <c r="A1507" s="26"/>
      <c r="B1507" s="34"/>
      <c r="C1507" s="57"/>
      <c r="D1507" s="56"/>
      <c r="E1507" s="56"/>
      <c r="F1507" s="26"/>
      <c r="G1507" s="26"/>
      <c r="H1507" s="26"/>
      <c r="I1507" s="26"/>
      <c r="J1507" s="26"/>
      <c r="K1507" s="26"/>
      <c r="L1507" s="26"/>
      <c r="M1507" s="55"/>
      <c r="N1507" s="26"/>
    </row>
    <row r="1508" spans="1:14" ht="75" customHeight="1" thickTop="1" thickBot="1">
      <c r="A1508" s="34"/>
      <c r="B1508" s="34"/>
      <c r="C1508" s="57"/>
      <c r="D1508" s="56"/>
      <c r="E1508" s="56"/>
      <c r="F1508" s="26"/>
      <c r="G1508" s="26"/>
      <c r="H1508" s="26"/>
      <c r="I1508" s="26"/>
      <c r="J1508" s="26"/>
      <c r="K1508" s="26"/>
      <c r="L1508" s="26"/>
      <c r="M1508" s="55"/>
      <c r="N1508" s="26"/>
    </row>
    <row r="1509" spans="1:14" ht="75" customHeight="1" thickTop="1" thickBot="1">
      <c r="A1509" s="34"/>
      <c r="B1509" s="34"/>
      <c r="C1509" s="57"/>
      <c r="D1509" s="56"/>
      <c r="E1509" s="56"/>
      <c r="F1509" s="26"/>
      <c r="G1509" s="26"/>
      <c r="H1509" s="26"/>
      <c r="I1509" s="26"/>
      <c r="J1509" s="26"/>
      <c r="K1509" s="26"/>
      <c r="L1509" s="26"/>
      <c r="M1509" s="55"/>
      <c r="N1509" s="26"/>
    </row>
    <row r="1510" spans="1:14" ht="75" customHeight="1" thickTop="1" thickBot="1">
      <c r="A1510" s="26"/>
      <c r="B1510" s="34"/>
      <c r="C1510" s="57"/>
      <c r="D1510" s="56"/>
      <c r="E1510" s="56"/>
      <c r="F1510" s="26"/>
      <c r="G1510" s="26"/>
      <c r="H1510" s="26"/>
      <c r="I1510" s="26"/>
      <c r="J1510" s="26"/>
      <c r="K1510" s="26"/>
      <c r="L1510" s="26"/>
      <c r="M1510" s="55"/>
      <c r="N1510" s="26"/>
    </row>
    <row r="1511" spans="1:14" ht="75" customHeight="1" thickTop="1" thickBot="1">
      <c r="A1511" s="34"/>
      <c r="B1511" s="34"/>
      <c r="C1511" s="57"/>
      <c r="D1511" s="56"/>
      <c r="E1511" s="56"/>
      <c r="F1511" s="26"/>
      <c r="G1511" s="26"/>
      <c r="H1511" s="26"/>
      <c r="I1511" s="26"/>
      <c r="J1511" s="26"/>
      <c r="K1511" s="26"/>
      <c r="L1511" s="26"/>
      <c r="M1511" s="55"/>
      <c r="N1511" s="26"/>
    </row>
    <row r="1512" spans="1:14" ht="75" customHeight="1" thickTop="1" thickBot="1">
      <c r="A1512" s="34"/>
      <c r="B1512" s="34"/>
      <c r="C1512" s="57"/>
      <c r="D1512" s="56"/>
      <c r="E1512" s="56"/>
      <c r="F1512" s="26"/>
      <c r="G1512" s="26"/>
      <c r="H1512" s="26"/>
      <c r="I1512" s="26"/>
      <c r="J1512" s="26"/>
      <c r="K1512" s="26"/>
      <c r="L1512" s="26"/>
      <c r="M1512" s="55"/>
      <c r="N1512" s="26"/>
    </row>
    <row r="1513" spans="1:14" ht="75" customHeight="1" thickTop="1" thickBot="1">
      <c r="A1513" s="26"/>
      <c r="B1513" s="34"/>
      <c r="C1513" s="57"/>
      <c r="D1513" s="56"/>
      <c r="E1513" s="56"/>
      <c r="F1513" s="26"/>
      <c r="G1513" s="26"/>
      <c r="H1513" s="26"/>
      <c r="I1513" s="26"/>
      <c r="J1513" s="26"/>
      <c r="K1513" s="26"/>
      <c r="L1513" s="26"/>
      <c r="M1513" s="55"/>
      <c r="N1513" s="26"/>
    </row>
    <row r="1514" spans="1:14" ht="75" customHeight="1" thickTop="1" thickBot="1">
      <c r="A1514" s="34"/>
      <c r="B1514" s="34"/>
      <c r="C1514" s="57"/>
      <c r="D1514" s="56"/>
      <c r="E1514" s="56"/>
      <c r="F1514" s="26"/>
      <c r="G1514" s="26"/>
      <c r="H1514" s="26"/>
      <c r="I1514" s="26"/>
      <c r="J1514" s="26"/>
      <c r="K1514" s="26"/>
      <c r="L1514" s="26"/>
      <c r="M1514" s="55"/>
      <c r="N1514" s="26"/>
    </row>
    <row r="1515" spans="1:14" ht="75" customHeight="1" thickTop="1" thickBot="1">
      <c r="A1515" s="34"/>
      <c r="B1515" s="34"/>
      <c r="C1515" s="57"/>
      <c r="D1515" s="56"/>
      <c r="E1515" s="56"/>
      <c r="F1515" s="26"/>
      <c r="G1515" s="26"/>
      <c r="H1515" s="26"/>
      <c r="I1515" s="26"/>
      <c r="J1515" s="26"/>
      <c r="K1515" s="26"/>
      <c r="L1515" s="26"/>
      <c r="M1515" s="55"/>
      <c r="N1515" s="26"/>
    </row>
    <row r="1516" spans="1:14" ht="75" customHeight="1" thickTop="1" thickBot="1">
      <c r="A1516" s="26"/>
      <c r="B1516" s="34"/>
      <c r="C1516" s="57"/>
      <c r="D1516" s="56"/>
      <c r="E1516" s="56"/>
      <c r="F1516" s="26"/>
      <c r="G1516" s="26"/>
      <c r="H1516" s="26"/>
      <c r="I1516" s="26"/>
      <c r="J1516" s="26"/>
      <c r="K1516" s="26"/>
      <c r="L1516" s="26"/>
      <c r="M1516" s="55"/>
      <c r="N1516" s="26"/>
    </row>
    <row r="1517" spans="1:14" ht="75" customHeight="1" thickTop="1" thickBot="1">
      <c r="A1517" s="34"/>
      <c r="B1517" s="34"/>
      <c r="C1517" s="57"/>
      <c r="D1517" s="56"/>
      <c r="E1517" s="56"/>
      <c r="F1517" s="26"/>
      <c r="G1517" s="26"/>
      <c r="H1517" s="26"/>
      <c r="I1517" s="26"/>
      <c r="J1517" s="26"/>
      <c r="K1517" s="26"/>
      <c r="L1517" s="26"/>
      <c r="M1517" s="55"/>
      <c r="N1517" s="26"/>
    </row>
    <row r="1518" spans="1:14" ht="75" customHeight="1" thickTop="1" thickBot="1">
      <c r="A1518" s="34"/>
      <c r="B1518" s="34"/>
      <c r="C1518" s="57"/>
      <c r="D1518" s="56"/>
      <c r="E1518" s="56"/>
      <c r="F1518" s="26"/>
      <c r="G1518" s="26"/>
      <c r="H1518" s="26"/>
      <c r="I1518" s="26"/>
      <c r="J1518" s="26"/>
      <c r="K1518" s="26"/>
      <c r="L1518" s="26"/>
      <c r="M1518" s="55"/>
      <c r="N1518" s="26"/>
    </row>
    <row r="1519" spans="1:14" ht="75" customHeight="1" thickTop="1" thickBot="1">
      <c r="A1519" s="26"/>
      <c r="B1519" s="34"/>
      <c r="C1519" s="57"/>
      <c r="D1519" s="56"/>
      <c r="E1519" s="56"/>
      <c r="F1519" s="26"/>
      <c r="G1519" s="26"/>
      <c r="H1519" s="26"/>
      <c r="I1519" s="26"/>
      <c r="J1519" s="26"/>
      <c r="K1519" s="26"/>
      <c r="L1519" s="26"/>
      <c r="M1519" s="55"/>
      <c r="N1519" s="26"/>
    </row>
    <row r="1520" spans="1:14" ht="75" customHeight="1" thickTop="1" thickBot="1">
      <c r="A1520" s="34"/>
      <c r="B1520" s="34"/>
      <c r="C1520" s="57"/>
      <c r="D1520" s="56"/>
      <c r="E1520" s="56"/>
      <c r="F1520" s="26"/>
      <c r="G1520" s="26"/>
      <c r="H1520" s="26"/>
      <c r="I1520" s="26"/>
      <c r="J1520" s="26"/>
      <c r="K1520" s="26"/>
      <c r="L1520" s="26"/>
      <c r="M1520" s="55"/>
      <c r="N1520" s="26"/>
    </row>
    <row r="1521" spans="1:14" ht="75" customHeight="1" thickTop="1" thickBot="1">
      <c r="A1521" s="34"/>
      <c r="B1521" s="34"/>
      <c r="C1521" s="57"/>
      <c r="D1521" s="56"/>
      <c r="E1521" s="56"/>
      <c r="F1521" s="26"/>
      <c r="G1521" s="26"/>
      <c r="H1521" s="26"/>
      <c r="I1521" s="26"/>
      <c r="J1521" s="26"/>
      <c r="K1521" s="26"/>
      <c r="L1521" s="26"/>
      <c r="M1521" s="55"/>
      <c r="N1521" s="26"/>
    </row>
    <row r="1522" spans="1:14" ht="75" customHeight="1" thickTop="1" thickBot="1">
      <c r="A1522" s="26"/>
      <c r="B1522" s="34"/>
      <c r="C1522" s="57"/>
      <c r="D1522" s="56"/>
      <c r="E1522" s="56"/>
      <c r="F1522" s="26"/>
      <c r="G1522" s="26"/>
      <c r="H1522" s="26"/>
      <c r="I1522" s="26"/>
      <c r="J1522" s="26"/>
      <c r="K1522" s="26"/>
      <c r="L1522" s="26"/>
      <c r="M1522" s="55"/>
      <c r="N1522" s="26"/>
    </row>
    <row r="1523" spans="1:14" ht="75" customHeight="1" thickTop="1" thickBot="1">
      <c r="A1523" s="34"/>
      <c r="B1523" s="34"/>
      <c r="C1523" s="57"/>
      <c r="D1523" s="56"/>
      <c r="E1523" s="56"/>
      <c r="F1523" s="26"/>
      <c r="G1523" s="26"/>
      <c r="H1523" s="26"/>
      <c r="I1523" s="26"/>
      <c r="J1523" s="26"/>
      <c r="K1523" s="26"/>
      <c r="L1523" s="26"/>
      <c r="M1523" s="55"/>
      <c r="N1523" s="26"/>
    </row>
    <row r="1524" spans="1:14" ht="75" customHeight="1" thickTop="1" thickBot="1">
      <c r="A1524" s="34"/>
      <c r="B1524" s="34"/>
      <c r="C1524" s="57"/>
      <c r="D1524" s="56"/>
      <c r="E1524" s="56"/>
      <c r="F1524" s="26"/>
      <c r="G1524" s="26"/>
      <c r="H1524" s="26"/>
      <c r="I1524" s="26"/>
      <c r="J1524" s="26"/>
      <c r="K1524" s="26"/>
      <c r="L1524" s="26"/>
      <c r="M1524" s="55"/>
      <c r="N1524" s="26"/>
    </row>
    <row r="1525" spans="1:14" ht="75" customHeight="1" thickTop="1" thickBot="1">
      <c r="A1525" s="26"/>
      <c r="B1525" s="34"/>
      <c r="C1525" s="57"/>
      <c r="D1525" s="56"/>
      <c r="E1525" s="56"/>
      <c r="F1525" s="26"/>
      <c r="G1525" s="26"/>
      <c r="H1525" s="26"/>
      <c r="I1525" s="26"/>
      <c r="J1525" s="26"/>
      <c r="K1525" s="26"/>
      <c r="L1525" s="26"/>
      <c r="M1525" s="55"/>
      <c r="N1525" s="26"/>
    </row>
    <row r="1526" spans="1:14" ht="75" customHeight="1" thickTop="1" thickBot="1">
      <c r="A1526" s="34"/>
      <c r="B1526" s="34"/>
      <c r="C1526" s="57"/>
      <c r="D1526" s="56"/>
      <c r="E1526" s="56"/>
      <c r="F1526" s="26"/>
      <c r="G1526" s="26"/>
      <c r="H1526" s="26"/>
      <c r="I1526" s="26"/>
      <c r="J1526" s="26"/>
      <c r="K1526" s="26"/>
      <c r="L1526" s="26"/>
      <c r="M1526" s="55"/>
      <c r="N1526" s="26"/>
    </row>
    <row r="1527" spans="1:14" ht="75" customHeight="1" thickTop="1" thickBot="1">
      <c r="A1527" s="34"/>
      <c r="B1527" s="34"/>
      <c r="C1527" s="57"/>
      <c r="D1527" s="56"/>
      <c r="E1527" s="56"/>
      <c r="F1527" s="26"/>
      <c r="G1527" s="26"/>
      <c r="H1527" s="26"/>
      <c r="I1527" s="26"/>
      <c r="J1527" s="26"/>
      <c r="K1527" s="26"/>
      <c r="L1527" s="26"/>
      <c r="M1527" s="55"/>
      <c r="N1527" s="26"/>
    </row>
    <row r="1528" spans="1:14" ht="75" customHeight="1" thickTop="1" thickBot="1">
      <c r="A1528" s="26"/>
      <c r="B1528" s="34"/>
      <c r="C1528" s="57"/>
      <c r="D1528" s="56"/>
      <c r="E1528" s="56"/>
      <c r="F1528" s="26"/>
      <c r="G1528" s="26"/>
      <c r="H1528" s="26"/>
      <c r="I1528" s="26"/>
      <c r="J1528" s="26"/>
      <c r="K1528" s="26"/>
      <c r="L1528" s="26"/>
      <c r="M1528" s="55"/>
      <c r="N1528" s="26"/>
    </row>
    <row r="1529" spans="1:14" ht="75" customHeight="1" thickTop="1" thickBot="1">
      <c r="A1529" s="34"/>
      <c r="B1529" s="34"/>
      <c r="C1529" s="57"/>
      <c r="D1529" s="56"/>
      <c r="E1529" s="56"/>
      <c r="F1529" s="26"/>
      <c r="G1529" s="26"/>
      <c r="H1529" s="26"/>
      <c r="I1529" s="26"/>
      <c r="J1529" s="26"/>
      <c r="K1529" s="26"/>
      <c r="L1529" s="26"/>
      <c r="M1529" s="55"/>
      <c r="N1529" s="26"/>
    </row>
    <row r="1530" spans="1:14" ht="75" customHeight="1" thickTop="1" thickBot="1">
      <c r="A1530" s="34"/>
      <c r="B1530" s="34"/>
      <c r="C1530" s="57"/>
      <c r="D1530" s="56"/>
      <c r="E1530" s="56"/>
      <c r="F1530" s="26"/>
      <c r="G1530" s="26"/>
      <c r="H1530" s="26"/>
      <c r="I1530" s="26"/>
      <c r="J1530" s="26"/>
      <c r="K1530" s="26"/>
      <c r="L1530" s="26"/>
      <c r="M1530" s="55"/>
      <c r="N1530" s="26"/>
    </row>
    <row r="1531" spans="1:14" ht="75" customHeight="1" thickTop="1" thickBot="1">
      <c r="A1531" s="26"/>
      <c r="B1531" s="34"/>
      <c r="C1531" s="57"/>
      <c r="D1531" s="56"/>
      <c r="E1531" s="56"/>
      <c r="F1531" s="26"/>
      <c r="G1531" s="26"/>
      <c r="H1531" s="26"/>
      <c r="I1531" s="26"/>
      <c r="J1531" s="26"/>
      <c r="K1531" s="26"/>
      <c r="L1531" s="26"/>
      <c r="M1531" s="55"/>
      <c r="N1531" s="26"/>
    </row>
    <row r="1532" spans="1:14" ht="75" customHeight="1" thickTop="1" thickBot="1">
      <c r="A1532" s="34"/>
      <c r="B1532" s="34"/>
      <c r="C1532" s="57"/>
      <c r="D1532" s="56"/>
      <c r="E1532" s="56"/>
      <c r="F1532" s="26"/>
      <c r="G1532" s="26"/>
      <c r="H1532" s="26"/>
      <c r="I1532" s="26"/>
      <c r="J1532" s="26"/>
      <c r="K1532" s="26"/>
      <c r="L1532" s="26"/>
      <c r="M1532" s="55"/>
      <c r="N1532" s="26"/>
    </row>
    <row r="1533" spans="1:14" ht="75" customHeight="1" thickTop="1" thickBot="1">
      <c r="A1533" s="34"/>
      <c r="B1533" s="34"/>
      <c r="C1533" s="57"/>
      <c r="D1533" s="56"/>
      <c r="E1533" s="56"/>
      <c r="F1533" s="26"/>
      <c r="G1533" s="26"/>
      <c r="H1533" s="26"/>
      <c r="I1533" s="26"/>
      <c r="J1533" s="26"/>
      <c r="K1533" s="26"/>
      <c r="L1533" s="26"/>
      <c r="M1533" s="55"/>
      <c r="N1533" s="26"/>
    </row>
    <row r="1534" spans="1:14" ht="75" customHeight="1" thickTop="1" thickBot="1">
      <c r="A1534" s="26"/>
      <c r="B1534" s="34"/>
      <c r="C1534" s="57"/>
      <c r="D1534" s="56"/>
      <c r="E1534" s="56"/>
      <c r="F1534" s="26"/>
      <c r="G1534" s="26"/>
      <c r="H1534" s="26"/>
      <c r="I1534" s="26"/>
      <c r="J1534" s="26"/>
      <c r="K1534" s="26"/>
      <c r="L1534" s="26"/>
      <c r="M1534" s="55"/>
      <c r="N1534" s="26"/>
    </row>
    <row r="1535" spans="1:14" ht="75" customHeight="1" thickTop="1" thickBot="1">
      <c r="A1535" s="34"/>
      <c r="B1535" s="34"/>
      <c r="C1535" s="57"/>
      <c r="D1535" s="56"/>
      <c r="E1535" s="56"/>
      <c r="F1535" s="26"/>
      <c r="G1535" s="26"/>
      <c r="H1535" s="26"/>
      <c r="I1535" s="26"/>
      <c r="J1535" s="26"/>
      <c r="K1535" s="26"/>
      <c r="L1535" s="26"/>
      <c r="M1535" s="55"/>
      <c r="N1535" s="26"/>
    </row>
    <row r="1536" spans="1:14" ht="75" customHeight="1" thickTop="1" thickBot="1">
      <c r="A1536" s="34"/>
      <c r="B1536" s="34"/>
      <c r="C1536" s="57"/>
      <c r="D1536" s="56"/>
      <c r="E1536" s="56"/>
      <c r="F1536" s="26"/>
      <c r="G1536" s="26"/>
      <c r="H1536" s="26"/>
      <c r="I1536" s="26"/>
      <c r="J1536" s="26"/>
      <c r="K1536" s="26"/>
      <c r="L1536" s="26"/>
      <c r="M1536" s="55"/>
      <c r="N1536" s="26"/>
    </row>
    <row r="1537" spans="1:14" ht="75" customHeight="1" thickTop="1" thickBot="1">
      <c r="A1537" s="26"/>
      <c r="B1537" s="34"/>
      <c r="C1537" s="57"/>
      <c r="D1537" s="56"/>
      <c r="E1537" s="56"/>
      <c r="F1537" s="26"/>
      <c r="G1537" s="26"/>
      <c r="H1537" s="26"/>
      <c r="I1537" s="26"/>
      <c r="J1537" s="26"/>
      <c r="K1537" s="26"/>
      <c r="L1537" s="26"/>
      <c r="M1537" s="55"/>
      <c r="N1537" s="26"/>
    </row>
    <row r="1538" spans="1:14" ht="75" customHeight="1" thickTop="1" thickBot="1">
      <c r="A1538" s="34"/>
      <c r="B1538" s="34"/>
      <c r="C1538" s="57"/>
      <c r="D1538" s="56"/>
      <c r="E1538" s="56"/>
      <c r="F1538" s="26"/>
      <c r="G1538" s="26"/>
      <c r="H1538" s="26"/>
      <c r="I1538" s="26"/>
      <c r="J1538" s="26"/>
      <c r="K1538" s="26"/>
      <c r="L1538" s="26"/>
      <c r="M1538" s="55"/>
      <c r="N1538" s="26"/>
    </row>
    <row r="1539" spans="1:14" ht="75" customHeight="1" thickTop="1" thickBot="1">
      <c r="A1539" s="34"/>
      <c r="B1539" s="34"/>
      <c r="C1539" s="57"/>
      <c r="D1539" s="56"/>
      <c r="E1539" s="56"/>
      <c r="F1539" s="26"/>
      <c r="G1539" s="26"/>
      <c r="H1539" s="26"/>
      <c r="I1539" s="26"/>
      <c r="J1539" s="26"/>
      <c r="K1539" s="26"/>
      <c r="L1539" s="26"/>
      <c r="M1539" s="55"/>
      <c r="N1539" s="26"/>
    </row>
    <row r="1540" spans="1:14" ht="75" customHeight="1" thickTop="1" thickBot="1">
      <c r="A1540" s="26"/>
      <c r="B1540" s="34"/>
      <c r="C1540" s="57"/>
      <c r="D1540" s="56"/>
      <c r="E1540" s="56"/>
      <c r="F1540" s="26"/>
      <c r="G1540" s="26"/>
      <c r="H1540" s="26"/>
      <c r="I1540" s="26"/>
      <c r="J1540" s="26"/>
      <c r="K1540" s="26"/>
      <c r="L1540" s="26"/>
      <c r="M1540" s="55"/>
      <c r="N1540" s="26"/>
    </row>
    <row r="1541" spans="1:14" ht="75" customHeight="1" thickTop="1" thickBot="1">
      <c r="A1541" s="34"/>
      <c r="B1541" s="34"/>
      <c r="C1541" s="57"/>
      <c r="D1541" s="56"/>
      <c r="E1541" s="56"/>
      <c r="F1541" s="26"/>
      <c r="G1541" s="26"/>
      <c r="H1541" s="26"/>
      <c r="I1541" s="26"/>
      <c r="J1541" s="26"/>
      <c r="K1541" s="26"/>
      <c r="L1541" s="26"/>
      <c r="M1541" s="55"/>
      <c r="N1541" s="26"/>
    </row>
    <row r="1542" spans="1:14" ht="75" customHeight="1" thickTop="1" thickBot="1">
      <c r="A1542" s="34"/>
      <c r="B1542" s="34"/>
      <c r="C1542" s="57"/>
      <c r="D1542" s="56"/>
      <c r="E1542" s="56"/>
      <c r="F1542" s="26"/>
      <c r="G1542" s="26"/>
      <c r="H1542" s="26"/>
      <c r="I1542" s="26"/>
      <c r="J1542" s="26"/>
      <c r="K1542" s="26"/>
      <c r="L1542" s="26"/>
      <c r="M1542" s="55"/>
      <c r="N1542" s="26"/>
    </row>
    <row r="1543" spans="1:14" ht="75" customHeight="1" thickTop="1" thickBot="1">
      <c r="A1543" s="26"/>
      <c r="B1543" s="34"/>
      <c r="C1543" s="57"/>
      <c r="D1543" s="56"/>
      <c r="E1543" s="56"/>
      <c r="F1543" s="26"/>
      <c r="G1543" s="26"/>
      <c r="H1543" s="26"/>
      <c r="I1543" s="26"/>
      <c r="J1543" s="26"/>
      <c r="K1543" s="26"/>
      <c r="L1543" s="26"/>
      <c r="M1543" s="55"/>
      <c r="N1543" s="26"/>
    </row>
    <row r="1544" spans="1:14" ht="75" customHeight="1" thickTop="1" thickBot="1">
      <c r="A1544" s="34"/>
      <c r="B1544" s="34"/>
      <c r="C1544" s="57"/>
      <c r="D1544" s="56"/>
      <c r="E1544" s="56"/>
      <c r="F1544" s="26"/>
      <c r="G1544" s="26"/>
      <c r="H1544" s="26"/>
      <c r="I1544" s="26"/>
      <c r="J1544" s="26"/>
      <c r="K1544" s="26"/>
      <c r="L1544" s="26"/>
      <c r="M1544" s="55"/>
      <c r="N1544" s="26"/>
    </row>
    <row r="1545" spans="1:14" ht="75" customHeight="1" thickTop="1" thickBot="1">
      <c r="A1545" s="34"/>
      <c r="B1545" s="34"/>
      <c r="C1545" s="57"/>
      <c r="D1545" s="56"/>
      <c r="E1545" s="56"/>
      <c r="F1545" s="26"/>
      <c r="G1545" s="26"/>
      <c r="H1545" s="26"/>
      <c r="I1545" s="26"/>
      <c r="J1545" s="26"/>
      <c r="K1545" s="26"/>
      <c r="L1545" s="26"/>
      <c r="M1545" s="55"/>
      <c r="N1545" s="26"/>
    </row>
    <row r="1546" spans="1:14" ht="75" customHeight="1" thickTop="1" thickBot="1">
      <c r="A1546" s="26"/>
      <c r="B1546" s="34"/>
      <c r="C1546" s="57"/>
      <c r="D1546" s="56"/>
      <c r="E1546" s="56"/>
      <c r="F1546" s="26"/>
      <c r="G1546" s="26"/>
      <c r="H1546" s="26"/>
      <c r="I1546" s="26"/>
      <c r="J1546" s="26"/>
      <c r="K1546" s="26"/>
      <c r="L1546" s="26"/>
      <c r="M1546" s="55"/>
      <c r="N1546" s="26"/>
    </row>
    <row r="1547" spans="1:14" ht="75" customHeight="1" thickTop="1" thickBot="1">
      <c r="A1547" s="34"/>
      <c r="B1547" s="34"/>
      <c r="C1547" s="57"/>
      <c r="D1547" s="56"/>
      <c r="E1547" s="56"/>
      <c r="F1547" s="26"/>
      <c r="G1547" s="26"/>
      <c r="H1547" s="26"/>
      <c r="I1547" s="26"/>
      <c r="J1547" s="26"/>
      <c r="K1547" s="26"/>
      <c r="L1547" s="26"/>
      <c r="M1547" s="55"/>
      <c r="N1547" s="26"/>
    </row>
    <row r="1548" spans="1:14" ht="75" customHeight="1" thickTop="1" thickBot="1">
      <c r="A1548" s="34"/>
      <c r="B1548" s="34"/>
      <c r="C1548" s="57"/>
      <c r="D1548" s="56"/>
      <c r="E1548" s="56"/>
      <c r="F1548" s="26"/>
      <c r="G1548" s="26"/>
      <c r="H1548" s="26"/>
      <c r="I1548" s="26"/>
      <c r="J1548" s="26"/>
      <c r="K1548" s="26"/>
      <c r="L1548" s="26"/>
      <c r="M1548" s="55"/>
      <c r="N1548" s="26"/>
    </row>
    <row r="1549" spans="1:14" ht="75" customHeight="1" thickTop="1" thickBot="1">
      <c r="A1549" s="26"/>
      <c r="B1549" s="34"/>
      <c r="C1549" s="57"/>
      <c r="D1549" s="56"/>
      <c r="E1549" s="56"/>
      <c r="F1549" s="26"/>
      <c r="G1549" s="26"/>
      <c r="H1549" s="26"/>
      <c r="I1549" s="26"/>
      <c r="J1549" s="26"/>
      <c r="K1549" s="26"/>
      <c r="L1549" s="26"/>
      <c r="M1549" s="55"/>
      <c r="N1549" s="26"/>
    </row>
    <row r="1550" spans="1:14" ht="75" customHeight="1" thickTop="1" thickBot="1">
      <c r="A1550" s="34"/>
      <c r="B1550" s="34"/>
      <c r="C1550" s="57"/>
      <c r="D1550" s="56"/>
      <c r="E1550" s="56"/>
      <c r="F1550" s="26"/>
      <c r="G1550" s="26"/>
      <c r="H1550" s="26"/>
      <c r="I1550" s="26"/>
      <c r="J1550" s="26"/>
      <c r="K1550" s="26"/>
      <c r="L1550" s="26"/>
      <c r="M1550" s="55"/>
      <c r="N1550" s="26"/>
    </row>
    <row r="1551" spans="1:14" ht="75" customHeight="1" thickTop="1" thickBot="1">
      <c r="A1551" s="34"/>
      <c r="B1551" s="34"/>
      <c r="C1551" s="57"/>
      <c r="D1551" s="56"/>
      <c r="E1551" s="56"/>
      <c r="F1551" s="26"/>
      <c r="G1551" s="26"/>
      <c r="H1551" s="26"/>
      <c r="I1551" s="26"/>
      <c r="J1551" s="26"/>
      <c r="K1551" s="26"/>
      <c r="L1551" s="26"/>
      <c r="M1551" s="55"/>
      <c r="N1551" s="26"/>
    </row>
    <row r="1552" spans="1:14" ht="75" customHeight="1" thickTop="1" thickBot="1">
      <c r="A1552" s="26"/>
      <c r="B1552" s="34"/>
      <c r="C1552" s="57"/>
      <c r="D1552" s="56"/>
      <c r="E1552" s="56"/>
      <c r="F1552" s="26"/>
      <c r="G1552" s="26"/>
      <c r="H1552" s="26"/>
      <c r="I1552" s="26"/>
      <c r="J1552" s="26"/>
      <c r="K1552" s="26"/>
      <c r="L1552" s="26"/>
      <c r="M1552" s="55"/>
      <c r="N1552" s="26"/>
    </row>
    <row r="1553" spans="1:14" ht="75" customHeight="1" thickTop="1" thickBot="1">
      <c r="A1553" s="34"/>
      <c r="B1553" s="34"/>
      <c r="C1553" s="57"/>
      <c r="D1553" s="56"/>
      <c r="E1553" s="56"/>
      <c r="F1553" s="26"/>
      <c r="G1553" s="26"/>
      <c r="H1553" s="26"/>
      <c r="I1553" s="26"/>
      <c r="J1553" s="26"/>
      <c r="K1553" s="26"/>
      <c r="L1553" s="26"/>
      <c r="M1553" s="55"/>
      <c r="N1553" s="26"/>
    </row>
    <row r="1554" spans="1:14" ht="75" customHeight="1" thickTop="1" thickBot="1">
      <c r="A1554" s="34"/>
      <c r="B1554" s="34"/>
      <c r="C1554" s="57"/>
      <c r="D1554" s="56"/>
      <c r="E1554" s="56"/>
      <c r="F1554" s="26"/>
      <c r="G1554" s="26"/>
      <c r="H1554" s="26"/>
      <c r="I1554" s="26"/>
      <c r="J1554" s="26"/>
      <c r="K1554" s="26"/>
      <c r="L1554" s="26"/>
      <c r="M1554" s="55"/>
      <c r="N1554" s="26"/>
    </row>
    <row r="1555" spans="1:14" ht="75" customHeight="1" thickTop="1" thickBot="1">
      <c r="A1555" s="34"/>
      <c r="B1555" s="34"/>
      <c r="C1555" s="57"/>
      <c r="D1555" s="56"/>
      <c r="E1555" s="56"/>
      <c r="F1555" s="26"/>
      <c r="G1555" s="26"/>
      <c r="H1555" s="26"/>
      <c r="I1555" s="26"/>
      <c r="J1555" s="26"/>
      <c r="K1555" s="26"/>
      <c r="L1555" s="26"/>
      <c r="M1555" s="55"/>
      <c r="N1555" s="26"/>
    </row>
    <row r="1556" spans="1:14" ht="75" customHeight="1" thickTop="1" thickBot="1">
      <c r="A1556" s="34"/>
      <c r="B1556" s="34"/>
      <c r="C1556" s="57"/>
      <c r="D1556" s="56"/>
      <c r="E1556" s="56"/>
      <c r="F1556" s="26"/>
      <c r="G1556" s="26"/>
      <c r="H1556" s="26"/>
      <c r="I1556" s="26"/>
      <c r="J1556" s="26"/>
      <c r="K1556" s="26"/>
      <c r="L1556" s="26"/>
      <c r="M1556" s="55"/>
      <c r="N1556" s="26"/>
    </row>
    <row r="1557" spans="1:14" ht="75" customHeight="1" thickTop="1" thickBot="1">
      <c r="A1557" s="34"/>
      <c r="B1557" s="34"/>
      <c r="C1557" s="57"/>
      <c r="D1557" s="56"/>
      <c r="E1557" s="56"/>
      <c r="F1557" s="26"/>
      <c r="G1557" s="26"/>
      <c r="H1557" s="26"/>
      <c r="I1557" s="26"/>
      <c r="J1557" s="26"/>
      <c r="K1557" s="26"/>
      <c r="L1557" s="26"/>
      <c r="M1557" s="55"/>
      <c r="N1557" s="26"/>
    </row>
    <row r="1558" spans="1:14" ht="75" customHeight="1" thickTop="1" thickBot="1">
      <c r="A1558" s="34"/>
      <c r="B1558" s="34"/>
      <c r="C1558" s="57"/>
      <c r="D1558" s="56"/>
      <c r="E1558" s="56"/>
      <c r="F1558" s="26"/>
      <c r="G1558" s="26"/>
      <c r="H1558" s="26"/>
      <c r="I1558" s="26"/>
      <c r="J1558" s="26"/>
      <c r="K1558" s="26"/>
      <c r="L1558" s="26"/>
      <c r="M1558" s="55"/>
      <c r="N1558" s="26"/>
    </row>
    <row r="1559" spans="1:14" ht="75" customHeight="1" thickTop="1" thickBot="1">
      <c r="A1559" s="34"/>
      <c r="B1559" s="34"/>
      <c r="C1559" s="57"/>
      <c r="D1559" s="56"/>
      <c r="E1559" s="56"/>
      <c r="F1559" s="26"/>
      <c r="G1559" s="26"/>
      <c r="H1559" s="26"/>
      <c r="I1559" s="26"/>
      <c r="J1559" s="26"/>
      <c r="K1559" s="26"/>
      <c r="L1559" s="26"/>
      <c r="M1559" s="55"/>
      <c r="N1559" s="26"/>
    </row>
    <row r="1560" spans="1:14" ht="75" customHeight="1" thickTop="1" thickBot="1">
      <c r="A1560" s="34"/>
      <c r="B1560" s="34"/>
      <c r="C1560" s="57"/>
      <c r="D1560" s="56"/>
      <c r="E1560" s="56"/>
      <c r="F1560" s="26"/>
      <c r="G1560" s="26"/>
      <c r="H1560" s="26"/>
      <c r="I1560" s="26"/>
      <c r="J1560" s="26"/>
      <c r="K1560" s="26"/>
      <c r="L1560" s="26"/>
      <c r="M1560" s="55"/>
      <c r="N1560" s="26"/>
    </row>
    <row r="1561" spans="1:14" ht="75" customHeight="1" thickTop="1" thickBot="1">
      <c r="A1561" s="34"/>
      <c r="B1561" s="34"/>
      <c r="C1561" s="57"/>
      <c r="D1561" s="56"/>
      <c r="E1561" s="56"/>
      <c r="F1561" s="26"/>
      <c r="G1561" s="26"/>
      <c r="H1561" s="26"/>
      <c r="I1561" s="26"/>
      <c r="J1561" s="26"/>
      <c r="K1561" s="26"/>
      <c r="L1561" s="26"/>
      <c r="M1561" s="55"/>
      <c r="N1561" s="26"/>
    </row>
    <row r="1562" spans="1:14" ht="75" customHeight="1" thickTop="1" thickBot="1">
      <c r="A1562" s="34"/>
      <c r="B1562" s="34"/>
      <c r="C1562" s="57"/>
      <c r="D1562" s="56"/>
      <c r="E1562" s="56"/>
      <c r="F1562" s="26"/>
      <c r="G1562" s="26"/>
      <c r="H1562" s="26"/>
      <c r="I1562" s="26"/>
      <c r="J1562" s="26"/>
      <c r="K1562" s="26"/>
      <c r="L1562" s="26"/>
      <c r="M1562" s="55"/>
      <c r="N1562" s="26"/>
    </row>
    <row r="1563" spans="1:14" ht="75" customHeight="1" thickTop="1" thickBot="1">
      <c r="A1563" s="34"/>
      <c r="B1563" s="34"/>
      <c r="C1563" s="57"/>
      <c r="D1563" s="56"/>
      <c r="E1563" s="56"/>
      <c r="F1563" s="26"/>
      <c r="G1563" s="26"/>
      <c r="H1563" s="26"/>
      <c r="I1563" s="26"/>
      <c r="J1563" s="26"/>
      <c r="K1563" s="26"/>
      <c r="L1563" s="26"/>
      <c r="M1563" s="55"/>
      <c r="N1563" s="26"/>
    </row>
    <row r="1564" spans="1:14" ht="75" customHeight="1" thickTop="1" thickBot="1">
      <c r="A1564" s="34"/>
      <c r="B1564" s="34"/>
      <c r="C1564" s="57"/>
      <c r="D1564" s="56"/>
      <c r="E1564" s="56"/>
      <c r="F1564" s="26"/>
      <c r="G1564" s="26"/>
      <c r="H1564" s="26"/>
      <c r="I1564" s="26"/>
      <c r="J1564" s="26"/>
      <c r="K1564" s="26"/>
      <c r="L1564" s="26"/>
      <c r="M1564" s="55"/>
      <c r="N1564" s="26"/>
    </row>
    <row r="1565" spans="1:14" ht="75" customHeight="1" thickTop="1" thickBot="1">
      <c r="A1565" s="34"/>
      <c r="B1565" s="34"/>
      <c r="C1565" s="57"/>
      <c r="D1565" s="56"/>
      <c r="E1565" s="56"/>
      <c r="F1565" s="26"/>
      <c r="G1565" s="26"/>
      <c r="H1565" s="26"/>
      <c r="I1565" s="26"/>
      <c r="J1565" s="26"/>
      <c r="K1565" s="26"/>
      <c r="L1565" s="26"/>
      <c r="M1565" s="55"/>
      <c r="N1565" s="26"/>
    </row>
    <row r="1566" spans="1:14" ht="75" customHeight="1" thickTop="1" thickBot="1">
      <c r="A1566" s="34"/>
      <c r="B1566" s="34"/>
      <c r="C1566" s="57"/>
      <c r="D1566" s="56"/>
      <c r="E1566" s="56"/>
      <c r="F1566" s="26"/>
      <c r="G1566" s="26"/>
      <c r="H1566" s="26"/>
      <c r="I1566" s="26"/>
      <c r="J1566" s="26"/>
      <c r="K1566" s="26"/>
      <c r="L1566" s="26"/>
      <c r="M1566" s="55"/>
      <c r="N1566" s="26"/>
    </row>
    <row r="1567" spans="1:14" ht="75" customHeight="1" thickTop="1" thickBot="1">
      <c r="A1567" s="34"/>
      <c r="B1567" s="34"/>
      <c r="C1567" s="57"/>
      <c r="D1567" s="56"/>
      <c r="E1567" s="56"/>
      <c r="F1567" s="26"/>
      <c r="G1567" s="26"/>
      <c r="H1567" s="26"/>
      <c r="I1567" s="26"/>
      <c r="J1567" s="26"/>
      <c r="K1567" s="26"/>
      <c r="L1567" s="26"/>
      <c r="M1567" s="55"/>
      <c r="N1567" s="26"/>
    </row>
    <row r="1568" spans="1:14" ht="75" customHeight="1" thickTop="1" thickBot="1">
      <c r="A1568" s="34"/>
      <c r="B1568" s="34"/>
      <c r="C1568" s="57"/>
      <c r="D1568" s="56"/>
      <c r="E1568" s="56"/>
      <c r="F1568" s="26"/>
      <c r="G1568" s="26"/>
      <c r="H1568" s="26"/>
      <c r="I1568" s="26"/>
      <c r="J1568" s="26"/>
      <c r="K1568" s="26"/>
      <c r="L1568" s="26"/>
      <c r="M1568" s="55"/>
      <c r="N1568" s="26"/>
    </row>
    <row r="1569" spans="1:14" ht="75" customHeight="1" thickTop="1" thickBot="1">
      <c r="A1569" s="34"/>
      <c r="B1569" s="34"/>
      <c r="C1569" s="57"/>
      <c r="D1569" s="56"/>
      <c r="E1569" s="56"/>
      <c r="F1569" s="26"/>
      <c r="G1569" s="26"/>
      <c r="H1569" s="26"/>
      <c r="I1569" s="26"/>
      <c r="J1569" s="26"/>
      <c r="K1569" s="26"/>
      <c r="L1569" s="26"/>
      <c r="M1569" s="55"/>
      <c r="N1569" s="26"/>
    </row>
    <row r="1570" spans="1:14" ht="75" customHeight="1" thickTop="1" thickBot="1">
      <c r="A1570" s="34"/>
      <c r="B1570" s="34"/>
      <c r="C1570" s="57"/>
      <c r="D1570" s="56"/>
      <c r="E1570" s="56"/>
      <c r="F1570" s="26"/>
      <c r="G1570" s="26"/>
      <c r="H1570" s="26"/>
      <c r="I1570" s="26"/>
      <c r="J1570" s="26"/>
      <c r="K1570" s="26"/>
      <c r="L1570" s="26"/>
      <c r="M1570" s="55"/>
      <c r="N1570" s="26"/>
    </row>
    <row r="1571" spans="1:14" ht="75" customHeight="1" thickTop="1" thickBot="1">
      <c r="A1571" s="34"/>
      <c r="B1571" s="34"/>
      <c r="C1571" s="57"/>
      <c r="D1571" s="56"/>
      <c r="E1571" s="56"/>
      <c r="F1571" s="26"/>
      <c r="G1571" s="26"/>
      <c r="H1571" s="26"/>
      <c r="I1571" s="26"/>
      <c r="J1571" s="26"/>
      <c r="K1571" s="26"/>
      <c r="L1571" s="26"/>
      <c r="M1571" s="55"/>
      <c r="N1571" s="26"/>
    </row>
    <row r="1572" spans="1:14" ht="75" customHeight="1" thickTop="1" thickBot="1">
      <c r="A1572" s="34"/>
      <c r="B1572" s="34"/>
      <c r="C1572" s="57"/>
      <c r="D1572" s="56"/>
      <c r="E1572" s="56"/>
      <c r="F1572" s="26"/>
      <c r="G1572" s="26"/>
      <c r="H1572" s="26"/>
      <c r="I1572" s="26"/>
      <c r="J1572" s="26"/>
      <c r="K1572" s="26"/>
      <c r="L1572" s="26"/>
      <c r="M1572" s="55"/>
      <c r="N1572" s="26"/>
    </row>
    <row r="1573" spans="1:14" ht="75" customHeight="1" thickTop="1" thickBot="1">
      <c r="A1573" s="34"/>
      <c r="B1573" s="34"/>
      <c r="C1573" s="57"/>
      <c r="D1573" s="56"/>
      <c r="E1573" s="56"/>
      <c r="F1573" s="26"/>
      <c r="G1573" s="26"/>
      <c r="H1573" s="26"/>
      <c r="I1573" s="26"/>
      <c r="J1573" s="26"/>
      <c r="K1573" s="26"/>
      <c r="L1573" s="26"/>
      <c r="M1573" s="55"/>
      <c r="N1573" s="26"/>
    </row>
    <row r="1574" spans="1:14" ht="75" customHeight="1" thickTop="1" thickBot="1">
      <c r="A1574" s="34"/>
      <c r="B1574" s="34"/>
      <c r="C1574" s="57"/>
      <c r="D1574" s="56"/>
      <c r="E1574" s="56"/>
      <c r="F1574" s="26"/>
      <c r="G1574" s="26"/>
      <c r="H1574" s="26"/>
      <c r="I1574" s="26"/>
      <c r="J1574" s="26"/>
      <c r="K1574" s="26"/>
      <c r="L1574" s="26"/>
      <c r="M1574" s="55"/>
      <c r="N1574" s="26"/>
    </row>
    <row r="1575" spans="1:14" ht="75" customHeight="1" thickTop="1" thickBot="1">
      <c r="A1575" s="34"/>
      <c r="B1575" s="34"/>
      <c r="C1575" s="57"/>
      <c r="D1575" s="56"/>
      <c r="E1575" s="56"/>
      <c r="F1575" s="26"/>
      <c r="G1575" s="26"/>
      <c r="H1575" s="26"/>
      <c r="I1575" s="26"/>
      <c r="J1575" s="26"/>
      <c r="K1575" s="26"/>
      <c r="L1575" s="26"/>
      <c r="M1575" s="55"/>
      <c r="N1575" s="26"/>
    </row>
    <row r="1576" spans="1:14" ht="75" customHeight="1" thickTop="1" thickBot="1">
      <c r="A1576" s="34"/>
      <c r="B1576" s="34"/>
      <c r="C1576" s="57"/>
      <c r="D1576" s="56"/>
      <c r="E1576" s="56"/>
      <c r="F1576" s="26"/>
      <c r="G1576" s="26"/>
      <c r="H1576" s="26"/>
      <c r="I1576" s="26"/>
      <c r="J1576" s="26"/>
      <c r="K1576" s="26"/>
      <c r="L1576" s="26"/>
      <c r="M1576" s="55"/>
      <c r="N1576" s="26"/>
    </row>
    <row r="1577" spans="1:14" ht="75" customHeight="1" thickTop="1" thickBot="1">
      <c r="A1577" s="34"/>
      <c r="B1577" s="34"/>
      <c r="C1577" s="57"/>
      <c r="D1577" s="56"/>
      <c r="E1577" s="56"/>
      <c r="F1577" s="26"/>
      <c r="G1577" s="26"/>
      <c r="H1577" s="26"/>
      <c r="I1577" s="26"/>
      <c r="J1577" s="26"/>
      <c r="K1577" s="26"/>
      <c r="L1577" s="26"/>
      <c r="M1577" s="55"/>
      <c r="N1577" s="26"/>
    </row>
    <row r="1578" spans="1:14" ht="75" customHeight="1" thickTop="1" thickBot="1">
      <c r="A1578" s="34"/>
      <c r="B1578" s="34"/>
      <c r="C1578" s="57"/>
      <c r="D1578" s="56"/>
      <c r="E1578" s="56"/>
      <c r="F1578" s="26"/>
      <c r="G1578" s="26"/>
      <c r="H1578" s="26"/>
      <c r="I1578" s="26"/>
      <c r="J1578" s="26"/>
      <c r="K1578" s="26"/>
      <c r="L1578" s="26"/>
      <c r="M1578" s="55"/>
      <c r="N1578" s="26"/>
    </row>
    <row r="1579" spans="1:14" ht="75" customHeight="1" thickTop="1" thickBot="1">
      <c r="A1579" s="34"/>
      <c r="B1579" s="34"/>
      <c r="C1579" s="57"/>
      <c r="D1579" s="56"/>
      <c r="E1579" s="56"/>
      <c r="F1579" s="26"/>
      <c r="G1579" s="26"/>
      <c r="H1579" s="26"/>
      <c r="I1579" s="26"/>
      <c r="J1579" s="26"/>
      <c r="K1579" s="26"/>
      <c r="L1579" s="26"/>
      <c r="M1579" s="55"/>
      <c r="N1579" s="26"/>
    </row>
    <row r="1580" spans="1:14" ht="75" customHeight="1" thickTop="1" thickBot="1">
      <c r="A1580" s="34"/>
      <c r="B1580" s="34"/>
      <c r="C1580" s="57"/>
      <c r="D1580" s="56"/>
      <c r="E1580" s="56"/>
      <c r="F1580" s="26"/>
      <c r="G1580" s="26"/>
      <c r="H1580" s="26"/>
      <c r="I1580" s="26"/>
      <c r="J1580" s="26"/>
      <c r="K1580" s="26"/>
      <c r="L1580" s="26"/>
      <c r="M1580" s="55"/>
      <c r="N1580" s="26"/>
    </row>
    <row r="1581" spans="1:14" ht="75" customHeight="1" thickTop="1" thickBot="1">
      <c r="A1581" s="34"/>
      <c r="B1581" s="34"/>
      <c r="C1581" s="57"/>
      <c r="D1581" s="56"/>
      <c r="E1581" s="56"/>
      <c r="F1581" s="26"/>
      <c r="G1581" s="26"/>
      <c r="H1581" s="26"/>
      <c r="I1581" s="26"/>
      <c r="J1581" s="26"/>
      <c r="K1581" s="26"/>
      <c r="L1581" s="26"/>
      <c r="M1581" s="55"/>
      <c r="N1581" s="26"/>
    </row>
    <row r="1582" spans="1:14" ht="75" customHeight="1" thickTop="1" thickBot="1">
      <c r="A1582" s="34"/>
      <c r="B1582" s="34"/>
      <c r="C1582" s="57"/>
      <c r="D1582" s="56"/>
      <c r="E1582" s="56"/>
      <c r="F1582" s="26"/>
      <c r="G1582" s="26"/>
      <c r="H1582" s="26"/>
      <c r="I1582" s="26"/>
      <c r="J1582" s="26"/>
      <c r="K1582" s="26"/>
      <c r="L1582" s="26"/>
      <c r="M1582" s="55"/>
      <c r="N1582" s="26"/>
    </row>
    <row r="1583" spans="1:14" ht="75" customHeight="1" thickTop="1" thickBot="1">
      <c r="A1583" s="34"/>
      <c r="B1583" s="34"/>
      <c r="C1583" s="57"/>
      <c r="D1583" s="56"/>
      <c r="E1583" s="56"/>
      <c r="F1583" s="26"/>
      <c r="G1583" s="26"/>
      <c r="H1583" s="26"/>
      <c r="I1583" s="26"/>
      <c r="J1583" s="26"/>
      <c r="K1583" s="26"/>
      <c r="L1583" s="26"/>
      <c r="M1583" s="55"/>
      <c r="N1583" s="26"/>
    </row>
    <row r="1584" spans="1:14" ht="75" customHeight="1" thickTop="1" thickBot="1">
      <c r="A1584" s="34"/>
      <c r="B1584" s="34"/>
      <c r="C1584" s="57"/>
      <c r="D1584" s="56"/>
      <c r="E1584" s="56"/>
      <c r="F1584" s="26"/>
      <c r="G1584" s="26"/>
      <c r="H1584" s="26"/>
      <c r="I1584" s="26"/>
      <c r="J1584" s="26"/>
      <c r="K1584" s="26"/>
      <c r="L1584" s="26"/>
      <c r="M1584" s="55"/>
      <c r="N1584" s="26"/>
    </row>
    <row r="1585" spans="1:14" ht="75" customHeight="1" thickTop="1" thickBot="1">
      <c r="A1585" s="34"/>
      <c r="B1585" s="34"/>
      <c r="C1585" s="57"/>
      <c r="D1585" s="56"/>
      <c r="E1585" s="56"/>
      <c r="F1585" s="26"/>
      <c r="G1585" s="26"/>
      <c r="H1585" s="26"/>
      <c r="I1585" s="26"/>
      <c r="J1585" s="26"/>
      <c r="K1585" s="26"/>
      <c r="L1585" s="26"/>
      <c r="M1585" s="55"/>
      <c r="N1585" s="26"/>
    </row>
    <row r="1586" spans="1:14" ht="75" customHeight="1" thickTop="1" thickBot="1">
      <c r="A1586" s="34"/>
      <c r="B1586" s="34"/>
      <c r="C1586" s="57"/>
      <c r="D1586" s="56"/>
      <c r="E1586" s="56"/>
      <c r="F1586" s="26"/>
      <c r="G1586" s="26"/>
      <c r="H1586" s="26"/>
      <c r="I1586" s="26"/>
      <c r="J1586" s="26"/>
      <c r="K1586" s="26"/>
      <c r="L1586" s="26"/>
      <c r="M1586" s="55"/>
      <c r="N1586" s="26"/>
    </row>
    <row r="1587" spans="1:14" ht="75" customHeight="1" thickTop="1" thickBot="1">
      <c r="A1587" s="34"/>
      <c r="B1587" s="34"/>
      <c r="C1587" s="57"/>
      <c r="D1587" s="56"/>
      <c r="E1587" s="56"/>
      <c r="F1587" s="26"/>
      <c r="G1587" s="26"/>
      <c r="H1587" s="26"/>
      <c r="I1587" s="26"/>
      <c r="J1587" s="26"/>
      <c r="K1587" s="26"/>
      <c r="L1587" s="26"/>
      <c r="M1587" s="55"/>
      <c r="N1587" s="26"/>
    </row>
    <row r="1588" spans="1:14" ht="75" customHeight="1" thickTop="1" thickBot="1">
      <c r="A1588" s="34"/>
      <c r="B1588" s="34"/>
      <c r="C1588" s="57"/>
      <c r="D1588" s="56"/>
      <c r="E1588" s="56"/>
      <c r="F1588" s="26"/>
      <c r="G1588" s="26"/>
      <c r="H1588" s="26"/>
      <c r="I1588" s="26"/>
      <c r="J1588" s="26"/>
      <c r="K1588" s="26"/>
      <c r="L1588" s="26"/>
      <c r="M1588" s="55"/>
      <c r="N1588" s="26"/>
    </row>
    <row r="1589" spans="1:14" ht="75" customHeight="1" thickTop="1" thickBot="1">
      <c r="A1589" s="34"/>
      <c r="B1589" s="34"/>
      <c r="C1589" s="57"/>
      <c r="D1589" s="56"/>
      <c r="E1589" s="56"/>
      <c r="F1589" s="26"/>
      <c r="G1589" s="26"/>
      <c r="H1589" s="26"/>
      <c r="I1589" s="26"/>
      <c r="J1589" s="26"/>
      <c r="K1589" s="26"/>
      <c r="L1589" s="26"/>
      <c r="M1589" s="55"/>
      <c r="N1589" s="26"/>
    </row>
    <row r="1590" spans="1:14" ht="75" customHeight="1" thickTop="1" thickBot="1">
      <c r="A1590" s="34"/>
      <c r="B1590" s="34"/>
      <c r="C1590" s="57"/>
      <c r="D1590" s="56"/>
      <c r="E1590" s="56"/>
      <c r="F1590" s="26"/>
      <c r="G1590" s="26"/>
      <c r="H1590" s="26"/>
      <c r="I1590" s="26"/>
      <c r="J1590" s="26"/>
      <c r="K1590" s="26"/>
      <c r="L1590" s="26"/>
      <c r="M1590" s="55"/>
      <c r="N1590" s="26"/>
    </row>
    <row r="1591" spans="1:14" ht="75" customHeight="1" thickTop="1" thickBot="1">
      <c r="A1591" s="34"/>
      <c r="B1591" s="34"/>
      <c r="C1591" s="57"/>
      <c r="D1591" s="56"/>
      <c r="E1591" s="56"/>
      <c r="F1591" s="26"/>
      <c r="G1591" s="26"/>
      <c r="H1591" s="26"/>
      <c r="I1591" s="26"/>
      <c r="J1591" s="26"/>
      <c r="K1591" s="26"/>
      <c r="L1591" s="26"/>
      <c r="M1591" s="55"/>
      <c r="N1591" s="26"/>
    </row>
    <row r="1592" spans="1:14" ht="75" customHeight="1" thickTop="1" thickBot="1">
      <c r="A1592" s="34"/>
      <c r="B1592" s="34"/>
      <c r="C1592" s="57"/>
      <c r="D1592" s="56"/>
      <c r="E1592" s="56"/>
      <c r="F1592" s="26"/>
      <c r="G1592" s="26"/>
      <c r="H1592" s="26"/>
      <c r="I1592" s="26"/>
      <c r="J1592" s="26"/>
      <c r="K1592" s="26"/>
      <c r="L1592" s="26"/>
      <c r="M1592" s="55"/>
      <c r="N1592" s="26"/>
    </row>
    <row r="1593" spans="1:14" ht="75" customHeight="1" thickTop="1" thickBot="1">
      <c r="A1593" s="34"/>
      <c r="B1593" s="34"/>
      <c r="C1593" s="57"/>
      <c r="D1593" s="56"/>
      <c r="E1593" s="56"/>
      <c r="F1593" s="26"/>
      <c r="G1593" s="26"/>
      <c r="H1593" s="26"/>
      <c r="I1593" s="26"/>
      <c r="J1593" s="26"/>
      <c r="K1593" s="26"/>
      <c r="L1593" s="26"/>
      <c r="M1593" s="55"/>
      <c r="N1593" s="26"/>
    </row>
    <row r="1594" spans="1:14" ht="75" customHeight="1" thickTop="1" thickBot="1">
      <c r="A1594" s="34"/>
      <c r="B1594" s="34"/>
      <c r="C1594" s="57"/>
      <c r="D1594" s="56"/>
      <c r="E1594" s="56"/>
      <c r="F1594" s="26"/>
      <c r="G1594" s="26"/>
      <c r="H1594" s="26"/>
      <c r="I1594" s="26"/>
      <c r="J1594" s="26"/>
      <c r="K1594" s="26"/>
      <c r="L1594" s="26"/>
      <c r="M1594" s="55"/>
      <c r="N1594" s="26"/>
    </row>
    <row r="1595" spans="1:14" ht="75" customHeight="1" thickTop="1" thickBot="1">
      <c r="A1595" s="34"/>
      <c r="B1595" s="34"/>
      <c r="C1595" s="57"/>
      <c r="D1595" s="56"/>
      <c r="E1595" s="56"/>
      <c r="F1595" s="26"/>
      <c r="G1595" s="26"/>
      <c r="H1595" s="26"/>
      <c r="I1595" s="26"/>
      <c r="J1595" s="26"/>
      <c r="K1595" s="26"/>
      <c r="L1595" s="26"/>
      <c r="M1595" s="55"/>
      <c r="N1595" s="26"/>
    </row>
    <row r="1596" spans="1:14" ht="75" customHeight="1" thickTop="1" thickBot="1">
      <c r="A1596" s="34"/>
      <c r="B1596" s="34"/>
      <c r="C1596" s="57"/>
      <c r="D1596" s="56"/>
      <c r="E1596" s="56"/>
      <c r="F1596" s="26"/>
      <c r="G1596" s="26"/>
      <c r="H1596" s="26"/>
      <c r="I1596" s="26"/>
      <c r="J1596" s="26"/>
      <c r="K1596" s="26"/>
      <c r="L1596" s="26"/>
      <c r="M1596" s="55"/>
      <c r="N1596" s="26"/>
    </row>
    <row r="1597" spans="1:14" ht="75" customHeight="1" thickTop="1" thickBot="1">
      <c r="A1597" s="34"/>
      <c r="B1597" s="34"/>
      <c r="C1597" s="57"/>
      <c r="D1597" s="56"/>
      <c r="E1597" s="56"/>
      <c r="F1597" s="26"/>
      <c r="G1597" s="26"/>
      <c r="H1597" s="26"/>
      <c r="I1597" s="26"/>
      <c r="J1597" s="26"/>
      <c r="K1597" s="26"/>
      <c r="L1597" s="26"/>
      <c r="M1597" s="55"/>
      <c r="N1597" s="26"/>
    </row>
    <row r="1598" spans="1:14" ht="75" customHeight="1" thickTop="1" thickBot="1">
      <c r="A1598" s="34"/>
      <c r="B1598" s="34"/>
      <c r="C1598" s="57"/>
      <c r="D1598" s="56"/>
      <c r="E1598" s="56"/>
      <c r="F1598" s="26"/>
      <c r="G1598" s="26"/>
      <c r="H1598" s="26"/>
      <c r="I1598" s="26"/>
      <c r="J1598" s="26"/>
      <c r="K1598" s="26"/>
      <c r="L1598" s="26"/>
      <c r="M1598" s="55"/>
      <c r="N1598" s="26"/>
    </row>
    <row r="1599" spans="1:14" ht="75" customHeight="1" thickTop="1" thickBot="1">
      <c r="A1599" s="34"/>
      <c r="B1599" s="34"/>
      <c r="C1599" s="57"/>
      <c r="D1599" s="56"/>
      <c r="E1599" s="56"/>
      <c r="F1599" s="26"/>
      <c r="G1599" s="26"/>
      <c r="H1599" s="26"/>
      <c r="I1599" s="26"/>
      <c r="J1599" s="26"/>
      <c r="K1599" s="26"/>
      <c r="L1599" s="26"/>
      <c r="M1599" s="55"/>
      <c r="N1599" s="26"/>
    </row>
    <row r="1600" spans="1:14" ht="75" customHeight="1" thickTop="1" thickBot="1">
      <c r="A1600" s="34"/>
      <c r="B1600" s="34"/>
      <c r="C1600" s="57"/>
      <c r="D1600" s="56"/>
      <c r="E1600" s="56"/>
      <c r="F1600" s="26"/>
      <c r="G1600" s="26"/>
      <c r="H1600" s="26"/>
      <c r="I1600" s="26"/>
      <c r="J1600" s="26"/>
      <c r="K1600" s="26"/>
      <c r="L1600" s="26"/>
      <c r="M1600" s="55"/>
      <c r="N1600" s="26"/>
    </row>
    <row r="1601" spans="1:14" ht="75" customHeight="1" thickTop="1" thickBot="1">
      <c r="A1601" s="34"/>
      <c r="B1601" s="34"/>
      <c r="C1601" s="57"/>
      <c r="D1601" s="56"/>
      <c r="E1601" s="56"/>
      <c r="F1601" s="26"/>
      <c r="G1601" s="26"/>
      <c r="H1601" s="26"/>
      <c r="I1601" s="26"/>
      <c r="J1601" s="26"/>
      <c r="K1601" s="26"/>
      <c r="L1601" s="26"/>
      <c r="M1601" s="55"/>
      <c r="N1601" s="26"/>
    </row>
    <row r="1602" spans="1:14" ht="75" customHeight="1" thickTop="1" thickBot="1">
      <c r="A1602" s="34"/>
      <c r="B1602" s="34"/>
      <c r="C1602" s="57"/>
      <c r="D1602" s="56"/>
      <c r="E1602" s="56"/>
      <c r="F1602" s="26"/>
      <c r="G1602" s="26"/>
      <c r="H1602" s="26"/>
      <c r="I1602" s="26"/>
      <c r="J1602" s="26"/>
      <c r="K1602" s="26"/>
      <c r="L1602" s="26"/>
      <c r="M1602" s="55"/>
      <c r="N1602" s="26"/>
    </row>
    <row r="1603" spans="1:14" ht="75" customHeight="1" thickTop="1" thickBot="1">
      <c r="A1603" s="34"/>
      <c r="B1603" s="34"/>
      <c r="C1603" s="57"/>
      <c r="D1603" s="56"/>
      <c r="E1603" s="56"/>
      <c r="F1603" s="26"/>
      <c r="G1603" s="26"/>
      <c r="H1603" s="26"/>
      <c r="I1603" s="26"/>
      <c r="J1603" s="26"/>
      <c r="K1603" s="26"/>
      <c r="L1603" s="26"/>
      <c r="M1603" s="55"/>
      <c r="N1603" s="26"/>
    </row>
    <row r="1604" spans="1:14" ht="75" customHeight="1" thickTop="1" thickBot="1">
      <c r="A1604" s="34"/>
      <c r="B1604" s="34"/>
      <c r="C1604" s="57"/>
      <c r="D1604" s="56"/>
      <c r="E1604" s="56"/>
      <c r="F1604" s="26"/>
      <c r="G1604" s="26"/>
      <c r="H1604" s="26"/>
      <c r="I1604" s="26"/>
      <c r="J1604" s="26"/>
      <c r="K1604" s="26"/>
      <c r="L1604" s="26"/>
      <c r="M1604" s="55"/>
      <c r="N1604" s="26"/>
    </row>
    <row r="1605" spans="1:14" ht="75" customHeight="1" thickTop="1" thickBot="1">
      <c r="A1605" s="34"/>
      <c r="B1605" s="34"/>
      <c r="C1605" s="57"/>
      <c r="D1605" s="56"/>
      <c r="E1605" s="56"/>
      <c r="F1605" s="26"/>
      <c r="G1605" s="26"/>
      <c r="H1605" s="26"/>
      <c r="I1605" s="26"/>
      <c r="J1605" s="26"/>
      <c r="K1605" s="26"/>
      <c r="L1605" s="26"/>
      <c r="M1605" s="55"/>
      <c r="N1605" s="26"/>
    </row>
    <row r="1606" spans="1:14" ht="75" customHeight="1" thickTop="1" thickBot="1">
      <c r="A1606" s="34"/>
      <c r="B1606" s="34"/>
      <c r="C1606" s="57"/>
      <c r="D1606" s="56"/>
      <c r="E1606" s="56"/>
      <c r="F1606" s="26"/>
      <c r="G1606" s="26"/>
      <c r="H1606" s="26"/>
      <c r="I1606" s="26"/>
      <c r="J1606" s="26"/>
      <c r="K1606" s="26"/>
      <c r="L1606" s="26"/>
      <c r="M1606" s="55"/>
      <c r="N1606" s="26"/>
    </row>
    <row r="1607" spans="1:14" ht="75" customHeight="1" thickTop="1" thickBot="1">
      <c r="A1607" s="34"/>
      <c r="B1607" s="34"/>
      <c r="C1607" s="57"/>
      <c r="D1607" s="56"/>
      <c r="E1607" s="56"/>
      <c r="F1607" s="26"/>
      <c r="G1607" s="26"/>
      <c r="H1607" s="26"/>
      <c r="I1607" s="26"/>
      <c r="J1607" s="26"/>
      <c r="K1607" s="26"/>
      <c r="L1607" s="26"/>
      <c r="M1607" s="55"/>
      <c r="N1607" s="26"/>
    </row>
    <row r="1608" spans="1:14" ht="75" customHeight="1" thickTop="1" thickBot="1">
      <c r="A1608" s="34"/>
      <c r="B1608" s="34"/>
      <c r="C1608" s="57"/>
      <c r="D1608" s="56"/>
      <c r="E1608" s="56"/>
      <c r="F1608" s="26"/>
      <c r="G1608" s="26"/>
      <c r="H1608" s="26"/>
      <c r="I1608" s="26"/>
      <c r="J1608" s="26"/>
      <c r="K1608" s="26"/>
      <c r="L1608" s="26"/>
      <c r="M1608" s="55"/>
      <c r="N1608" s="26"/>
    </row>
    <row r="1609" spans="1:14" ht="75" customHeight="1" thickTop="1" thickBot="1">
      <c r="A1609" s="34"/>
      <c r="B1609" s="34"/>
      <c r="C1609" s="57"/>
      <c r="D1609" s="56"/>
      <c r="E1609" s="56"/>
      <c r="F1609" s="26"/>
      <c r="G1609" s="26"/>
      <c r="H1609" s="26"/>
      <c r="I1609" s="26"/>
      <c r="J1609" s="26"/>
      <c r="K1609" s="26"/>
      <c r="L1609" s="26"/>
      <c r="M1609" s="55"/>
      <c r="N1609" s="26"/>
    </row>
    <row r="1610" spans="1:14" ht="75" customHeight="1" thickTop="1" thickBot="1">
      <c r="A1610" s="34"/>
      <c r="B1610" s="34"/>
      <c r="C1610" s="57"/>
      <c r="D1610" s="56"/>
      <c r="E1610" s="56"/>
      <c r="F1610" s="26"/>
      <c r="G1610" s="26"/>
      <c r="H1610" s="26"/>
      <c r="I1610" s="26"/>
      <c r="J1610" s="26"/>
      <c r="K1610" s="26"/>
      <c r="L1610" s="26"/>
      <c r="M1610" s="55"/>
      <c r="N1610" s="26"/>
    </row>
    <row r="1611" spans="1:14" ht="75" customHeight="1" thickTop="1" thickBot="1">
      <c r="A1611" s="34"/>
      <c r="B1611" s="34"/>
      <c r="C1611" s="57"/>
      <c r="D1611" s="56"/>
      <c r="E1611" s="56"/>
      <c r="F1611" s="26"/>
      <c r="G1611" s="26"/>
      <c r="H1611" s="26"/>
      <c r="I1611" s="26"/>
      <c r="J1611" s="26"/>
      <c r="K1611" s="26"/>
      <c r="L1611" s="26"/>
      <c r="M1611" s="55"/>
      <c r="N1611" s="26"/>
    </row>
    <row r="1612" spans="1:14" ht="75" customHeight="1" thickTop="1" thickBot="1">
      <c r="A1612" s="34"/>
      <c r="B1612" s="34"/>
      <c r="C1612" s="57"/>
      <c r="D1612" s="56"/>
      <c r="E1612" s="56"/>
      <c r="F1612" s="26"/>
      <c r="G1612" s="26"/>
      <c r="H1612" s="26"/>
      <c r="I1612" s="26"/>
      <c r="J1612" s="26"/>
      <c r="K1612" s="26"/>
      <c r="L1612" s="26"/>
      <c r="M1612" s="55"/>
      <c r="N1612" s="26"/>
    </row>
    <row r="1613" spans="1:14" ht="75" customHeight="1" thickTop="1" thickBot="1">
      <c r="A1613" s="34"/>
      <c r="B1613" s="34"/>
      <c r="C1613" s="57"/>
      <c r="D1613" s="56"/>
      <c r="E1613" s="56"/>
      <c r="F1613" s="26"/>
      <c r="G1613" s="26"/>
      <c r="H1613" s="26"/>
      <c r="I1613" s="26"/>
      <c r="J1613" s="26"/>
      <c r="K1613" s="26"/>
      <c r="L1613" s="26"/>
      <c r="M1613" s="55"/>
      <c r="N1613" s="26"/>
    </row>
    <row r="1614" spans="1:14" ht="75" customHeight="1" thickTop="1" thickBot="1">
      <c r="A1614" s="34"/>
      <c r="B1614" s="34"/>
      <c r="C1614" s="57"/>
      <c r="D1614" s="56"/>
      <c r="E1614" s="56"/>
      <c r="F1614" s="26"/>
      <c r="G1614" s="26"/>
      <c r="H1614" s="26"/>
      <c r="I1614" s="26"/>
      <c r="J1614" s="26"/>
      <c r="K1614" s="26"/>
      <c r="L1614" s="26"/>
      <c r="M1614" s="55"/>
      <c r="N1614" s="26"/>
    </row>
    <row r="1615" spans="1:14" ht="75" customHeight="1" thickTop="1" thickBot="1">
      <c r="A1615" s="34"/>
      <c r="B1615" s="34"/>
      <c r="C1615" s="57"/>
      <c r="D1615" s="56"/>
      <c r="E1615" s="56"/>
      <c r="F1615" s="26"/>
      <c r="G1615" s="26"/>
      <c r="H1615" s="26"/>
      <c r="I1615" s="26"/>
      <c r="J1615" s="26"/>
      <c r="K1615" s="26"/>
      <c r="L1615" s="26"/>
      <c r="M1615" s="55"/>
      <c r="N1615" s="26"/>
    </row>
    <row r="1616" spans="1:14" ht="75" customHeight="1" thickTop="1" thickBot="1">
      <c r="A1616" s="34"/>
      <c r="B1616" s="34"/>
      <c r="C1616" s="57"/>
      <c r="D1616" s="56"/>
      <c r="E1616" s="56"/>
      <c r="F1616" s="26"/>
      <c r="G1616" s="26"/>
      <c r="H1616" s="26"/>
      <c r="I1616" s="26"/>
      <c r="J1616" s="26"/>
      <c r="K1616" s="26"/>
      <c r="L1616" s="26"/>
      <c r="M1616" s="55"/>
      <c r="N1616" s="26"/>
    </row>
    <row r="1617" spans="1:14" ht="75" customHeight="1" thickTop="1" thickBot="1">
      <c r="A1617" s="34"/>
      <c r="B1617" s="34"/>
      <c r="C1617" s="57"/>
      <c r="D1617" s="56"/>
      <c r="E1617" s="56"/>
      <c r="F1617" s="26"/>
      <c r="G1617" s="26"/>
      <c r="H1617" s="26"/>
      <c r="I1617" s="26"/>
      <c r="J1617" s="26"/>
      <c r="K1617" s="26"/>
      <c r="L1617" s="26"/>
      <c r="M1617" s="55"/>
      <c r="N1617" s="26"/>
    </row>
    <row r="1618" spans="1:14" ht="75" customHeight="1" thickTop="1" thickBot="1">
      <c r="A1618" s="34"/>
      <c r="B1618" s="34"/>
      <c r="C1618" s="57"/>
      <c r="D1618" s="56"/>
      <c r="E1618" s="56"/>
      <c r="F1618" s="26"/>
      <c r="G1618" s="26"/>
      <c r="H1618" s="26"/>
      <c r="I1618" s="26"/>
      <c r="J1618" s="26"/>
      <c r="K1618" s="26"/>
      <c r="L1618" s="26"/>
      <c r="M1618" s="55"/>
      <c r="N1618" s="26"/>
    </row>
    <row r="1619" spans="1:14" ht="75" customHeight="1" thickTop="1" thickBot="1">
      <c r="A1619" s="34"/>
      <c r="B1619" s="34"/>
      <c r="C1619" s="57"/>
      <c r="D1619" s="56"/>
      <c r="E1619" s="56"/>
      <c r="F1619" s="26"/>
      <c r="G1619" s="26"/>
      <c r="H1619" s="26"/>
      <c r="I1619" s="26"/>
      <c r="J1619" s="26"/>
      <c r="K1619" s="26"/>
      <c r="L1619" s="26"/>
      <c r="M1619" s="55"/>
      <c r="N1619" s="26"/>
    </row>
    <row r="1620" spans="1:14" ht="75" customHeight="1" thickTop="1" thickBot="1">
      <c r="A1620" s="34"/>
      <c r="B1620" s="34"/>
      <c r="C1620" s="57"/>
      <c r="D1620" s="56"/>
      <c r="E1620" s="56"/>
      <c r="F1620" s="26"/>
      <c r="G1620" s="26"/>
      <c r="H1620" s="26"/>
      <c r="I1620" s="26"/>
      <c r="J1620" s="26"/>
      <c r="K1620" s="26"/>
      <c r="L1620" s="26"/>
      <c r="M1620" s="55"/>
      <c r="N1620" s="26"/>
    </row>
    <row r="1621" spans="1:14" ht="75" customHeight="1" thickTop="1" thickBot="1">
      <c r="A1621" s="34"/>
      <c r="B1621" s="34"/>
      <c r="C1621" s="57"/>
      <c r="D1621" s="56"/>
      <c r="E1621" s="56"/>
      <c r="F1621" s="26"/>
      <c r="G1621" s="26"/>
      <c r="H1621" s="26"/>
      <c r="I1621" s="26"/>
      <c r="J1621" s="26"/>
      <c r="K1621" s="26"/>
      <c r="L1621" s="26"/>
      <c r="M1621" s="55"/>
      <c r="N1621" s="26"/>
    </row>
    <row r="1622" spans="1:14" ht="75" customHeight="1" thickTop="1" thickBot="1">
      <c r="A1622" s="34"/>
      <c r="B1622" s="34"/>
      <c r="C1622" s="57"/>
      <c r="D1622" s="56"/>
      <c r="E1622" s="56"/>
      <c r="F1622" s="26"/>
      <c r="G1622" s="26"/>
      <c r="H1622" s="26"/>
      <c r="I1622" s="26"/>
      <c r="J1622" s="26"/>
      <c r="K1622" s="26"/>
      <c r="L1622" s="26"/>
      <c r="M1622" s="55"/>
      <c r="N1622" s="26"/>
    </row>
    <row r="1623" spans="1:14" ht="75" customHeight="1" thickTop="1" thickBot="1">
      <c r="A1623" s="34"/>
      <c r="B1623" s="34"/>
      <c r="C1623" s="57"/>
      <c r="D1623" s="56"/>
      <c r="E1623" s="56"/>
      <c r="F1623" s="26"/>
      <c r="G1623" s="26"/>
      <c r="H1623" s="26"/>
      <c r="I1623" s="26"/>
      <c r="J1623" s="26"/>
      <c r="K1623" s="26"/>
      <c r="L1623" s="26"/>
      <c r="M1623" s="55"/>
      <c r="N1623" s="26"/>
    </row>
    <row r="1624" spans="1:14" ht="75" customHeight="1" thickTop="1" thickBot="1">
      <c r="A1624" s="34"/>
      <c r="B1624" s="34"/>
      <c r="C1624" s="57"/>
      <c r="D1624" s="56"/>
      <c r="E1624" s="56"/>
      <c r="F1624" s="26"/>
      <c r="G1624" s="26"/>
      <c r="H1624" s="26"/>
      <c r="I1624" s="26"/>
      <c r="J1624" s="26"/>
      <c r="K1624" s="26"/>
      <c r="L1624" s="26"/>
      <c r="M1624" s="55"/>
      <c r="N1624" s="26"/>
    </row>
    <row r="1625" spans="1:14" ht="75" customHeight="1" thickTop="1" thickBot="1">
      <c r="A1625" s="34"/>
      <c r="B1625" s="34"/>
      <c r="C1625" s="57"/>
      <c r="D1625" s="56"/>
      <c r="E1625" s="56"/>
      <c r="F1625" s="26"/>
      <c r="G1625" s="26"/>
      <c r="H1625" s="26"/>
      <c r="I1625" s="26"/>
      <c r="J1625" s="26"/>
      <c r="K1625" s="26"/>
      <c r="L1625" s="26"/>
      <c r="M1625" s="55"/>
      <c r="N1625" s="26"/>
    </row>
    <row r="1626" spans="1:14" ht="75" customHeight="1" thickTop="1" thickBot="1">
      <c r="A1626" s="34"/>
      <c r="B1626" s="34"/>
      <c r="C1626" s="57"/>
      <c r="D1626" s="56"/>
      <c r="E1626" s="56"/>
      <c r="F1626" s="26"/>
      <c r="G1626" s="26"/>
      <c r="H1626" s="26"/>
      <c r="I1626" s="26"/>
      <c r="J1626" s="26"/>
      <c r="K1626" s="26"/>
      <c r="L1626" s="26"/>
      <c r="M1626" s="55"/>
      <c r="N1626" s="26"/>
    </row>
    <row r="1627" spans="1:14" ht="75" customHeight="1" thickTop="1" thickBot="1">
      <c r="A1627" s="34"/>
      <c r="B1627" s="34"/>
      <c r="C1627" s="57"/>
      <c r="D1627" s="56"/>
      <c r="E1627" s="56"/>
      <c r="F1627" s="26"/>
      <c r="G1627" s="26"/>
      <c r="H1627" s="26"/>
      <c r="I1627" s="26"/>
      <c r="J1627" s="26"/>
      <c r="K1627" s="26"/>
      <c r="L1627" s="26"/>
      <c r="M1627" s="55"/>
      <c r="N1627" s="26"/>
    </row>
    <row r="1628" spans="1:14" ht="75" customHeight="1" thickTop="1" thickBot="1">
      <c r="A1628" s="34"/>
      <c r="B1628" s="34"/>
      <c r="C1628" s="57"/>
      <c r="D1628" s="56"/>
      <c r="E1628" s="56"/>
      <c r="F1628" s="26"/>
      <c r="G1628" s="26"/>
      <c r="H1628" s="26"/>
      <c r="I1628" s="26"/>
      <c r="J1628" s="26"/>
      <c r="K1628" s="26"/>
      <c r="L1628" s="26"/>
      <c r="M1628" s="55"/>
      <c r="N1628" s="26"/>
    </row>
    <row r="1629" spans="1:14" ht="75" customHeight="1" thickTop="1" thickBot="1">
      <c r="A1629" s="34"/>
      <c r="B1629" s="34"/>
      <c r="C1629" s="57"/>
      <c r="D1629" s="56"/>
      <c r="E1629" s="56"/>
      <c r="F1629" s="26"/>
      <c r="G1629" s="26"/>
      <c r="H1629" s="26"/>
      <c r="I1629" s="26"/>
      <c r="J1629" s="26"/>
      <c r="K1629" s="26"/>
      <c r="L1629" s="26"/>
      <c r="M1629" s="55"/>
      <c r="N1629" s="26"/>
    </row>
    <row r="1630" spans="1:14" ht="75" customHeight="1" thickTop="1" thickBot="1">
      <c r="A1630" s="34"/>
      <c r="B1630" s="34"/>
      <c r="C1630" s="57"/>
      <c r="D1630" s="56"/>
      <c r="E1630" s="56"/>
      <c r="F1630" s="26"/>
      <c r="G1630" s="26"/>
      <c r="H1630" s="26"/>
      <c r="I1630" s="26"/>
      <c r="J1630" s="26"/>
      <c r="K1630" s="26"/>
      <c r="L1630" s="26"/>
      <c r="M1630" s="55"/>
      <c r="N1630" s="26"/>
    </row>
    <row r="1631" spans="1:14" ht="75" customHeight="1" thickTop="1" thickBot="1">
      <c r="A1631" s="34"/>
      <c r="B1631" s="34"/>
      <c r="C1631" s="57"/>
      <c r="D1631" s="56"/>
      <c r="E1631" s="56"/>
      <c r="F1631" s="26"/>
      <c r="G1631" s="26"/>
      <c r="H1631" s="26"/>
      <c r="I1631" s="26"/>
      <c r="J1631" s="26"/>
      <c r="K1631" s="26"/>
      <c r="L1631" s="26"/>
      <c r="M1631" s="55"/>
      <c r="N1631" s="26"/>
    </row>
    <row r="1632" spans="1:14" ht="75" customHeight="1" thickTop="1" thickBot="1">
      <c r="A1632" s="34"/>
      <c r="B1632" s="34"/>
      <c r="C1632" s="57"/>
      <c r="D1632" s="56"/>
      <c r="E1632" s="56"/>
      <c r="F1632" s="26"/>
      <c r="G1632" s="26"/>
      <c r="H1632" s="26"/>
      <c r="I1632" s="26"/>
      <c r="J1632" s="26"/>
      <c r="K1632" s="26"/>
      <c r="L1632" s="26"/>
      <c r="M1632" s="55"/>
      <c r="N1632" s="26"/>
    </row>
    <row r="1633" spans="1:14" ht="75" customHeight="1" thickTop="1" thickBot="1">
      <c r="A1633" s="34"/>
      <c r="B1633" s="34"/>
      <c r="C1633" s="57"/>
      <c r="D1633" s="56"/>
      <c r="E1633" s="56"/>
      <c r="F1633" s="26"/>
      <c r="G1633" s="26"/>
      <c r="H1633" s="26"/>
      <c r="I1633" s="26"/>
      <c r="J1633" s="26"/>
      <c r="K1633" s="26"/>
      <c r="L1633" s="26"/>
      <c r="M1633" s="55"/>
      <c r="N1633" s="26"/>
    </row>
    <row r="1634" spans="1:14" ht="75" customHeight="1" thickTop="1" thickBot="1">
      <c r="A1634" s="34"/>
      <c r="B1634" s="34"/>
      <c r="C1634" s="57"/>
      <c r="D1634" s="56"/>
      <c r="E1634" s="56"/>
      <c r="F1634" s="26"/>
      <c r="G1634" s="26"/>
      <c r="H1634" s="26"/>
      <c r="I1634" s="26"/>
      <c r="J1634" s="26"/>
      <c r="K1634" s="26"/>
      <c r="L1634" s="26"/>
      <c r="M1634" s="55"/>
      <c r="N1634" s="26"/>
    </row>
    <row r="1635" spans="1:14" ht="75" customHeight="1" thickTop="1" thickBot="1">
      <c r="A1635" s="34"/>
      <c r="B1635" s="34"/>
      <c r="C1635" s="57"/>
      <c r="D1635" s="56"/>
      <c r="E1635" s="56"/>
      <c r="F1635" s="26"/>
      <c r="G1635" s="26"/>
      <c r="H1635" s="26"/>
      <c r="I1635" s="26"/>
      <c r="J1635" s="26"/>
      <c r="K1635" s="26"/>
      <c r="L1635" s="26"/>
      <c r="M1635" s="55"/>
      <c r="N1635" s="26"/>
    </row>
    <row r="1636" spans="1:14" ht="75" customHeight="1" thickTop="1" thickBot="1">
      <c r="A1636" s="34"/>
      <c r="B1636" s="34"/>
      <c r="C1636" s="57"/>
      <c r="D1636" s="56"/>
      <c r="E1636" s="56"/>
      <c r="F1636" s="26"/>
      <c r="G1636" s="26"/>
      <c r="H1636" s="26"/>
      <c r="I1636" s="26"/>
      <c r="J1636" s="26"/>
      <c r="K1636" s="26"/>
      <c r="L1636" s="26"/>
      <c r="M1636" s="55"/>
      <c r="N1636" s="26"/>
    </row>
    <row r="1637" spans="1:14" ht="75" customHeight="1" thickTop="1" thickBot="1">
      <c r="A1637" s="34"/>
      <c r="B1637" s="34"/>
      <c r="C1637" s="57"/>
      <c r="D1637" s="56"/>
      <c r="E1637" s="56"/>
      <c r="F1637" s="26"/>
      <c r="G1637" s="26"/>
      <c r="H1637" s="26"/>
      <c r="I1637" s="26"/>
      <c r="J1637" s="26"/>
      <c r="K1637" s="26"/>
      <c r="L1637" s="26"/>
      <c r="M1637" s="55"/>
      <c r="N1637" s="26"/>
    </row>
    <row r="1638" spans="1:14" ht="75" customHeight="1" thickTop="1" thickBot="1">
      <c r="A1638" s="34"/>
      <c r="B1638" s="34"/>
      <c r="C1638" s="57"/>
      <c r="D1638" s="56"/>
      <c r="E1638" s="56"/>
      <c r="F1638" s="26"/>
      <c r="G1638" s="26"/>
      <c r="H1638" s="26"/>
      <c r="I1638" s="26"/>
      <c r="J1638" s="26"/>
      <c r="K1638" s="26"/>
      <c r="L1638" s="26"/>
      <c r="M1638" s="55"/>
      <c r="N1638" s="26"/>
    </row>
    <row r="1639" spans="1:14" ht="75" customHeight="1" thickTop="1" thickBot="1">
      <c r="A1639" s="34"/>
      <c r="B1639" s="34"/>
      <c r="C1639" s="57"/>
      <c r="D1639" s="56"/>
      <c r="E1639" s="56"/>
      <c r="F1639" s="26"/>
      <c r="G1639" s="26"/>
      <c r="H1639" s="26"/>
      <c r="I1639" s="26"/>
      <c r="J1639" s="26"/>
      <c r="K1639" s="26"/>
      <c r="L1639" s="26"/>
      <c r="M1639" s="55"/>
      <c r="N1639" s="26"/>
    </row>
    <row r="1640" spans="1:14" ht="75" customHeight="1" thickTop="1" thickBot="1">
      <c r="A1640" s="34"/>
      <c r="B1640" s="34"/>
      <c r="C1640" s="57"/>
      <c r="D1640" s="56"/>
      <c r="E1640" s="56"/>
      <c r="F1640" s="26"/>
      <c r="G1640" s="26"/>
      <c r="H1640" s="26"/>
      <c r="I1640" s="26"/>
      <c r="J1640" s="26"/>
      <c r="K1640" s="26"/>
      <c r="L1640" s="26"/>
      <c r="M1640" s="55"/>
      <c r="N1640" s="26"/>
    </row>
    <row r="1641" spans="1:14" ht="75" customHeight="1" thickTop="1" thickBot="1">
      <c r="A1641" s="34"/>
      <c r="B1641" s="34"/>
      <c r="C1641" s="57"/>
      <c r="D1641" s="56"/>
      <c r="E1641" s="56"/>
      <c r="F1641" s="26"/>
      <c r="G1641" s="26"/>
      <c r="H1641" s="26"/>
      <c r="I1641" s="26"/>
      <c r="J1641" s="26"/>
      <c r="K1641" s="26"/>
      <c r="L1641" s="26"/>
      <c r="M1641" s="55"/>
      <c r="N1641" s="26"/>
    </row>
    <row r="1642" spans="1:14" ht="75" customHeight="1" thickTop="1" thickBot="1">
      <c r="A1642" s="34"/>
      <c r="B1642" s="34"/>
      <c r="C1642" s="57"/>
      <c r="D1642" s="56"/>
      <c r="E1642" s="56"/>
      <c r="F1642" s="26"/>
      <c r="G1642" s="26"/>
      <c r="H1642" s="26"/>
      <c r="I1642" s="26"/>
      <c r="J1642" s="26"/>
      <c r="K1642" s="26"/>
      <c r="L1642" s="26"/>
      <c r="M1642" s="55"/>
      <c r="N1642" s="26"/>
    </row>
    <row r="1643" spans="1:14" ht="75" customHeight="1" thickTop="1" thickBot="1">
      <c r="A1643" s="34"/>
      <c r="B1643" s="34"/>
      <c r="C1643" s="57"/>
      <c r="D1643" s="56"/>
      <c r="E1643" s="56"/>
      <c r="F1643" s="26"/>
      <c r="G1643" s="26"/>
      <c r="H1643" s="26"/>
      <c r="I1643" s="26"/>
      <c r="J1643" s="26"/>
      <c r="K1643" s="26"/>
      <c r="L1643" s="26"/>
      <c r="M1643" s="55"/>
      <c r="N1643" s="26"/>
    </row>
    <row r="1644" spans="1:14" ht="75" customHeight="1" thickTop="1" thickBot="1">
      <c r="A1644" s="34"/>
      <c r="B1644" s="34"/>
      <c r="C1644" s="57"/>
      <c r="D1644" s="56"/>
      <c r="E1644" s="56"/>
      <c r="F1644" s="26"/>
      <c r="G1644" s="26"/>
      <c r="H1644" s="26"/>
      <c r="I1644" s="26"/>
      <c r="J1644" s="26"/>
      <c r="K1644" s="26"/>
      <c r="L1644" s="26"/>
      <c r="M1644" s="55"/>
      <c r="N1644" s="26"/>
    </row>
    <row r="1645" spans="1:14" ht="75" customHeight="1" thickTop="1" thickBot="1">
      <c r="A1645" s="34"/>
      <c r="B1645" s="34"/>
      <c r="C1645" s="57"/>
      <c r="D1645" s="56"/>
      <c r="E1645" s="56"/>
      <c r="F1645" s="26"/>
      <c r="G1645" s="26"/>
      <c r="H1645" s="26"/>
      <c r="I1645" s="26"/>
      <c r="J1645" s="26"/>
      <c r="K1645" s="26"/>
      <c r="L1645" s="26"/>
      <c r="M1645" s="55"/>
      <c r="N1645" s="26"/>
    </row>
    <row r="1646" spans="1:14" ht="75" customHeight="1" thickTop="1" thickBot="1">
      <c r="A1646" s="34"/>
      <c r="B1646" s="34"/>
      <c r="C1646" s="57"/>
      <c r="D1646" s="56"/>
      <c r="E1646" s="56"/>
      <c r="F1646" s="26"/>
      <c r="G1646" s="26"/>
      <c r="H1646" s="26"/>
      <c r="I1646" s="26"/>
      <c r="J1646" s="26"/>
      <c r="K1646" s="26"/>
      <c r="L1646" s="26"/>
      <c r="M1646" s="55"/>
      <c r="N1646" s="26"/>
    </row>
    <row r="1647" spans="1:14" ht="75" customHeight="1" thickTop="1" thickBot="1">
      <c r="A1647" s="34"/>
      <c r="B1647" s="34"/>
      <c r="C1647" s="57"/>
      <c r="D1647" s="56"/>
      <c r="E1647" s="56"/>
      <c r="F1647" s="26"/>
      <c r="G1647" s="26"/>
      <c r="H1647" s="26"/>
      <c r="I1647" s="26"/>
      <c r="J1647" s="26"/>
      <c r="K1647" s="26"/>
      <c r="L1647" s="26"/>
      <c r="M1647" s="55"/>
      <c r="N1647" s="26"/>
    </row>
    <row r="1648" spans="1:14" ht="75" customHeight="1" thickTop="1" thickBot="1">
      <c r="A1648" s="34"/>
      <c r="B1648" s="34"/>
      <c r="C1648" s="57"/>
      <c r="D1648" s="56"/>
      <c r="E1648" s="56"/>
      <c r="F1648" s="26"/>
      <c r="G1648" s="26"/>
      <c r="H1648" s="26"/>
      <c r="I1648" s="26"/>
      <c r="J1648" s="26"/>
      <c r="K1648" s="26"/>
      <c r="L1648" s="26"/>
      <c r="M1648" s="55"/>
      <c r="N1648" s="26"/>
    </row>
    <row r="1649" spans="1:14" ht="75" customHeight="1" thickTop="1" thickBot="1">
      <c r="A1649" s="34"/>
      <c r="B1649" s="34"/>
      <c r="C1649" s="57"/>
      <c r="D1649" s="56"/>
      <c r="E1649" s="56"/>
      <c r="F1649" s="26"/>
      <c r="G1649" s="26"/>
      <c r="H1649" s="26"/>
      <c r="I1649" s="26"/>
      <c r="J1649" s="26"/>
      <c r="K1649" s="26"/>
      <c r="L1649" s="26"/>
      <c r="M1649" s="55"/>
      <c r="N1649" s="26"/>
    </row>
    <row r="1650" spans="1:14" ht="75" customHeight="1" thickTop="1" thickBot="1">
      <c r="A1650" s="34"/>
      <c r="B1650" s="34"/>
      <c r="C1650" s="57"/>
      <c r="D1650" s="56"/>
      <c r="E1650" s="56"/>
      <c r="F1650" s="26"/>
      <c r="G1650" s="26"/>
      <c r="H1650" s="26"/>
      <c r="I1650" s="26"/>
      <c r="J1650" s="26"/>
      <c r="K1650" s="26"/>
      <c r="L1650" s="26"/>
      <c r="M1650" s="55"/>
      <c r="N1650" s="26"/>
    </row>
    <row r="1651" spans="1:14" ht="75" customHeight="1" thickTop="1" thickBot="1">
      <c r="A1651" s="34"/>
      <c r="B1651" s="34"/>
      <c r="C1651" s="57"/>
      <c r="D1651" s="56"/>
      <c r="E1651" s="56"/>
      <c r="F1651" s="26"/>
      <c r="G1651" s="26"/>
      <c r="H1651" s="26"/>
      <c r="I1651" s="26"/>
      <c r="J1651" s="26"/>
      <c r="K1651" s="26"/>
      <c r="L1651" s="26"/>
      <c r="M1651" s="55"/>
      <c r="N1651" s="26"/>
    </row>
    <row r="1652" spans="1:14" ht="75" customHeight="1" thickTop="1" thickBot="1">
      <c r="A1652" s="34"/>
      <c r="B1652" s="34"/>
      <c r="C1652" s="57"/>
      <c r="D1652" s="56"/>
      <c r="E1652" s="56"/>
      <c r="F1652" s="26"/>
      <c r="G1652" s="26"/>
      <c r="H1652" s="26"/>
      <c r="I1652" s="26"/>
      <c r="J1652" s="26"/>
      <c r="K1652" s="26"/>
      <c r="L1652" s="26"/>
      <c r="M1652" s="55"/>
      <c r="N1652" s="26"/>
    </row>
    <row r="1653" spans="1:14" ht="75" customHeight="1" thickTop="1" thickBot="1">
      <c r="A1653" s="34"/>
      <c r="B1653" s="34"/>
      <c r="C1653" s="57"/>
      <c r="D1653" s="56"/>
      <c r="E1653" s="56"/>
      <c r="F1653" s="26"/>
      <c r="G1653" s="26"/>
      <c r="H1653" s="26"/>
      <c r="I1653" s="26"/>
      <c r="J1653" s="26"/>
      <c r="K1653" s="26"/>
      <c r="L1653" s="26"/>
      <c r="M1653" s="55"/>
      <c r="N1653" s="26"/>
    </row>
    <row r="1654" spans="1:14" ht="75" customHeight="1" thickTop="1" thickBot="1">
      <c r="A1654" s="34"/>
      <c r="B1654" s="34"/>
      <c r="C1654" s="57"/>
      <c r="D1654" s="56"/>
      <c r="E1654" s="56"/>
      <c r="F1654" s="26"/>
      <c r="G1654" s="26"/>
      <c r="H1654" s="26"/>
      <c r="I1654" s="26"/>
      <c r="J1654" s="26"/>
      <c r="K1654" s="26"/>
      <c r="L1654" s="26"/>
      <c r="M1654" s="55"/>
      <c r="N1654" s="26"/>
    </row>
    <row r="1655" spans="1:14" ht="75" customHeight="1" thickTop="1" thickBot="1">
      <c r="A1655" s="34"/>
      <c r="B1655" s="34"/>
      <c r="C1655" s="57"/>
      <c r="D1655" s="56"/>
      <c r="E1655" s="56"/>
      <c r="F1655" s="26"/>
      <c r="G1655" s="26"/>
      <c r="H1655" s="26"/>
      <c r="I1655" s="26"/>
      <c r="J1655" s="26"/>
      <c r="K1655" s="26"/>
      <c r="L1655" s="26"/>
      <c r="M1655" s="55"/>
      <c r="N1655" s="26"/>
    </row>
    <row r="1656" spans="1:14" ht="75" customHeight="1" thickTop="1" thickBot="1">
      <c r="A1656" s="34"/>
      <c r="B1656" s="34"/>
      <c r="C1656" s="57"/>
      <c r="D1656" s="56"/>
      <c r="E1656" s="56"/>
      <c r="F1656" s="26"/>
      <c r="G1656" s="26"/>
      <c r="H1656" s="26"/>
      <c r="I1656" s="26"/>
      <c r="J1656" s="26"/>
      <c r="K1656" s="26"/>
      <c r="L1656" s="26"/>
      <c r="M1656" s="55"/>
      <c r="N1656" s="26"/>
    </row>
    <row r="1657" spans="1:14" ht="75" customHeight="1" thickTop="1" thickBot="1">
      <c r="A1657" s="34"/>
      <c r="B1657" s="34"/>
      <c r="C1657" s="57"/>
      <c r="D1657" s="56"/>
      <c r="E1657" s="56"/>
      <c r="F1657" s="26"/>
      <c r="G1657" s="26"/>
      <c r="H1657" s="26"/>
      <c r="I1657" s="26"/>
      <c r="J1657" s="26"/>
      <c r="K1657" s="26"/>
      <c r="L1657" s="26"/>
      <c r="M1657" s="55"/>
      <c r="N1657" s="26"/>
    </row>
    <row r="1658" spans="1:14" ht="75" customHeight="1" thickTop="1" thickBot="1">
      <c r="A1658" s="34"/>
      <c r="B1658" s="34"/>
      <c r="C1658" s="57"/>
      <c r="D1658" s="56"/>
      <c r="E1658" s="56"/>
      <c r="F1658" s="26"/>
      <c r="G1658" s="26"/>
      <c r="H1658" s="26"/>
      <c r="I1658" s="26"/>
      <c r="J1658" s="26"/>
      <c r="K1658" s="26"/>
      <c r="L1658" s="26"/>
      <c r="M1658" s="55"/>
      <c r="N1658" s="26"/>
    </row>
    <row r="1659" spans="1:14" ht="75" customHeight="1" thickTop="1" thickBot="1">
      <c r="A1659" s="34"/>
      <c r="B1659" s="34"/>
      <c r="C1659" s="57"/>
      <c r="D1659" s="56"/>
      <c r="E1659" s="56"/>
      <c r="F1659" s="26"/>
      <c r="G1659" s="26"/>
      <c r="H1659" s="26"/>
      <c r="I1659" s="26"/>
      <c r="J1659" s="26"/>
      <c r="K1659" s="26"/>
      <c r="L1659" s="26"/>
      <c r="M1659" s="55"/>
      <c r="N1659" s="26"/>
    </row>
    <row r="1660" spans="1:14" ht="75" customHeight="1" thickTop="1" thickBot="1">
      <c r="A1660" s="34"/>
      <c r="B1660" s="34"/>
      <c r="C1660" s="57"/>
      <c r="D1660" s="56"/>
      <c r="E1660" s="56"/>
      <c r="F1660" s="26"/>
      <c r="G1660" s="26"/>
      <c r="H1660" s="26"/>
      <c r="I1660" s="26"/>
      <c r="J1660" s="26"/>
      <c r="K1660" s="26"/>
      <c r="L1660" s="26"/>
      <c r="M1660" s="55"/>
      <c r="N1660" s="26"/>
    </row>
    <row r="1661" spans="1:14" ht="75" customHeight="1" thickTop="1" thickBot="1">
      <c r="A1661" s="34"/>
      <c r="B1661" s="34"/>
      <c r="C1661" s="57"/>
      <c r="D1661" s="56"/>
      <c r="E1661" s="56"/>
      <c r="F1661" s="26"/>
      <c r="G1661" s="26"/>
      <c r="H1661" s="26"/>
      <c r="I1661" s="26"/>
      <c r="J1661" s="26"/>
      <c r="K1661" s="26"/>
      <c r="L1661" s="26"/>
      <c r="M1661" s="55"/>
      <c r="N1661" s="26"/>
    </row>
    <row r="1662" spans="1:14" ht="75" customHeight="1" thickTop="1" thickBot="1">
      <c r="A1662" s="34"/>
      <c r="B1662" s="34"/>
      <c r="C1662" s="57"/>
      <c r="D1662" s="56"/>
      <c r="E1662" s="56"/>
      <c r="F1662" s="26"/>
      <c r="G1662" s="26"/>
      <c r="H1662" s="26"/>
      <c r="I1662" s="26"/>
      <c r="J1662" s="26"/>
      <c r="K1662" s="26"/>
      <c r="L1662" s="26"/>
      <c r="M1662" s="55"/>
      <c r="N1662" s="26"/>
    </row>
    <row r="1663" spans="1:14" ht="75" customHeight="1" thickTop="1" thickBot="1">
      <c r="A1663" s="34"/>
      <c r="B1663" s="34"/>
      <c r="C1663" s="57"/>
      <c r="D1663" s="56"/>
      <c r="E1663" s="56"/>
      <c r="F1663" s="26"/>
      <c r="G1663" s="26"/>
      <c r="H1663" s="26"/>
      <c r="I1663" s="26"/>
      <c r="J1663" s="26"/>
      <c r="K1663" s="26"/>
      <c r="L1663" s="26"/>
      <c r="M1663" s="55"/>
      <c r="N1663" s="26"/>
    </row>
    <row r="1664" spans="1:14" ht="75" customHeight="1" thickTop="1" thickBot="1">
      <c r="A1664" s="34"/>
      <c r="B1664" s="34"/>
      <c r="C1664" s="57"/>
      <c r="D1664" s="56"/>
      <c r="E1664" s="56"/>
      <c r="F1664" s="26"/>
      <c r="G1664" s="26"/>
      <c r="H1664" s="26"/>
      <c r="I1664" s="26"/>
      <c r="J1664" s="26"/>
      <c r="K1664" s="26"/>
      <c r="L1664" s="26"/>
      <c r="M1664" s="55"/>
      <c r="N1664" s="26"/>
    </row>
    <row r="1665" spans="1:14" ht="75" customHeight="1" thickTop="1" thickBot="1">
      <c r="A1665" s="34"/>
      <c r="B1665" s="34"/>
      <c r="C1665" s="57"/>
      <c r="D1665" s="56"/>
      <c r="E1665" s="56"/>
      <c r="F1665" s="26"/>
      <c r="G1665" s="26"/>
      <c r="H1665" s="26"/>
      <c r="I1665" s="26"/>
      <c r="J1665" s="26"/>
      <c r="K1665" s="26"/>
      <c r="L1665" s="26"/>
      <c r="M1665" s="55"/>
      <c r="N1665" s="26"/>
    </row>
    <row r="1666" spans="1:14" ht="75" customHeight="1" thickTop="1" thickBot="1">
      <c r="A1666" s="34"/>
      <c r="B1666" s="34"/>
      <c r="C1666" s="57"/>
      <c r="D1666" s="56"/>
      <c r="E1666" s="56"/>
      <c r="F1666" s="26"/>
      <c r="G1666" s="26"/>
      <c r="H1666" s="26"/>
      <c r="I1666" s="26"/>
      <c r="J1666" s="26"/>
      <c r="K1666" s="26"/>
      <c r="L1666" s="26"/>
      <c r="M1666" s="55"/>
      <c r="N1666" s="26"/>
    </row>
    <row r="1667" spans="1:14" ht="75" customHeight="1" thickTop="1" thickBot="1">
      <c r="A1667" s="34"/>
      <c r="B1667" s="34"/>
      <c r="C1667" s="57"/>
      <c r="D1667" s="56"/>
      <c r="E1667" s="56"/>
      <c r="F1667" s="26"/>
      <c r="G1667" s="26"/>
      <c r="H1667" s="26"/>
      <c r="I1667" s="26"/>
      <c r="J1667" s="26"/>
      <c r="K1667" s="26"/>
      <c r="L1667" s="26"/>
      <c r="M1667" s="55"/>
      <c r="N1667" s="26"/>
    </row>
    <row r="1668" spans="1:14" ht="75" customHeight="1" thickTop="1" thickBot="1">
      <c r="A1668" s="34"/>
      <c r="B1668" s="34"/>
      <c r="C1668" s="57"/>
      <c r="D1668" s="56"/>
      <c r="E1668" s="56"/>
      <c r="F1668" s="26"/>
      <c r="G1668" s="26"/>
      <c r="H1668" s="26"/>
      <c r="I1668" s="26"/>
      <c r="J1668" s="26"/>
      <c r="K1668" s="26"/>
      <c r="L1668" s="26"/>
      <c r="M1668" s="55"/>
      <c r="N1668" s="26"/>
    </row>
    <row r="1669" spans="1:14" ht="75" customHeight="1" thickTop="1" thickBot="1">
      <c r="A1669" s="34"/>
      <c r="B1669" s="34"/>
      <c r="C1669" s="57"/>
      <c r="D1669" s="56"/>
      <c r="E1669" s="56"/>
      <c r="F1669" s="26"/>
      <c r="G1669" s="26"/>
      <c r="H1669" s="26"/>
      <c r="I1669" s="26"/>
      <c r="J1669" s="26"/>
      <c r="K1669" s="26"/>
      <c r="L1669" s="26"/>
      <c r="M1669" s="55"/>
      <c r="N1669" s="26"/>
    </row>
    <row r="1670" spans="1:14" ht="75" customHeight="1" thickTop="1" thickBot="1">
      <c r="A1670" s="34"/>
      <c r="B1670" s="34"/>
      <c r="C1670" s="57"/>
      <c r="D1670" s="56"/>
      <c r="E1670" s="56"/>
      <c r="F1670" s="26"/>
      <c r="G1670" s="26"/>
      <c r="H1670" s="26"/>
      <c r="I1670" s="26"/>
      <c r="J1670" s="26"/>
      <c r="K1670" s="26"/>
      <c r="L1670" s="26"/>
      <c r="M1670" s="55"/>
      <c r="N1670" s="26"/>
    </row>
    <row r="1671" spans="1:14" ht="75" customHeight="1" thickTop="1" thickBot="1">
      <c r="A1671" s="34"/>
      <c r="B1671" s="34"/>
      <c r="C1671" s="57"/>
      <c r="D1671" s="56"/>
      <c r="E1671" s="56"/>
      <c r="F1671" s="26"/>
      <c r="G1671" s="26"/>
      <c r="H1671" s="26"/>
      <c r="I1671" s="26"/>
      <c r="J1671" s="26"/>
      <c r="K1671" s="26"/>
      <c r="L1671" s="26"/>
      <c r="M1671" s="55"/>
      <c r="N1671" s="26"/>
    </row>
    <row r="1672" spans="1:14" ht="75" customHeight="1" thickTop="1" thickBot="1">
      <c r="A1672" s="34"/>
      <c r="B1672" s="34"/>
      <c r="C1672" s="57"/>
      <c r="D1672" s="56"/>
      <c r="E1672" s="56"/>
      <c r="F1672" s="26"/>
      <c r="G1672" s="26"/>
      <c r="H1672" s="26"/>
      <c r="I1672" s="26"/>
      <c r="J1672" s="26"/>
      <c r="K1672" s="26"/>
      <c r="L1672" s="26"/>
      <c r="M1672" s="55"/>
      <c r="N1672" s="26"/>
    </row>
    <row r="1673" spans="1:14" ht="75" customHeight="1" thickTop="1" thickBot="1">
      <c r="A1673" s="34"/>
      <c r="B1673" s="34"/>
      <c r="C1673" s="57"/>
      <c r="D1673" s="56"/>
      <c r="E1673" s="56"/>
      <c r="F1673" s="26"/>
      <c r="G1673" s="26"/>
      <c r="H1673" s="26"/>
      <c r="I1673" s="26"/>
      <c r="J1673" s="26"/>
      <c r="K1673" s="26"/>
      <c r="L1673" s="26"/>
      <c r="M1673" s="55"/>
      <c r="N1673" s="26"/>
    </row>
    <row r="1674" spans="1:14" ht="75" customHeight="1" thickTop="1" thickBot="1">
      <c r="A1674" s="34"/>
      <c r="B1674" s="34"/>
      <c r="C1674" s="57"/>
      <c r="D1674" s="56"/>
      <c r="E1674" s="56"/>
      <c r="F1674" s="26"/>
      <c r="G1674" s="26"/>
      <c r="H1674" s="26"/>
      <c r="I1674" s="26"/>
      <c r="J1674" s="26"/>
      <c r="K1674" s="26"/>
      <c r="L1674" s="26"/>
      <c r="M1674" s="55"/>
      <c r="N1674" s="26"/>
    </row>
    <row r="1675" spans="1:14" ht="75" customHeight="1" thickTop="1" thickBot="1">
      <c r="A1675" s="34"/>
      <c r="B1675" s="34"/>
      <c r="C1675" s="57"/>
      <c r="D1675" s="56"/>
      <c r="E1675" s="56"/>
      <c r="F1675" s="26"/>
      <c r="G1675" s="26"/>
      <c r="H1675" s="26"/>
      <c r="I1675" s="26"/>
      <c r="J1675" s="26"/>
      <c r="K1675" s="26"/>
      <c r="L1675" s="26"/>
      <c r="M1675" s="55"/>
      <c r="N1675" s="26"/>
    </row>
    <row r="1676" spans="1:14" ht="75" customHeight="1" thickTop="1" thickBot="1">
      <c r="A1676" s="34"/>
      <c r="B1676" s="34"/>
      <c r="C1676" s="57"/>
      <c r="D1676" s="56"/>
      <c r="E1676" s="56"/>
      <c r="F1676" s="26"/>
      <c r="G1676" s="26"/>
      <c r="H1676" s="26"/>
      <c r="I1676" s="26"/>
      <c r="J1676" s="26"/>
      <c r="K1676" s="26"/>
      <c r="L1676" s="26"/>
      <c r="M1676" s="55"/>
      <c r="N1676" s="26"/>
    </row>
    <row r="1677" spans="1:14" ht="75" customHeight="1" thickTop="1" thickBot="1">
      <c r="A1677" s="34"/>
      <c r="B1677" s="34"/>
      <c r="C1677" s="57"/>
      <c r="D1677" s="56"/>
      <c r="E1677" s="56"/>
      <c r="F1677" s="26"/>
      <c r="G1677" s="26"/>
      <c r="H1677" s="26"/>
      <c r="I1677" s="26"/>
      <c r="J1677" s="26"/>
      <c r="K1677" s="26"/>
      <c r="L1677" s="26"/>
      <c r="M1677" s="55"/>
      <c r="N1677" s="26"/>
    </row>
    <row r="1678" spans="1:14" ht="75" customHeight="1" thickTop="1" thickBot="1">
      <c r="A1678" s="34"/>
      <c r="B1678" s="34"/>
      <c r="C1678" s="57"/>
      <c r="D1678" s="56"/>
      <c r="E1678" s="56"/>
      <c r="F1678" s="26"/>
      <c r="G1678" s="26"/>
      <c r="H1678" s="26"/>
      <c r="I1678" s="26"/>
      <c r="J1678" s="26"/>
      <c r="K1678" s="26"/>
      <c r="L1678" s="26"/>
      <c r="M1678" s="55"/>
      <c r="N1678" s="26"/>
    </row>
    <row r="1679" spans="1:14" ht="75" customHeight="1" thickTop="1" thickBot="1">
      <c r="A1679" s="34"/>
      <c r="B1679" s="34"/>
      <c r="C1679" s="57"/>
      <c r="D1679" s="56"/>
      <c r="E1679" s="56"/>
      <c r="F1679" s="26"/>
      <c r="G1679" s="26"/>
      <c r="H1679" s="26"/>
      <c r="I1679" s="26"/>
      <c r="J1679" s="26"/>
      <c r="K1679" s="26"/>
      <c r="L1679" s="26"/>
      <c r="M1679" s="55"/>
      <c r="N1679" s="26"/>
    </row>
    <row r="1680" spans="1:14" ht="75" customHeight="1" thickTop="1" thickBot="1">
      <c r="A1680" s="34"/>
      <c r="B1680" s="34"/>
      <c r="C1680" s="57"/>
      <c r="D1680" s="56"/>
      <c r="E1680" s="56"/>
      <c r="F1680" s="26"/>
      <c r="G1680" s="26"/>
      <c r="H1680" s="26"/>
      <c r="I1680" s="26"/>
      <c r="J1680" s="26"/>
      <c r="K1680" s="26"/>
      <c r="L1680" s="26"/>
      <c r="M1680" s="55"/>
      <c r="N1680" s="26"/>
    </row>
    <row r="1681" spans="1:14" ht="75" customHeight="1" thickTop="1" thickBot="1">
      <c r="A1681" s="34"/>
      <c r="B1681" s="34"/>
      <c r="C1681" s="57"/>
      <c r="D1681" s="56"/>
      <c r="E1681" s="56"/>
      <c r="F1681" s="26"/>
      <c r="G1681" s="26"/>
      <c r="H1681" s="26"/>
      <c r="I1681" s="26"/>
      <c r="J1681" s="26"/>
      <c r="K1681" s="26"/>
      <c r="L1681" s="26"/>
      <c r="M1681" s="55"/>
      <c r="N1681" s="26"/>
    </row>
    <row r="1682" spans="1:14" ht="75" customHeight="1" thickTop="1" thickBot="1">
      <c r="A1682" s="34"/>
      <c r="B1682" s="34"/>
      <c r="C1682" s="57"/>
      <c r="D1682" s="56"/>
      <c r="E1682" s="56"/>
      <c r="F1682" s="26"/>
      <c r="G1682" s="26"/>
      <c r="H1682" s="26"/>
      <c r="I1682" s="26"/>
      <c r="J1682" s="26"/>
      <c r="K1682" s="26"/>
      <c r="L1682" s="26"/>
      <c r="M1682" s="55"/>
      <c r="N1682" s="26"/>
    </row>
    <row r="1683" spans="1:14" ht="75" customHeight="1" thickTop="1" thickBot="1">
      <c r="A1683" s="34"/>
      <c r="B1683" s="34"/>
      <c r="C1683" s="57"/>
      <c r="D1683" s="56"/>
      <c r="E1683" s="56"/>
      <c r="F1683" s="26"/>
      <c r="G1683" s="26"/>
      <c r="H1683" s="26"/>
      <c r="I1683" s="26"/>
      <c r="J1683" s="26"/>
      <c r="K1683" s="26"/>
      <c r="L1683" s="26"/>
      <c r="M1683" s="55"/>
      <c r="N1683" s="26"/>
    </row>
    <row r="1684" spans="1:14" ht="75" customHeight="1" thickTop="1" thickBot="1">
      <c r="A1684" s="34"/>
      <c r="B1684" s="34"/>
      <c r="C1684" s="57"/>
      <c r="D1684" s="56"/>
      <c r="E1684" s="56"/>
      <c r="F1684" s="26"/>
      <c r="G1684" s="26"/>
      <c r="H1684" s="26"/>
      <c r="I1684" s="26"/>
      <c r="J1684" s="26"/>
      <c r="K1684" s="26"/>
      <c r="L1684" s="26"/>
      <c r="M1684" s="55"/>
      <c r="N1684" s="26"/>
    </row>
    <row r="1685" spans="1:14" ht="75" customHeight="1" thickTop="1" thickBot="1">
      <c r="A1685" s="34"/>
      <c r="B1685" s="34"/>
      <c r="C1685" s="57"/>
      <c r="D1685" s="56"/>
      <c r="E1685" s="56"/>
      <c r="F1685" s="26"/>
      <c r="G1685" s="26"/>
      <c r="H1685" s="26"/>
      <c r="I1685" s="26"/>
      <c r="J1685" s="26"/>
      <c r="K1685" s="26"/>
      <c r="L1685" s="26"/>
      <c r="M1685" s="55"/>
      <c r="N1685" s="26"/>
    </row>
    <row r="1686" spans="1:14" ht="75" customHeight="1" thickTop="1" thickBot="1">
      <c r="A1686" s="34"/>
      <c r="B1686" s="34"/>
      <c r="C1686" s="57"/>
      <c r="D1686" s="56"/>
      <c r="E1686" s="56"/>
      <c r="F1686" s="26"/>
      <c r="G1686" s="26"/>
      <c r="H1686" s="26"/>
      <c r="I1686" s="26"/>
      <c r="J1686" s="26"/>
      <c r="K1686" s="26"/>
      <c r="L1686" s="26"/>
      <c r="M1686" s="55"/>
      <c r="N1686" s="26"/>
    </row>
    <row r="1687" spans="1:14" ht="75" customHeight="1" thickTop="1" thickBot="1">
      <c r="A1687" s="34"/>
      <c r="B1687" s="34"/>
      <c r="C1687" s="57"/>
      <c r="D1687" s="56"/>
      <c r="E1687" s="56"/>
      <c r="F1687" s="26"/>
      <c r="G1687" s="26"/>
      <c r="H1687" s="26"/>
      <c r="I1687" s="26"/>
      <c r="J1687" s="26"/>
      <c r="K1687" s="26"/>
      <c r="L1687" s="26"/>
      <c r="M1687" s="55"/>
      <c r="N1687" s="26"/>
    </row>
    <row r="1688" spans="1:14" ht="75" customHeight="1" thickTop="1" thickBot="1">
      <c r="A1688" s="34"/>
      <c r="B1688" s="34"/>
      <c r="C1688" s="57"/>
      <c r="D1688" s="56"/>
      <c r="E1688" s="56"/>
      <c r="F1688" s="26"/>
      <c r="G1688" s="26"/>
      <c r="H1688" s="26"/>
      <c r="I1688" s="26"/>
      <c r="J1688" s="26"/>
      <c r="K1688" s="26"/>
      <c r="L1688" s="26"/>
      <c r="M1688" s="55"/>
      <c r="N1688" s="26"/>
    </row>
    <row r="1689" spans="1:14" ht="75" customHeight="1" thickTop="1" thickBot="1">
      <c r="A1689" s="34"/>
      <c r="B1689" s="34"/>
      <c r="C1689" s="57"/>
      <c r="D1689" s="56"/>
      <c r="E1689" s="56"/>
      <c r="F1689" s="26"/>
      <c r="G1689" s="26"/>
      <c r="H1689" s="26"/>
      <c r="I1689" s="26"/>
      <c r="J1689" s="26"/>
      <c r="K1689" s="26"/>
      <c r="L1689" s="26"/>
      <c r="M1689" s="55"/>
      <c r="N1689" s="26"/>
    </row>
    <row r="1690" spans="1:14" ht="75" customHeight="1" thickTop="1" thickBot="1">
      <c r="A1690" s="34"/>
      <c r="B1690" s="34"/>
      <c r="C1690" s="57"/>
      <c r="D1690" s="56"/>
      <c r="E1690" s="56"/>
      <c r="F1690" s="26"/>
      <c r="G1690" s="26"/>
      <c r="H1690" s="26"/>
      <c r="I1690" s="26"/>
      <c r="J1690" s="26"/>
      <c r="K1690" s="26"/>
      <c r="L1690" s="26"/>
      <c r="M1690" s="55"/>
      <c r="N1690" s="26"/>
    </row>
    <row r="1691" spans="1:14" ht="75" customHeight="1" thickTop="1" thickBot="1">
      <c r="A1691" s="34"/>
      <c r="B1691" s="34"/>
      <c r="C1691" s="57"/>
      <c r="D1691" s="56"/>
      <c r="E1691" s="56"/>
      <c r="F1691" s="26"/>
      <c r="G1691" s="26"/>
      <c r="H1691" s="26"/>
      <c r="I1691" s="26"/>
      <c r="J1691" s="26"/>
      <c r="K1691" s="26"/>
      <c r="L1691" s="26"/>
      <c r="M1691" s="55"/>
      <c r="N1691" s="26"/>
    </row>
    <row r="1692" spans="1:14" ht="75" customHeight="1" thickTop="1" thickBot="1">
      <c r="A1692" s="34"/>
      <c r="B1692" s="34"/>
      <c r="C1692" s="57"/>
      <c r="D1692" s="56"/>
      <c r="E1692" s="56"/>
      <c r="F1692" s="26"/>
      <c r="G1692" s="26"/>
      <c r="H1692" s="26"/>
      <c r="I1692" s="26"/>
      <c r="J1692" s="26"/>
      <c r="K1692" s="26"/>
      <c r="L1692" s="26"/>
      <c r="M1692" s="55"/>
      <c r="N1692" s="26"/>
    </row>
    <row r="1693" spans="1:14" ht="75" customHeight="1" thickTop="1" thickBot="1">
      <c r="A1693" s="34"/>
      <c r="B1693" s="34"/>
      <c r="C1693" s="57"/>
      <c r="D1693" s="56"/>
      <c r="E1693" s="56"/>
      <c r="F1693" s="26"/>
      <c r="G1693" s="26"/>
      <c r="H1693" s="26"/>
      <c r="I1693" s="26"/>
      <c r="J1693" s="26"/>
      <c r="K1693" s="26"/>
      <c r="L1693" s="26"/>
      <c r="M1693" s="55"/>
      <c r="N1693" s="26"/>
    </row>
    <row r="1694" spans="1:14" ht="75" customHeight="1" thickTop="1" thickBot="1">
      <c r="A1694" s="34"/>
      <c r="B1694" s="34"/>
      <c r="C1694" s="57"/>
      <c r="D1694" s="56"/>
      <c r="E1694" s="56"/>
      <c r="F1694" s="26"/>
      <c r="G1694" s="26"/>
      <c r="H1694" s="26"/>
      <c r="I1694" s="26"/>
      <c r="J1694" s="26"/>
      <c r="K1694" s="26"/>
      <c r="L1694" s="26"/>
      <c r="M1694" s="55"/>
      <c r="N1694" s="26"/>
    </row>
    <row r="1695" spans="1:14" ht="75" customHeight="1" thickTop="1" thickBot="1">
      <c r="A1695" s="34"/>
      <c r="B1695" s="34"/>
      <c r="C1695" s="57"/>
      <c r="D1695" s="56"/>
      <c r="E1695" s="56"/>
      <c r="F1695" s="26"/>
      <c r="G1695" s="26"/>
      <c r="H1695" s="26"/>
      <c r="I1695" s="26"/>
      <c r="J1695" s="26"/>
      <c r="K1695" s="26"/>
      <c r="L1695" s="26"/>
      <c r="M1695" s="55"/>
      <c r="N1695" s="26"/>
    </row>
    <row r="1696" spans="1:14" ht="75" customHeight="1" thickTop="1" thickBot="1">
      <c r="A1696" s="34"/>
      <c r="B1696" s="34"/>
      <c r="C1696" s="57"/>
      <c r="D1696" s="56"/>
      <c r="E1696" s="56"/>
      <c r="F1696" s="26"/>
      <c r="G1696" s="26"/>
      <c r="H1696" s="26"/>
      <c r="I1696" s="26"/>
      <c r="J1696" s="26"/>
      <c r="K1696" s="26"/>
      <c r="L1696" s="26"/>
      <c r="M1696" s="55"/>
      <c r="N1696" s="26"/>
    </row>
    <row r="1697" spans="1:14" ht="75" customHeight="1" thickTop="1" thickBot="1">
      <c r="A1697" s="34"/>
      <c r="B1697" s="34"/>
      <c r="C1697" s="57"/>
      <c r="D1697" s="56"/>
      <c r="E1697" s="56"/>
      <c r="F1697" s="26"/>
      <c r="G1697" s="26"/>
      <c r="H1697" s="26"/>
      <c r="I1697" s="26"/>
      <c r="J1697" s="26"/>
      <c r="K1697" s="26"/>
      <c r="L1697" s="26"/>
      <c r="M1697" s="55"/>
      <c r="N1697" s="26"/>
    </row>
    <row r="1698" spans="1:14" ht="75" customHeight="1" thickTop="1" thickBot="1">
      <c r="A1698" s="34"/>
      <c r="B1698" s="34"/>
      <c r="C1698" s="57"/>
      <c r="D1698" s="56"/>
      <c r="E1698" s="56"/>
      <c r="F1698" s="26"/>
      <c r="G1698" s="26"/>
      <c r="H1698" s="26"/>
      <c r="I1698" s="26"/>
      <c r="J1698" s="26"/>
      <c r="K1698" s="26"/>
      <c r="L1698" s="26"/>
      <c r="M1698" s="55"/>
      <c r="N1698" s="26"/>
    </row>
    <row r="1699" spans="1:14" ht="75" customHeight="1" thickTop="1" thickBot="1">
      <c r="A1699" s="34"/>
      <c r="B1699" s="34"/>
      <c r="C1699" s="57"/>
      <c r="D1699" s="56"/>
      <c r="E1699" s="56"/>
      <c r="F1699" s="26"/>
      <c r="G1699" s="26"/>
      <c r="H1699" s="26"/>
      <c r="I1699" s="26"/>
      <c r="J1699" s="26"/>
      <c r="K1699" s="26"/>
      <c r="L1699" s="26"/>
      <c r="M1699" s="55"/>
      <c r="N1699" s="26"/>
    </row>
    <row r="1700" spans="1:14" ht="75" customHeight="1" thickTop="1" thickBot="1">
      <c r="A1700" s="34"/>
      <c r="B1700" s="34"/>
      <c r="C1700" s="57"/>
      <c r="D1700" s="56"/>
      <c r="E1700" s="56"/>
      <c r="F1700" s="26"/>
      <c r="G1700" s="26"/>
      <c r="H1700" s="26"/>
      <c r="I1700" s="26"/>
      <c r="J1700" s="26"/>
      <c r="K1700" s="26"/>
      <c r="L1700" s="26"/>
      <c r="M1700" s="55"/>
      <c r="N1700" s="26"/>
    </row>
    <row r="1701" spans="1:14" ht="75" customHeight="1" thickTop="1" thickBot="1">
      <c r="A1701" s="34"/>
      <c r="B1701" s="34"/>
      <c r="C1701" s="57"/>
      <c r="D1701" s="56"/>
      <c r="E1701" s="56"/>
      <c r="F1701" s="26"/>
      <c r="G1701" s="26"/>
      <c r="H1701" s="26"/>
      <c r="I1701" s="26"/>
      <c r="J1701" s="26"/>
      <c r="K1701" s="26"/>
      <c r="L1701" s="26"/>
      <c r="M1701" s="55"/>
      <c r="N1701" s="26"/>
    </row>
    <row r="1702" spans="1:14" ht="75" customHeight="1" thickTop="1" thickBot="1">
      <c r="A1702" s="34"/>
      <c r="B1702" s="34"/>
      <c r="C1702" s="57"/>
      <c r="D1702" s="56"/>
      <c r="E1702" s="56"/>
      <c r="F1702" s="26"/>
      <c r="G1702" s="26"/>
      <c r="H1702" s="26"/>
      <c r="I1702" s="26"/>
      <c r="J1702" s="26"/>
      <c r="K1702" s="26"/>
      <c r="L1702" s="26"/>
      <c r="M1702" s="55"/>
      <c r="N1702" s="26"/>
    </row>
    <row r="1703" spans="1:14" ht="75" customHeight="1" thickTop="1" thickBot="1">
      <c r="A1703" s="34"/>
      <c r="B1703" s="34"/>
      <c r="C1703" s="57"/>
      <c r="D1703" s="56"/>
      <c r="E1703" s="56"/>
      <c r="F1703" s="26"/>
      <c r="G1703" s="26"/>
      <c r="H1703" s="26"/>
      <c r="I1703" s="26"/>
      <c r="J1703" s="26"/>
      <c r="K1703" s="26"/>
      <c r="L1703" s="26"/>
      <c r="M1703" s="55"/>
      <c r="N1703" s="26"/>
    </row>
    <row r="1704" spans="1:14" ht="75" customHeight="1" thickTop="1" thickBot="1">
      <c r="A1704" s="34"/>
      <c r="B1704" s="34"/>
      <c r="C1704" s="57"/>
      <c r="D1704" s="56"/>
      <c r="E1704" s="56"/>
      <c r="F1704" s="26"/>
      <c r="G1704" s="26"/>
      <c r="H1704" s="26"/>
      <c r="I1704" s="26"/>
      <c r="J1704" s="26"/>
      <c r="K1704" s="26"/>
      <c r="L1704" s="26"/>
      <c r="M1704" s="55"/>
      <c r="N1704" s="26"/>
    </row>
    <row r="1705" spans="1:14" ht="75" customHeight="1" thickTop="1" thickBot="1">
      <c r="A1705" s="34"/>
      <c r="B1705" s="34"/>
      <c r="C1705" s="57"/>
      <c r="D1705" s="56"/>
      <c r="E1705" s="56"/>
      <c r="F1705" s="26"/>
      <c r="G1705" s="26"/>
      <c r="H1705" s="26"/>
      <c r="I1705" s="26"/>
      <c r="J1705" s="26"/>
      <c r="K1705" s="26"/>
      <c r="L1705" s="26"/>
      <c r="M1705" s="55"/>
      <c r="N1705" s="26"/>
    </row>
    <row r="1706" spans="1:14" ht="75" customHeight="1" thickTop="1" thickBot="1">
      <c r="A1706" s="34"/>
      <c r="B1706" s="34"/>
      <c r="C1706" s="57"/>
      <c r="D1706" s="56"/>
      <c r="E1706" s="56"/>
      <c r="F1706" s="26"/>
      <c r="G1706" s="26"/>
      <c r="H1706" s="26"/>
      <c r="I1706" s="26"/>
      <c r="J1706" s="26"/>
      <c r="K1706" s="26"/>
      <c r="L1706" s="26"/>
      <c r="M1706" s="55"/>
      <c r="N1706" s="26"/>
    </row>
    <row r="1707" spans="1:14" ht="75" customHeight="1" thickTop="1" thickBot="1">
      <c r="A1707" s="34"/>
      <c r="B1707" s="34"/>
      <c r="C1707" s="57"/>
      <c r="D1707" s="56"/>
      <c r="E1707" s="56"/>
      <c r="F1707" s="26"/>
      <c r="G1707" s="26"/>
      <c r="H1707" s="26"/>
      <c r="I1707" s="26"/>
      <c r="J1707" s="26"/>
      <c r="K1707" s="26"/>
      <c r="L1707" s="26"/>
      <c r="M1707" s="55"/>
      <c r="N1707" s="26"/>
    </row>
    <row r="1708" spans="1:14" ht="75" customHeight="1" thickTop="1" thickBot="1">
      <c r="A1708" s="34"/>
      <c r="B1708" s="34"/>
      <c r="C1708" s="57"/>
      <c r="D1708" s="56"/>
      <c r="E1708" s="56"/>
      <c r="F1708" s="26"/>
      <c r="G1708" s="26"/>
      <c r="H1708" s="26"/>
      <c r="I1708" s="26"/>
      <c r="J1708" s="26"/>
      <c r="K1708" s="26"/>
      <c r="L1708" s="26"/>
      <c r="M1708" s="55"/>
      <c r="N1708" s="26"/>
    </row>
    <row r="1709" spans="1:14" ht="75" customHeight="1" thickTop="1" thickBot="1">
      <c r="A1709" s="34"/>
      <c r="B1709" s="34"/>
      <c r="C1709" s="57"/>
      <c r="D1709" s="56"/>
      <c r="E1709" s="56"/>
      <c r="F1709" s="26"/>
      <c r="G1709" s="26"/>
      <c r="H1709" s="26"/>
      <c r="I1709" s="26"/>
      <c r="J1709" s="26"/>
      <c r="K1709" s="26"/>
      <c r="L1709" s="26"/>
      <c r="M1709" s="55"/>
      <c r="N1709" s="26"/>
    </row>
    <row r="1710" spans="1:14" ht="75" customHeight="1" thickTop="1" thickBot="1">
      <c r="A1710" s="34"/>
      <c r="B1710" s="34"/>
      <c r="C1710" s="57"/>
      <c r="D1710" s="56"/>
      <c r="E1710" s="56"/>
      <c r="F1710" s="26"/>
      <c r="G1710" s="26"/>
      <c r="H1710" s="26"/>
      <c r="I1710" s="26"/>
      <c r="J1710" s="26"/>
      <c r="K1710" s="26"/>
      <c r="L1710" s="26"/>
      <c r="M1710" s="55"/>
      <c r="N1710" s="26"/>
    </row>
    <row r="1711" spans="1:14" ht="75" customHeight="1" thickTop="1" thickBot="1">
      <c r="A1711" s="34"/>
      <c r="B1711" s="34"/>
      <c r="C1711" s="57"/>
      <c r="D1711" s="56"/>
      <c r="E1711" s="56"/>
      <c r="F1711" s="26"/>
      <c r="G1711" s="26"/>
      <c r="H1711" s="26"/>
      <c r="I1711" s="26"/>
      <c r="J1711" s="26"/>
      <c r="K1711" s="26"/>
      <c r="L1711" s="26"/>
      <c r="M1711" s="55"/>
      <c r="N1711" s="26"/>
    </row>
    <row r="1712" spans="1:14" ht="75" customHeight="1" thickTop="1" thickBot="1">
      <c r="A1712" s="34"/>
      <c r="B1712" s="34"/>
      <c r="C1712" s="57"/>
      <c r="D1712" s="56"/>
      <c r="E1712" s="56"/>
      <c r="F1712" s="26"/>
      <c r="G1712" s="26"/>
      <c r="H1712" s="26"/>
      <c r="I1712" s="26"/>
      <c r="J1712" s="26"/>
      <c r="K1712" s="26"/>
      <c r="L1712" s="26"/>
      <c r="M1712" s="55"/>
      <c r="N1712" s="26"/>
    </row>
    <row r="1713" spans="1:14" ht="75" customHeight="1" thickTop="1" thickBot="1">
      <c r="A1713" s="34"/>
      <c r="B1713" s="34"/>
      <c r="C1713" s="57"/>
      <c r="D1713" s="56"/>
      <c r="E1713" s="56"/>
      <c r="F1713" s="26"/>
      <c r="G1713" s="26"/>
      <c r="H1713" s="26"/>
      <c r="I1713" s="26"/>
      <c r="J1713" s="26"/>
      <c r="K1713" s="26"/>
      <c r="L1713" s="26"/>
      <c r="M1713" s="55"/>
      <c r="N1713" s="26"/>
    </row>
    <row r="1714" spans="1:14" ht="75" customHeight="1" thickTop="1" thickBot="1">
      <c r="A1714" s="34"/>
      <c r="B1714" s="34"/>
      <c r="C1714" s="57"/>
      <c r="D1714" s="56"/>
      <c r="E1714" s="56"/>
      <c r="F1714" s="26"/>
      <c r="G1714" s="26"/>
      <c r="H1714" s="26"/>
      <c r="I1714" s="26"/>
      <c r="J1714" s="26"/>
      <c r="K1714" s="26"/>
      <c r="L1714" s="26"/>
      <c r="M1714" s="55"/>
      <c r="N1714" s="26"/>
    </row>
    <row r="1715" spans="1:14" ht="75" customHeight="1" thickTop="1" thickBot="1">
      <c r="A1715" s="34"/>
      <c r="B1715" s="34"/>
      <c r="C1715" s="57"/>
      <c r="D1715" s="56"/>
      <c r="E1715" s="56"/>
      <c r="F1715" s="26"/>
      <c r="G1715" s="26"/>
      <c r="H1715" s="26"/>
      <c r="I1715" s="26"/>
      <c r="J1715" s="26"/>
      <c r="K1715" s="26"/>
      <c r="L1715" s="26"/>
      <c r="M1715" s="55"/>
      <c r="N1715" s="26"/>
    </row>
    <row r="1716" spans="1:14" ht="75" customHeight="1" thickTop="1" thickBot="1">
      <c r="A1716" s="34"/>
      <c r="B1716" s="34"/>
      <c r="C1716" s="57"/>
      <c r="D1716" s="56"/>
      <c r="E1716" s="56"/>
      <c r="F1716" s="26"/>
      <c r="G1716" s="26"/>
      <c r="H1716" s="26"/>
      <c r="I1716" s="26"/>
      <c r="J1716" s="26"/>
      <c r="K1716" s="26"/>
      <c r="L1716" s="26"/>
      <c r="M1716" s="55"/>
      <c r="N1716" s="26"/>
    </row>
    <row r="1717" spans="1:14" ht="75" customHeight="1" thickTop="1" thickBot="1">
      <c r="A1717" s="34"/>
      <c r="B1717" s="34"/>
      <c r="C1717" s="57"/>
      <c r="D1717" s="56"/>
      <c r="E1717" s="56"/>
      <c r="F1717" s="26"/>
      <c r="G1717" s="26"/>
      <c r="H1717" s="26"/>
      <c r="I1717" s="26"/>
      <c r="J1717" s="26"/>
      <c r="K1717" s="26"/>
      <c r="L1717" s="26"/>
      <c r="M1717" s="55"/>
      <c r="N1717" s="26"/>
    </row>
    <row r="1718" spans="1:14" ht="75" customHeight="1" thickTop="1" thickBot="1">
      <c r="A1718" s="34"/>
      <c r="B1718" s="34"/>
      <c r="C1718" s="57"/>
      <c r="D1718" s="56"/>
      <c r="E1718" s="56"/>
      <c r="F1718" s="26"/>
      <c r="G1718" s="26"/>
      <c r="H1718" s="26"/>
      <c r="I1718" s="26"/>
      <c r="J1718" s="26"/>
      <c r="K1718" s="26"/>
      <c r="L1718" s="26"/>
      <c r="M1718" s="55"/>
      <c r="N1718" s="26"/>
    </row>
    <row r="1719" spans="1:14" ht="75" customHeight="1" thickTop="1" thickBot="1">
      <c r="A1719" s="34"/>
      <c r="B1719" s="34"/>
      <c r="C1719" s="57"/>
      <c r="D1719" s="56"/>
      <c r="E1719" s="56"/>
      <c r="F1719" s="26"/>
      <c r="G1719" s="26"/>
      <c r="H1719" s="26"/>
      <c r="I1719" s="26"/>
      <c r="J1719" s="26"/>
      <c r="K1719" s="26"/>
      <c r="L1719" s="26"/>
      <c r="M1719" s="55"/>
      <c r="N1719" s="26"/>
    </row>
    <row r="1720" spans="1:14" ht="75" customHeight="1" thickTop="1" thickBot="1">
      <c r="A1720" s="34"/>
      <c r="B1720" s="34"/>
      <c r="C1720" s="57"/>
      <c r="D1720" s="56"/>
      <c r="E1720" s="56"/>
      <c r="F1720" s="26"/>
      <c r="G1720" s="26"/>
      <c r="H1720" s="26"/>
      <c r="I1720" s="26"/>
      <c r="J1720" s="26"/>
      <c r="K1720" s="26"/>
      <c r="L1720" s="26"/>
      <c r="M1720" s="55"/>
      <c r="N1720" s="26"/>
    </row>
    <row r="1721" spans="1:14" ht="75" customHeight="1" thickTop="1" thickBot="1">
      <c r="A1721" s="34"/>
      <c r="B1721" s="34"/>
      <c r="C1721" s="57"/>
      <c r="D1721" s="56"/>
      <c r="E1721" s="56"/>
      <c r="F1721" s="26"/>
      <c r="G1721" s="26"/>
      <c r="H1721" s="26"/>
      <c r="I1721" s="26"/>
      <c r="J1721" s="26"/>
      <c r="K1721" s="26"/>
      <c r="L1721" s="26"/>
      <c r="M1721" s="55"/>
      <c r="N1721" s="26"/>
    </row>
    <row r="1722" spans="1:14" ht="75" customHeight="1" thickTop="1" thickBot="1">
      <c r="A1722" s="34"/>
      <c r="B1722" s="34"/>
      <c r="C1722" s="57"/>
      <c r="D1722" s="56"/>
      <c r="E1722" s="56"/>
      <c r="F1722" s="26"/>
      <c r="G1722" s="26"/>
      <c r="H1722" s="26"/>
      <c r="I1722" s="26"/>
      <c r="J1722" s="26"/>
      <c r="K1722" s="26"/>
      <c r="L1722" s="26"/>
      <c r="M1722" s="55"/>
      <c r="N1722" s="26"/>
    </row>
    <row r="1723" spans="1:14" ht="75" customHeight="1" thickTop="1" thickBot="1">
      <c r="A1723" s="34"/>
      <c r="B1723" s="34"/>
      <c r="C1723" s="57"/>
      <c r="D1723" s="56"/>
      <c r="E1723" s="56"/>
      <c r="F1723" s="26"/>
      <c r="G1723" s="26"/>
      <c r="H1723" s="26"/>
      <c r="I1723" s="26"/>
      <c r="J1723" s="26"/>
      <c r="K1723" s="26"/>
      <c r="L1723" s="26"/>
      <c r="M1723" s="55"/>
      <c r="N1723" s="26"/>
    </row>
    <row r="1724" spans="1:14" ht="75" customHeight="1" thickTop="1" thickBot="1">
      <c r="A1724" s="34"/>
      <c r="B1724" s="34"/>
      <c r="C1724" s="57"/>
      <c r="D1724" s="56"/>
      <c r="E1724" s="56"/>
      <c r="F1724" s="26"/>
      <c r="G1724" s="26"/>
      <c r="H1724" s="26"/>
      <c r="I1724" s="26"/>
      <c r="J1724" s="26"/>
      <c r="K1724" s="26"/>
      <c r="L1724" s="26"/>
      <c r="M1724" s="55"/>
      <c r="N1724" s="26"/>
    </row>
    <row r="1725" spans="1:14" ht="75" customHeight="1" thickTop="1" thickBot="1">
      <c r="A1725" s="34"/>
      <c r="B1725" s="34"/>
      <c r="C1725" s="57"/>
      <c r="D1725" s="56"/>
      <c r="E1725" s="56"/>
      <c r="F1725" s="26"/>
      <c r="G1725" s="26"/>
      <c r="H1725" s="26"/>
      <c r="I1725" s="26"/>
      <c r="J1725" s="26"/>
      <c r="K1725" s="26"/>
      <c r="L1725" s="26"/>
      <c r="M1725" s="55"/>
      <c r="N1725" s="26"/>
    </row>
    <row r="1726" spans="1:14" ht="75" customHeight="1" thickTop="1" thickBot="1">
      <c r="A1726" s="34"/>
      <c r="B1726" s="34"/>
      <c r="C1726" s="57"/>
      <c r="D1726" s="56"/>
      <c r="E1726" s="56"/>
      <c r="F1726" s="26"/>
      <c r="G1726" s="26"/>
      <c r="H1726" s="26"/>
      <c r="I1726" s="26"/>
      <c r="J1726" s="26"/>
      <c r="K1726" s="26"/>
      <c r="L1726" s="26"/>
      <c r="M1726" s="55"/>
      <c r="N1726" s="26"/>
    </row>
    <row r="1727" spans="1:14" ht="75" customHeight="1" thickTop="1" thickBot="1">
      <c r="A1727" s="34"/>
      <c r="B1727" s="34"/>
      <c r="C1727" s="57"/>
      <c r="D1727" s="56"/>
      <c r="E1727" s="56"/>
      <c r="F1727" s="26"/>
      <c r="G1727" s="26"/>
      <c r="H1727" s="26"/>
      <c r="I1727" s="26"/>
      <c r="J1727" s="26"/>
      <c r="K1727" s="26"/>
      <c r="L1727" s="26"/>
      <c r="M1727" s="55"/>
      <c r="N1727" s="26"/>
    </row>
    <row r="1728" spans="1:14" ht="75" customHeight="1" thickTop="1" thickBot="1">
      <c r="A1728" s="34"/>
      <c r="B1728" s="34"/>
      <c r="C1728" s="57"/>
      <c r="D1728" s="56"/>
      <c r="E1728" s="56"/>
      <c r="F1728" s="26"/>
      <c r="G1728" s="26"/>
      <c r="H1728" s="26"/>
      <c r="I1728" s="26"/>
      <c r="J1728" s="26"/>
      <c r="K1728" s="26"/>
      <c r="L1728" s="26"/>
      <c r="M1728" s="55"/>
      <c r="N1728" s="26"/>
    </row>
    <row r="1729" spans="1:14" ht="75" customHeight="1" thickTop="1" thickBot="1">
      <c r="A1729" s="34"/>
      <c r="B1729" s="34"/>
      <c r="C1729" s="57"/>
      <c r="D1729" s="56"/>
      <c r="E1729" s="56"/>
      <c r="F1729" s="26"/>
      <c r="G1729" s="26"/>
      <c r="H1729" s="26"/>
      <c r="I1729" s="26"/>
      <c r="J1729" s="26"/>
      <c r="K1729" s="26"/>
      <c r="L1729" s="26"/>
      <c r="M1729" s="55"/>
      <c r="N1729" s="26"/>
    </row>
    <row r="1730" spans="1:14" ht="75" customHeight="1" thickTop="1" thickBot="1">
      <c r="A1730" s="34"/>
      <c r="B1730" s="34"/>
      <c r="C1730" s="57"/>
      <c r="D1730" s="56"/>
      <c r="E1730" s="56"/>
      <c r="F1730" s="26"/>
      <c r="G1730" s="26"/>
      <c r="H1730" s="26"/>
      <c r="I1730" s="26"/>
      <c r="J1730" s="26"/>
      <c r="K1730" s="26"/>
      <c r="L1730" s="26"/>
      <c r="M1730" s="55"/>
      <c r="N1730" s="26"/>
    </row>
    <row r="1731" spans="1:14" ht="75" customHeight="1" thickTop="1" thickBot="1">
      <c r="A1731" s="34"/>
      <c r="B1731" s="34"/>
      <c r="C1731" s="57"/>
      <c r="D1731" s="56"/>
      <c r="E1731" s="56"/>
      <c r="F1731" s="26"/>
      <c r="G1731" s="26"/>
      <c r="H1731" s="26"/>
      <c r="I1731" s="26"/>
      <c r="J1731" s="26"/>
      <c r="K1731" s="26"/>
      <c r="L1731" s="26"/>
      <c r="M1731" s="55"/>
      <c r="N1731" s="26"/>
    </row>
    <row r="1732" spans="1:14" ht="75" customHeight="1" thickTop="1" thickBot="1">
      <c r="A1732" s="34"/>
      <c r="B1732" s="34"/>
      <c r="C1732" s="57"/>
      <c r="D1732" s="56"/>
      <c r="E1732" s="56"/>
      <c r="F1732" s="26"/>
      <c r="G1732" s="26"/>
      <c r="H1732" s="26"/>
      <c r="I1732" s="26"/>
      <c r="J1732" s="26"/>
      <c r="K1732" s="26"/>
      <c r="L1732" s="26"/>
      <c r="M1732" s="55"/>
      <c r="N1732" s="26"/>
    </row>
    <row r="1733" spans="1:14" ht="75" customHeight="1" thickTop="1" thickBot="1">
      <c r="A1733" s="34"/>
      <c r="B1733" s="34"/>
      <c r="C1733" s="57"/>
      <c r="D1733" s="56"/>
      <c r="E1733" s="56"/>
      <c r="F1733" s="26"/>
      <c r="G1733" s="26"/>
      <c r="H1733" s="26"/>
      <c r="I1733" s="26"/>
      <c r="J1733" s="26"/>
      <c r="K1733" s="26"/>
      <c r="L1733" s="26"/>
      <c r="M1733" s="55"/>
      <c r="N1733" s="26"/>
    </row>
    <row r="1734" spans="1:14" ht="75" customHeight="1" thickTop="1" thickBot="1">
      <c r="A1734" s="34"/>
      <c r="B1734" s="34"/>
      <c r="C1734" s="57"/>
      <c r="D1734" s="56"/>
      <c r="E1734" s="56"/>
      <c r="F1734" s="26"/>
      <c r="G1734" s="26"/>
      <c r="H1734" s="26"/>
      <c r="I1734" s="26"/>
      <c r="J1734" s="26"/>
      <c r="K1734" s="26"/>
      <c r="L1734" s="26"/>
      <c r="M1734" s="55"/>
      <c r="N1734" s="26"/>
    </row>
    <row r="1735" spans="1:14" ht="75" customHeight="1" thickTop="1" thickBot="1">
      <c r="A1735" s="34"/>
      <c r="B1735" s="34"/>
      <c r="C1735" s="57"/>
      <c r="D1735" s="56"/>
      <c r="E1735" s="56"/>
      <c r="F1735" s="26"/>
      <c r="G1735" s="26"/>
      <c r="H1735" s="26"/>
      <c r="I1735" s="26"/>
      <c r="J1735" s="26"/>
      <c r="K1735" s="26"/>
      <c r="L1735" s="26"/>
      <c r="M1735" s="55"/>
      <c r="N1735" s="26"/>
    </row>
    <row r="1736" spans="1:14" ht="75" customHeight="1" thickTop="1" thickBot="1">
      <c r="A1736" s="34"/>
      <c r="B1736" s="34"/>
      <c r="C1736" s="57"/>
      <c r="D1736" s="56"/>
      <c r="E1736" s="56"/>
      <c r="F1736" s="26"/>
      <c r="G1736" s="26"/>
      <c r="H1736" s="26"/>
      <c r="I1736" s="26"/>
      <c r="J1736" s="26"/>
      <c r="K1736" s="26"/>
      <c r="L1736" s="26"/>
      <c r="M1736" s="55"/>
      <c r="N1736" s="26"/>
    </row>
    <row r="1737" spans="1:14" ht="75" customHeight="1" thickTop="1" thickBot="1">
      <c r="A1737" s="34"/>
      <c r="B1737" s="34"/>
      <c r="C1737" s="57"/>
      <c r="D1737" s="56"/>
      <c r="E1737" s="56"/>
      <c r="F1737" s="26"/>
      <c r="G1737" s="26"/>
      <c r="H1737" s="26"/>
      <c r="I1737" s="26"/>
      <c r="J1737" s="26"/>
      <c r="K1737" s="26"/>
      <c r="L1737" s="26"/>
      <c r="M1737" s="55"/>
      <c r="N1737" s="26"/>
    </row>
    <row r="1738" spans="1:14" ht="75" customHeight="1" thickTop="1" thickBot="1">
      <c r="A1738" s="34"/>
      <c r="B1738" s="34"/>
      <c r="C1738" s="57"/>
      <c r="D1738" s="56"/>
      <c r="E1738" s="56"/>
      <c r="F1738" s="26"/>
      <c r="G1738" s="26"/>
      <c r="H1738" s="26"/>
      <c r="I1738" s="26"/>
      <c r="J1738" s="26"/>
      <c r="K1738" s="26"/>
      <c r="L1738" s="26"/>
      <c r="M1738" s="55"/>
      <c r="N1738" s="26"/>
    </row>
    <row r="1739" spans="1:14" ht="75" customHeight="1" thickTop="1" thickBot="1">
      <c r="A1739" s="34"/>
      <c r="B1739" s="34"/>
      <c r="C1739" s="57"/>
      <c r="D1739" s="56"/>
      <c r="E1739" s="56"/>
      <c r="F1739" s="26"/>
      <c r="G1739" s="26"/>
      <c r="H1739" s="26"/>
      <c r="I1739" s="26"/>
      <c r="J1739" s="26"/>
      <c r="K1739" s="26"/>
      <c r="L1739" s="26"/>
      <c r="M1739" s="55"/>
      <c r="N1739" s="26"/>
    </row>
    <row r="1740" spans="1:14" ht="75" customHeight="1" thickTop="1" thickBot="1">
      <c r="A1740" s="34"/>
      <c r="B1740" s="34"/>
      <c r="C1740" s="57"/>
      <c r="D1740" s="56"/>
      <c r="E1740" s="56"/>
      <c r="F1740" s="26"/>
      <c r="G1740" s="26"/>
      <c r="H1740" s="26"/>
      <c r="I1740" s="26"/>
      <c r="J1740" s="26"/>
      <c r="K1740" s="26"/>
      <c r="L1740" s="26"/>
      <c r="M1740" s="55"/>
      <c r="N1740" s="26"/>
    </row>
    <row r="1741" spans="1:14" ht="75" customHeight="1" thickTop="1" thickBot="1">
      <c r="A1741" s="34"/>
      <c r="B1741" s="34"/>
      <c r="C1741" s="57"/>
      <c r="D1741" s="56"/>
      <c r="E1741" s="56"/>
      <c r="F1741" s="26"/>
      <c r="G1741" s="26"/>
      <c r="H1741" s="26"/>
      <c r="I1741" s="26"/>
      <c r="J1741" s="26"/>
      <c r="K1741" s="26"/>
      <c r="L1741" s="26"/>
      <c r="M1741" s="55"/>
      <c r="N1741" s="26"/>
    </row>
    <row r="1742" spans="1:14" ht="75" customHeight="1" thickTop="1" thickBot="1">
      <c r="A1742" s="34"/>
      <c r="B1742" s="34"/>
      <c r="C1742" s="57"/>
      <c r="D1742" s="56"/>
      <c r="E1742" s="56"/>
      <c r="F1742" s="26"/>
      <c r="G1742" s="26"/>
      <c r="H1742" s="26"/>
      <c r="I1742" s="26"/>
      <c r="J1742" s="26"/>
      <c r="K1742" s="26"/>
      <c r="L1742" s="26"/>
      <c r="M1742" s="55"/>
      <c r="N1742" s="26"/>
    </row>
    <row r="1743" spans="1:14" ht="75" customHeight="1" thickTop="1" thickBot="1">
      <c r="A1743" s="34"/>
      <c r="B1743" s="34"/>
      <c r="C1743" s="57"/>
      <c r="D1743" s="56"/>
      <c r="E1743" s="56"/>
      <c r="F1743" s="26"/>
      <c r="G1743" s="26"/>
      <c r="H1743" s="26"/>
      <c r="I1743" s="26"/>
      <c r="J1743" s="26"/>
      <c r="K1743" s="26"/>
      <c r="L1743" s="26"/>
      <c r="M1743" s="55"/>
      <c r="N1743" s="26"/>
    </row>
    <row r="1744" spans="1:14" ht="75" customHeight="1" thickTop="1" thickBot="1">
      <c r="A1744" s="34"/>
      <c r="B1744" s="34"/>
      <c r="C1744" s="57"/>
      <c r="D1744" s="56"/>
      <c r="E1744" s="56"/>
      <c r="F1744" s="26"/>
      <c r="G1744" s="26"/>
      <c r="H1744" s="26"/>
      <c r="I1744" s="26"/>
      <c r="J1744" s="26"/>
      <c r="K1744" s="26"/>
      <c r="L1744" s="26"/>
      <c r="M1744" s="55"/>
      <c r="N1744" s="26"/>
    </row>
    <row r="1745" spans="1:14" ht="75" customHeight="1" thickTop="1" thickBot="1">
      <c r="A1745" s="34"/>
      <c r="B1745" s="34"/>
      <c r="C1745" s="57"/>
      <c r="D1745" s="56"/>
      <c r="E1745" s="56"/>
      <c r="F1745" s="26"/>
      <c r="G1745" s="26"/>
      <c r="H1745" s="26"/>
      <c r="I1745" s="26"/>
      <c r="J1745" s="26"/>
      <c r="K1745" s="26"/>
      <c r="L1745" s="26"/>
      <c r="M1745" s="55"/>
      <c r="N1745" s="26"/>
    </row>
    <row r="1746" spans="1:14" ht="75" customHeight="1" thickTop="1" thickBot="1">
      <c r="A1746" s="34"/>
      <c r="B1746" s="34"/>
      <c r="C1746" s="57"/>
      <c r="D1746" s="56"/>
      <c r="E1746" s="56"/>
      <c r="F1746" s="26"/>
      <c r="G1746" s="26"/>
      <c r="H1746" s="26"/>
      <c r="I1746" s="26"/>
      <c r="J1746" s="26"/>
      <c r="K1746" s="26"/>
      <c r="L1746" s="26"/>
      <c r="M1746" s="55"/>
      <c r="N1746" s="26"/>
    </row>
    <row r="1747" spans="1:14" ht="75" customHeight="1" thickTop="1" thickBot="1">
      <c r="A1747" s="34"/>
      <c r="B1747" s="34"/>
      <c r="C1747" s="57"/>
      <c r="D1747" s="56"/>
      <c r="E1747" s="56"/>
      <c r="F1747" s="26"/>
      <c r="G1747" s="26"/>
      <c r="H1747" s="26"/>
      <c r="I1747" s="26"/>
      <c r="J1747" s="26"/>
      <c r="K1747" s="26"/>
      <c r="L1747" s="26"/>
      <c r="M1747" s="55"/>
      <c r="N1747" s="26"/>
    </row>
    <row r="1748" spans="1:14" ht="75" customHeight="1" thickTop="1" thickBot="1">
      <c r="A1748" s="34"/>
      <c r="B1748" s="34"/>
      <c r="C1748" s="57"/>
      <c r="D1748" s="56"/>
      <c r="E1748" s="56"/>
      <c r="F1748" s="26"/>
      <c r="G1748" s="26"/>
      <c r="H1748" s="26"/>
      <c r="I1748" s="26"/>
      <c r="J1748" s="26"/>
      <c r="K1748" s="26"/>
      <c r="L1748" s="26"/>
      <c r="M1748" s="55"/>
      <c r="N1748" s="26"/>
    </row>
    <row r="1749" spans="1:14" ht="75" customHeight="1" thickTop="1" thickBot="1">
      <c r="A1749" s="34"/>
      <c r="B1749" s="34"/>
      <c r="C1749" s="57"/>
      <c r="D1749" s="56"/>
      <c r="E1749" s="56"/>
      <c r="F1749" s="26"/>
      <c r="G1749" s="26"/>
      <c r="H1749" s="26"/>
      <c r="I1749" s="26"/>
      <c r="J1749" s="26"/>
      <c r="K1749" s="26"/>
      <c r="L1749" s="26"/>
      <c r="M1749" s="55"/>
      <c r="N1749" s="26"/>
    </row>
    <row r="1750" spans="1:14" ht="75" customHeight="1" thickTop="1" thickBot="1">
      <c r="A1750" s="34"/>
      <c r="B1750" s="34"/>
      <c r="C1750" s="57"/>
      <c r="D1750" s="56"/>
      <c r="E1750" s="56"/>
      <c r="F1750" s="26"/>
      <c r="G1750" s="26"/>
      <c r="H1750" s="26"/>
      <c r="I1750" s="26"/>
      <c r="J1750" s="26"/>
      <c r="K1750" s="26"/>
      <c r="L1750" s="26"/>
      <c r="M1750" s="55"/>
      <c r="N1750" s="26"/>
    </row>
    <row r="1751" spans="1:14" ht="75" customHeight="1" thickTop="1" thickBot="1">
      <c r="A1751" s="34"/>
      <c r="B1751" s="34"/>
      <c r="C1751" s="57"/>
      <c r="D1751" s="56"/>
      <c r="E1751" s="56"/>
      <c r="F1751" s="26"/>
      <c r="G1751" s="26"/>
      <c r="H1751" s="26"/>
      <c r="I1751" s="26"/>
      <c r="J1751" s="26"/>
      <c r="K1751" s="26"/>
      <c r="L1751" s="26"/>
      <c r="M1751" s="55"/>
      <c r="N1751" s="26"/>
    </row>
    <row r="1752" spans="1:14" ht="75" customHeight="1" thickTop="1" thickBot="1">
      <c r="A1752" s="34"/>
      <c r="B1752" s="34"/>
      <c r="C1752" s="57"/>
      <c r="D1752" s="56"/>
      <c r="E1752" s="56"/>
      <c r="F1752" s="26"/>
      <c r="G1752" s="26"/>
      <c r="H1752" s="26"/>
      <c r="I1752" s="26"/>
      <c r="J1752" s="26"/>
      <c r="K1752" s="26"/>
      <c r="L1752" s="26"/>
      <c r="M1752" s="55"/>
      <c r="N1752" s="26"/>
    </row>
    <row r="1753" spans="1:14" ht="75" customHeight="1" thickTop="1" thickBot="1">
      <c r="A1753" s="34"/>
      <c r="B1753" s="34"/>
      <c r="C1753" s="57"/>
      <c r="D1753" s="56"/>
      <c r="E1753" s="56"/>
      <c r="F1753" s="26"/>
      <c r="G1753" s="26"/>
      <c r="H1753" s="26"/>
      <c r="I1753" s="26"/>
      <c r="J1753" s="26"/>
      <c r="K1753" s="26"/>
      <c r="L1753" s="26"/>
      <c r="M1753" s="55"/>
      <c r="N1753" s="26"/>
    </row>
    <row r="1754" spans="1:14" ht="75" customHeight="1" thickTop="1" thickBot="1">
      <c r="A1754" s="34"/>
      <c r="B1754" s="34"/>
      <c r="C1754" s="57"/>
      <c r="D1754" s="56"/>
      <c r="E1754" s="56"/>
      <c r="F1754" s="26"/>
      <c r="G1754" s="26"/>
      <c r="H1754" s="26"/>
      <c r="I1754" s="26"/>
      <c r="J1754" s="26"/>
      <c r="K1754" s="26"/>
      <c r="L1754" s="26"/>
      <c r="M1754" s="55"/>
      <c r="N1754" s="26"/>
    </row>
    <row r="1755" spans="1:14" ht="75" customHeight="1" thickTop="1" thickBot="1">
      <c r="A1755" s="34"/>
      <c r="B1755" s="34"/>
      <c r="C1755" s="57"/>
      <c r="D1755" s="56"/>
      <c r="E1755" s="56"/>
      <c r="F1755" s="26"/>
      <c r="G1755" s="26"/>
      <c r="H1755" s="26"/>
      <c r="I1755" s="26"/>
      <c r="J1755" s="26"/>
      <c r="K1755" s="26"/>
      <c r="L1755" s="26"/>
      <c r="M1755" s="55"/>
      <c r="N1755" s="26"/>
    </row>
    <row r="1756" spans="1:14" ht="75" customHeight="1" thickTop="1" thickBot="1">
      <c r="A1756" s="34"/>
      <c r="B1756" s="34"/>
      <c r="C1756" s="57"/>
      <c r="D1756" s="56"/>
      <c r="E1756" s="56"/>
      <c r="F1756" s="26"/>
      <c r="G1756" s="26"/>
      <c r="H1756" s="26"/>
      <c r="I1756" s="26"/>
      <c r="J1756" s="26"/>
      <c r="K1756" s="26"/>
      <c r="L1756" s="26"/>
      <c r="M1756" s="55"/>
      <c r="N1756" s="26"/>
    </row>
    <row r="1757" spans="1:14" ht="75" customHeight="1" thickTop="1" thickBot="1">
      <c r="A1757" s="34"/>
      <c r="B1757" s="34"/>
      <c r="C1757" s="57"/>
      <c r="D1757" s="56"/>
      <c r="E1757" s="56"/>
      <c r="F1757" s="26"/>
      <c r="G1757" s="26"/>
      <c r="H1757" s="26"/>
      <c r="I1757" s="26"/>
      <c r="J1757" s="26"/>
      <c r="K1757" s="26"/>
      <c r="L1757" s="26"/>
      <c r="M1757" s="55"/>
      <c r="N1757" s="26"/>
    </row>
    <row r="1758" spans="1:14" ht="75" customHeight="1" thickTop="1" thickBot="1">
      <c r="A1758" s="34"/>
      <c r="B1758" s="34"/>
      <c r="C1758" s="57"/>
      <c r="D1758" s="56"/>
      <c r="E1758" s="56"/>
      <c r="F1758" s="26"/>
      <c r="G1758" s="26"/>
      <c r="H1758" s="26"/>
      <c r="I1758" s="26"/>
      <c r="J1758" s="26"/>
      <c r="K1758" s="26"/>
      <c r="L1758" s="26"/>
      <c r="M1758" s="55"/>
      <c r="N1758" s="26"/>
    </row>
    <row r="1759" spans="1:14" ht="75" customHeight="1" thickTop="1" thickBot="1">
      <c r="A1759" s="34"/>
      <c r="B1759" s="34"/>
      <c r="C1759" s="57"/>
      <c r="D1759" s="56"/>
      <c r="E1759" s="56"/>
      <c r="F1759" s="26"/>
      <c r="G1759" s="26"/>
      <c r="H1759" s="26"/>
      <c r="I1759" s="26"/>
      <c r="J1759" s="26"/>
      <c r="K1759" s="26"/>
      <c r="L1759" s="26"/>
      <c r="M1759" s="55"/>
      <c r="N1759" s="26"/>
    </row>
    <row r="1760" spans="1:14" ht="75" customHeight="1" thickTop="1" thickBot="1">
      <c r="A1760" s="34"/>
      <c r="B1760" s="34"/>
      <c r="C1760" s="57"/>
      <c r="D1760" s="56"/>
      <c r="E1760" s="56"/>
      <c r="F1760" s="26"/>
      <c r="G1760" s="26"/>
      <c r="H1760" s="26"/>
      <c r="I1760" s="26"/>
      <c r="J1760" s="26"/>
      <c r="K1760" s="26"/>
      <c r="L1760" s="26"/>
      <c r="M1760" s="55"/>
      <c r="N1760" s="26"/>
    </row>
    <row r="1761" spans="1:14" ht="75" customHeight="1" thickTop="1" thickBot="1">
      <c r="A1761" s="34"/>
      <c r="B1761" s="34"/>
      <c r="C1761" s="57"/>
      <c r="D1761" s="56"/>
      <c r="E1761" s="56"/>
      <c r="F1761" s="26"/>
      <c r="G1761" s="26"/>
      <c r="H1761" s="26"/>
      <c r="I1761" s="26"/>
      <c r="J1761" s="26"/>
      <c r="K1761" s="26"/>
      <c r="L1761" s="26"/>
      <c r="M1761" s="55"/>
      <c r="N1761" s="26"/>
    </row>
    <row r="1762" spans="1:14" ht="75" customHeight="1" thickTop="1" thickBot="1">
      <c r="A1762" s="34"/>
      <c r="B1762" s="34"/>
      <c r="C1762" s="57"/>
      <c r="D1762" s="56"/>
      <c r="E1762" s="56"/>
      <c r="F1762" s="26"/>
      <c r="G1762" s="26"/>
      <c r="H1762" s="26"/>
      <c r="I1762" s="26"/>
      <c r="J1762" s="26"/>
      <c r="K1762" s="26"/>
      <c r="L1762" s="26"/>
      <c r="M1762" s="55"/>
      <c r="N1762" s="26"/>
    </row>
    <row r="1763" spans="1:14" ht="75" customHeight="1" thickTop="1" thickBot="1">
      <c r="A1763" s="34"/>
      <c r="B1763" s="34"/>
      <c r="C1763" s="57"/>
      <c r="D1763" s="56"/>
      <c r="E1763" s="56"/>
      <c r="F1763" s="26"/>
      <c r="G1763" s="26"/>
      <c r="H1763" s="26"/>
      <c r="I1763" s="26"/>
      <c r="J1763" s="26"/>
      <c r="K1763" s="26"/>
      <c r="L1763" s="26"/>
      <c r="M1763" s="55"/>
      <c r="N1763" s="26"/>
    </row>
    <row r="1764" spans="1:14" ht="75" customHeight="1" thickTop="1" thickBot="1">
      <c r="A1764" s="34"/>
      <c r="B1764" s="34"/>
      <c r="C1764" s="57"/>
      <c r="D1764" s="56"/>
      <c r="E1764" s="56"/>
      <c r="F1764" s="26"/>
      <c r="G1764" s="26"/>
      <c r="H1764" s="26"/>
      <c r="I1764" s="26"/>
      <c r="J1764" s="26"/>
      <c r="K1764" s="26"/>
      <c r="L1764" s="26"/>
      <c r="M1764" s="55"/>
      <c r="N1764" s="26"/>
    </row>
    <row r="1765" spans="1:14" ht="75" customHeight="1" thickTop="1" thickBot="1">
      <c r="A1765" s="34"/>
      <c r="B1765" s="34"/>
      <c r="C1765" s="57"/>
      <c r="D1765" s="56"/>
      <c r="E1765" s="56"/>
      <c r="F1765" s="26"/>
      <c r="G1765" s="26"/>
      <c r="H1765" s="26"/>
      <c r="I1765" s="26"/>
      <c r="J1765" s="26"/>
      <c r="K1765" s="26"/>
      <c r="L1765" s="26"/>
      <c r="M1765" s="55"/>
      <c r="N1765" s="26"/>
    </row>
    <row r="1766" spans="1:14" ht="75" customHeight="1" thickTop="1" thickBot="1">
      <c r="A1766" s="34"/>
      <c r="B1766" s="34"/>
      <c r="C1766" s="57"/>
      <c r="D1766" s="56"/>
      <c r="E1766" s="56"/>
      <c r="F1766" s="26"/>
      <c r="G1766" s="26"/>
      <c r="H1766" s="26"/>
      <c r="I1766" s="26"/>
      <c r="J1766" s="26"/>
      <c r="K1766" s="26"/>
      <c r="L1766" s="26"/>
      <c r="M1766" s="55"/>
      <c r="N1766" s="26"/>
    </row>
    <row r="1767" spans="1:14" ht="75" customHeight="1" thickTop="1" thickBot="1">
      <c r="A1767" s="34"/>
      <c r="B1767" s="34"/>
      <c r="C1767" s="57"/>
      <c r="D1767" s="56"/>
      <c r="E1767" s="56"/>
      <c r="F1767" s="26"/>
      <c r="G1767" s="26"/>
      <c r="H1767" s="26"/>
      <c r="I1767" s="26"/>
      <c r="J1767" s="26"/>
      <c r="K1767" s="26"/>
      <c r="L1767" s="26"/>
      <c r="M1767" s="55"/>
      <c r="N1767" s="26"/>
    </row>
    <row r="1768" spans="1:14" ht="75" customHeight="1" thickTop="1" thickBot="1">
      <c r="A1768" s="34"/>
      <c r="B1768" s="34"/>
      <c r="C1768" s="57"/>
      <c r="D1768" s="56"/>
      <c r="E1768" s="56"/>
      <c r="F1768" s="26"/>
      <c r="G1768" s="26"/>
      <c r="H1768" s="26"/>
      <c r="I1768" s="26"/>
      <c r="J1768" s="26"/>
      <c r="K1768" s="26"/>
      <c r="L1768" s="26"/>
      <c r="M1768" s="55"/>
      <c r="N1768" s="26"/>
    </row>
    <row r="1769" spans="1:14" ht="75" customHeight="1" thickTop="1" thickBot="1">
      <c r="A1769" s="34"/>
      <c r="B1769" s="34"/>
      <c r="C1769" s="57"/>
      <c r="D1769" s="56"/>
      <c r="E1769" s="56"/>
      <c r="F1769" s="26"/>
      <c r="G1769" s="26"/>
      <c r="H1769" s="26"/>
      <c r="I1769" s="26"/>
      <c r="J1769" s="26"/>
      <c r="K1769" s="26"/>
      <c r="L1769" s="26"/>
      <c r="M1769" s="55"/>
      <c r="N1769" s="26"/>
    </row>
    <row r="1770" spans="1:14" ht="75" customHeight="1" thickTop="1" thickBot="1">
      <c r="A1770" s="34"/>
      <c r="B1770" s="34"/>
      <c r="C1770" s="57"/>
      <c r="D1770" s="56"/>
      <c r="E1770" s="56"/>
      <c r="F1770" s="26"/>
      <c r="G1770" s="26"/>
      <c r="H1770" s="26"/>
      <c r="I1770" s="26"/>
      <c r="J1770" s="26"/>
      <c r="K1770" s="26"/>
      <c r="L1770" s="26"/>
      <c r="M1770" s="55"/>
      <c r="N1770" s="26"/>
    </row>
    <row r="1771" spans="1:14" ht="75" customHeight="1" thickTop="1" thickBot="1">
      <c r="A1771" s="34"/>
      <c r="B1771" s="34"/>
      <c r="C1771" s="57"/>
      <c r="D1771" s="56"/>
      <c r="E1771" s="56"/>
      <c r="F1771" s="26"/>
      <c r="G1771" s="26"/>
      <c r="H1771" s="26"/>
      <c r="I1771" s="26"/>
      <c r="J1771" s="26"/>
      <c r="K1771" s="26"/>
      <c r="L1771" s="26"/>
      <c r="M1771" s="55"/>
      <c r="N1771" s="26"/>
    </row>
    <row r="1772" spans="1:14" ht="75" customHeight="1" thickTop="1" thickBot="1">
      <c r="A1772" s="34"/>
      <c r="B1772" s="34"/>
      <c r="C1772" s="57"/>
      <c r="D1772" s="56"/>
      <c r="E1772" s="56"/>
      <c r="F1772" s="26"/>
      <c r="G1772" s="26"/>
      <c r="H1772" s="26"/>
      <c r="I1772" s="26"/>
      <c r="J1772" s="26"/>
      <c r="K1772" s="26"/>
      <c r="L1772" s="26"/>
      <c r="M1772" s="55"/>
      <c r="N1772" s="26"/>
    </row>
    <row r="1773" spans="1:14" ht="75" customHeight="1" thickTop="1" thickBot="1">
      <c r="A1773" s="34"/>
      <c r="B1773" s="34"/>
      <c r="C1773" s="57"/>
      <c r="D1773" s="56"/>
      <c r="E1773" s="56"/>
      <c r="F1773" s="26"/>
      <c r="G1773" s="26"/>
      <c r="H1773" s="26"/>
      <c r="I1773" s="26"/>
      <c r="J1773" s="26"/>
      <c r="K1773" s="26"/>
      <c r="L1773" s="26"/>
      <c r="M1773" s="55"/>
      <c r="N1773" s="26"/>
    </row>
    <row r="1774" spans="1:14" ht="75" customHeight="1" thickTop="1" thickBot="1">
      <c r="A1774" s="34"/>
      <c r="B1774" s="34"/>
      <c r="C1774" s="57"/>
      <c r="D1774" s="56"/>
      <c r="E1774" s="56"/>
      <c r="F1774" s="26"/>
      <c r="G1774" s="26"/>
      <c r="H1774" s="26"/>
      <c r="I1774" s="26"/>
      <c r="J1774" s="26"/>
      <c r="K1774" s="26"/>
      <c r="L1774" s="26"/>
      <c r="M1774" s="55"/>
      <c r="N1774" s="26"/>
    </row>
    <row r="1775" spans="1:14" ht="75" customHeight="1" thickTop="1" thickBot="1">
      <c r="A1775" s="34"/>
      <c r="B1775" s="34"/>
      <c r="C1775" s="57"/>
      <c r="D1775" s="56"/>
      <c r="E1775" s="56"/>
      <c r="F1775" s="26"/>
      <c r="G1775" s="26"/>
      <c r="H1775" s="26"/>
      <c r="I1775" s="26"/>
      <c r="J1775" s="26"/>
      <c r="K1775" s="26"/>
      <c r="L1775" s="26"/>
      <c r="M1775" s="55"/>
      <c r="N1775" s="26"/>
    </row>
    <row r="1776" spans="1:14" ht="75" customHeight="1" thickTop="1" thickBot="1">
      <c r="A1776" s="34"/>
      <c r="B1776" s="34"/>
      <c r="C1776" s="57"/>
      <c r="D1776" s="56"/>
      <c r="E1776" s="56"/>
      <c r="F1776" s="26"/>
      <c r="G1776" s="26"/>
      <c r="H1776" s="26"/>
      <c r="I1776" s="26"/>
      <c r="J1776" s="26"/>
      <c r="K1776" s="26"/>
      <c r="L1776" s="26"/>
      <c r="M1776" s="55"/>
      <c r="N1776" s="26"/>
    </row>
    <row r="1777" spans="1:14" ht="75" customHeight="1" thickTop="1" thickBot="1">
      <c r="A1777" s="34"/>
      <c r="B1777" s="34"/>
      <c r="C1777" s="57"/>
      <c r="D1777" s="56"/>
      <c r="E1777" s="56"/>
      <c r="F1777" s="26"/>
      <c r="G1777" s="26"/>
      <c r="H1777" s="26"/>
      <c r="I1777" s="26"/>
      <c r="J1777" s="26"/>
      <c r="K1777" s="26"/>
      <c r="L1777" s="26"/>
      <c r="M1777" s="55"/>
      <c r="N1777" s="26"/>
    </row>
    <row r="1778" spans="1:14" ht="75" customHeight="1" thickTop="1" thickBot="1">
      <c r="A1778" s="34"/>
      <c r="B1778" s="34"/>
      <c r="C1778" s="57"/>
      <c r="D1778" s="56"/>
      <c r="E1778" s="56"/>
      <c r="F1778" s="26"/>
      <c r="G1778" s="26"/>
      <c r="H1778" s="26"/>
      <c r="I1778" s="26"/>
      <c r="J1778" s="26"/>
      <c r="K1778" s="26"/>
      <c r="L1778" s="26"/>
      <c r="M1778" s="55"/>
      <c r="N1778" s="26"/>
    </row>
    <row r="1779" spans="1:14" ht="75" customHeight="1" thickTop="1" thickBot="1">
      <c r="A1779" s="34"/>
      <c r="B1779" s="34"/>
      <c r="C1779" s="57"/>
      <c r="D1779" s="56"/>
      <c r="E1779" s="56"/>
      <c r="F1779" s="26"/>
      <c r="G1779" s="26"/>
      <c r="H1779" s="26"/>
      <c r="I1779" s="26"/>
      <c r="J1779" s="26"/>
      <c r="K1779" s="26"/>
      <c r="L1779" s="26"/>
      <c r="M1779" s="55"/>
      <c r="N1779" s="26"/>
    </row>
    <row r="1780" spans="1:14" ht="75" customHeight="1" thickTop="1" thickBot="1">
      <c r="A1780" s="34"/>
      <c r="B1780" s="34"/>
      <c r="C1780" s="57"/>
      <c r="D1780" s="56"/>
      <c r="E1780" s="56"/>
      <c r="F1780" s="26"/>
      <c r="G1780" s="26"/>
      <c r="H1780" s="26"/>
      <c r="I1780" s="26"/>
      <c r="J1780" s="26"/>
      <c r="K1780" s="26"/>
      <c r="L1780" s="26"/>
      <c r="M1780" s="55"/>
      <c r="N1780" s="26"/>
    </row>
    <row r="1781" spans="1:14" ht="75" customHeight="1" thickTop="1" thickBot="1">
      <c r="A1781" s="34"/>
      <c r="B1781" s="34"/>
      <c r="C1781" s="57"/>
      <c r="D1781" s="56"/>
      <c r="E1781" s="56"/>
      <c r="F1781" s="26"/>
      <c r="G1781" s="26"/>
      <c r="H1781" s="26"/>
      <c r="I1781" s="26"/>
      <c r="J1781" s="26"/>
      <c r="K1781" s="26"/>
      <c r="L1781" s="26"/>
      <c r="M1781" s="55"/>
      <c r="N1781" s="26"/>
    </row>
    <row r="1782" spans="1:14" ht="75" customHeight="1" thickTop="1" thickBot="1">
      <c r="A1782" s="34"/>
      <c r="B1782" s="34"/>
      <c r="C1782" s="57"/>
      <c r="D1782" s="56"/>
      <c r="E1782" s="56"/>
      <c r="F1782" s="26"/>
      <c r="G1782" s="26"/>
      <c r="H1782" s="26"/>
      <c r="I1782" s="26"/>
      <c r="J1782" s="26"/>
      <c r="K1782" s="26"/>
      <c r="L1782" s="26"/>
      <c r="M1782" s="55"/>
      <c r="N1782" s="26"/>
    </row>
    <row r="1783" spans="1:14" ht="75" customHeight="1" thickTop="1" thickBot="1">
      <c r="A1783" s="34"/>
      <c r="B1783" s="34"/>
      <c r="C1783" s="57"/>
      <c r="D1783" s="56"/>
      <c r="E1783" s="56"/>
      <c r="F1783" s="26"/>
      <c r="G1783" s="26"/>
      <c r="H1783" s="26"/>
      <c r="I1783" s="26"/>
      <c r="J1783" s="26"/>
      <c r="K1783" s="26"/>
      <c r="L1783" s="26"/>
      <c r="M1783" s="55"/>
      <c r="N1783" s="26"/>
    </row>
    <row r="1784" spans="1:14" ht="75" customHeight="1" thickTop="1" thickBot="1">
      <c r="A1784" s="34"/>
      <c r="B1784" s="34"/>
      <c r="C1784" s="57"/>
      <c r="D1784" s="56"/>
      <c r="E1784" s="56"/>
      <c r="F1784" s="26"/>
      <c r="G1784" s="26"/>
      <c r="H1784" s="26"/>
      <c r="I1784" s="26"/>
      <c r="J1784" s="26"/>
      <c r="K1784" s="26"/>
      <c r="L1784" s="26"/>
      <c r="M1784" s="55"/>
      <c r="N1784" s="26"/>
    </row>
    <row r="1785" spans="1:14" ht="75" customHeight="1" thickTop="1" thickBot="1">
      <c r="A1785" s="34"/>
      <c r="B1785" s="34"/>
      <c r="C1785" s="57"/>
      <c r="D1785" s="56"/>
      <c r="E1785" s="56"/>
      <c r="F1785" s="26"/>
      <c r="G1785" s="26"/>
      <c r="H1785" s="26"/>
      <c r="I1785" s="26"/>
      <c r="J1785" s="26"/>
      <c r="K1785" s="26"/>
      <c r="L1785" s="26"/>
      <c r="M1785" s="55"/>
      <c r="N1785" s="26"/>
    </row>
    <row r="1786" spans="1:14" ht="75" customHeight="1" thickTop="1" thickBot="1">
      <c r="A1786" s="34"/>
      <c r="B1786" s="34"/>
      <c r="C1786" s="57"/>
      <c r="D1786" s="56"/>
      <c r="E1786" s="56"/>
      <c r="F1786" s="26"/>
      <c r="G1786" s="26"/>
      <c r="H1786" s="26"/>
      <c r="I1786" s="26"/>
      <c r="J1786" s="26"/>
      <c r="K1786" s="26"/>
      <c r="L1786" s="26"/>
      <c r="M1786" s="55"/>
      <c r="N1786" s="26"/>
    </row>
    <row r="1787" spans="1:14" ht="75" customHeight="1" thickTop="1" thickBot="1">
      <c r="A1787" s="34"/>
      <c r="B1787" s="34"/>
      <c r="C1787" s="57"/>
      <c r="D1787" s="56"/>
      <c r="E1787" s="56"/>
      <c r="F1787" s="26"/>
      <c r="G1787" s="26"/>
      <c r="H1787" s="26"/>
      <c r="I1787" s="26"/>
      <c r="J1787" s="26"/>
      <c r="K1787" s="26"/>
      <c r="L1787" s="26"/>
      <c r="M1787" s="55"/>
      <c r="N1787" s="26"/>
    </row>
    <row r="1788" spans="1:14" ht="75" customHeight="1" thickTop="1" thickBot="1">
      <c r="A1788" s="34"/>
      <c r="B1788" s="34"/>
      <c r="C1788" s="57"/>
      <c r="D1788" s="56"/>
      <c r="E1788" s="56"/>
      <c r="F1788" s="26"/>
      <c r="G1788" s="26"/>
      <c r="H1788" s="26"/>
      <c r="I1788" s="26"/>
      <c r="J1788" s="26"/>
      <c r="K1788" s="26"/>
      <c r="L1788" s="26"/>
      <c r="M1788" s="55"/>
      <c r="N1788" s="26"/>
    </row>
    <row r="1789" spans="1:14" ht="75" customHeight="1" thickTop="1" thickBot="1">
      <c r="A1789" s="34"/>
      <c r="B1789" s="34"/>
      <c r="C1789" s="57"/>
      <c r="D1789" s="56"/>
      <c r="E1789" s="56"/>
      <c r="F1789" s="26"/>
      <c r="G1789" s="26"/>
      <c r="H1789" s="26"/>
      <c r="I1789" s="26"/>
      <c r="J1789" s="26"/>
      <c r="K1789" s="26"/>
      <c r="L1789" s="26"/>
      <c r="M1789" s="55"/>
      <c r="N1789" s="26"/>
    </row>
    <row r="1790" spans="1:14" ht="75" customHeight="1" thickTop="1" thickBot="1">
      <c r="A1790" s="34"/>
      <c r="B1790" s="34"/>
      <c r="C1790" s="57"/>
      <c r="D1790" s="56"/>
      <c r="E1790" s="56"/>
      <c r="F1790" s="26"/>
      <c r="G1790" s="26"/>
      <c r="H1790" s="26"/>
      <c r="I1790" s="26"/>
      <c r="J1790" s="26"/>
      <c r="K1790" s="26"/>
      <c r="L1790" s="26"/>
      <c r="M1790" s="55"/>
      <c r="N1790" s="26"/>
    </row>
    <row r="1791" spans="1:14" ht="75" customHeight="1" thickTop="1" thickBot="1">
      <c r="A1791" s="34"/>
      <c r="B1791" s="34"/>
      <c r="C1791" s="57"/>
      <c r="D1791" s="56"/>
      <c r="E1791" s="56"/>
      <c r="F1791" s="26"/>
      <c r="G1791" s="26"/>
      <c r="H1791" s="26"/>
      <c r="I1791" s="26"/>
      <c r="J1791" s="26"/>
      <c r="K1791" s="26"/>
      <c r="L1791" s="26"/>
      <c r="M1791" s="55"/>
      <c r="N1791" s="26"/>
    </row>
    <row r="1792" spans="1:14" ht="75" customHeight="1" thickTop="1" thickBot="1">
      <c r="A1792" s="34"/>
      <c r="B1792" s="34"/>
      <c r="C1792" s="57"/>
      <c r="D1792" s="56"/>
      <c r="E1792" s="56"/>
      <c r="F1792" s="26"/>
      <c r="G1792" s="26"/>
      <c r="H1792" s="26"/>
      <c r="I1792" s="26"/>
      <c r="J1792" s="26"/>
      <c r="K1792" s="26"/>
      <c r="L1792" s="26"/>
      <c r="M1792" s="55"/>
      <c r="N1792" s="26"/>
    </row>
    <row r="1793" spans="1:14" ht="75" customHeight="1" thickTop="1" thickBot="1">
      <c r="A1793" s="34"/>
      <c r="B1793" s="34"/>
      <c r="C1793" s="57"/>
      <c r="D1793" s="56"/>
      <c r="E1793" s="56"/>
      <c r="F1793" s="26"/>
      <c r="G1793" s="26"/>
      <c r="H1793" s="26"/>
      <c r="I1793" s="26"/>
      <c r="J1793" s="26"/>
      <c r="K1793" s="26"/>
      <c r="L1793" s="26"/>
      <c r="M1793" s="55"/>
      <c r="N1793" s="26"/>
    </row>
    <row r="1794" spans="1:14" ht="75" customHeight="1" thickTop="1" thickBot="1">
      <c r="A1794" s="34"/>
      <c r="B1794" s="34"/>
      <c r="C1794" s="57"/>
      <c r="D1794" s="56"/>
      <c r="E1794" s="56"/>
      <c r="F1794" s="26"/>
      <c r="G1794" s="26"/>
      <c r="H1794" s="26"/>
      <c r="I1794" s="26"/>
      <c r="J1794" s="26"/>
      <c r="K1794" s="26"/>
      <c r="L1794" s="26"/>
      <c r="M1794" s="55"/>
      <c r="N1794" s="26"/>
    </row>
    <row r="1795" spans="1:14" ht="75" customHeight="1" thickTop="1" thickBot="1">
      <c r="A1795" s="34"/>
      <c r="B1795" s="34"/>
      <c r="C1795" s="57"/>
      <c r="D1795" s="56"/>
      <c r="E1795" s="56"/>
      <c r="F1795" s="26"/>
      <c r="G1795" s="26"/>
      <c r="H1795" s="26"/>
      <c r="I1795" s="26"/>
      <c r="J1795" s="26"/>
      <c r="K1795" s="26"/>
      <c r="L1795" s="26"/>
      <c r="M1795" s="55"/>
      <c r="N1795" s="26"/>
    </row>
    <row r="1796" spans="1:14" ht="75" customHeight="1" thickTop="1" thickBot="1">
      <c r="A1796" s="34"/>
      <c r="B1796" s="34"/>
      <c r="C1796" s="57"/>
      <c r="D1796" s="56"/>
      <c r="E1796" s="56"/>
      <c r="F1796" s="26"/>
      <c r="G1796" s="26"/>
      <c r="H1796" s="26"/>
      <c r="I1796" s="26"/>
      <c r="J1796" s="26"/>
      <c r="K1796" s="26"/>
      <c r="L1796" s="26"/>
      <c r="M1796" s="55"/>
      <c r="N1796" s="26"/>
    </row>
    <row r="1797" spans="1:14" ht="75" customHeight="1" thickTop="1" thickBot="1">
      <c r="A1797" s="34"/>
      <c r="B1797" s="34"/>
      <c r="C1797" s="57"/>
      <c r="D1797" s="56"/>
      <c r="E1797" s="56"/>
      <c r="F1797" s="26"/>
      <c r="G1797" s="26"/>
      <c r="H1797" s="26"/>
      <c r="I1797" s="26"/>
      <c r="J1797" s="26"/>
      <c r="K1797" s="26"/>
      <c r="L1797" s="26"/>
      <c r="M1797" s="55"/>
      <c r="N1797" s="26"/>
    </row>
    <row r="1798" spans="1:14" ht="75" customHeight="1" thickTop="1" thickBot="1">
      <c r="A1798" s="34"/>
      <c r="B1798" s="34"/>
      <c r="C1798" s="57"/>
      <c r="D1798" s="56"/>
      <c r="E1798" s="56"/>
      <c r="F1798" s="26"/>
      <c r="G1798" s="26"/>
      <c r="H1798" s="26"/>
      <c r="I1798" s="26"/>
      <c r="J1798" s="26"/>
      <c r="K1798" s="26"/>
      <c r="L1798" s="26"/>
      <c r="M1798" s="55"/>
      <c r="N1798" s="26"/>
    </row>
    <row r="1799" spans="1:14" ht="75" customHeight="1" thickTop="1" thickBot="1">
      <c r="A1799" s="34"/>
      <c r="B1799" s="34"/>
      <c r="C1799" s="57"/>
      <c r="D1799" s="56"/>
      <c r="E1799" s="56"/>
      <c r="F1799" s="26"/>
      <c r="G1799" s="26"/>
      <c r="H1799" s="26"/>
      <c r="I1799" s="26"/>
      <c r="J1799" s="26"/>
      <c r="K1799" s="26"/>
      <c r="L1799" s="26"/>
      <c r="M1799" s="55"/>
      <c r="N1799" s="26"/>
    </row>
    <row r="1800" spans="1:14" ht="75" customHeight="1" thickTop="1" thickBot="1">
      <c r="A1800" s="34"/>
      <c r="B1800" s="34"/>
      <c r="C1800" s="57"/>
      <c r="D1800" s="56"/>
      <c r="E1800" s="56"/>
      <c r="F1800" s="26"/>
      <c r="G1800" s="26"/>
      <c r="H1800" s="26"/>
      <c r="I1800" s="26"/>
      <c r="J1800" s="26"/>
      <c r="K1800" s="26"/>
      <c r="L1800" s="26"/>
      <c r="M1800" s="55"/>
      <c r="N1800" s="26"/>
    </row>
    <row r="1801" spans="1:14" ht="75" customHeight="1" thickTop="1" thickBot="1">
      <c r="A1801" s="34"/>
      <c r="B1801" s="34"/>
      <c r="C1801" s="57"/>
      <c r="D1801" s="56"/>
      <c r="E1801" s="56"/>
      <c r="F1801" s="26"/>
      <c r="G1801" s="26"/>
      <c r="H1801" s="26"/>
      <c r="I1801" s="26"/>
      <c r="J1801" s="26"/>
      <c r="K1801" s="26"/>
      <c r="L1801" s="26"/>
      <c r="M1801" s="55"/>
      <c r="N1801" s="26"/>
    </row>
    <row r="1802" spans="1:14" ht="75" customHeight="1" thickTop="1" thickBot="1">
      <c r="A1802" s="34"/>
      <c r="B1802" s="34"/>
      <c r="C1802" s="57"/>
      <c r="D1802" s="56"/>
      <c r="E1802" s="56"/>
      <c r="F1802" s="26"/>
      <c r="G1802" s="26"/>
      <c r="H1802" s="26"/>
      <c r="I1802" s="26"/>
      <c r="J1802" s="26"/>
      <c r="K1802" s="26"/>
      <c r="L1802" s="26"/>
      <c r="M1802" s="55"/>
      <c r="N1802" s="26"/>
    </row>
    <row r="1803" spans="1:14" ht="75" customHeight="1" thickTop="1" thickBot="1">
      <c r="A1803" s="34"/>
      <c r="B1803" s="34"/>
      <c r="C1803" s="57"/>
      <c r="D1803" s="56"/>
      <c r="E1803" s="56"/>
      <c r="F1803" s="26"/>
      <c r="G1803" s="26"/>
      <c r="H1803" s="26"/>
      <c r="I1803" s="26"/>
      <c r="J1803" s="26"/>
      <c r="K1803" s="26"/>
      <c r="L1803" s="26"/>
      <c r="M1803" s="55"/>
      <c r="N1803" s="26"/>
    </row>
    <row r="1804" spans="1:14" ht="75" customHeight="1" thickTop="1" thickBot="1">
      <c r="A1804" s="34"/>
      <c r="B1804" s="34"/>
      <c r="C1804" s="57"/>
      <c r="D1804" s="56"/>
      <c r="E1804" s="56"/>
      <c r="F1804" s="26"/>
      <c r="G1804" s="26"/>
      <c r="H1804" s="26"/>
      <c r="I1804" s="26"/>
      <c r="J1804" s="26"/>
      <c r="K1804" s="26"/>
      <c r="L1804" s="26"/>
      <c r="M1804" s="55"/>
      <c r="N1804" s="26"/>
    </row>
    <row r="1805" spans="1:14" ht="75" customHeight="1" thickTop="1" thickBot="1">
      <c r="A1805" s="34"/>
      <c r="B1805" s="34"/>
      <c r="C1805" s="57"/>
      <c r="D1805" s="56"/>
      <c r="E1805" s="56"/>
      <c r="F1805" s="26"/>
      <c r="G1805" s="26"/>
      <c r="H1805" s="26"/>
      <c r="I1805" s="26"/>
      <c r="J1805" s="26"/>
      <c r="K1805" s="26"/>
      <c r="L1805" s="26"/>
      <c r="M1805" s="55"/>
      <c r="N1805" s="26"/>
    </row>
    <row r="1806" spans="1:14" ht="75" customHeight="1" thickTop="1" thickBot="1">
      <c r="A1806" s="34"/>
      <c r="B1806" s="34"/>
      <c r="C1806" s="57"/>
      <c r="D1806" s="56"/>
      <c r="E1806" s="56"/>
      <c r="F1806" s="26"/>
      <c r="G1806" s="26"/>
      <c r="H1806" s="26"/>
      <c r="I1806" s="26"/>
      <c r="J1806" s="26"/>
      <c r="K1806" s="26"/>
      <c r="L1806" s="26"/>
      <c r="M1806" s="55"/>
      <c r="N1806" s="26"/>
    </row>
    <row r="1807" spans="1:14" ht="75" customHeight="1" thickTop="1" thickBot="1">
      <c r="A1807" s="34"/>
      <c r="B1807" s="34"/>
      <c r="C1807" s="57"/>
      <c r="D1807" s="56"/>
      <c r="E1807" s="56"/>
      <c r="F1807" s="26"/>
      <c r="G1807" s="26"/>
      <c r="H1807" s="26"/>
      <c r="I1807" s="26"/>
      <c r="J1807" s="26"/>
      <c r="K1807" s="26"/>
      <c r="L1807" s="26"/>
      <c r="M1807" s="55"/>
      <c r="N1807" s="26"/>
    </row>
    <row r="1808" spans="1:14" ht="75" customHeight="1" thickTop="1" thickBot="1">
      <c r="A1808" s="34"/>
      <c r="B1808" s="34"/>
      <c r="C1808" s="57"/>
      <c r="D1808" s="56"/>
      <c r="E1808" s="56"/>
      <c r="F1808" s="26"/>
      <c r="G1808" s="26"/>
      <c r="H1808" s="26"/>
      <c r="I1808" s="26"/>
      <c r="J1808" s="26"/>
      <c r="K1808" s="26"/>
      <c r="L1808" s="26"/>
      <c r="M1808" s="55"/>
      <c r="N1808" s="26"/>
    </row>
    <row r="1809" spans="1:14" ht="75" customHeight="1" thickTop="1" thickBot="1">
      <c r="A1809" s="34"/>
      <c r="B1809" s="34"/>
      <c r="C1809" s="57"/>
      <c r="D1809" s="56"/>
      <c r="E1809" s="56"/>
      <c r="F1809" s="26"/>
      <c r="G1809" s="26"/>
      <c r="H1809" s="26"/>
      <c r="I1809" s="26"/>
      <c r="J1809" s="26"/>
      <c r="K1809" s="26"/>
      <c r="L1809" s="26"/>
      <c r="M1809" s="55"/>
      <c r="N1809" s="26"/>
    </row>
    <row r="1810" spans="1:14" ht="75" customHeight="1" thickTop="1" thickBot="1">
      <c r="A1810" s="34"/>
      <c r="B1810" s="34"/>
      <c r="C1810" s="57"/>
      <c r="D1810" s="56"/>
      <c r="E1810" s="56"/>
      <c r="F1810" s="26"/>
      <c r="G1810" s="26"/>
      <c r="H1810" s="26"/>
      <c r="I1810" s="26"/>
      <c r="J1810" s="26"/>
      <c r="K1810" s="26"/>
      <c r="L1810" s="26"/>
      <c r="M1810" s="55"/>
      <c r="N1810" s="26"/>
    </row>
    <row r="1811" spans="1:14" ht="75" customHeight="1" thickTop="1" thickBot="1">
      <c r="A1811" s="34"/>
      <c r="B1811" s="34"/>
      <c r="C1811" s="57"/>
      <c r="D1811" s="56"/>
      <c r="E1811" s="56"/>
      <c r="F1811" s="26"/>
      <c r="G1811" s="26"/>
      <c r="H1811" s="26"/>
      <c r="I1811" s="26"/>
      <c r="J1811" s="26"/>
      <c r="K1811" s="26"/>
      <c r="L1811" s="26"/>
      <c r="M1811" s="55"/>
      <c r="N1811" s="26"/>
    </row>
    <row r="1812" spans="1:14" ht="75" customHeight="1" thickTop="1" thickBot="1">
      <c r="A1812" s="34"/>
      <c r="B1812" s="34"/>
      <c r="C1812" s="57"/>
      <c r="D1812" s="56"/>
      <c r="E1812" s="56"/>
      <c r="F1812" s="26"/>
      <c r="G1812" s="26"/>
      <c r="H1812" s="26"/>
      <c r="I1812" s="26"/>
      <c r="J1812" s="26"/>
      <c r="K1812" s="26"/>
      <c r="L1812" s="26"/>
      <c r="M1812" s="55"/>
      <c r="N1812" s="26"/>
    </row>
    <row r="1813" spans="1:14" ht="75" customHeight="1" thickTop="1" thickBot="1">
      <c r="A1813" s="34"/>
      <c r="B1813" s="34"/>
      <c r="C1813" s="57"/>
      <c r="D1813" s="56"/>
      <c r="E1813" s="56"/>
      <c r="F1813" s="26"/>
      <c r="G1813" s="26"/>
      <c r="H1813" s="26"/>
      <c r="I1813" s="26"/>
      <c r="J1813" s="26"/>
      <c r="K1813" s="26"/>
      <c r="L1813" s="26"/>
      <c r="M1813" s="55"/>
      <c r="N1813" s="26"/>
    </row>
    <row r="1814" spans="1:14" ht="75" customHeight="1" thickTop="1" thickBot="1">
      <c r="A1814" s="34"/>
      <c r="B1814" s="34"/>
      <c r="C1814" s="57"/>
      <c r="D1814" s="56"/>
      <c r="E1814" s="56"/>
      <c r="F1814" s="26"/>
      <c r="G1814" s="26"/>
      <c r="H1814" s="26"/>
      <c r="I1814" s="26"/>
      <c r="J1814" s="26"/>
      <c r="K1814" s="26"/>
      <c r="L1814" s="26"/>
      <c r="M1814" s="55"/>
      <c r="N1814" s="26"/>
    </row>
    <row r="1815" spans="1:14" ht="75" customHeight="1" thickTop="1" thickBot="1">
      <c r="A1815" s="34"/>
      <c r="B1815" s="34"/>
      <c r="C1815" s="57"/>
      <c r="D1815" s="56"/>
      <c r="E1815" s="56"/>
      <c r="F1815" s="26"/>
      <c r="G1815" s="26"/>
      <c r="H1815" s="26"/>
      <c r="I1815" s="26"/>
      <c r="J1815" s="26"/>
      <c r="K1815" s="26"/>
      <c r="L1815" s="26"/>
      <c r="M1815" s="55"/>
      <c r="N1815" s="26"/>
    </row>
    <row r="1816" spans="1:14" ht="75" customHeight="1" thickTop="1" thickBot="1">
      <c r="A1816" s="34"/>
      <c r="B1816" s="34"/>
      <c r="C1816" s="57"/>
      <c r="D1816" s="56"/>
      <c r="E1816" s="56"/>
      <c r="F1816" s="26"/>
      <c r="G1816" s="26"/>
      <c r="H1816" s="26"/>
      <c r="I1816" s="26"/>
      <c r="J1816" s="26"/>
      <c r="K1816" s="26"/>
      <c r="L1816" s="26"/>
      <c r="M1816" s="55"/>
      <c r="N1816" s="26"/>
    </row>
    <row r="1817" spans="1:14" ht="75" customHeight="1" thickTop="1" thickBot="1">
      <c r="A1817" s="34"/>
      <c r="B1817" s="34"/>
      <c r="C1817" s="57"/>
      <c r="D1817" s="56"/>
      <c r="E1817" s="56"/>
      <c r="F1817" s="26"/>
      <c r="G1817" s="26"/>
      <c r="H1817" s="26"/>
      <c r="I1817" s="26"/>
      <c r="J1817" s="26"/>
      <c r="K1817" s="26"/>
      <c r="L1817" s="26"/>
      <c r="M1817" s="55"/>
      <c r="N1817" s="26"/>
    </row>
    <row r="1818" spans="1:14" ht="75" customHeight="1" thickTop="1" thickBot="1">
      <c r="A1818" s="34"/>
      <c r="B1818" s="34"/>
      <c r="C1818" s="57"/>
      <c r="D1818" s="56"/>
      <c r="E1818" s="56"/>
      <c r="F1818" s="26"/>
      <c r="G1818" s="26"/>
      <c r="H1818" s="26"/>
      <c r="I1818" s="26"/>
      <c r="J1818" s="26"/>
      <c r="K1818" s="26"/>
      <c r="L1818" s="26"/>
      <c r="M1818" s="55"/>
      <c r="N1818" s="26"/>
    </row>
    <row r="1819" spans="1:14" ht="75" customHeight="1" thickTop="1" thickBot="1">
      <c r="A1819" s="34"/>
      <c r="B1819" s="34"/>
      <c r="C1819" s="57"/>
      <c r="D1819" s="56"/>
      <c r="E1819" s="56"/>
      <c r="F1819" s="26"/>
      <c r="G1819" s="26"/>
      <c r="H1819" s="26"/>
      <c r="I1819" s="26"/>
      <c r="J1819" s="26"/>
      <c r="K1819" s="26"/>
      <c r="L1819" s="26"/>
      <c r="M1819" s="55"/>
      <c r="N1819" s="26"/>
    </row>
    <row r="1820" spans="1:14" ht="75" customHeight="1" thickTop="1" thickBot="1">
      <c r="A1820" s="34"/>
      <c r="B1820" s="34"/>
      <c r="C1820" s="57"/>
      <c r="D1820" s="56"/>
      <c r="E1820" s="56"/>
      <c r="F1820" s="26"/>
      <c r="G1820" s="26"/>
      <c r="H1820" s="26"/>
      <c r="I1820" s="26"/>
      <c r="J1820" s="26"/>
      <c r="K1820" s="26"/>
      <c r="L1820" s="26"/>
      <c r="M1820" s="55"/>
      <c r="N1820" s="26"/>
    </row>
    <row r="1821" spans="1:14" ht="75" customHeight="1" thickTop="1" thickBot="1">
      <c r="A1821" s="34"/>
      <c r="B1821" s="34"/>
      <c r="C1821" s="57"/>
      <c r="D1821" s="56"/>
      <c r="E1821" s="56"/>
      <c r="F1821" s="26"/>
      <c r="G1821" s="26"/>
      <c r="H1821" s="26"/>
      <c r="I1821" s="26"/>
      <c r="J1821" s="26"/>
      <c r="K1821" s="26"/>
      <c r="L1821" s="26"/>
      <c r="M1821" s="55"/>
      <c r="N1821" s="26"/>
    </row>
    <row r="1822" spans="1:14" ht="75" customHeight="1" thickTop="1" thickBot="1">
      <c r="A1822" s="34"/>
      <c r="B1822" s="34"/>
      <c r="C1822" s="57"/>
      <c r="D1822" s="56"/>
      <c r="E1822" s="56"/>
      <c r="F1822" s="26"/>
      <c r="G1822" s="26"/>
      <c r="H1822" s="26"/>
      <c r="I1822" s="26"/>
      <c r="J1822" s="26"/>
      <c r="K1822" s="26"/>
      <c r="L1822" s="26"/>
      <c r="M1822" s="55"/>
      <c r="N1822" s="26"/>
    </row>
    <row r="1823" spans="1:14" ht="75" customHeight="1" thickTop="1" thickBot="1">
      <c r="A1823" s="34"/>
      <c r="B1823" s="34"/>
      <c r="C1823" s="57"/>
      <c r="D1823" s="56"/>
      <c r="E1823" s="56"/>
      <c r="F1823" s="26"/>
      <c r="G1823" s="26"/>
      <c r="H1823" s="26"/>
      <c r="I1823" s="26"/>
      <c r="J1823" s="26"/>
      <c r="K1823" s="26"/>
      <c r="L1823" s="26"/>
      <c r="M1823" s="55"/>
      <c r="N1823" s="26"/>
    </row>
    <row r="1824" spans="1:14" ht="75" customHeight="1" thickTop="1" thickBot="1">
      <c r="A1824" s="34"/>
      <c r="B1824" s="34"/>
      <c r="C1824" s="57"/>
      <c r="D1824" s="56"/>
      <c r="E1824" s="56"/>
      <c r="F1824" s="26"/>
      <c r="G1824" s="26"/>
      <c r="H1824" s="26"/>
      <c r="I1824" s="26"/>
      <c r="J1824" s="26"/>
      <c r="K1824" s="26"/>
      <c r="L1824" s="26"/>
      <c r="M1824" s="55"/>
      <c r="N1824" s="26"/>
    </row>
    <row r="1825" spans="1:14" ht="75" customHeight="1" thickTop="1" thickBot="1">
      <c r="A1825" s="34"/>
      <c r="B1825" s="34"/>
      <c r="C1825" s="57"/>
      <c r="D1825" s="56"/>
      <c r="E1825" s="56"/>
      <c r="F1825" s="26"/>
      <c r="G1825" s="26"/>
      <c r="H1825" s="26"/>
      <c r="I1825" s="26"/>
      <c r="J1825" s="26"/>
      <c r="K1825" s="26"/>
      <c r="L1825" s="26"/>
      <c r="M1825" s="55"/>
      <c r="N1825" s="26"/>
    </row>
    <row r="1826" spans="1:14" ht="75" customHeight="1" thickTop="1" thickBot="1">
      <c r="A1826" s="34"/>
      <c r="B1826" s="34"/>
      <c r="C1826" s="57"/>
      <c r="D1826" s="56"/>
      <c r="E1826" s="56"/>
      <c r="F1826" s="26"/>
      <c r="G1826" s="26"/>
      <c r="H1826" s="26"/>
      <c r="I1826" s="26"/>
      <c r="J1826" s="26"/>
      <c r="K1826" s="26"/>
      <c r="L1826" s="26"/>
      <c r="M1826" s="55"/>
      <c r="N1826" s="26"/>
    </row>
    <row r="1827" spans="1:14" ht="75" customHeight="1" thickTop="1" thickBot="1">
      <c r="A1827" s="34"/>
      <c r="B1827" s="34"/>
      <c r="C1827" s="57"/>
      <c r="D1827" s="56"/>
      <c r="E1827" s="56"/>
      <c r="F1827" s="26"/>
      <c r="G1827" s="26"/>
      <c r="H1827" s="26"/>
      <c r="I1827" s="26"/>
      <c r="J1827" s="26"/>
      <c r="K1827" s="26"/>
      <c r="L1827" s="26"/>
      <c r="M1827" s="55"/>
      <c r="N1827" s="26"/>
    </row>
    <row r="1828" spans="1:14" ht="75" customHeight="1" thickTop="1" thickBot="1">
      <c r="A1828" s="34"/>
      <c r="B1828" s="34"/>
      <c r="C1828" s="57"/>
      <c r="D1828" s="56"/>
      <c r="E1828" s="56"/>
      <c r="F1828" s="26"/>
      <c r="G1828" s="26"/>
      <c r="H1828" s="26"/>
      <c r="I1828" s="26"/>
      <c r="J1828" s="26"/>
      <c r="K1828" s="26"/>
      <c r="L1828" s="26"/>
      <c r="M1828" s="55"/>
      <c r="N1828" s="26"/>
    </row>
    <row r="1829" spans="1:14" ht="75" customHeight="1" thickTop="1" thickBot="1">
      <c r="A1829" s="34"/>
      <c r="B1829" s="34"/>
      <c r="C1829" s="57"/>
      <c r="D1829" s="56"/>
      <c r="E1829" s="56"/>
      <c r="F1829" s="26"/>
      <c r="G1829" s="26"/>
      <c r="H1829" s="26"/>
      <c r="I1829" s="26"/>
      <c r="J1829" s="26"/>
      <c r="K1829" s="26"/>
      <c r="L1829" s="26"/>
      <c r="M1829" s="55"/>
      <c r="N1829" s="26"/>
    </row>
    <row r="1830" spans="1:14" ht="75" customHeight="1" thickTop="1" thickBot="1">
      <c r="A1830" s="34"/>
      <c r="B1830" s="34"/>
      <c r="C1830" s="57"/>
      <c r="D1830" s="56"/>
      <c r="E1830" s="56"/>
      <c r="F1830" s="26"/>
      <c r="G1830" s="26"/>
      <c r="H1830" s="26"/>
      <c r="I1830" s="26"/>
      <c r="J1830" s="26"/>
      <c r="K1830" s="26"/>
      <c r="L1830" s="26"/>
      <c r="M1830" s="55"/>
      <c r="N1830" s="26"/>
    </row>
    <row r="1831" spans="1:14" ht="75" customHeight="1" thickTop="1" thickBot="1">
      <c r="A1831" s="34"/>
      <c r="B1831" s="34"/>
      <c r="C1831" s="57"/>
      <c r="D1831" s="56"/>
      <c r="E1831" s="56"/>
      <c r="F1831" s="26"/>
      <c r="G1831" s="26"/>
      <c r="H1831" s="26"/>
      <c r="I1831" s="26"/>
      <c r="J1831" s="26"/>
      <c r="K1831" s="26"/>
      <c r="L1831" s="26"/>
      <c r="M1831" s="55"/>
      <c r="N1831" s="26"/>
    </row>
    <row r="1832" spans="1:14" ht="75" customHeight="1" thickTop="1" thickBot="1">
      <c r="A1832" s="34"/>
      <c r="B1832" s="34"/>
      <c r="C1832" s="57"/>
      <c r="D1832" s="56"/>
      <c r="E1832" s="56"/>
      <c r="F1832" s="26"/>
      <c r="G1832" s="26"/>
      <c r="H1832" s="26"/>
      <c r="I1832" s="26"/>
      <c r="J1832" s="26"/>
      <c r="K1832" s="26"/>
      <c r="L1832" s="26"/>
      <c r="M1832" s="55"/>
      <c r="N1832" s="26"/>
    </row>
    <row r="1833" spans="1:14" ht="75" customHeight="1" thickTop="1" thickBot="1">
      <c r="A1833" s="34"/>
      <c r="B1833" s="34"/>
      <c r="C1833" s="57"/>
      <c r="D1833" s="56"/>
      <c r="E1833" s="56"/>
      <c r="F1833" s="26"/>
      <c r="G1833" s="26"/>
      <c r="H1833" s="26"/>
      <c r="I1833" s="26"/>
      <c r="J1833" s="26"/>
      <c r="K1833" s="26"/>
      <c r="L1833" s="26"/>
      <c r="M1833" s="55"/>
      <c r="N1833" s="26"/>
    </row>
    <row r="1834" spans="1:14" ht="75" customHeight="1" thickTop="1" thickBot="1">
      <c r="A1834" s="34"/>
      <c r="B1834" s="34"/>
      <c r="C1834" s="57"/>
      <c r="D1834" s="56"/>
      <c r="E1834" s="56"/>
      <c r="F1834" s="26"/>
      <c r="G1834" s="26"/>
      <c r="H1834" s="26"/>
      <c r="I1834" s="26"/>
      <c r="J1834" s="26"/>
      <c r="K1834" s="26"/>
      <c r="L1834" s="26"/>
      <c r="M1834" s="55"/>
      <c r="N1834" s="26"/>
    </row>
    <row r="1835" spans="1:14" ht="75" customHeight="1" thickTop="1" thickBot="1">
      <c r="A1835" s="34"/>
      <c r="B1835" s="34"/>
      <c r="C1835" s="57"/>
      <c r="D1835" s="56"/>
      <c r="E1835" s="56"/>
      <c r="F1835" s="26"/>
      <c r="G1835" s="26"/>
      <c r="H1835" s="26"/>
      <c r="I1835" s="26"/>
      <c r="J1835" s="26"/>
      <c r="K1835" s="26"/>
      <c r="L1835" s="26"/>
      <c r="M1835" s="55"/>
      <c r="N1835" s="26"/>
    </row>
    <row r="1836" spans="1:14" ht="75" customHeight="1" thickTop="1" thickBot="1">
      <c r="A1836" s="34"/>
      <c r="B1836" s="34"/>
      <c r="C1836" s="57"/>
      <c r="D1836" s="56"/>
      <c r="E1836" s="56"/>
      <c r="F1836" s="26"/>
      <c r="G1836" s="26"/>
      <c r="H1836" s="26"/>
      <c r="I1836" s="26"/>
      <c r="J1836" s="26"/>
      <c r="K1836" s="26"/>
      <c r="L1836" s="26"/>
      <c r="M1836" s="55"/>
      <c r="N1836" s="26"/>
    </row>
    <row r="1837" spans="1:14" ht="75" customHeight="1" thickTop="1" thickBot="1">
      <c r="A1837" s="34"/>
      <c r="B1837" s="34"/>
      <c r="C1837" s="57"/>
      <c r="D1837" s="56"/>
      <c r="E1837" s="56"/>
      <c r="F1837" s="26"/>
      <c r="G1837" s="26"/>
      <c r="H1837" s="26"/>
      <c r="I1837" s="26"/>
      <c r="J1837" s="26"/>
      <c r="K1837" s="26"/>
      <c r="L1837" s="26"/>
      <c r="M1837" s="55"/>
      <c r="N1837" s="26"/>
    </row>
    <row r="1838" spans="1:14" ht="75" customHeight="1" thickTop="1" thickBot="1">
      <c r="A1838" s="34"/>
      <c r="B1838" s="34"/>
      <c r="C1838" s="57"/>
      <c r="D1838" s="56"/>
      <c r="E1838" s="56"/>
      <c r="F1838" s="26"/>
      <c r="G1838" s="26"/>
      <c r="H1838" s="26"/>
      <c r="I1838" s="26"/>
      <c r="J1838" s="26"/>
      <c r="K1838" s="26"/>
      <c r="L1838" s="26"/>
      <c r="M1838" s="55"/>
      <c r="N1838" s="26"/>
    </row>
    <row r="1839" spans="1:14" ht="75" customHeight="1" thickTop="1" thickBot="1">
      <c r="A1839" s="34"/>
      <c r="B1839" s="34"/>
      <c r="C1839" s="57"/>
      <c r="D1839" s="56"/>
      <c r="E1839" s="56"/>
      <c r="F1839" s="26"/>
      <c r="G1839" s="26"/>
      <c r="H1839" s="26"/>
      <c r="I1839" s="26"/>
      <c r="J1839" s="26"/>
      <c r="K1839" s="26"/>
      <c r="L1839" s="26"/>
      <c r="M1839" s="55"/>
      <c r="N1839" s="26"/>
    </row>
    <row r="1840" spans="1:14" ht="75" customHeight="1" thickTop="1" thickBot="1">
      <c r="A1840" s="34"/>
      <c r="B1840" s="34"/>
      <c r="C1840" s="57"/>
      <c r="D1840" s="56"/>
      <c r="E1840" s="56"/>
      <c r="F1840" s="26"/>
      <c r="G1840" s="26"/>
      <c r="H1840" s="26"/>
      <c r="I1840" s="26"/>
      <c r="J1840" s="26"/>
      <c r="K1840" s="26"/>
      <c r="L1840" s="26"/>
      <c r="M1840" s="55"/>
      <c r="N1840" s="26"/>
    </row>
    <row r="1841" spans="1:14" ht="75" customHeight="1" thickTop="1" thickBot="1">
      <c r="A1841" s="34"/>
      <c r="B1841" s="34"/>
      <c r="C1841" s="57"/>
      <c r="D1841" s="56"/>
      <c r="E1841" s="56"/>
      <c r="F1841" s="26"/>
      <c r="G1841" s="26"/>
      <c r="H1841" s="26"/>
      <c r="I1841" s="26"/>
      <c r="J1841" s="26"/>
      <c r="K1841" s="26"/>
      <c r="L1841" s="26"/>
      <c r="M1841" s="55"/>
      <c r="N1841" s="26"/>
    </row>
    <row r="1842" spans="1:14" ht="75" customHeight="1" thickTop="1" thickBot="1">
      <c r="A1842" s="34"/>
      <c r="B1842" s="34"/>
      <c r="C1842" s="57"/>
      <c r="D1842" s="56"/>
      <c r="E1842" s="56"/>
      <c r="F1842" s="26"/>
      <c r="G1842" s="26"/>
      <c r="H1842" s="26"/>
      <c r="I1842" s="26"/>
      <c r="J1842" s="26"/>
      <c r="K1842" s="26"/>
      <c r="L1842" s="26"/>
      <c r="M1842" s="55"/>
      <c r="N1842" s="26"/>
    </row>
    <row r="1843" spans="1:14" ht="75" customHeight="1" thickTop="1" thickBot="1">
      <c r="A1843" s="34"/>
      <c r="B1843" s="34"/>
      <c r="C1843" s="57"/>
      <c r="D1843" s="56"/>
      <c r="E1843" s="56"/>
      <c r="F1843" s="26"/>
      <c r="G1843" s="26"/>
      <c r="H1843" s="26"/>
      <c r="I1843" s="26"/>
      <c r="J1843" s="26"/>
      <c r="K1843" s="26"/>
      <c r="L1843" s="26"/>
      <c r="M1843" s="55"/>
      <c r="N1843" s="26"/>
    </row>
    <row r="1844" spans="1:14" ht="75" customHeight="1" thickTop="1" thickBot="1">
      <c r="A1844" s="34"/>
      <c r="B1844" s="34"/>
      <c r="C1844" s="57"/>
      <c r="D1844" s="56"/>
      <c r="E1844" s="56"/>
      <c r="F1844" s="26"/>
      <c r="G1844" s="26"/>
      <c r="H1844" s="26"/>
      <c r="I1844" s="26"/>
      <c r="J1844" s="26"/>
      <c r="K1844" s="26"/>
      <c r="L1844" s="26"/>
      <c r="M1844" s="55"/>
      <c r="N1844" s="26"/>
    </row>
    <row r="1845" spans="1:14" ht="75" customHeight="1" thickTop="1" thickBot="1">
      <c r="A1845" s="34"/>
      <c r="B1845" s="34"/>
      <c r="C1845" s="57"/>
      <c r="D1845" s="56"/>
      <c r="E1845" s="56"/>
      <c r="F1845" s="26"/>
      <c r="G1845" s="26"/>
      <c r="H1845" s="26"/>
      <c r="I1845" s="26"/>
      <c r="J1845" s="26"/>
      <c r="K1845" s="26"/>
      <c r="L1845" s="26"/>
      <c r="M1845" s="55"/>
      <c r="N1845" s="26"/>
    </row>
    <row r="1846" spans="1:14" ht="75" customHeight="1" thickTop="1" thickBot="1">
      <c r="A1846" s="34"/>
      <c r="B1846" s="34"/>
      <c r="C1846" s="57"/>
      <c r="D1846" s="56"/>
      <c r="E1846" s="56"/>
      <c r="F1846" s="26"/>
      <c r="G1846" s="26"/>
      <c r="H1846" s="26"/>
      <c r="I1846" s="26"/>
      <c r="J1846" s="26"/>
      <c r="K1846" s="26"/>
      <c r="L1846" s="26"/>
      <c r="M1846" s="55"/>
      <c r="N1846" s="26"/>
    </row>
    <row r="1847" spans="1:14" ht="75" customHeight="1" thickTop="1" thickBot="1">
      <c r="A1847" s="34"/>
      <c r="B1847" s="34"/>
      <c r="C1847" s="57"/>
      <c r="D1847" s="56"/>
      <c r="E1847" s="56"/>
      <c r="F1847" s="26"/>
      <c r="G1847" s="26"/>
      <c r="H1847" s="26"/>
      <c r="I1847" s="26"/>
      <c r="J1847" s="26"/>
      <c r="K1847" s="26"/>
      <c r="L1847" s="26"/>
      <c r="M1847" s="55"/>
      <c r="N1847" s="26"/>
    </row>
    <row r="1848" spans="1:14" ht="75" customHeight="1" thickTop="1" thickBot="1">
      <c r="A1848" s="34"/>
      <c r="B1848" s="34"/>
      <c r="C1848" s="57"/>
      <c r="D1848" s="56"/>
      <c r="E1848" s="56"/>
      <c r="F1848" s="26"/>
      <c r="G1848" s="26"/>
      <c r="H1848" s="26"/>
      <c r="I1848" s="26"/>
      <c r="J1848" s="26"/>
      <c r="K1848" s="26"/>
      <c r="L1848" s="26"/>
      <c r="M1848" s="55"/>
      <c r="N1848" s="26"/>
    </row>
    <row r="1849" spans="1:14" ht="75" customHeight="1" thickTop="1" thickBot="1">
      <c r="A1849" s="34"/>
      <c r="B1849" s="34"/>
      <c r="C1849" s="57"/>
      <c r="D1849" s="56"/>
      <c r="E1849" s="56"/>
      <c r="F1849" s="26"/>
      <c r="G1849" s="26"/>
      <c r="H1849" s="26"/>
      <c r="I1849" s="26"/>
      <c r="J1849" s="26"/>
      <c r="K1849" s="26"/>
      <c r="L1849" s="26"/>
      <c r="M1849" s="55"/>
      <c r="N1849" s="26"/>
    </row>
    <row r="1850" spans="1:14" ht="75" customHeight="1" thickTop="1" thickBot="1">
      <c r="A1850" s="34"/>
      <c r="B1850" s="34"/>
      <c r="C1850" s="57"/>
      <c r="D1850" s="56"/>
      <c r="E1850" s="56"/>
      <c r="F1850" s="26"/>
      <c r="G1850" s="26"/>
      <c r="H1850" s="26"/>
      <c r="I1850" s="26"/>
      <c r="J1850" s="26"/>
      <c r="K1850" s="26"/>
      <c r="L1850" s="26"/>
      <c r="M1850" s="55"/>
      <c r="N1850" s="26"/>
    </row>
    <row r="1851" spans="1:14" ht="75" customHeight="1" thickTop="1" thickBot="1">
      <c r="A1851" s="34"/>
      <c r="B1851" s="34"/>
      <c r="C1851" s="57"/>
      <c r="D1851" s="56"/>
      <c r="E1851" s="56"/>
      <c r="F1851" s="26"/>
      <c r="G1851" s="26"/>
      <c r="H1851" s="26"/>
      <c r="I1851" s="26"/>
      <c r="J1851" s="26"/>
      <c r="K1851" s="26"/>
      <c r="L1851" s="26"/>
      <c r="M1851" s="55"/>
      <c r="N1851" s="26"/>
    </row>
    <row r="1852" spans="1:14" ht="75" customHeight="1" thickTop="1" thickBot="1">
      <c r="A1852" s="34"/>
      <c r="B1852" s="34"/>
      <c r="C1852" s="57"/>
      <c r="D1852" s="56"/>
      <c r="E1852" s="56"/>
      <c r="F1852" s="26"/>
      <c r="G1852" s="26"/>
      <c r="H1852" s="26"/>
      <c r="I1852" s="26"/>
      <c r="J1852" s="26"/>
      <c r="K1852" s="26"/>
      <c r="L1852" s="26"/>
      <c r="M1852" s="55"/>
      <c r="N1852" s="26"/>
    </row>
    <row r="1853" spans="1:14" ht="75" customHeight="1" thickTop="1" thickBot="1">
      <c r="A1853" s="34"/>
      <c r="B1853" s="34"/>
      <c r="C1853" s="57"/>
      <c r="D1853" s="56"/>
      <c r="E1853" s="56"/>
      <c r="F1853" s="26"/>
      <c r="G1853" s="26"/>
      <c r="H1853" s="26"/>
      <c r="I1853" s="26"/>
      <c r="J1853" s="26"/>
      <c r="K1853" s="26"/>
      <c r="L1853" s="26"/>
      <c r="M1853" s="55"/>
      <c r="N1853" s="26"/>
    </row>
    <row r="1854" spans="1:14" ht="75" customHeight="1" thickTop="1" thickBot="1">
      <c r="A1854" s="34"/>
      <c r="B1854" s="34"/>
      <c r="C1854" s="57"/>
      <c r="D1854" s="56"/>
      <c r="E1854" s="56"/>
      <c r="F1854" s="26"/>
      <c r="G1854" s="26"/>
      <c r="H1854" s="26"/>
      <c r="I1854" s="26"/>
      <c r="J1854" s="26"/>
      <c r="K1854" s="26"/>
      <c r="L1854" s="26"/>
      <c r="M1854" s="55"/>
      <c r="N1854" s="26"/>
    </row>
    <row r="1855" spans="1:14" ht="75" customHeight="1" thickTop="1" thickBot="1">
      <c r="A1855" s="34"/>
      <c r="B1855" s="34"/>
      <c r="C1855" s="57"/>
      <c r="D1855" s="56"/>
      <c r="E1855" s="56"/>
      <c r="F1855" s="26"/>
      <c r="G1855" s="26"/>
      <c r="H1855" s="26"/>
      <c r="I1855" s="26"/>
      <c r="J1855" s="26"/>
      <c r="K1855" s="26"/>
      <c r="L1855" s="26"/>
      <c r="M1855" s="55"/>
      <c r="N1855" s="26"/>
    </row>
    <row r="1856" spans="1:14" ht="75" customHeight="1" thickTop="1" thickBot="1">
      <c r="A1856" s="34"/>
      <c r="B1856" s="34"/>
      <c r="C1856" s="57"/>
      <c r="D1856" s="56"/>
      <c r="E1856" s="56"/>
      <c r="F1856" s="26"/>
      <c r="G1856" s="26"/>
      <c r="H1856" s="26"/>
      <c r="I1856" s="26"/>
      <c r="J1856" s="26"/>
      <c r="K1856" s="26"/>
      <c r="L1856" s="26"/>
      <c r="M1856" s="55"/>
      <c r="N1856" s="26"/>
    </row>
    <row r="1857" spans="1:14" ht="75" customHeight="1" thickTop="1" thickBot="1">
      <c r="A1857" s="34"/>
      <c r="B1857" s="34"/>
      <c r="C1857" s="57"/>
      <c r="D1857" s="56"/>
      <c r="E1857" s="56"/>
      <c r="F1857" s="26"/>
      <c r="G1857" s="26"/>
      <c r="H1857" s="26"/>
      <c r="I1857" s="26"/>
      <c r="J1857" s="26"/>
      <c r="K1857" s="26"/>
      <c r="L1857" s="26"/>
      <c r="M1857" s="55"/>
      <c r="N1857" s="26"/>
    </row>
    <row r="1858" spans="1:14" ht="75" customHeight="1" thickTop="1" thickBot="1">
      <c r="A1858" s="34"/>
      <c r="B1858" s="34"/>
      <c r="C1858" s="57"/>
      <c r="D1858" s="56"/>
      <c r="E1858" s="56"/>
      <c r="F1858" s="26"/>
      <c r="G1858" s="26"/>
      <c r="H1858" s="26"/>
      <c r="I1858" s="26"/>
      <c r="J1858" s="26"/>
      <c r="K1858" s="26"/>
      <c r="L1858" s="26"/>
      <c r="M1858" s="55"/>
      <c r="N1858" s="26"/>
    </row>
    <row r="1859" spans="1:14" ht="75" customHeight="1" thickTop="1" thickBot="1">
      <c r="A1859" s="34"/>
      <c r="B1859" s="34"/>
      <c r="C1859" s="57"/>
      <c r="D1859" s="56"/>
      <c r="E1859" s="56"/>
      <c r="F1859" s="26"/>
      <c r="G1859" s="26"/>
      <c r="H1859" s="26"/>
      <c r="I1859" s="26"/>
      <c r="J1859" s="26"/>
      <c r="K1859" s="26"/>
      <c r="L1859" s="26"/>
      <c r="M1859" s="55"/>
      <c r="N1859" s="26"/>
    </row>
    <row r="1860" spans="1:14" ht="75" customHeight="1" thickTop="1" thickBot="1">
      <c r="A1860" s="34"/>
      <c r="B1860" s="34"/>
      <c r="C1860" s="57"/>
      <c r="D1860" s="56"/>
      <c r="E1860" s="56"/>
      <c r="F1860" s="26"/>
      <c r="G1860" s="26"/>
      <c r="H1860" s="26"/>
      <c r="I1860" s="26"/>
      <c r="J1860" s="26"/>
      <c r="K1860" s="26"/>
      <c r="L1860" s="26"/>
      <c r="M1860" s="55"/>
      <c r="N1860" s="26"/>
    </row>
    <row r="1861" spans="1:14" ht="75" customHeight="1" thickTop="1" thickBot="1">
      <c r="A1861" s="34"/>
      <c r="B1861" s="34"/>
      <c r="C1861" s="57"/>
      <c r="D1861" s="56"/>
      <c r="E1861" s="56"/>
      <c r="F1861" s="26"/>
      <c r="G1861" s="26"/>
      <c r="H1861" s="26"/>
      <c r="I1861" s="26"/>
      <c r="J1861" s="26"/>
      <c r="K1861" s="26"/>
      <c r="L1861" s="26"/>
      <c r="M1861" s="55"/>
      <c r="N1861" s="26"/>
    </row>
    <row r="1862" spans="1:14" ht="75" customHeight="1" thickTop="1" thickBot="1">
      <c r="A1862" s="34"/>
      <c r="B1862" s="34"/>
      <c r="C1862" s="57"/>
      <c r="D1862" s="56"/>
      <c r="E1862" s="56"/>
      <c r="F1862" s="26"/>
      <c r="G1862" s="26"/>
      <c r="H1862" s="26"/>
      <c r="I1862" s="26"/>
      <c r="J1862" s="26"/>
      <c r="K1862" s="26"/>
      <c r="L1862" s="26"/>
      <c r="M1862" s="55"/>
      <c r="N1862" s="26"/>
    </row>
    <row r="1863" spans="1:14" ht="75" customHeight="1" thickTop="1" thickBot="1">
      <c r="A1863" s="34"/>
      <c r="B1863" s="34"/>
      <c r="C1863" s="57"/>
      <c r="D1863" s="56"/>
      <c r="E1863" s="56"/>
      <c r="F1863" s="26"/>
      <c r="G1863" s="26"/>
      <c r="H1863" s="26"/>
      <c r="I1863" s="26"/>
      <c r="J1863" s="26"/>
      <c r="K1863" s="26"/>
      <c r="L1863" s="26"/>
      <c r="M1863" s="55"/>
      <c r="N1863" s="26"/>
    </row>
    <row r="1864" spans="1:14" ht="75" customHeight="1" thickTop="1" thickBot="1">
      <c r="A1864" s="34"/>
      <c r="B1864" s="34"/>
      <c r="C1864" s="57"/>
      <c r="D1864" s="56"/>
      <c r="E1864" s="56"/>
      <c r="F1864" s="26"/>
      <c r="G1864" s="26"/>
      <c r="H1864" s="26"/>
      <c r="I1864" s="26"/>
      <c r="J1864" s="26"/>
      <c r="K1864" s="26"/>
      <c r="L1864" s="26"/>
      <c r="M1864" s="55"/>
      <c r="N1864" s="26"/>
    </row>
    <row r="1865" spans="1:14" ht="75" customHeight="1" thickTop="1" thickBot="1">
      <c r="A1865" s="34"/>
      <c r="B1865" s="34"/>
      <c r="C1865" s="57"/>
      <c r="D1865" s="56"/>
      <c r="E1865" s="56"/>
      <c r="F1865" s="26"/>
      <c r="G1865" s="26"/>
      <c r="H1865" s="26"/>
      <c r="I1865" s="26"/>
      <c r="J1865" s="26"/>
      <c r="K1865" s="26"/>
      <c r="L1865" s="26"/>
      <c r="M1865" s="55"/>
      <c r="N1865" s="26"/>
    </row>
    <row r="1866" spans="1:14" ht="75" customHeight="1" thickTop="1" thickBot="1">
      <c r="A1866" s="34"/>
      <c r="B1866" s="34"/>
      <c r="C1866" s="57"/>
      <c r="D1866" s="56"/>
      <c r="E1866" s="56"/>
      <c r="F1866" s="26"/>
      <c r="G1866" s="26"/>
      <c r="H1866" s="26"/>
      <c r="I1866" s="26"/>
      <c r="J1866" s="26"/>
      <c r="K1866" s="26"/>
      <c r="L1866" s="26"/>
      <c r="M1866" s="55"/>
      <c r="N1866" s="26"/>
    </row>
    <row r="1867" spans="1:14" ht="75" customHeight="1" thickTop="1" thickBot="1">
      <c r="A1867" s="34"/>
      <c r="B1867" s="34"/>
      <c r="C1867" s="57"/>
      <c r="D1867" s="56"/>
      <c r="E1867" s="56"/>
      <c r="F1867" s="26"/>
      <c r="G1867" s="26"/>
      <c r="H1867" s="26"/>
      <c r="I1867" s="26"/>
      <c r="J1867" s="26"/>
      <c r="K1867" s="26"/>
      <c r="L1867" s="26"/>
      <c r="M1867" s="55"/>
      <c r="N1867" s="26"/>
    </row>
    <row r="1868" spans="1:14" ht="75" customHeight="1" thickTop="1" thickBot="1">
      <c r="A1868" s="34"/>
      <c r="B1868" s="34"/>
      <c r="C1868" s="57"/>
      <c r="D1868" s="56"/>
      <c r="E1868" s="56"/>
      <c r="F1868" s="26"/>
      <c r="G1868" s="26"/>
      <c r="H1868" s="26"/>
      <c r="I1868" s="26"/>
      <c r="J1868" s="26"/>
      <c r="K1868" s="26"/>
      <c r="L1868" s="26"/>
      <c r="M1868" s="55"/>
      <c r="N1868" s="26"/>
    </row>
    <row r="1869" spans="1:14" ht="75" customHeight="1" thickTop="1" thickBot="1">
      <c r="A1869" s="34"/>
      <c r="B1869" s="34"/>
      <c r="C1869" s="57"/>
      <c r="D1869" s="56"/>
      <c r="E1869" s="56"/>
      <c r="F1869" s="26"/>
      <c r="G1869" s="26"/>
      <c r="H1869" s="26"/>
      <c r="I1869" s="26"/>
      <c r="J1869" s="26"/>
      <c r="K1869" s="26"/>
      <c r="L1869" s="26"/>
      <c r="M1869" s="55"/>
      <c r="N1869" s="26"/>
    </row>
    <row r="1870" spans="1:14" ht="75" customHeight="1" thickTop="1" thickBot="1">
      <c r="A1870" s="34"/>
      <c r="B1870" s="34"/>
      <c r="C1870" s="57"/>
      <c r="D1870" s="56"/>
      <c r="E1870" s="56"/>
      <c r="F1870" s="26"/>
      <c r="G1870" s="26"/>
      <c r="H1870" s="26"/>
      <c r="I1870" s="26"/>
      <c r="J1870" s="26"/>
      <c r="K1870" s="26"/>
      <c r="L1870" s="26"/>
      <c r="M1870" s="55"/>
      <c r="N1870" s="26"/>
    </row>
    <row r="1871" spans="1:14" ht="75" customHeight="1" thickTop="1" thickBot="1">
      <c r="A1871" s="34"/>
      <c r="B1871" s="34"/>
      <c r="C1871" s="57"/>
      <c r="D1871" s="56"/>
      <c r="E1871" s="56"/>
      <c r="F1871" s="26"/>
      <c r="G1871" s="26"/>
      <c r="H1871" s="26"/>
      <c r="I1871" s="26"/>
      <c r="J1871" s="26"/>
      <c r="K1871" s="26"/>
      <c r="L1871" s="26"/>
      <c r="M1871" s="55"/>
      <c r="N1871" s="26"/>
    </row>
    <row r="1872" spans="1:14" ht="75" customHeight="1" thickTop="1" thickBot="1">
      <c r="A1872" s="34"/>
      <c r="B1872" s="34"/>
      <c r="C1872" s="57"/>
      <c r="D1872" s="56"/>
      <c r="E1872" s="56"/>
      <c r="F1872" s="26"/>
      <c r="G1872" s="26"/>
      <c r="H1872" s="26"/>
      <c r="I1872" s="26"/>
      <c r="J1872" s="26"/>
      <c r="K1872" s="26"/>
      <c r="L1872" s="26"/>
      <c r="M1872" s="55"/>
      <c r="N1872" s="26"/>
    </row>
    <row r="1873" spans="1:14" ht="75" customHeight="1" thickTop="1" thickBot="1">
      <c r="A1873" s="34"/>
      <c r="B1873" s="34"/>
      <c r="C1873" s="57"/>
      <c r="D1873" s="56"/>
      <c r="E1873" s="56"/>
      <c r="F1873" s="26"/>
      <c r="G1873" s="26"/>
      <c r="H1873" s="26"/>
      <c r="I1873" s="26"/>
      <c r="J1873" s="26"/>
      <c r="K1873" s="26"/>
      <c r="L1873" s="26"/>
      <c r="M1873" s="55"/>
      <c r="N1873" s="26"/>
    </row>
    <row r="1874" spans="1:14" ht="75" customHeight="1" thickTop="1" thickBot="1">
      <c r="A1874" s="34"/>
      <c r="B1874" s="34"/>
      <c r="C1874" s="57"/>
      <c r="D1874" s="56"/>
      <c r="E1874" s="56"/>
      <c r="F1874" s="26"/>
      <c r="G1874" s="26"/>
      <c r="H1874" s="26"/>
      <c r="I1874" s="26"/>
      <c r="J1874" s="26"/>
      <c r="K1874" s="26"/>
      <c r="L1874" s="26"/>
      <c r="M1874" s="55"/>
      <c r="N1874" s="26"/>
    </row>
    <row r="1875" spans="1:14" ht="75" customHeight="1" thickTop="1" thickBot="1">
      <c r="A1875" s="34"/>
      <c r="B1875" s="34"/>
      <c r="C1875" s="57"/>
      <c r="D1875" s="56"/>
      <c r="E1875" s="56"/>
      <c r="F1875" s="26"/>
      <c r="G1875" s="26"/>
      <c r="H1875" s="26"/>
      <c r="I1875" s="26"/>
      <c r="J1875" s="26"/>
      <c r="K1875" s="26"/>
      <c r="L1875" s="26"/>
      <c r="M1875" s="55"/>
      <c r="N1875" s="26"/>
    </row>
    <row r="1876" spans="1:14" ht="75" customHeight="1" thickTop="1" thickBot="1">
      <c r="A1876" s="34"/>
      <c r="B1876" s="34"/>
      <c r="C1876" s="57"/>
      <c r="D1876" s="56"/>
      <c r="E1876" s="56"/>
      <c r="F1876" s="26"/>
      <c r="G1876" s="26"/>
      <c r="H1876" s="26"/>
      <c r="I1876" s="26"/>
      <c r="J1876" s="26"/>
      <c r="K1876" s="26"/>
      <c r="L1876" s="26"/>
      <c r="M1876" s="55"/>
      <c r="N1876" s="26"/>
    </row>
    <row r="1877" spans="1:14" ht="75" customHeight="1" thickTop="1" thickBot="1">
      <c r="A1877" s="34"/>
      <c r="B1877" s="34"/>
      <c r="C1877" s="57"/>
      <c r="D1877" s="56"/>
      <c r="E1877" s="56"/>
      <c r="F1877" s="26"/>
      <c r="G1877" s="26"/>
      <c r="H1877" s="26"/>
      <c r="I1877" s="26"/>
      <c r="J1877" s="26"/>
      <c r="K1877" s="26"/>
      <c r="L1877" s="26"/>
      <c r="M1877" s="55"/>
      <c r="N1877" s="26"/>
    </row>
    <row r="1878" spans="1:14" ht="75" customHeight="1" thickTop="1" thickBot="1">
      <c r="A1878" s="34"/>
      <c r="B1878" s="34"/>
      <c r="C1878" s="57"/>
      <c r="D1878" s="56"/>
      <c r="E1878" s="56"/>
      <c r="F1878" s="26"/>
      <c r="G1878" s="26"/>
      <c r="H1878" s="26"/>
      <c r="I1878" s="26"/>
      <c r="J1878" s="26"/>
      <c r="K1878" s="26"/>
      <c r="L1878" s="26"/>
      <c r="M1878" s="55"/>
      <c r="N1878" s="26"/>
    </row>
    <row r="1879" spans="1:14" ht="75" customHeight="1" thickTop="1" thickBot="1">
      <c r="A1879" s="34"/>
      <c r="B1879" s="34"/>
      <c r="C1879" s="57"/>
      <c r="D1879" s="56"/>
      <c r="E1879" s="56"/>
      <c r="F1879" s="26"/>
      <c r="G1879" s="26"/>
      <c r="H1879" s="26"/>
      <c r="I1879" s="26"/>
      <c r="J1879" s="26"/>
      <c r="K1879" s="26"/>
      <c r="L1879" s="26"/>
      <c r="M1879" s="55"/>
      <c r="N1879" s="26"/>
    </row>
    <row r="1880" spans="1:14" ht="75" customHeight="1" thickTop="1" thickBot="1">
      <c r="A1880" s="34"/>
      <c r="B1880" s="34"/>
      <c r="C1880" s="57"/>
      <c r="D1880" s="56"/>
      <c r="E1880" s="56"/>
      <c r="F1880" s="26"/>
      <c r="G1880" s="26"/>
      <c r="H1880" s="26"/>
      <c r="I1880" s="26"/>
      <c r="J1880" s="26"/>
      <c r="K1880" s="26"/>
      <c r="L1880" s="26"/>
      <c r="M1880" s="55"/>
      <c r="N1880" s="26"/>
    </row>
    <row r="1881" spans="1:14" ht="75" customHeight="1" thickTop="1" thickBot="1">
      <c r="A1881" s="34"/>
      <c r="B1881" s="34"/>
      <c r="C1881" s="57"/>
      <c r="D1881" s="56"/>
      <c r="E1881" s="56"/>
      <c r="F1881" s="26"/>
      <c r="G1881" s="26"/>
      <c r="H1881" s="26"/>
      <c r="I1881" s="26"/>
      <c r="J1881" s="26"/>
      <c r="K1881" s="26"/>
      <c r="L1881" s="26"/>
      <c r="M1881" s="55"/>
      <c r="N1881" s="26"/>
    </row>
    <row r="1882" spans="1:14" ht="75" customHeight="1" thickTop="1" thickBot="1">
      <c r="A1882" s="34"/>
      <c r="B1882" s="34"/>
      <c r="C1882" s="57"/>
      <c r="D1882" s="56"/>
      <c r="E1882" s="56"/>
      <c r="F1882" s="26"/>
      <c r="G1882" s="26"/>
      <c r="H1882" s="26"/>
      <c r="I1882" s="26"/>
      <c r="J1882" s="26"/>
      <c r="K1882" s="26"/>
      <c r="L1882" s="26"/>
      <c r="M1882" s="55"/>
      <c r="N1882" s="26"/>
    </row>
    <row r="1883" spans="1:14" ht="75" customHeight="1" thickTop="1" thickBot="1">
      <c r="A1883" s="34"/>
      <c r="B1883" s="34"/>
      <c r="C1883" s="57"/>
      <c r="D1883" s="56"/>
      <c r="E1883" s="56"/>
      <c r="F1883" s="26"/>
      <c r="G1883" s="26"/>
      <c r="H1883" s="26"/>
      <c r="I1883" s="26"/>
      <c r="J1883" s="26"/>
      <c r="K1883" s="26"/>
      <c r="L1883" s="26"/>
      <c r="M1883" s="55"/>
      <c r="N1883" s="26"/>
    </row>
    <row r="1884" spans="1:14" ht="75" customHeight="1" thickTop="1" thickBot="1">
      <c r="A1884" s="34"/>
      <c r="B1884" s="34"/>
      <c r="C1884" s="57"/>
      <c r="D1884" s="56"/>
      <c r="E1884" s="56"/>
      <c r="F1884" s="26"/>
      <c r="G1884" s="26"/>
      <c r="H1884" s="26"/>
      <c r="I1884" s="26"/>
      <c r="J1884" s="26"/>
      <c r="K1884" s="26"/>
      <c r="L1884" s="26"/>
      <c r="M1884" s="55"/>
      <c r="N1884" s="26"/>
    </row>
    <row r="1885" spans="1:14" ht="75" customHeight="1" thickTop="1" thickBot="1">
      <c r="A1885" s="34"/>
      <c r="B1885" s="34"/>
      <c r="C1885" s="57"/>
      <c r="D1885" s="56"/>
      <c r="E1885" s="56"/>
      <c r="F1885" s="26"/>
      <c r="G1885" s="26"/>
      <c r="H1885" s="26"/>
      <c r="I1885" s="26"/>
      <c r="J1885" s="26"/>
      <c r="K1885" s="26"/>
      <c r="L1885" s="26"/>
      <c r="M1885" s="55"/>
      <c r="N1885" s="26"/>
    </row>
    <row r="1886" spans="1:14" ht="75" customHeight="1" thickTop="1" thickBot="1">
      <c r="A1886" s="34"/>
      <c r="B1886" s="34"/>
      <c r="C1886" s="57"/>
      <c r="D1886" s="56"/>
      <c r="E1886" s="56"/>
      <c r="F1886" s="26"/>
      <c r="G1886" s="26"/>
      <c r="H1886" s="26"/>
      <c r="I1886" s="26"/>
      <c r="J1886" s="26"/>
      <c r="K1886" s="26"/>
      <c r="L1886" s="26"/>
      <c r="M1886" s="55"/>
      <c r="N1886" s="26"/>
    </row>
    <row r="1887" spans="1:14" ht="75" customHeight="1" thickTop="1" thickBot="1">
      <c r="A1887" s="34"/>
      <c r="B1887" s="34"/>
      <c r="C1887" s="57"/>
      <c r="D1887" s="56"/>
      <c r="E1887" s="56"/>
      <c r="F1887" s="26"/>
      <c r="G1887" s="26"/>
      <c r="H1887" s="26"/>
      <c r="I1887" s="26"/>
      <c r="J1887" s="26"/>
      <c r="K1887" s="26"/>
      <c r="L1887" s="26"/>
      <c r="M1887" s="55"/>
      <c r="N1887" s="26"/>
    </row>
    <row r="1888" spans="1:14" ht="75" customHeight="1" thickTop="1" thickBot="1">
      <c r="A1888" s="34"/>
      <c r="B1888" s="34"/>
      <c r="C1888" s="57"/>
      <c r="D1888" s="56"/>
      <c r="E1888" s="56"/>
      <c r="F1888" s="26"/>
      <c r="G1888" s="26"/>
      <c r="H1888" s="26"/>
      <c r="I1888" s="26"/>
      <c r="J1888" s="26"/>
      <c r="K1888" s="26"/>
      <c r="L1888" s="26"/>
      <c r="M1888" s="55"/>
      <c r="N1888" s="26"/>
    </row>
    <row r="1889" spans="1:14" ht="75" customHeight="1" thickTop="1" thickBot="1">
      <c r="A1889" s="34"/>
      <c r="B1889" s="34"/>
      <c r="C1889" s="57"/>
      <c r="D1889" s="56"/>
      <c r="E1889" s="56"/>
      <c r="F1889" s="26"/>
      <c r="G1889" s="26"/>
      <c r="H1889" s="26"/>
      <c r="I1889" s="26"/>
      <c r="J1889" s="26"/>
      <c r="K1889" s="26"/>
      <c r="L1889" s="26"/>
      <c r="M1889" s="55"/>
      <c r="N1889" s="26"/>
    </row>
    <row r="1890" spans="1:14" ht="75" customHeight="1" thickTop="1" thickBot="1">
      <c r="A1890" s="34"/>
      <c r="B1890" s="34"/>
      <c r="C1890" s="57"/>
      <c r="D1890" s="56"/>
      <c r="E1890" s="56"/>
      <c r="F1890" s="26"/>
      <c r="G1890" s="26"/>
      <c r="H1890" s="26"/>
      <c r="I1890" s="26"/>
      <c r="J1890" s="26"/>
      <c r="K1890" s="26"/>
      <c r="L1890" s="26"/>
      <c r="M1890" s="55"/>
      <c r="N1890" s="26"/>
    </row>
    <row r="1891" spans="1:14" ht="75" customHeight="1" thickTop="1" thickBot="1">
      <c r="A1891" s="34"/>
      <c r="B1891" s="34"/>
      <c r="C1891" s="57"/>
      <c r="D1891" s="56"/>
      <c r="E1891" s="56"/>
      <c r="F1891" s="26"/>
      <c r="G1891" s="26"/>
      <c r="H1891" s="26"/>
      <c r="I1891" s="26"/>
      <c r="J1891" s="26"/>
      <c r="K1891" s="26"/>
      <c r="L1891" s="26"/>
      <c r="M1891" s="55"/>
      <c r="N1891" s="26"/>
    </row>
    <row r="1892" spans="1:14" ht="75" customHeight="1" thickTop="1" thickBot="1">
      <c r="A1892" s="34"/>
      <c r="B1892" s="34"/>
      <c r="C1892" s="57"/>
      <c r="D1892" s="56"/>
      <c r="E1892" s="56"/>
      <c r="F1892" s="26"/>
      <c r="G1892" s="26"/>
      <c r="H1892" s="26"/>
      <c r="I1892" s="26"/>
      <c r="J1892" s="26"/>
      <c r="K1892" s="26"/>
      <c r="L1892" s="26"/>
      <c r="M1892" s="55"/>
      <c r="N1892" s="26"/>
    </row>
    <row r="1893" spans="1:14" ht="75" customHeight="1" thickTop="1" thickBot="1">
      <c r="A1893" s="34"/>
      <c r="B1893" s="34"/>
      <c r="C1893" s="57"/>
      <c r="D1893" s="56"/>
      <c r="E1893" s="56"/>
      <c r="F1893" s="26"/>
      <c r="G1893" s="26"/>
      <c r="H1893" s="26"/>
      <c r="I1893" s="26"/>
      <c r="J1893" s="26"/>
      <c r="K1893" s="26"/>
      <c r="L1893" s="26"/>
      <c r="M1893" s="55"/>
      <c r="N1893" s="26"/>
    </row>
    <row r="1894" spans="1:14" ht="75" customHeight="1" thickTop="1" thickBot="1">
      <c r="A1894" s="34"/>
      <c r="B1894" s="34"/>
      <c r="C1894" s="57"/>
      <c r="D1894" s="56"/>
      <c r="E1894" s="56"/>
      <c r="F1894" s="26"/>
      <c r="G1894" s="26"/>
      <c r="H1894" s="26"/>
      <c r="I1894" s="26"/>
      <c r="J1894" s="26"/>
      <c r="K1894" s="26"/>
      <c r="L1894" s="26"/>
      <c r="M1894" s="55"/>
      <c r="N1894" s="26"/>
    </row>
    <row r="1895" spans="1:14" ht="75" customHeight="1" thickTop="1" thickBot="1">
      <c r="A1895" s="34"/>
      <c r="B1895" s="34"/>
      <c r="C1895" s="57"/>
      <c r="D1895" s="56"/>
      <c r="E1895" s="56"/>
      <c r="F1895" s="26"/>
      <c r="G1895" s="26"/>
      <c r="H1895" s="26"/>
      <c r="I1895" s="26"/>
      <c r="J1895" s="26"/>
      <c r="K1895" s="26"/>
      <c r="L1895" s="26"/>
      <c r="M1895" s="55"/>
      <c r="N1895" s="26"/>
    </row>
    <row r="1896" spans="1:14" ht="75" customHeight="1" thickTop="1" thickBot="1">
      <c r="A1896" s="34"/>
      <c r="B1896" s="34"/>
      <c r="C1896" s="57"/>
      <c r="D1896" s="56"/>
      <c r="E1896" s="56"/>
      <c r="F1896" s="26"/>
      <c r="G1896" s="26"/>
      <c r="H1896" s="26"/>
      <c r="I1896" s="26"/>
      <c r="J1896" s="26"/>
      <c r="K1896" s="26"/>
      <c r="L1896" s="26"/>
      <c r="M1896" s="55"/>
      <c r="N1896" s="26"/>
    </row>
    <row r="1897" spans="1:14" ht="75" customHeight="1" thickTop="1" thickBot="1">
      <c r="A1897" s="34"/>
      <c r="B1897" s="34"/>
      <c r="C1897" s="57"/>
      <c r="D1897" s="56"/>
      <c r="E1897" s="56"/>
      <c r="F1897" s="26"/>
      <c r="G1897" s="26"/>
      <c r="H1897" s="26"/>
      <c r="I1897" s="26"/>
      <c r="J1897" s="26"/>
      <c r="K1897" s="26"/>
      <c r="L1897" s="26"/>
      <c r="M1897" s="55"/>
      <c r="N1897" s="26"/>
    </row>
    <row r="1898" spans="1:14" ht="75" customHeight="1" thickTop="1" thickBot="1">
      <c r="A1898" s="34"/>
      <c r="B1898" s="34"/>
      <c r="C1898" s="57"/>
      <c r="D1898" s="56"/>
      <c r="E1898" s="56"/>
      <c r="F1898" s="26"/>
      <c r="G1898" s="26"/>
      <c r="H1898" s="26"/>
      <c r="I1898" s="26"/>
      <c r="J1898" s="26"/>
      <c r="K1898" s="26"/>
      <c r="L1898" s="26"/>
      <c r="M1898" s="55"/>
      <c r="N1898" s="26"/>
    </row>
    <row r="1899" spans="1:14" ht="75" customHeight="1" thickTop="1" thickBot="1">
      <c r="A1899" s="34"/>
      <c r="B1899" s="34"/>
      <c r="C1899" s="57"/>
      <c r="D1899" s="56"/>
      <c r="E1899" s="56"/>
      <c r="F1899" s="26"/>
      <c r="G1899" s="26"/>
      <c r="H1899" s="26"/>
      <c r="I1899" s="26"/>
      <c r="J1899" s="26"/>
      <c r="K1899" s="26"/>
      <c r="L1899" s="26"/>
      <c r="M1899" s="55"/>
      <c r="N1899" s="26"/>
    </row>
    <row r="1900" spans="1:14" ht="75" customHeight="1" thickTop="1" thickBot="1">
      <c r="A1900" s="34"/>
      <c r="B1900" s="34"/>
      <c r="C1900" s="57"/>
      <c r="D1900" s="56"/>
      <c r="E1900" s="56"/>
      <c r="F1900" s="26"/>
      <c r="G1900" s="26"/>
      <c r="H1900" s="26"/>
      <c r="I1900" s="26"/>
      <c r="J1900" s="26"/>
      <c r="K1900" s="26"/>
      <c r="L1900" s="26"/>
      <c r="M1900" s="55"/>
      <c r="N1900" s="26"/>
    </row>
    <row r="1901" spans="1:14" ht="75" customHeight="1" thickTop="1" thickBot="1">
      <c r="A1901" s="34"/>
      <c r="B1901" s="34"/>
      <c r="C1901" s="57"/>
      <c r="D1901" s="56"/>
      <c r="E1901" s="56"/>
      <c r="F1901" s="26"/>
      <c r="G1901" s="26"/>
      <c r="H1901" s="26"/>
      <c r="I1901" s="26"/>
      <c r="J1901" s="26"/>
      <c r="K1901" s="26"/>
      <c r="L1901" s="26"/>
      <c r="M1901" s="55"/>
      <c r="N1901" s="26"/>
    </row>
    <row r="1902" spans="1:14" ht="75" customHeight="1" thickTop="1" thickBot="1">
      <c r="A1902" s="34"/>
      <c r="B1902" s="34"/>
      <c r="C1902" s="57"/>
      <c r="D1902" s="56"/>
      <c r="E1902" s="56"/>
      <c r="F1902" s="26"/>
      <c r="G1902" s="26"/>
      <c r="H1902" s="26"/>
      <c r="I1902" s="26"/>
      <c r="J1902" s="26"/>
      <c r="K1902" s="26"/>
      <c r="L1902" s="26"/>
      <c r="M1902" s="55"/>
      <c r="N1902" s="26"/>
    </row>
    <row r="1903" spans="1:14" ht="75" customHeight="1" thickTop="1" thickBot="1">
      <c r="A1903" s="34"/>
      <c r="B1903" s="34"/>
      <c r="C1903" s="57"/>
      <c r="D1903" s="56"/>
      <c r="E1903" s="56"/>
      <c r="F1903" s="26"/>
      <c r="G1903" s="26"/>
      <c r="H1903" s="26"/>
      <c r="I1903" s="26"/>
      <c r="J1903" s="26"/>
      <c r="K1903" s="26"/>
      <c r="L1903" s="26"/>
      <c r="M1903" s="55"/>
      <c r="N1903" s="26"/>
    </row>
    <row r="1904" spans="1:14" ht="75" customHeight="1" thickTop="1" thickBot="1">
      <c r="A1904" s="34"/>
      <c r="B1904" s="34"/>
      <c r="C1904" s="57"/>
      <c r="D1904" s="56"/>
      <c r="E1904" s="56"/>
      <c r="F1904" s="26"/>
      <c r="G1904" s="26"/>
      <c r="H1904" s="26"/>
      <c r="I1904" s="26"/>
      <c r="J1904" s="26"/>
      <c r="K1904" s="26"/>
      <c r="L1904" s="26"/>
      <c r="M1904" s="55"/>
      <c r="N1904" s="26"/>
    </row>
    <row r="1905" spans="1:14" ht="75" customHeight="1" thickTop="1" thickBot="1">
      <c r="A1905" s="34"/>
      <c r="B1905" s="34"/>
      <c r="C1905" s="57"/>
      <c r="D1905" s="56"/>
      <c r="E1905" s="56"/>
      <c r="F1905" s="26"/>
      <c r="G1905" s="26"/>
      <c r="H1905" s="26"/>
      <c r="I1905" s="26"/>
      <c r="J1905" s="26"/>
      <c r="K1905" s="26"/>
      <c r="L1905" s="26"/>
      <c r="M1905" s="55"/>
      <c r="N1905" s="26"/>
    </row>
    <row r="1906" spans="1:14" ht="75" customHeight="1" thickTop="1" thickBot="1">
      <c r="A1906" s="34"/>
      <c r="B1906" s="34"/>
      <c r="C1906" s="57"/>
      <c r="D1906" s="56"/>
      <c r="E1906" s="56"/>
      <c r="F1906" s="26"/>
      <c r="G1906" s="26"/>
      <c r="H1906" s="26"/>
      <c r="I1906" s="26"/>
      <c r="J1906" s="26"/>
      <c r="K1906" s="26"/>
      <c r="L1906" s="26"/>
      <c r="M1906" s="55"/>
      <c r="N1906" s="26"/>
    </row>
    <row r="1907" spans="1:14" ht="75" customHeight="1" thickTop="1" thickBot="1">
      <c r="A1907" s="34"/>
      <c r="B1907" s="34"/>
      <c r="C1907" s="57"/>
      <c r="D1907" s="56"/>
      <c r="E1907" s="56"/>
      <c r="F1907" s="26"/>
      <c r="G1907" s="26"/>
      <c r="H1907" s="26"/>
      <c r="I1907" s="26"/>
      <c r="J1907" s="26"/>
      <c r="K1907" s="26"/>
      <c r="L1907" s="26"/>
      <c r="M1907" s="55"/>
      <c r="N1907" s="26"/>
    </row>
    <row r="1908" spans="1:14" ht="75" customHeight="1" thickTop="1" thickBot="1">
      <c r="A1908" s="34"/>
      <c r="B1908" s="34"/>
      <c r="C1908" s="57"/>
      <c r="D1908" s="56"/>
      <c r="E1908" s="56"/>
      <c r="F1908" s="26"/>
      <c r="G1908" s="26"/>
      <c r="H1908" s="26"/>
      <c r="I1908" s="26"/>
      <c r="J1908" s="26"/>
      <c r="K1908" s="26"/>
      <c r="L1908" s="26"/>
      <c r="M1908" s="55"/>
      <c r="N1908" s="26"/>
    </row>
    <row r="1909" spans="1:14" ht="75" customHeight="1" thickTop="1" thickBot="1">
      <c r="A1909" s="34"/>
      <c r="B1909" s="34"/>
      <c r="C1909" s="57"/>
      <c r="D1909" s="56"/>
      <c r="E1909" s="56"/>
      <c r="F1909" s="26"/>
      <c r="G1909" s="26"/>
      <c r="H1909" s="26"/>
      <c r="I1909" s="26"/>
      <c r="J1909" s="26"/>
      <c r="K1909" s="26"/>
      <c r="L1909" s="26"/>
      <c r="M1909" s="55"/>
      <c r="N1909" s="26"/>
    </row>
    <row r="1910" spans="1:14" ht="75" customHeight="1" thickTop="1" thickBot="1">
      <c r="A1910" s="34"/>
      <c r="B1910" s="34"/>
      <c r="C1910" s="57"/>
      <c r="D1910" s="56"/>
      <c r="E1910" s="56"/>
      <c r="F1910" s="26"/>
      <c r="G1910" s="26"/>
      <c r="H1910" s="26"/>
      <c r="I1910" s="26"/>
      <c r="J1910" s="26"/>
      <c r="K1910" s="26"/>
      <c r="L1910" s="26"/>
      <c r="M1910" s="55"/>
      <c r="N1910" s="26"/>
    </row>
    <row r="1911" spans="1:14" ht="75" customHeight="1" thickTop="1" thickBot="1">
      <c r="A1911" s="34"/>
      <c r="B1911" s="34"/>
      <c r="C1911" s="57"/>
      <c r="D1911" s="56"/>
      <c r="E1911" s="56"/>
      <c r="F1911" s="26"/>
      <c r="G1911" s="26"/>
      <c r="H1911" s="26"/>
      <c r="I1911" s="26"/>
      <c r="J1911" s="26"/>
      <c r="K1911" s="26"/>
      <c r="L1911" s="26"/>
      <c r="M1911" s="55"/>
      <c r="N1911" s="26"/>
    </row>
    <row r="1912" spans="1:14" ht="75" customHeight="1" thickTop="1" thickBot="1">
      <c r="A1912" s="34"/>
      <c r="B1912" s="34"/>
      <c r="C1912" s="57"/>
      <c r="D1912" s="56"/>
      <c r="E1912" s="56"/>
      <c r="F1912" s="26"/>
      <c r="G1912" s="26"/>
      <c r="H1912" s="26"/>
      <c r="I1912" s="26"/>
      <c r="J1912" s="26"/>
      <c r="K1912" s="26"/>
      <c r="L1912" s="26"/>
      <c r="M1912" s="55"/>
      <c r="N1912" s="26"/>
    </row>
    <row r="1913" spans="1:14" ht="75" customHeight="1" thickTop="1" thickBot="1">
      <c r="A1913" s="34"/>
      <c r="B1913" s="34"/>
      <c r="C1913" s="57"/>
      <c r="D1913" s="56"/>
      <c r="E1913" s="56"/>
      <c r="F1913" s="26"/>
      <c r="G1913" s="26"/>
      <c r="H1913" s="26"/>
      <c r="I1913" s="26"/>
      <c r="J1913" s="26"/>
      <c r="K1913" s="26"/>
      <c r="L1913" s="26"/>
      <c r="M1913" s="55"/>
      <c r="N1913" s="26"/>
    </row>
    <row r="1914" spans="1:14" ht="75" customHeight="1" thickTop="1" thickBot="1">
      <c r="A1914" s="34"/>
      <c r="B1914" s="34"/>
      <c r="C1914" s="57"/>
      <c r="D1914" s="56"/>
      <c r="E1914" s="56"/>
      <c r="F1914" s="26"/>
      <c r="G1914" s="26"/>
      <c r="H1914" s="26"/>
      <c r="I1914" s="26"/>
      <c r="J1914" s="26"/>
      <c r="K1914" s="26"/>
      <c r="L1914" s="26"/>
      <c r="M1914" s="55"/>
      <c r="N1914" s="26"/>
    </row>
    <row r="1915" spans="1:14" ht="75" customHeight="1" thickTop="1" thickBot="1">
      <c r="A1915" s="34"/>
      <c r="B1915" s="34"/>
      <c r="C1915" s="57"/>
      <c r="D1915" s="56"/>
      <c r="E1915" s="56"/>
      <c r="F1915" s="26"/>
      <c r="G1915" s="26"/>
      <c r="H1915" s="26"/>
      <c r="I1915" s="26"/>
      <c r="J1915" s="26"/>
      <c r="K1915" s="26"/>
      <c r="L1915" s="26"/>
      <c r="M1915" s="55"/>
      <c r="N1915" s="26"/>
    </row>
    <row r="1916" spans="1:14" ht="75" customHeight="1" thickTop="1" thickBot="1">
      <c r="A1916" s="34"/>
      <c r="B1916" s="34"/>
      <c r="C1916" s="57"/>
      <c r="D1916" s="56"/>
      <c r="E1916" s="56"/>
      <c r="F1916" s="26"/>
      <c r="G1916" s="26"/>
      <c r="H1916" s="26"/>
      <c r="I1916" s="26"/>
      <c r="J1916" s="26"/>
      <c r="K1916" s="26"/>
      <c r="L1916" s="26"/>
      <c r="M1916" s="55"/>
      <c r="N1916" s="26"/>
    </row>
    <row r="1917" spans="1:14" ht="75" customHeight="1" thickTop="1" thickBot="1">
      <c r="A1917" s="34"/>
      <c r="B1917" s="34"/>
      <c r="C1917" s="57"/>
      <c r="D1917" s="56"/>
      <c r="E1917" s="56"/>
      <c r="F1917" s="26"/>
      <c r="G1917" s="26"/>
      <c r="H1917" s="26"/>
      <c r="I1917" s="26"/>
      <c r="J1917" s="26"/>
      <c r="K1917" s="26"/>
      <c r="L1917" s="26"/>
      <c r="M1917" s="55"/>
      <c r="N1917" s="26"/>
    </row>
    <row r="1918" spans="1:14" ht="75" customHeight="1" thickTop="1" thickBot="1">
      <c r="A1918" s="34"/>
      <c r="B1918" s="34"/>
      <c r="C1918" s="57"/>
      <c r="D1918" s="56"/>
      <c r="E1918" s="56"/>
      <c r="F1918" s="26"/>
      <c r="G1918" s="26"/>
      <c r="H1918" s="26"/>
      <c r="I1918" s="26"/>
      <c r="J1918" s="26"/>
      <c r="K1918" s="26"/>
      <c r="L1918" s="26"/>
      <c r="M1918" s="55"/>
      <c r="N1918" s="26"/>
    </row>
    <row r="1919" spans="1:14" ht="75" customHeight="1" thickTop="1" thickBot="1">
      <c r="A1919" s="34"/>
      <c r="B1919" s="34"/>
      <c r="C1919" s="57"/>
      <c r="D1919" s="56"/>
      <c r="E1919" s="56"/>
      <c r="F1919" s="26"/>
      <c r="G1919" s="26"/>
      <c r="H1919" s="26"/>
      <c r="I1919" s="26"/>
      <c r="J1919" s="26"/>
      <c r="K1919" s="26"/>
      <c r="L1919" s="26"/>
      <c r="M1919" s="55"/>
      <c r="N1919" s="26"/>
    </row>
    <row r="1920" spans="1:14" ht="75" customHeight="1" thickTop="1" thickBot="1">
      <c r="A1920" s="34"/>
      <c r="B1920" s="34"/>
      <c r="C1920" s="57"/>
      <c r="D1920" s="56"/>
      <c r="E1920" s="56"/>
      <c r="F1920" s="26"/>
      <c r="G1920" s="26"/>
      <c r="H1920" s="26"/>
      <c r="I1920" s="26"/>
      <c r="J1920" s="26"/>
      <c r="K1920" s="26"/>
      <c r="L1920" s="26"/>
      <c r="M1920" s="55"/>
      <c r="N1920" s="26"/>
    </row>
    <row r="1921" spans="1:14" ht="75" customHeight="1" thickTop="1" thickBot="1">
      <c r="A1921" s="34"/>
      <c r="B1921" s="34"/>
      <c r="C1921" s="57"/>
      <c r="D1921" s="56"/>
      <c r="E1921" s="56"/>
      <c r="F1921" s="26"/>
      <c r="G1921" s="26"/>
      <c r="H1921" s="26"/>
      <c r="I1921" s="26"/>
      <c r="J1921" s="26"/>
      <c r="K1921" s="26"/>
      <c r="L1921" s="26"/>
      <c r="M1921" s="55"/>
      <c r="N1921" s="26"/>
    </row>
    <row r="1922" spans="1:14" ht="75" customHeight="1" thickTop="1" thickBot="1">
      <c r="A1922" s="34"/>
      <c r="B1922" s="34"/>
      <c r="C1922" s="57"/>
      <c r="D1922" s="56"/>
      <c r="E1922" s="56"/>
      <c r="F1922" s="26"/>
      <c r="G1922" s="26"/>
      <c r="H1922" s="26"/>
      <c r="I1922" s="26"/>
      <c r="J1922" s="26"/>
      <c r="K1922" s="26"/>
      <c r="L1922" s="26"/>
      <c r="M1922" s="55"/>
      <c r="N1922" s="26"/>
    </row>
    <row r="1923" spans="1:14" ht="75" customHeight="1" thickTop="1" thickBot="1">
      <c r="A1923" s="34"/>
      <c r="B1923" s="34"/>
      <c r="C1923" s="57"/>
      <c r="D1923" s="56"/>
      <c r="E1923" s="56"/>
      <c r="F1923" s="26"/>
      <c r="G1923" s="26"/>
      <c r="H1923" s="26"/>
      <c r="I1923" s="26"/>
      <c r="J1923" s="26"/>
      <c r="K1923" s="26"/>
      <c r="L1923" s="26"/>
      <c r="M1923" s="55"/>
      <c r="N1923" s="26"/>
    </row>
    <row r="1924" spans="1:14" ht="75" customHeight="1" thickTop="1" thickBot="1">
      <c r="A1924" s="34"/>
      <c r="B1924" s="34"/>
      <c r="C1924" s="57"/>
      <c r="D1924" s="56"/>
      <c r="E1924" s="56"/>
      <c r="F1924" s="26"/>
      <c r="G1924" s="26"/>
      <c r="H1924" s="26"/>
      <c r="I1924" s="26"/>
      <c r="J1924" s="26"/>
      <c r="K1924" s="26"/>
      <c r="L1924" s="26"/>
      <c r="M1924" s="55"/>
      <c r="N1924" s="26"/>
    </row>
    <row r="1925" spans="1:14" ht="75" customHeight="1" thickTop="1" thickBot="1">
      <c r="A1925" s="34"/>
      <c r="B1925" s="34"/>
      <c r="C1925" s="57"/>
      <c r="D1925" s="56"/>
      <c r="E1925" s="56"/>
      <c r="F1925" s="26"/>
      <c r="G1925" s="26"/>
      <c r="H1925" s="26"/>
      <c r="I1925" s="26"/>
      <c r="J1925" s="26"/>
      <c r="K1925" s="26"/>
      <c r="L1925" s="26"/>
      <c r="M1925" s="55"/>
      <c r="N1925" s="26"/>
    </row>
    <row r="1926" spans="1:14" ht="75" customHeight="1" thickTop="1" thickBot="1">
      <c r="A1926" s="34"/>
      <c r="B1926" s="34"/>
      <c r="C1926" s="57"/>
      <c r="D1926" s="56"/>
      <c r="E1926" s="56"/>
      <c r="F1926" s="26"/>
      <c r="G1926" s="26"/>
      <c r="H1926" s="26"/>
      <c r="I1926" s="26"/>
      <c r="J1926" s="26"/>
      <c r="K1926" s="26"/>
      <c r="L1926" s="26"/>
      <c r="M1926" s="55"/>
      <c r="N1926" s="26"/>
    </row>
    <row r="1927" spans="1:14" ht="75" customHeight="1" thickTop="1" thickBot="1">
      <c r="A1927" s="34"/>
      <c r="B1927" s="34"/>
      <c r="C1927" s="57"/>
      <c r="D1927" s="56"/>
      <c r="E1927" s="56"/>
      <c r="F1927" s="26"/>
      <c r="G1927" s="26"/>
      <c r="H1927" s="26"/>
      <c r="I1927" s="26"/>
      <c r="J1927" s="26"/>
      <c r="K1927" s="26"/>
      <c r="L1927" s="26"/>
      <c r="M1927" s="55"/>
      <c r="N1927" s="26"/>
    </row>
    <row r="1928" spans="1:14" ht="75" customHeight="1" thickTop="1" thickBot="1">
      <c r="A1928" s="34"/>
      <c r="B1928" s="34"/>
      <c r="C1928" s="57"/>
      <c r="D1928" s="56"/>
      <c r="E1928" s="56"/>
      <c r="F1928" s="26"/>
      <c r="G1928" s="26"/>
      <c r="H1928" s="26"/>
      <c r="I1928" s="26"/>
      <c r="J1928" s="26"/>
      <c r="K1928" s="26"/>
      <c r="L1928" s="26"/>
      <c r="M1928" s="55"/>
      <c r="N1928" s="26"/>
    </row>
    <row r="1929" spans="1:14" ht="75" customHeight="1" thickTop="1" thickBot="1">
      <c r="A1929" s="34"/>
      <c r="B1929" s="34"/>
      <c r="C1929" s="57"/>
      <c r="D1929" s="56"/>
      <c r="E1929" s="56"/>
      <c r="F1929" s="26"/>
      <c r="G1929" s="26"/>
      <c r="H1929" s="26"/>
      <c r="I1929" s="26"/>
      <c r="J1929" s="26"/>
      <c r="K1929" s="26"/>
      <c r="L1929" s="26"/>
      <c r="M1929" s="55"/>
      <c r="N1929" s="26"/>
    </row>
    <row r="1930" spans="1:14" ht="75" customHeight="1" thickTop="1" thickBot="1">
      <c r="A1930" s="34"/>
      <c r="B1930" s="34"/>
      <c r="C1930" s="57"/>
      <c r="D1930" s="56"/>
      <c r="E1930" s="56"/>
      <c r="F1930" s="26"/>
      <c r="G1930" s="26"/>
      <c r="H1930" s="26"/>
      <c r="I1930" s="26"/>
      <c r="J1930" s="26"/>
      <c r="K1930" s="26"/>
      <c r="L1930" s="26"/>
      <c r="M1930" s="55"/>
      <c r="N1930" s="26"/>
    </row>
    <row r="1931" spans="1:14" ht="75" customHeight="1" thickTop="1" thickBot="1">
      <c r="A1931" s="34"/>
      <c r="B1931" s="34"/>
      <c r="C1931" s="57"/>
      <c r="D1931" s="56"/>
      <c r="E1931" s="56"/>
      <c r="F1931" s="26"/>
      <c r="G1931" s="26"/>
      <c r="H1931" s="26"/>
      <c r="I1931" s="26"/>
      <c r="J1931" s="26"/>
      <c r="K1931" s="26"/>
      <c r="L1931" s="26"/>
      <c r="M1931" s="55"/>
      <c r="N1931" s="26"/>
    </row>
    <row r="1932" spans="1:14" ht="75" customHeight="1" thickTop="1" thickBot="1">
      <c r="A1932" s="34"/>
      <c r="B1932" s="34"/>
      <c r="C1932" s="57"/>
      <c r="D1932" s="56"/>
      <c r="E1932" s="56"/>
      <c r="F1932" s="26"/>
      <c r="G1932" s="26"/>
      <c r="H1932" s="26"/>
      <c r="I1932" s="26"/>
      <c r="J1932" s="26"/>
      <c r="K1932" s="26"/>
      <c r="L1932" s="26"/>
      <c r="M1932" s="55"/>
      <c r="N1932" s="26"/>
    </row>
    <row r="1933" spans="1:14" ht="75" customHeight="1" thickTop="1" thickBot="1">
      <c r="A1933" s="34"/>
      <c r="B1933" s="34"/>
      <c r="C1933" s="57"/>
      <c r="D1933" s="56"/>
      <c r="E1933" s="56"/>
      <c r="F1933" s="26"/>
      <c r="G1933" s="26"/>
      <c r="H1933" s="26"/>
      <c r="I1933" s="26"/>
      <c r="J1933" s="26"/>
      <c r="K1933" s="26"/>
      <c r="L1933" s="26"/>
      <c r="M1933" s="55"/>
      <c r="N1933" s="26"/>
    </row>
    <row r="1934" spans="1:14" ht="75" customHeight="1" thickTop="1" thickBot="1">
      <c r="A1934" s="34"/>
      <c r="B1934" s="34"/>
      <c r="C1934" s="57"/>
      <c r="D1934" s="56"/>
      <c r="E1934" s="56"/>
      <c r="F1934" s="26"/>
      <c r="G1934" s="26"/>
      <c r="H1934" s="26"/>
      <c r="I1934" s="26"/>
      <c r="J1934" s="26"/>
      <c r="K1934" s="26"/>
      <c r="L1934" s="26"/>
      <c r="M1934" s="55"/>
      <c r="N1934" s="26"/>
    </row>
    <row r="1935" spans="1:14" ht="75" customHeight="1" thickTop="1" thickBot="1">
      <c r="A1935" s="34"/>
      <c r="B1935" s="34"/>
      <c r="C1935" s="57"/>
      <c r="D1935" s="56"/>
      <c r="E1935" s="56"/>
      <c r="F1935" s="26"/>
      <c r="G1935" s="26"/>
      <c r="H1935" s="26"/>
      <c r="I1935" s="26"/>
      <c r="J1935" s="26"/>
      <c r="K1935" s="26"/>
      <c r="L1935" s="26"/>
      <c r="M1935" s="55"/>
      <c r="N1935" s="26"/>
    </row>
    <row r="1936" spans="1:14" ht="75" customHeight="1" thickTop="1" thickBot="1">
      <c r="A1936" s="34"/>
      <c r="B1936" s="34"/>
      <c r="C1936" s="57"/>
      <c r="D1936" s="56"/>
      <c r="E1936" s="56"/>
      <c r="F1936" s="26"/>
      <c r="G1936" s="26"/>
      <c r="H1936" s="26"/>
      <c r="I1936" s="26"/>
      <c r="J1936" s="26"/>
      <c r="K1936" s="26"/>
      <c r="L1936" s="26"/>
      <c r="M1936" s="55"/>
      <c r="N1936" s="26"/>
    </row>
    <row r="1937" spans="1:14" ht="75" customHeight="1" thickTop="1" thickBot="1">
      <c r="A1937" s="34"/>
      <c r="B1937" s="34"/>
      <c r="C1937" s="57"/>
      <c r="D1937" s="56"/>
      <c r="E1937" s="56"/>
      <c r="F1937" s="26"/>
      <c r="G1937" s="26"/>
      <c r="H1937" s="26"/>
      <c r="I1937" s="26"/>
      <c r="J1937" s="26"/>
      <c r="K1937" s="26"/>
      <c r="L1937" s="26"/>
      <c r="M1937" s="55"/>
      <c r="N1937" s="26"/>
    </row>
    <row r="1938" spans="1:14" ht="75" customHeight="1" thickTop="1" thickBot="1">
      <c r="A1938" s="34"/>
      <c r="B1938" s="34"/>
      <c r="C1938" s="57"/>
      <c r="D1938" s="56"/>
      <c r="E1938" s="56"/>
      <c r="F1938" s="26"/>
      <c r="G1938" s="26"/>
      <c r="H1938" s="26"/>
      <c r="I1938" s="26"/>
      <c r="J1938" s="26"/>
      <c r="K1938" s="26"/>
      <c r="L1938" s="26"/>
      <c r="M1938" s="55"/>
      <c r="N1938" s="26"/>
    </row>
    <row r="1939" spans="1:14" ht="75" customHeight="1" thickTop="1" thickBot="1">
      <c r="A1939" s="34"/>
      <c r="B1939" s="34"/>
      <c r="C1939" s="57"/>
      <c r="D1939" s="56"/>
      <c r="E1939" s="56"/>
      <c r="F1939" s="26"/>
      <c r="G1939" s="26"/>
      <c r="H1939" s="26"/>
      <c r="I1939" s="26"/>
      <c r="J1939" s="26"/>
      <c r="K1939" s="26"/>
      <c r="L1939" s="26"/>
      <c r="M1939" s="55"/>
      <c r="N1939" s="26"/>
    </row>
    <row r="1940" spans="1:14" ht="75" customHeight="1" thickTop="1" thickBot="1">
      <c r="A1940" s="34"/>
      <c r="B1940" s="34"/>
      <c r="C1940" s="57"/>
      <c r="D1940" s="56"/>
      <c r="E1940" s="56"/>
      <c r="F1940" s="26"/>
      <c r="G1940" s="26"/>
      <c r="H1940" s="26"/>
      <c r="I1940" s="26"/>
      <c r="J1940" s="26"/>
      <c r="K1940" s="26"/>
      <c r="L1940" s="26"/>
      <c r="M1940" s="55"/>
      <c r="N1940" s="26"/>
    </row>
    <row r="1941" spans="1:14" ht="75" customHeight="1" thickTop="1" thickBot="1">
      <c r="A1941" s="34"/>
      <c r="B1941" s="34"/>
      <c r="C1941" s="57"/>
      <c r="D1941" s="56"/>
      <c r="E1941" s="56"/>
      <c r="F1941" s="26"/>
      <c r="G1941" s="26"/>
      <c r="H1941" s="26"/>
      <c r="I1941" s="26"/>
      <c r="J1941" s="26"/>
      <c r="K1941" s="26"/>
      <c r="L1941" s="26"/>
      <c r="M1941" s="55"/>
      <c r="N1941" s="26"/>
    </row>
    <row r="1942" spans="1:14" ht="75" customHeight="1" thickTop="1" thickBot="1">
      <c r="A1942" s="34"/>
      <c r="B1942" s="34"/>
      <c r="C1942" s="57"/>
      <c r="D1942" s="56"/>
      <c r="E1942" s="56"/>
      <c r="F1942" s="26"/>
      <c r="G1942" s="26"/>
      <c r="H1942" s="26"/>
      <c r="I1942" s="26"/>
      <c r="J1942" s="26"/>
      <c r="K1942" s="26"/>
      <c r="L1942" s="26"/>
      <c r="M1942" s="55"/>
      <c r="N1942" s="26"/>
    </row>
    <row r="1943" spans="1:14" ht="75" customHeight="1" thickTop="1" thickBot="1">
      <c r="A1943" s="34"/>
      <c r="B1943" s="34"/>
      <c r="C1943" s="57"/>
      <c r="D1943" s="56"/>
      <c r="E1943" s="56"/>
      <c r="F1943" s="26"/>
      <c r="G1943" s="26"/>
      <c r="H1943" s="26"/>
      <c r="I1943" s="26"/>
      <c r="J1943" s="26"/>
      <c r="K1943" s="26"/>
      <c r="L1943" s="26"/>
      <c r="M1943" s="55"/>
      <c r="N1943" s="26"/>
    </row>
    <row r="1944" spans="1:14" ht="75" customHeight="1" thickTop="1" thickBot="1">
      <c r="A1944" s="34"/>
      <c r="B1944" s="34"/>
      <c r="C1944" s="57"/>
      <c r="D1944" s="56"/>
      <c r="E1944" s="56"/>
      <c r="F1944" s="26"/>
      <c r="G1944" s="26"/>
      <c r="H1944" s="26"/>
      <c r="I1944" s="26"/>
      <c r="J1944" s="26"/>
      <c r="K1944" s="26"/>
      <c r="L1944" s="26"/>
      <c r="M1944" s="55"/>
      <c r="N1944" s="26"/>
    </row>
    <row r="1945" spans="1:14" ht="75" customHeight="1" thickTop="1" thickBot="1">
      <c r="A1945" s="34"/>
      <c r="B1945" s="34"/>
      <c r="C1945" s="57"/>
      <c r="D1945" s="56"/>
      <c r="E1945" s="56"/>
      <c r="F1945" s="26"/>
      <c r="G1945" s="26"/>
      <c r="H1945" s="26"/>
      <c r="I1945" s="26"/>
      <c r="J1945" s="26"/>
      <c r="K1945" s="26"/>
      <c r="L1945" s="26"/>
      <c r="M1945" s="55"/>
      <c r="N1945" s="26"/>
    </row>
    <row r="1946" spans="1:14" ht="75" customHeight="1" thickTop="1" thickBot="1">
      <c r="A1946" s="34"/>
      <c r="B1946" s="34"/>
      <c r="C1946" s="57"/>
      <c r="D1946" s="56"/>
      <c r="E1946" s="56"/>
      <c r="F1946" s="26"/>
      <c r="G1946" s="26"/>
      <c r="H1946" s="26"/>
      <c r="I1946" s="26"/>
      <c r="J1946" s="26"/>
      <c r="K1946" s="26"/>
      <c r="L1946" s="26"/>
      <c r="M1946" s="55"/>
      <c r="N1946" s="26"/>
    </row>
    <row r="1947" spans="1:14" ht="75" customHeight="1" thickTop="1" thickBot="1">
      <c r="A1947" s="34"/>
      <c r="B1947" s="34"/>
      <c r="C1947" s="57"/>
      <c r="D1947" s="56"/>
      <c r="E1947" s="56"/>
      <c r="F1947" s="26"/>
      <c r="G1947" s="26"/>
      <c r="H1947" s="26"/>
      <c r="I1947" s="26"/>
      <c r="J1947" s="26"/>
      <c r="K1947" s="26"/>
      <c r="L1947" s="26"/>
      <c r="M1947" s="55"/>
      <c r="N1947" s="26"/>
    </row>
    <row r="1948" spans="1:14" ht="75" customHeight="1" thickTop="1" thickBot="1">
      <c r="A1948" s="34"/>
      <c r="B1948" s="34"/>
      <c r="C1948" s="57"/>
      <c r="D1948" s="56"/>
      <c r="E1948" s="56"/>
      <c r="F1948" s="26"/>
      <c r="G1948" s="26"/>
      <c r="H1948" s="26"/>
      <c r="I1948" s="26"/>
      <c r="J1948" s="26"/>
      <c r="K1948" s="26"/>
      <c r="L1948" s="26"/>
      <c r="M1948" s="55"/>
      <c r="N1948" s="26"/>
    </row>
    <row r="1949" spans="1:14" ht="75" customHeight="1" thickTop="1" thickBot="1">
      <c r="A1949" s="34"/>
      <c r="B1949" s="34"/>
      <c r="C1949" s="57"/>
      <c r="D1949" s="56"/>
      <c r="E1949" s="56"/>
      <c r="F1949" s="26"/>
      <c r="G1949" s="26"/>
      <c r="H1949" s="26"/>
      <c r="I1949" s="26"/>
      <c r="J1949" s="26"/>
      <c r="K1949" s="26"/>
      <c r="L1949" s="26"/>
      <c r="M1949" s="55"/>
      <c r="N1949" s="26"/>
    </row>
    <row r="1950" spans="1:14" ht="75" customHeight="1" thickTop="1" thickBot="1">
      <c r="A1950" s="34"/>
      <c r="B1950" s="34"/>
      <c r="C1950" s="57"/>
      <c r="D1950" s="56"/>
      <c r="E1950" s="56"/>
      <c r="F1950" s="26"/>
      <c r="G1950" s="26"/>
      <c r="H1950" s="26"/>
      <c r="I1950" s="26"/>
      <c r="J1950" s="26"/>
      <c r="K1950" s="26"/>
      <c r="L1950" s="26"/>
      <c r="M1950" s="55"/>
      <c r="N1950" s="26"/>
    </row>
    <row r="1951" spans="1:14" ht="75" customHeight="1" thickTop="1" thickBot="1">
      <c r="A1951" s="34"/>
      <c r="B1951" s="34"/>
      <c r="C1951" s="57"/>
      <c r="D1951" s="56"/>
      <c r="E1951" s="56"/>
      <c r="F1951" s="26"/>
      <c r="G1951" s="26"/>
      <c r="H1951" s="26"/>
      <c r="I1951" s="26"/>
      <c r="J1951" s="26"/>
      <c r="K1951" s="26"/>
      <c r="L1951" s="26"/>
      <c r="M1951" s="55"/>
      <c r="N1951" s="26"/>
    </row>
    <row r="1952" spans="1:14" ht="75" customHeight="1" thickTop="1" thickBot="1">
      <c r="A1952" s="34"/>
      <c r="B1952" s="34"/>
      <c r="C1952" s="57"/>
      <c r="D1952" s="56"/>
      <c r="E1952" s="56"/>
      <c r="F1952" s="26"/>
      <c r="G1952" s="26"/>
      <c r="H1952" s="26"/>
      <c r="I1952" s="26"/>
      <c r="J1952" s="26"/>
      <c r="K1952" s="26"/>
      <c r="L1952" s="26"/>
      <c r="M1952" s="55"/>
      <c r="N1952" s="26"/>
    </row>
    <row r="1953" spans="1:14" ht="75" customHeight="1" thickTop="1" thickBot="1">
      <c r="A1953" s="34"/>
      <c r="B1953" s="34"/>
      <c r="C1953" s="57"/>
      <c r="D1953" s="56"/>
      <c r="E1953" s="56"/>
      <c r="F1953" s="26"/>
      <c r="G1953" s="26"/>
      <c r="H1953" s="26"/>
      <c r="I1953" s="26"/>
      <c r="J1953" s="26"/>
      <c r="K1953" s="26"/>
      <c r="L1953" s="26"/>
      <c r="M1953" s="55"/>
      <c r="N1953" s="26"/>
    </row>
    <row r="1954" spans="1:14" ht="75" customHeight="1" thickTop="1" thickBot="1">
      <c r="A1954" s="34"/>
      <c r="B1954" s="34"/>
      <c r="C1954" s="57"/>
      <c r="D1954" s="56"/>
      <c r="E1954" s="56"/>
      <c r="F1954" s="26"/>
      <c r="G1954" s="26"/>
      <c r="H1954" s="26"/>
      <c r="I1954" s="26"/>
      <c r="J1954" s="26"/>
      <c r="K1954" s="26"/>
      <c r="L1954" s="26"/>
      <c r="M1954" s="55"/>
      <c r="N1954" s="26"/>
    </row>
    <row r="1955" spans="1:14" ht="75" customHeight="1" thickTop="1" thickBot="1">
      <c r="A1955" s="34"/>
      <c r="B1955" s="34"/>
      <c r="C1955" s="57"/>
      <c r="D1955" s="56"/>
      <c r="E1955" s="56"/>
      <c r="F1955" s="26"/>
      <c r="G1955" s="26"/>
      <c r="H1955" s="26"/>
      <c r="I1955" s="26"/>
      <c r="J1955" s="26"/>
      <c r="K1955" s="26"/>
      <c r="L1955" s="26"/>
      <c r="M1955" s="55"/>
      <c r="N1955" s="26"/>
    </row>
    <row r="1956" spans="1:14" ht="75" customHeight="1" thickTop="1" thickBot="1">
      <c r="A1956" s="34"/>
      <c r="B1956" s="34"/>
      <c r="C1956" s="57"/>
      <c r="D1956" s="56"/>
      <c r="E1956" s="56"/>
      <c r="F1956" s="26"/>
      <c r="G1956" s="26"/>
      <c r="H1956" s="26"/>
      <c r="I1956" s="26"/>
      <c r="J1956" s="26"/>
      <c r="K1956" s="26"/>
      <c r="L1956" s="26"/>
      <c r="M1956" s="55"/>
      <c r="N1956" s="26"/>
    </row>
    <row r="1957" spans="1:14" ht="75" customHeight="1" thickTop="1" thickBot="1">
      <c r="A1957" s="34"/>
      <c r="B1957" s="34"/>
      <c r="C1957" s="57"/>
      <c r="D1957" s="56"/>
      <c r="E1957" s="56"/>
      <c r="F1957" s="26"/>
      <c r="G1957" s="26"/>
      <c r="H1957" s="26"/>
      <c r="I1957" s="26"/>
      <c r="J1957" s="26"/>
      <c r="K1957" s="26"/>
      <c r="L1957" s="26"/>
      <c r="M1957" s="55"/>
      <c r="N1957" s="26"/>
    </row>
    <row r="1958" spans="1:14" ht="75" customHeight="1" thickTop="1" thickBot="1">
      <c r="A1958" s="34"/>
      <c r="B1958" s="34"/>
      <c r="C1958" s="57"/>
      <c r="D1958" s="56"/>
      <c r="E1958" s="56"/>
      <c r="F1958" s="26"/>
      <c r="G1958" s="26"/>
      <c r="H1958" s="26"/>
      <c r="I1958" s="26"/>
      <c r="J1958" s="26"/>
      <c r="K1958" s="26"/>
      <c r="L1958" s="26"/>
      <c r="M1958" s="55"/>
      <c r="N1958" s="26"/>
    </row>
    <row r="1959" spans="1:14" ht="75" customHeight="1" thickTop="1" thickBot="1">
      <c r="A1959" s="34"/>
      <c r="B1959" s="34"/>
      <c r="C1959" s="57"/>
      <c r="D1959" s="56"/>
      <c r="E1959" s="56"/>
      <c r="F1959" s="26"/>
      <c r="G1959" s="26"/>
      <c r="H1959" s="26"/>
      <c r="I1959" s="26"/>
      <c r="J1959" s="26"/>
      <c r="K1959" s="26"/>
      <c r="L1959" s="26"/>
      <c r="M1959" s="55"/>
      <c r="N1959" s="26"/>
    </row>
    <row r="1960" spans="1:14" ht="75" customHeight="1" thickTop="1" thickBot="1">
      <c r="A1960" s="34"/>
      <c r="B1960" s="34"/>
      <c r="C1960" s="57"/>
      <c r="D1960" s="56"/>
      <c r="E1960" s="56"/>
      <c r="F1960" s="26"/>
      <c r="G1960" s="26"/>
      <c r="H1960" s="26"/>
      <c r="I1960" s="26"/>
      <c r="J1960" s="26"/>
      <c r="K1960" s="26"/>
      <c r="L1960" s="26"/>
      <c r="M1960" s="55"/>
      <c r="N1960" s="26"/>
    </row>
    <row r="1961" spans="1:14" ht="75" customHeight="1" thickTop="1" thickBot="1">
      <c r="A1961" s="34"/>
      <c r="B1961" s="34"/>
      <c r="C1961" s="57"/>
      <c r="D1961" s="56"/>
      <c r="E1961" s="56"/>
      <c r="F1961" s="26"/>
      <c r="G1961" s="26"/>
      <c r="H1961" s="26"/>
      <c r="I1961" s="26"/>
      <c r="J1961" s="26"/>
      <c r="K1961" s="26"/>
      <c r="L1961" s="26"/>
      <c r="M1961" s="55"/>
      <c r="N1961" s="26"/>
    </row>
    <row r="1962" spans="1:14" ht="75" customHeight="1" thickTop="1" thickBot="1">
      <c r="A1962" s="34"/>
      <c r="B1962" s="34"/>
      <c r="C1962" s="57"/>
      <c r="D1962" s="56"/>
      <c r="E1962" s="56"/>
      <c r="F1962" s="26"/>
      <c r="G1962" s="26"/>
      <c r="H1962" s="26"/>
      <c r="I1962" s="26"/>
      <c r="J1962" s="26"/>
      <c r="K1962" s="26"/>
      <c r="L1962" s="26"/>
      <c r="M1962" s="55"/>
      <c r="N1962" s="26"/>
    </row>
    <row r="1963" spans="1:14" ht="75" customHeight="1" thickTop="1" thickBot="1">
      <c r="A1963" s="34"/>
      <c r="B1963" s="34"/>
      <c r="C1963" s="57"/>
      <c r="D1963" s="56"/>
      <c r="E1963" s="56"/>
      <c r="F1963" s="26"/>
      <c r="G1963" s="26"/>
      <c r="H1963" s="26"/>
      <c r="I1963" s="26"/>
      <c r="J1963" s="26"/>
      <c r="K1963" s="26"/>
      <c r="L1963" s="26"/>
      <c r="M1963" s="55"/>
      <c r="N1963" s="26"/>
    </row>
    <row r="1964" spans="1:14" ht="75" customHeight="1" thickTop="1" thickBot="1">
      <c r="A1964" s="34"/>
      <c r="B1964" s="34"/>
      <c r="C1964" s="57"/>
      <c r="D1964" s="56"/>
      <c r="E1964" s="56"/>
      <c r="F1964" s="26"/>
      <c r="G1964" s="26"/>
      <c r="H1964" s="26"/>
      <c r="I1964" s="26"/>
      <c r="J1964" s="26"/>
      <c r="K1964" s="26"/>
      <c r="L1964" s="26"/>
      <c r="M1964" s="55"/>
      <c r="N1964" s="26"/>
    </row>
    <row r="1965" spans="1:14" ht="75" customHeight="1" thickTop="1" thickBot="1">
      <c r="A1965" s="34"/>
      <c r="B1965" s="34"/>
      <c r="C1965" s="57"/>
      <c r="D1965" s="56"/>
      <c r="E1965" s="56"/>
      <c r="F1965" s="26"/>
      <c r="G1965" s="26"/>
      <c r="H1965" s="26"/>
      <c r="I1965" s="26"/>
      <c r="J1965" s="26"/>
      <c r="K1965" s="26"/>
      <c r="L1965" s="26"/>
      <c r="M1965" s="55"/>
      <c r="N1965" s="26"/>
    </row>
    <row r="1966" spans="1:14" ht="75" customHeight="1" thickTop="1" thickBot="1">
      <c r="A1966" s="34"/>
      <c r="B1966" s="34"/>
      <c r="C1966" s="57"/>
      <c r="D1966" s="56"/>
      <c r="E1966" s="56"/>
      <c r="F1966" s="26"/>
      <c r="G1966" s="26"/>
      <c r="H1966" s="26"/>
      <c r="I1966" s="26"/>
      <c r="J1966" s="26"/>
      <c r="K1966" s="26"/>
      <c r="L1966" s="26"/>
      <c r="M1966" s="55"/>
      <c r="N1966" s="26"/>
    </row>
    <row r="1967" spans="1:14" ht="75" customHeight="1" thickTop="1" thickBot="1">
      <c r="A1967" s="34"/>
      <c r="B1967" s="34"/>
      <c r="C1967" s="57"/>
      <c r="D1967" s="56"/>
      <c r="E1967" s="56"/>
      <c r="F1967" s="26"/>
      <c r="G1967" s="26"/>
      <c r="H1967" s="26"/>
      <c r="I1967" s="26"/>
      <c r="J1967" s="26"/>
      <c r="K1967" s="26"/>
      <c r="L1967" s="26"/>
      <c r="M1967" s="55"/>
      <c r="N1967" s="26"/>
    </row>
    <row r="1968" spans="1:14" ht="75" customHeight="1" thickTop="1" thickBot="1">
      <c r="A1968" s="34"/>
      <c r="B1968" s="34"/>
      <c r="C1968" s="57"/>
      <c r="D1968" s="56"/>
      <c r="E1968" s="56"/>
      <c r="F1968" s="26"/>
      <c r="G1968" s="26"/>
      <c r="H1968" s="26"/>
      <c r="I1968" s="26"/>
      <c r="J1968" s="26"/>
      <c r="K1968" s="26"/>
      <c r="L1968" s="26"/>
      <c r="M1968" s="55"/>
      <c r="N1968" s="26"/>
    </row>
    <row r="1969" spans="1:14" ht="75" customHeight="1" thickTop="1" thickBot="1">
      <c r="A1969" s="34"/>
      <c r="B1969" s="34"/>
      <c r="C1969" s="57"/>
      <c r="D1969" s="56"/>
      <c r="E1969" s="56"/>
      <c r="F1969" s="26"/>
      <c r="G1969" s="26"/>
      <c r="H1969" s="26"/>
      <c r="I1969" s="26"/>
      <c r="J1969" s="26"/>
      <c r="K1969" s="26"/>
      <c r="L1969" s="26"/>
      <c r="M1969" s="55"/>
      <c r="N1969" s="26"/>
    </row>
    <row r="1970" spans="1:14" ht="75" customHeight="1" thickTop="1" thickBot="1">
      <c r="A1970" s="34"/>
      <c r="B1970" s="34"/>
      <c r="C1970" s="57"/>
      <c r="D1970" s="56"/>
      <c r="E1970" s="56"/>
      <c r="F1970" s="26"/>
      <c r="G1970" s="26"/>
      <c r="H1970" s="26"/>
      <c r="I1970" s="26"/>
      <c r="J1970" s="26"/>
      <c r="K1970" s="26"/>
      <c r="L1970" s="26"/>
      <c r="M1970" s="55"/>
      <c r="N1970" s="26"/>
    </row>
    <row r="1971" spans="1:14" ht="75" customHeight="1" thickTop="1" thickBot="1">
      <c r="A1971" s="34"/>
      <c r="B1971" s="34"/>
      <c r="C1971" s="57"/>
      <c r="D1971" s="56"/>
      <c r="E1971" s="56"/>
      <c r="F1971" s="26"/>
      <c r="G1971" s="26"/>
      <c r="H1971" s="26"/>
      <c r="I1971" s="26"/>
      <c r="J1971" s="26"/>
      <c r="K1971" s="26"/>
      <c r="L1971" s="26"/>
      <c r="M1971" s="55"/>
      <c r="N1971" s="26"/>
    </row>
    <row r="1972" spans="1:14" ht="75" customHeight="1" thickTop="1" thickBot="1">
      <c r="A1972" s="34"/>
      <c r="B1972" s="34"/>
      <c r="C1972" s="57"/>
      <c r="D1972" s="56"/>
      <c r="E1972" s="56"/>
      <c r="F1972" s="26"/>
      <c r="G1972" s="26"/>
      <c r="H1972" s="26"/>
      <c r="I1972" s="26"/>
      <c r="J1972" s="26"/>
      <c r="K1972" s="26"/>
      <c r="L1972" s="26"/>
      <c r="M1972" s="55"/>
      <c r="N1972" s="26"/>
    </row>
    <row r="1973" spans="1:14" ht="75" customHeight="1" thickTop="1" thickBot="1">
      <c r="A1973" s="34"/>
      <c r="B1973" s="34"/>
      <c r="C1973" s="57"/>
      <c r="D1973" s="56"/>
      <c r="E1973" s="56"/>
      <c r="F1973" s="26"/>
      <c r="G1973" s="26"/>
      <c r="H1973" s="26"/>
      <c r="I1973" s="26"/>
      <c r="J1973" s="26"/>
      <c r="K1973" s="26"/>
      <c r="L1973" s="26"/>
      <c r="M1973" s="55"/>
      <c r="N1973" s="26"/>
    </row>
    <row r="1974" spans="1:14" ht="75" customHeight="1" thickTop="1" thickBot="1">
      <c r="A1974" s="34"/>
      <c r="B1974" s="34"/>
      <c r="C1974" s="57"/>
      <c r="D1974" s="56"/>
      <c r="E1974" s="56"/>
      <c r="F1974" s="26"/>
      <c r="G1974" s="26"/>
      <c r="H1974" s="26"/>
      <c r="I1974" s="26"/>
      <c r="J1974" s="26"/>
      <c r="K1974" s="26"/>
      <c r="L1974" s="26"/>
      <c r="M1974" s="55"/>
      <c r="N1974" s="26"/>
    </row>
    <row r="1975" spans="1:14" ht="75" customHeight="1" thickTop="1" thickBot="1">
      <c r="A1975" s="34"/>
      <c r="B1975" s="34"/>
      <c r="C1975" s="57"/>
      <c r="D1975" s="56"/>
      <c r="E1975" s="56"/>
      <c r="F1975" s="26"/>
      <c r="G1975" s="26"/>
      <c r="H1975" s="26"/>
      <c r="I1975" s="26"/>
      <c r="J1975" s="26"/>
      <c r="K1975" s="26"/>
      <c r="L1975" s="26"/>
      <c r="M1975" s="55"/>
      <c r="N1975" s="26"/>
    </row>
    <row r="1976" spans="1:14" ht="75" customHeight="1" thickTop="1" thickBot="1">
      <c r="A1976" s="34"/>
      <c r="B1976" s="34"/>
      <c r="C1976" s="57"/>
      <c r="D1976" s="56"/>
      <c r="E1976" s="56"/>
      <c r="F1976" s="26"/>
      <c r="G1976" s="26"/>
      <c r="H1976" s="26"/>
      <c r="I1976" s="26"/>
      <c r="J1976" s="26"/>
      <c r="K1976" s="26"/>
      <c r="L1976" s="26"/>
      <c r="M1976" s="55"/>
      <c r="N1976" s="26"/>
    </row>
    <row r="1977" spans="1:14" ht="75" customHeight="1" thickTop="1" thickBot="1">
      <c r="A1977" s="34"/>
      <c r="B1977" s="34"/>
      <c r="C1977" s="57"/>
      <c r="D1977" s="56"/>
      <c r="E1977" s="56"/>
      <c r="F1977" s="26"/>
      <c r="G1977" s="26"/>
      <c r="H1977" s="26"/>
      <c r="I1977" s="26"/>
      <c r="J1977" s="26"/>
      <c r="K1977" s="26"/>
      <c r="L1977" s="26"/>
      <c r="M1977" s="55"/>
      <c r="N1977" s="26"/>
    </row>
    <row r="1978" spans="1:14" ht="75" customHeight="1" thickTop="1" thickBot="1">
      <c r="A1978" s="34"/>
      <c r="B1978" s="34"/>
      <c r="C1978" s="57"/>
      <c r="D1978" s="56"/>
      <c r="E1978" s="56"/>
      <c r="F1978" s="26"/>
      <c r="G1978" s="26"/>
      <c r="H1978" s="26"/>
      <c r="I1978" s="26"/>
      <c r="J1978" s="26"/>
      <c r="K1978" s="26"/>
      <c r="L1978" s="26"/>
      <c r="M1978" s="55"/>
      <c r="N1978" s="26"/>
    </row>
    <row r="1979" spans="1:14" ht="75" customHeight="1" thickTop="1" thickBot="1">
      <c r="A1979" s="34"/>
      <c r="B1979" s="34"/>
      <c r="C1979" s="57"/>
      <c r="D1979" s="56"/>
      <c r="E1979" s="56"/>
      <c r="F1979" s="26"/>
      <c r="G1979" s="26"/>
      <c r="H1979" s="26"/>
      <c r="I1979" s="26"/>
      <c r="J1979" s="26"/>
      <c r="K1979" s="26"/>
      <c r="L1979" s="26"/>
      <c r="M1979" s="55"/>
      <c r="N1979" s="26"/>
    </row>
    <row r="1980" spans="1:14" ht="75" customHeight="1" thickTop="1" thickBot="1">
      <c r="A1980" s="34"/>
      <c r="B1980" s="34"/>
      <c r="C1980" s="57"/>
      <c r="D1980" s="56"/>
      <c r="E1980" s="56"/>
      <c r="F1980" s="26"/>
      <c r="G1980" s="26"/>
      <c r="H1980" s="26"/>
      <c r="I1980" s="26"/>
      <c r="J1980" s="26"/>
      <c r="K1980" s="26"/>
      <c r="L1980" s="26"/>
      <c r="M1980" s="55"/>
      <c r="N1980" s="26"/>
    </row>
    <row r="1981" spans="1:14" ht="75" customHeight="1" thickTop="1" thickBot="1">
      <c r="A1981" s="34"/>
      <c r="B1981" s="34"/>
      <c r="C1981" s="57"/>
      <c r="D1981" s="56"/>
      <c r="E1981" s="56"/>
      <c r="F1981" s="26"/>
      <c r="G1981" s="26"/>
      <c r="H1981" s="26"/>
      <c r="I1981" s="26"/>
      <c r="J1981" s="26"/>
      <c r="K1981" s="26"/>
      <c r="L1981" s="26"/>
      <c r="M1981" s="55"/>
      <c r="N1981" s="26"/>
    </row>
    <row r="1982" spans="1:14" ht="75" customHeight="1" thickTop="1" thickBot="1">
      <c r="A1982" s="34"/>
      <c r="B1982" s="34"/>
      <c r="C1982" s="57"/>
      <c r="D1982" s="56"/>
      <c r="E1982" s="56"/>
      <c r="F1982" s="26"/>
      <c r="G1982" s="26"/>
      <c r="H1982" s="26"/>
      <c r="I1982" s="26"/>
      <c r="J1982" s="26"/>
      <c r="K1982" s="26"/>
      <c r="L1982" s="26"/>
      <c r="M1982" s="55"/>
      <c r="N1982" s="26"/>
    </row>
    <row r="1983" spans="1:14" ht="75" customHeight="1" thickTop="1" thickBot="1">
      <c r="A1983" s="34"/>
      <c r="B1983" s="34"/>
      <c r="C1983" s="57"/>
      <c r="D1983" s="56"/>
      <c r="E1983" s="56"/>
      <c r="F1983" s="26"/>
      <c r="G1983" s="26"/>
      <c r="H1983" s="26"/>
      <c r="I1983" s="26"/>
      <c r="J1983" s="26"/>
      <c r="K1983" s="26"/>
      <c r="L1983" s="26"/>
      <c r="M1983" s="55"/>
      <c r="N1983" s="26"/>
    </row>
    <row r="1984" spans="1:14" ht="75" customHeight="1" thickTop="1" thickBot="1">
      <c r="A1984" s="34"/>
      <c r="B1984" s="34"/>
      <c r="C1984" s="57"/>
      <c r="D1984" s="56"/>
      <c r="E1984" s="56"/>
      <c r="F1984" s="26"/>
      <c r="G1984" s="26"/>
      <c r="H1984" s="26"/>
      <c r="I1984" s="26"/>
      <c r="J1984" s="26"/>
      <c r="K1984" s="26"/>
      <c r="L1984" s="26"/>
      <c r="M1984" s="55"/>
      <c r="N1984" s="26"/>
    </row>
    <row r="1985" spans="1:14" ht="75" customHeight="1" thickTop="1" thickBot="1">
      <c r="A1985" s="34"/>
      <c r="B1985" s="34"/>
      <c r="C1985" s="57"/>
      <c r="D1985" s="56"/>
      <c r="E1985" s="56"/>
      <c r="F1985" s="26"/>
      <c r="G1985" s="26"/>
      <c r="H1985" s="26"/>
      <c r="I1985" s="26"/>
      <c r="J1985" s="26"/>
      <c r="K1985" s="26"/>
      <c r="L1985" s="26"/>
      <c r="M1985" s="55"/>
      <c r="N1985" s="26"/>
    </row>
    <row r="1986" spans="1:14" ht="75" customHeight="1" thickTop="1" thickBot="1">
      <c r="A1986" s="34"/>
      <c r="B1986" s="34"/>
      <c r="C1986" s="57"/>
      <c r="D1986" s="56"/>
      <c r="E1986" s="56"/>
      <c r="F1986" s="26"/>
      <c r="G1986" s="26"/>
      <c r="H1986" s="26"/>
      <c r="I1986" s="26"/>
      <c r="J1986" s="26"/>
      <c r="K1986" s="26"/>
      <c r="L1986" s="26"/>
      <c r="M1986" s="55"/>
      <c r="N1986" s="26"/>
    </row>
    <row r="1987" spans="1:14" ht="75" customHeight="1" thickTop="1" thickBot="1">
      <c r="A1987" s="34"/>
      <c r="B1987" s="34"/>
      <c r="C1987" s="57"/>
      <c r="D1987" s="56"/>
      <c r="E1987" s="56"/>
      <c r="F1987" s="26"/>
      <c r="G1987" s="26"/>
      <c r="H1987" s="26"/>
      <c r="I1987" s="26"/>
      <c r="J1987" s="26"/>
      <c r="K1987" s="26"/>
      <c r="L1987" s="26"/>
      <c r="M1987" s="55"/>
      <c r="N1987" s="26"/>
    </row>
    <row r="1988" spans="1:14" ht="75" customHeight="1" thickTop="1" thickBot="1">
      <c r="A1988" s="34"/>
      <c r="B1988" s="34"/>
      <c r="C1988" s="57"/>
      <c r="D1988" s="56"/>
      <c r="E1988" s="56"/>
      <c r="F1988" s="26"/>
      <c r="G1988" s="26"/>
      <c r="H1988" s="26"/>
      <c r="I1988" s="26"/>
      <c r="J1988" s="26"/>
      <c r="K1988" s="26"/>
      <c r="L1988" s="26"/>
      <c r="M1988" s="55"/>
      <c r="N1988" s="26"/>
    </row>
    <row r="1989" spans="1:14" ht="75" customHeight="1" thickTop="1" thickBot="1">
      <c r="A1989" s="34"/>
      <c r="B1989" s="34"/>
      <c r="C1989" s="57"/>
      <c r="D1989" s="56"/>
      <c r="E1989" s="56"/>
      <c r="F1989" s="26"/>
      <c r="G1989" s="26"/>
      <c r="H1989" s="26"/>
      <c r="I1989" s="26"/>
      <c r="J1989" s="26"/>
      <c r="K1989" s="26"/>
      <c r="L1989" s="26"/>
      <c r="M1989" s="55"/>
      <c r="N1989" s="26"/>
    </row>
    <row r="1990" spans="1:14" ht="75" customHeight="1" thickTop="1" thickBot="1">
      <c r="A1990" s="34"/>
      <c r="B1990" s="34"/>
      <c r="C1990" s="57"/>
      <c r="D1990" s="56"/>
      <c r="E1990" s="56"/>
      <c r="F1990" s="26"/>
      <c r="G1990" s="26"/>
      <c r="H1990" s="26"/>
      <c r="I1990" s="26"/>
      <c r="J1990" s="26"/>
      <c r="K1990" s="26"/>
      <c r="L1990" s="26"/>
      <c r="M1990" s="55"/>
      <c r="N1990" s="26"/>
    </row>
    <row r="1991" spans="1:14" ht="75" customHeight="1" thickTop="1" thickBot="1">
      <c r="A1991" s="34"/>
      <c r="B1991" s="34"/>
      <c r="C1991" s="57"/>
      <c r="D1991" s="56"/>
      <c r="E1991" s="56"/>
      <c r="F1991" s="26"/>
      <c r="G1991" s="26"/>
      <c r="H1991" s="26"/>
      <c r="I1991" s="26"/>
      <c r="J1991" s="26"/>
      <c r="K1991" s="26"/>
      <c r="L1991" s="26"/>
      <c r="M1991" s="55"/>
      <c r="N1991" s="26"/>
    </row>
    <row r="1992" spans="1:14" ht="75" customHeight="1" thickTop="1" thickBot="1">
      <c r="A1992" s="34"/>
      <c r="B1992" s="34"/>
      <c r="C1992" s="57"/>
      <c r="D1992" s="56"/>
      <c r="E1992" s="56"/>
      <c r="F1992" s="26"/>
      <c r="G1992" s="26"/>
      <c r="H1992" s="26"/>
      <c r="I1992" s="26"/>
      <c r="J1992" s="26"/>
      <c r="K1992" s="26"/>
      <c r="L1992" s="26"/>
      <c r="M1992" s="55"/>
      <c r="N1992" s="26"/>
    </row>
    <row r="1993" spans="1:14" ht="75" customHeight="1" thickTop="1" thickBot="1">
      <c r="A1993" s="34"/>
      <c r="B1993" s="34"/>
      <c r="C1993" s="57"/>
      <c r="D1993" s="56"/>
      <c r="E1993" s="56"/>
      <c r="F1993" s="26"/>
      <c r="G1993" s="26"/>
      <c r="H1993" s="26"/>
      <c r="I1993" s="26"/>
      <c r="J1993" s="26"/>
      <c r="K1993" s="26"/>
      <c r="L1993" s="26"/>
      <c r="M1993" s="55"/>
      <c r="N1993" s="26"/>
    </row>
    <row r="1994" spans="1:14" ht="75" customHeight="1" thickTop="1" thickBot="1">
      <c r="A1994" s="34"/>
      <c r="B1994" s="34"/>
      <c r="C1994" s="57"/>
      <c r="D1994" s="56"/>
      <c r="E1994" s="56"/>
      <c r="F1994" s="26"/>
      <c r="G1994" s="26"/>
      <c r="H1994" s="26"/>
      <c r="I1994" s="26"/>
      <c r="J1994" s="26"/>
      <c r="K1994" s="26"/>
      <c r="L1994" s="26"/>
      <c r="M1994" s="55"/>
      <c r="N1994" s="26"/>
    </row>
    <row r="1995" spans="1:14" ht="75" customHeight="1" thickTop="1" thickBot="1">
      <c r="A1995" s="34"/>
      <c r="B1995" s="34"/>
      <c r="C1995" s="57"/>
      <c r="D1995" s="56"/>
      <c r="E1995" s="56"/>
      <c r="F1995" s="26"/>
      <c r="G1995" s="26"/>
      <c r="H1995" s="26"/>
      <c r="I1995" s="26"/>
      <c r="J1995" s="26"/>
      <c r="K1995" s="26"/>
      <c r="L1995" s="26"/>
      <c r="M1995" s="55"/>
      <c r="N1995" s="26"/>
    </row>
    <row r="1996" spans="1:14" ht="75" customHeight="1" thickTop="1" thickBot="1">
      <c r="A1996" s="34"/>
      <c r="B1996" s="34"/>
      <c r="C1996" s="57"/>
      <c r="D1996" s="56"/>
      <c r="E1996" s="56"/>
      <c r="F1996" s="26"/>
      <c r="G1996" s="26"/>
      <c r="H1996" s="26"/>
      <c r="I1996" s="26"/>
      <c r="J1996" s="26"/>
      <c r="K1996" s="26"/>
      <c r="L1996" s="26"/>
      <c r="M1996" s="55"/>
      <c r="N1996" s="26"/>
    </row>
    <row r="1997" spans="1:14" ht="75" customHeight="1" thickTop="1" thickBot="1">
      <c r="A1997" s="34"/>
      <c r="B1997" s="34"/>
      <c r="C1997" s="57"/>
      <c r="D1997" s="56"/>
      <c r="E1997" s="56"/>
      <c r="F1997" s="26"/>
      <c r="G1997" s="26"/>
      <c r="H1997" s="26"/>
      <c r="I1997" s="26"/>
      <c r="J1997" s="26"/>
      <c r="K1997" s="26"/>
      <c r="L1997" s="26"/>
      <c r="M1997" s="55"/>
      <c r="N1997" s="26"/>
    </row>
    <row r="1998" spans="1:14" ht="75" customHeight="1" thickTop="1" thickBot="1">
      <c r="A1998" s="34"/>
      <c r="B1998" s="34"/>
      <c r="C1998" s="57"/>
      <c r="D1998" s="56"/>
      <c r="E1998" s="56"/>
      <c r="F1998" s="26"/>
      <c r="G1998" s="26"/>
      <c r="H1998" s="26"/>
      <c r="I1998" s="26"/>
      <c r="J1998" s="26"/>
      <c r="K1998" s="26"/>
      <c r="L1998" s="26"/>
      <c r="M1998" s="55"/>
      <c r="N1998" s="26"/>
    </row>
    <row r="1999" spans="1:14" ht="75" customHeight="1" thickTop="1" thickBot="1">
      <c r="A1999" s="34"/>
      <c r="B1999" s="34"/>
      <c r="C1999" s="57"/>
      <c r="D1999" s="56"/>
      <c r="E1999" s="56"/>
      <c r="F1999" s="26"/>
      <c r="G1999" s="26"/>
      <c r="H1999" s="26"/>
      <c r="I1999" s="26"/>
      <c r="J1999" s="26"/>
      <c r="K1999" s="26"/>
      <c r="L1999" s="26"/>
      <c r="M1999" s="55"/>
      <c r="N1999" s="26"/>
    </row>
    <row r="2000" spans="1:14" ht="75" customHeight="1" thickTop="1" thickBot="1">
      <c r="A2000" s="34"/>
      <c r="B2000" s="34"/>
      <c r="C2000" s="57"/>
      <c r="D2000" s="56"/>
      <c r="E2000" s="56"/>
      <c r="F2000" s="26"/>
      <c r="G2000" s="26"/>
      <c r="H2000" s="26"/>
      <c r="I2000" s="26"/>
      <c r="J2000" s="26"/>
      <c r="K2000" s="26"/>
      <c r="L2000" s="26"/>
      <c r="M2000" s="55"/>
      <c r="N2000" s="26"/>
    </row>
    <row r="2001" spans="1:14" ht="75" customHeight="1" thickTop="1" thickBot="1">
      <c r="A2001" s="34"/>
      <c r="B2001" s="34"/>
      <c r="C2001" s="57"/>
      <c r="D2001" s="56"/>
      <c r="E2001" s="56"/>
      <c r="F2001" s="26"/>
      <c r="G2001" s="26"/>
      <c r="H2001" s="26"/>
      <c r="I2001" s="26"/>
      <c r="J2001" s="26"/>
      <c r="K2001" s="26"/>
      <c r="L2001" s="26"/>
      <c r="M2001" s="55"/>
      <c r="N2001" s="26"/>
    </row>
    <row r="2002" spans="1:14" ht="75" customHeight="1" thickTop="1" thickBot="1">
      <c r="A2002" s="34"/>
      <c r="B2002" s="34"/>
      <c r="C2002" s="57"/>
      <c r="D2002" s="56"/>
      <c r="E2002" s="56"/>
      <c r="F2002" s="26"/>
      <c r="G2002" s="26"/>
      <c r="H2002" s="26"/>
      <c r="I2002" s="26"/>
      <c r="J2002" s="26"/>
      <c r="K2002" s="26"/>
      <c r="L2002" s="26"/>
      <c r="M2002" s="55"/>
      <c r="N2002" s="26"/>
    </row>
    <row r="2003" spans="1:14" ht="75" customHeight="1" thickTop="1" thickBot="1">
      <c r="A2003" s="34"/>
      <c r="B2003" s="34"/>
      <c r="C2003" s="57"/>
      <c r="D2003" s="56"/>
      <c r="E2003" s="56"/>
      <c r="F2003" s="26"/>
      <c r="G2003" s="26"/>
      <c r="H2003" s="26"/>
      <c r="I2003" s="26"/>
      <c r="J2003" s="26"/>
      <c r="K2003" s="26"/>
      <c r="L2003" s="26"/>
      <c r="M2003" s="55"/>
      <c r="N2003" s="26"/>
    </row>
    <row r="2004" spans="1:14" ht="75" customHeight="1" thickTop="1" thickBot="1">
      <c r="A2004" s="34"/>
      <c r="B2004" s="34"/>
      <c r="C2004" s="57"/>
      <c r="D2004" s="56"/>
      <c r="E2004" s="56"/>
      <c r="F2004" s="26"/>
      <c r="G2004" s="26"/>
      <c r="H2004" s="26"/>
      <c r="I2004" s="26"/>
      <c r="J2004" s="26"/>
      <c r="K2004" s="26"/>
      <c r="L2004" s="26"/>
      <c r="M2004" s="55"/>
      <c r="N2004" s="26"/>
    </row>
    <row r="2005" spans="1:14" ht="75" customHeight="1" thickTop="1" thickBot="1">
      <c r="A2005" s="34"/>
      <c r="B2005" s="34"/>
      <c r="C2005" s="57"/>
      <c r="D2005" s="56"/>
      <c r="E2005" s="56"/>
      <c r="F2005" s="26"/>
      <c r="G2005" s="26"/>
      <c r="H2005" s="26"/>
      <c r="I2005" s="26"/>
      <c r="J2005" s="26"/>
      <c r="K2005" s="26"/>
      <c r="L2005" s="26"/>
      <c r="M2005" s="55"/>
      <c r="N2005" s="26"/>
    </row>
    <row r="2006" spans="1:14" ht="75" customHeight="1" thickTop="1" thickBot="1">
      <c r="A2006" s="34"/>
      <c r="B2006" s="34"/>
      <c r="C2006" s="57"/>
      <c r="D2006" s="56"/>
      <c r="E2006" s="56"/>
      <c r="F2006" s="26"/>
      <c r="G2006" s="26"/>
      <c r="H2006" s="26"/>
      <c r="I2006" s="26"/>
      <c r="J2006" s="26"/>
      <c r="K2006" s="26"/>
      <c r="L2006" s="26"/>
      <c r="M2006" s="55"/>
      <c r="N2006" s="26"/>
    </row>
    <row r="2007" spans="1:14" ht="75" customHeight="1" thickTop="1" thickBot="1">
      <c r="A2007" s="34"/>
      <c r="B2007" s="34"/>
      <c r="C2007" s="57"/>
      <c r="D2007" s="56"/>
      <c r="E2007" s="56"/>
      <c r="F2007" s="26"/>
      <c r="G2007" s="26"/>
      <c r="H2007" s="26"/>
      <c r="I2007" s="26"/>
      <c r="J2007" s="26"/>
      <c r="K2007" s="26"/>
      <c r="L2007" s="26"/>
      <c r="M2007" s="55"/>
      <c r="N2007" s="26"/>
    </row>
    <row r="2008" spans="1:14" ht="75" customHeight="1" thickTop="1" thickBot="1">
      <c r="A2008" s="34"/>
      <c r="B2008" s="34"/>
      <c r="C2008" s="57"/>
      <c r="D2008" s="56"/>
      <c r="E2008" s="56"/>
      <c r="F2008" s="26"/>
      <c r="G2008" s="26"/>
      <c r="H2008" s="26"/>
      <c r="I2008" s="26"/>
      <c r="J2008" s="26"/>
      <c r="K2008" s="26"/>
      <c r="L2008" s="26"/>
      <c r="M2008" s="55"/>
      <c r="N2008" s="26"/>
    </row>
    <row r="2009" spans="1:14" ht="75" customHeight="1" thickTop="1" thickBot="1">
      <c r="A2009" s="34"/>
      <c r="B2009" s="34"/>
      <c r="C2009" s="57"/>
      <c r="D2009" s="56"/>
      <c r="E2009" s="56"/>
      <c r="F2009" s="26"/>
      <c r="G2009" s="26"/>
      <c r="H2009" s="26"/>
      <c r="I2009" s="26"/>
      <c r="J2009" s="26"/>
      <c r="K2009" s="26"/>
      <c r="L2009" s="26"/>
      <c r="M2009" s="55"/>
      <c r="N2009" s="26"/>
    </row>
    <row r="2010" spans="1:14" ht="75" customHeight="1" thickTop="1" thickBot="1">
      <c r="A2010" s="34"/>
      <c r="B2010" s="34"/>
      <c r="C2010" s="57"/>
      <c r="D2010" s="56"/>
      <c r="E2010" s="56"/>
      <c r="F2010" s="26"/>
      <c r="G2010" s="26"/>
      <c r="H2010" s="26"/>
      <c r="I2010" s="26"/>
      <c r="J2010" s="26"/>
      <c r="K2010" s="26"/>
      <c r="L2010" s="26"/>
      <c r="M2010" s="55"/>
      <c r="N2010" s="26"/>
    </row>
    <row r="2011" spans="1:14" ht="75" customHeight="1" thickTop="1" thickBot="1">
      <c r="A2011" s="34"/>
      <c r="B2011" s="34"/>
      <c r="C2011" s="57"/>
      <c r="D2011" s="56"/>
      <c r="E2011" s="56"/>
      <c r="F2011" s="26"/>
      <c r="G2011" s="26"/>
      <c r="H2011" s="26"/>
      <c r="I2011" s="26"/>
      <c r="J2011" s="26"/>
      <c r="K2011" s="26"/>
      <c r="L2011" s="26"/>
      <c r="M2011" s="55"/>
      <c r="N2011" s="26"/>
    </row>
    <row r="2012" spans="1:14" ht="75" customHeight="1" thickTop="1" thickBot="1">
      <c r="A2012" s="34"/>
      <c r="B2012" s="34"/>
      <c r="C2012" s="57"/>
      <c r="D2012" s="56"/>
      <c r="E2012" s="56"/>
      <c r="F2012" s="26"/>
      <c r="G2012" s="26"/>
      <c r="H2012" s="26"/>
      <c r="I2012" s="26"/>
      <c r="J2012" s="26"/>
      <c r="K2012" s="26"/>
      <c r="L2012" s="26"/>
      <c r="M2012" s="55"/>
      <c r="N2012" s="26"/>
    </row>
    <row r="2013" spans="1:14" ht="75" customHeight="1" thickTop="1" thickBot="1">
      <c r="A2013" s="34"/>
      <c r="B2013" s="34"/>
      <c r="C2013" s="57"/>
      <c r="D2013" s="56"/>
      <c r="E2013" s="56"/>
      <c r="F2013" s="26"/>
      <c r="G2013" s="26"/>
      <c r="H2013" s="26"/>
      <c r="I2013" s="26"/>
      <c r="J2013" s="26"/>
      <c r="K2013" s="26"/>
      <c r="L2013" s="26"/>
      <c r="M2013" s="55"/>
      <c r="N2013" s="26"/>
    </row>
    <row r="2014" spans="1:14" ht="75" customHeight="1" thickTop="1" thickBot="1">
      <c r="A2014" s="34"/>
      <c r="B2014" s="34"/>
      <c r="C2014" s="57"/>
      <c r="D2014" s="56"/>
      <c r="E2014" s="56"/>
      <c r="F2014" s="26"/>
      <c r="G2014" s="26"/>
      <c r="H2014" s="26"/>
      <c r="I2014" s="26"/>
      <c r="J2014" s="26"/>
      <c r="K2014" s="26"/>
      <c r="L2014" s="26"/>
      <c r="M2014" s="55"/>
      <c r="N2014" s="26"/>
    </row>
    <row r="2015" spans="1:14" ht="75" customHeight="1" thickTop="1" thickBot="1">
      <c r="A2015" s="34"/>
      <c r="B2015" s="34"/>
      <c r="C2015" s="57"/>
      <c r="D2015" s="56"/>
      <c r="E2015" s="56"/>
      <c r="F2015" s="26"/>
      <c r="G2015" s="26"/>
      <c r="H2015" s="26"/>
      <c r="I2015" s="26"/>
      <c r="J2015" s="26"/>
      <c r="K2015" s="26"/>
      <c r="L2015" s="26"/>
      <c r="M2015" s="55"/>
      <c r="N2015" s="26"/>
    </row>
    <row r="2016" spans="1:14" ht="75" customHeight="1" thickTop="1" thickBot="1">
      <c r="A2016" s="34"/>
      <c r="B2016" s="34"/>
      <c r="C2016" s="57"/>
      <c r="D2016" s="56"/>
      <c r="E2016" s="56"/>
      <c r="F2016" s="26"/>
      <c r="G2016" s="26"/>
      <c r="H2016" s="26"/>
      <c r="I2016" s="26"/>
      <c r="J2016" s="26"/>
      <c r="K2016" s="26"/>
      <c r="L2016" s="26"/>
      <c r="M2016" s="55"/>
      <c r="N2016" s="26"/>
    </row>
    <row r="2017" spans="1:14" ht="75" customHeight="1" thickTop="1" thickBot="1">
      <c r="A2017" s="34"/>
      <c r="B2017" s="34"/>
      <c r="C2017" s="57"/>
      <c r="D2017" s="56"/>
      <c r="E2017" s="56"/>
      <c r="F2017" s="26"/>
      <c r="G2017" s="26"/>
      <c r="H2017" s="26"/>
      <c r="I2017" s="26"/>
      <c r="J2017" s="26"/>
      <c r="K2017" s="26"/>
      <c r="L2017" s="26"/>
      <c r="M2017" s="55"/>
      <c r="N2017" s="26"/>
    </row>
    <row r="2018" spans="1:14" ht="75" customHeight="1" thickTop="1" thickBot="1">
      <c r="A2018" s="34"/>
      <c r="B2018" s="34"/>
      <c r="C2018" s="57"/>
      <c r="D2018" s="56"/>
      <c r="E2018" s="56"/>
      <c r="F2018" s="26"/>
      <c r="G2018" s="26"/>
      <c r="H2018" s="26"/>
      <c r="I2018" s="26"/>
      <c r="J2018" s="26"/>
      <c r="K2018" s="26"/>
      <c r="L2018" s="26"/>
      <c r="M2018" s="55"/>
      <c r="N2018" s="26"/>
    </row>
    <row r="2019" spans="1:14" ht="75" customHeight="1" thickTop="1" thickBot="1">
      <c r="A2019" s="34"/>
      <c r="B2019" s="34"/>
      <c r="C2019" s="57"/>
      <c r="D2019" s="56"/>
      <c r="E2019" s="56"/>
      <c r="F2019" s="26"/>
      <c r="G2019" s="26"/>
      <c r="H2019" s="26"/>
      <c r="I2019" s="26"/>
      <c r="J2019" s="26"/>
      <c r="K2019" s="26"/>
      <c r="L2019" s="26"/>
      <c r="M2019" s="55"/>
      <c r="N2019" s="26"/>
    </row>
    <row r="2020" spans="1:14" ht="75" customHeight="1" thickTop="1" thickBot="1">
      <c r="A2020" s="34"/>
      <c r="B2020" s="34"/>
      <c r="C2020" s="57"/>
      <c r="D2020" s="56"/>
      <c r="E2020" s="56"/>
      <c r="F2020" s="26"/>
      <c r="G2020" s="26"/>
      <c r="H2020" s="26"/>
      <c r="I2020" s="26"/>
      <c r="J2020" s="26"/>
      <c r="K2020" s="26"/>
      <c r="L2020" s="26"/>
      <c r="M2020" s="55"/>
      <c r="N2020" s="26"/>
    </row>
    <row r="2021" spans="1:14" ht="75" customHeight="1" thickTop="1" thickBot="1">
      <c r="A2021" s="34"/>
      <c r="B2021" s="34"/>
      <c r="C2021" s="57"/>
      <c r="D2021" s="56"/>
      <c r="E2021" s="56"/>
      <c r="F2021" s="26"/>
      <c r="G2021" s="26"/>
      <c r="H2021" s="26"/>
      <c r="I2021" s="26"/>
      <c r="J2021" s="26"/>
      <c r="K2021" s="26"/>
      <c r="L2021" s="26"/>
      <c r="M2021" s="55"/>
      <c r="N2021" s="26"/>
    </row>
    <row r="2022" spans="1:14" ht="75" customHeight="1" thickTop="1" thickBot="1">
      <c r="A2022" s="34"/>
      <c r="B2022" s="34"/>
      <c r="C2022" s="57"/>
      <c r="D2022" s="56"/>
      <c r="E2022" s="56"/>
      <c r="F2022" s="26"/>
      <c r="G2022" s="26"/>
      <c r="H2022" s="26"/>
      <c r="I2022" s="26"/>
      <c r="J2022" s="26"/>
      <c r="K2022" s="26"/>
      <c r="L2022" s="26"/>
      <c r="M2022" s="55"/>
      <c r="N2022" s="26"/>
    </row>
    <row r="2023" spans="1:14" ht="75" customHeight="1" thickTop="1" thickBot="1">
      <c r="A2023" s="34"/>
      <c r="B2023" s="34"/>
      <c r="C2023" s="57"/>
      <c r="D2023" s="56"/>
      <c r="E2023" s="56"/>
      <c r="F2023" s="26"/>
      <c r="G2023" s="26"/>
      <c r="H2023" s="26"/>
      <c r="I2023" s="26"/>
      <c r="J2023" s="26"/>
      <c r="K2023" s="26"/>
      <c r="L2023" s="26"/>
      <c r="M2023" s="55"/>
      <c r="N2023" s="26"/>
    </row>
    <row r="2024" spans="1:14" ht="75" customHeight="1" thickTop="1" thickBot="1">
      <c r="A2024" s="34"/>
      <c r="B2024" s="34"/>
      <c r="C2024" s="57"/>
      <c r="D2024" s="56"/>
      <c r="E2024" s="56"/>
      <c r="F2024" s="26"/>
      <c r="G2024" s="26"/>
      <c r="H2024" s="26"/>
      <c r="I2024" s="26"/>
      <c r="J2024" s="26"/>
      <c r="K2024" s="26"/>
      <c r="L2024" s="26"/>
      <c r="M2024" s="55"/>
      <c r="N2024" s="26"/>
    </row>
    <row r="2025" spans="1:14" ht="75" customHeight="1" thickTop="1" thickBot="1">
      <c r="A2025" s="34"/>
      <c r="B2025" s="34"/>
      <c r="C2025" s="57"/>
      <c r="D2025" s="56"/>
      <c r="E2025" s="56"/>
      <c r="F2025" s="26"/>
      <c r="G2025" s="26"/>
      <c r="H2025" s="26"/>
      <c r="I2025" s="26"/>
      <c r="J2025" s="26"/>
      <c r="K2025" s="26"/>
      <c r="L2025" s="26"/>
      <c r="M2025" s="55"/>
      <c r="N2025" s="26"/>
    </row>
    <row r="2026" spans="1:14" ht="75" customHeight="1" thickTop="1" thickBot="1">
      <c r="A2026" s="34"/>
      <c r="B2026" s="34"/>
      <c r="C2026" s="57"/>
      <c r="D2026" s="56"/>
      <c r="E2026" s="56"/>
      <c r="F2026" s="26"/>
      <c r="G2026" s="26"/>
      <c r="H2026" s="26"/>
      <c r="I2026" s="26"/>
      <c r="J2026" s="26"/>
      <c r="K2026" s="26"/>
      <c r="L2026" s="26"/>
      <c r="M2026" s="55"/>
      <c r="N2026" s="26"/>
    </row>
    <row r="2027" spans="1:14" ht="75" customHeight="1" thickTop="1" thickBot="1">
      <c r="A2027" s="34"/>
      <c r="B2027" s="34"/>
      <c r="C2027" s="57"/>
      <c r="D2027" s="56"/>
      <c r="E2027" s="56"/>
      <c r="F2027" s="26"/>
      <c r="G2027" s="26"/>
      <c r="H2027" s="26"/>
      <c r="I2027" s="26"/>
      <c r="J2027" s="26"/>
      <c r="K2027" s="26"/>
      <c r="L2027" s="26"/>
      <c r="M2027" s="55"/>
      <c r="N2027" s="26"/>
    </row>
    <row r="2028" spans="1:14" ht="75" customHeight="1" thickTop="1"/>
  </sheetData>
  <conditionalFormatting sqref="K2028:K1048576">
    <cfRule type="containsText" dxfId="19" priority="19" operator="containsText" text="منجز">
      <formula>NOT(ISERROR(SEARCH("منجز",K2028)))</formula>
    </cfRule>
    <cfRule type="containsText" dxfId="18" priority="20" operator="containsText" text="منجز">
      <formula>NOT(ISERROR(SEARCH("منجز",K2028)))</formula>
    </cfRule>
  </conditionalFormatting>
  <conditionalFormatting sqref="C1498:C1554">
    <cfRule type="expression" dxfId="17" priority="16">
      <formula>AND($C1498&lt;&gt;"", TRIM($L1498)="")</formula>
    </cfRule>
    <cfRule type="expression" dxfId="16" priority="17">
      <formula>INT($C1498) &lt; TODAY()</formula>
    </cfRule>
    <cfRule type="expression" dxfId="15" priority="18">
      <formula>INT($C1498) = TODAY()</formula>
    </cfRule>
  </conditionalFormatting>
  <conditionalFormatting sqref="H1498:H1554">
    <cfRule type="containsText" dxfId="14" priority="13" operator="containsText" text="منجز">
      <formula>NOT(ISERROR(SEARCH("منجز",H1498)))</formula>
    </cfRule>
  </conditionalFormatting>
  <conditionalFormatting sqref="L1498:L1554">
    <cfRule type="containsText" dxfId="13" priority="14" operator="containsText" text="منجز">
      <formula>NOT(ISERROR(SEARCH("منجز",L1498)))</formula>
    </cfRule>
    <cfRule type="containsText" dxfId="12" priority="15" operator="containsText" text="منجز">
      <formula>NOT(ISERROR(SEARCH("منجز",L1498)))</formula>
    </cfRule>
  </conditionalFormatting>
  <conditionalFormatting sqref="C1555:C2027">
    <cfRule type="expression" dxfId="11" priority="10">
      <formula>AND($C1555&lt;&gt;"", TRIM($L1555)="")</formula>
    </cfRule>
    <cfRule type="expression" dxfId="10" priority="11">
      <formula>INT($C1555) &lt; TODAY()</formula>
    </cfRule>
    <cfRule type="expression" dxfId="9" priority="12">
      <formula>INT($C1555) = TODAY()</formula>
    </cfRule>
  </conditionalFormatting>
  <conditionalFormatting sqref="H1555:H2027">
    <cfRule type="containsText" dxfId="8" priority="7" operator="containsText" text="منجز">
      <formula>NOT(ISERROR(SEARCH("منجز",H1555)))</formula>
    </cfRule>
  </conditionalFormatting>
  <conditionalFormatting sqref="L1555:L2027">
    <cfRule type="containsText" dxfId="7" priority="8" operator="containsText" text="منجز">
      <formula>NOT(ISERROR(SEARCH("منجز",L1555)))</formula>
    </cfRule>
    <cfRule type="containsText" dxfId="6" priority="9" operator="containsText" text="منجز">
      <formula>NOT(ISERROR(SEARCH("منجز",L1555)))</formula>
    </cfRule>
  </conditionalFormatting>
  <conditionalFormatting sqref="L3:L1497">
    <cfRule type="containsText" dxfId="5" priority="2" operator="containsText" text="منجز">
      <formula>NOT(ISERROR(SEARCH("منجز",L3)))</formula>
    </cfRule>
    <cfRule type="containsText" dxfId="4" priority="3" operator="containsText" text="منجز">
      <formula>NOT(ISERROR(SEARCH("منجز",L3)))</formula>
    </cfRule>
  </conditionalFormatting>
  <conditionalFormatting sqref="C3:C1497">
    <cfRule type="expression" dxfId="3" priority="4">
      <formula>AND($C3&lt;&gt;"", TRIM($L3)="")</formula>
    </cfRule>
    <cfRule type="expression" dxfId="2" priority="5">
      <formula>INT($C3) &lt; TODAY()</formula>
    </cfRule>
    <cfRule type="expression" dxfId="1" priority="6">
      <formula>INT($C3) = TODAY()</formula>
    </cfRule>
  </conditionalFormatting>
  <conditionalFormatting sqref="H1:H1497">
    <cfRule type="containsText" dxfId="0" priority="1" operator="containsText" text="منجز">
      <formula>NOT(ISERROR(SEARCH("منجز",H1)))</formula>
    </cfRule>
  </conditionalFormatting>
  <dataValidations count="2">
    <dataValidation type="list" allowBlank="1" sqref="L3:L1556" xr:uid="{FCADDB99-B59E-4D4C-8A25-1CECFD23453F}">
      <formula1>"منجز,ملغي,تابع للتربية,مؤجل"</formula1>
    </dataValidation>
    <dataValidation type="list" allowBlank="1" sqref="K3:K1556" xr:uid="{B32B6BA8-D457-4918-AAB4-3A40CA2FD54D}">
      <formula1>#REF!</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594D0-783E-48FA-8CA0-9F364EE6AAE1}">
  <sheetPr>
    <tabColor rgb="FF2ECC71"/>
    <outlinePr summaryBelow="0" summaryRight="0"/>
    <pageSetUpPr fitToPage="1"/>
  </sheetPr>
  <dimension ref="A1:N1557"/>
  <sheetViews>
    <sheetView showGridLines="0" zoomScale="70" zoomScaleNormal="70" workbookViewId="0">
      <pane ySplit="2" topLeftCell="A3" activePane="bottomLeft" state="frozen"/>
      <selection pane="bottomLeft" activeCell="O1" sqref="O1"/>
    </sheetView>
  </sheetViews>
  <sheetFormatPr defaultColWidth="12.5546875" defaultRowHeight="75" customHeight="1"/>
  <cols>
    <col min="1" max="1" width="12.33203125" style="25" bestFit="1" customWidth="1"/>
    <col min="2" max="2" width="14.44140625" bestFit="1" customWidth="1"/>
    <col min="3" max="3" width="19.109375" bestFit="1" customWidth="1"/>
    <col min="4" max="4" width="13.109375" bestFit="1" customWidth="1"/>
    <col min="5" max="5" width="17.44140625" style="25" bestFit="1" customWidth="1"/>
    <col min="6" max="6" width="17.6640625" style="25" bestFit="1" customWidth="1"/>
    <col min="7" max="7" width="18.6640625" style="25" bestFit="1" customWidth="1"/>
    <col min="8" max="8" width="11.33203125" style="59" bestFit="1" customWidth="1"/>
    <col min="9" max="9" width="19.109375" style="25" bestFit="1" customWidth="1"/>
    <col min="10" max="10" width="16.77734375" style="25" bestFit="1" customWidth="1"/>
    <col min="11" max="11" width="25.88671875" style="25" bestFit="1" customWidth="1"/>
    <col min="12" max="12" width="30.5546875" style="25" customWidth="1"/>
    <col min="13" max="13" width="18.88671875" style="28" customWidth="1"/>
    <col min="14" max="14" width="19.109375" customWidth="1"/>
  </cols>
  <sheetData>
    <row r="1" spans="1:14" ht="99.9" customHeight="1" thickBot="1">
      <c r="A1" s="65"/>
      <c r="B1" s="65"/>
      <c r="C1" s="65"/>
      <c r="D1" s="65"/>
      <c r="E1" s="65"/>
      <c r="F1" s="65"/>
      <c r="G1" s="65"/>
      <c r="H1" s="65"/>
      <c r="I1" s="65"/>
      <c r="J1" s="65"/>
      <c r="K1" s="65"/>
      <c r="L1" s="65"/>
      <c r="M1" s="65"/>
      <c r="N1" s="65"/>
    </row>
    <row r="2" spans="1:14" ht="50.1" customHeight="1" thickTop="1" thickBot="1">
      <c r="A2" s="66" t="s">
        <v>3916</v>
      </c>
      <c r="B2" s="66" t="s">
        <v>3917</v>
      </c>
      <c r="C2" s="66" t="s">
        <v>0</v>
      </c>
      <c r="D2" s="66" t="s">
        <v>1</v>
      </c>
      <c r="E2" s="66" t="s">
        <v>2</v>
      </c>
      <c r="F2" s="66" t="s">
        <v>3</v>
      </c>
      <c r="G2" s="66" t="s">
        <v>3918</v>
      </c>
      <c r="H2" s="66" t="s">
        <v>65</v>
      </c>
      <c r="I2" s="66" t="s">
        <v>10</v>
      </c>
      <c r="J2" s="66" t="s">
        <v>3919</v>
      </c>
      <c r="K2" s="66" t="s">
        <v>4</v>
      </c>
      <c r="L2" s="66" t="s">
        <v>18</v>
      </c>
      <c r="M2" s="66" t="s">
        <v>3920</v>
      </c>
      <c r="N2" s="66" t="s">
        <v>6</v>
      </c>
    </row>
    <row r="3" spans="1:14" ht="75" customHeight="1" thickTop="1" thickBot="1">
      <c r="A3" s="34">
        <v>1</v>
      </c>
      <c r="B3" s="34">
        <v>1</v>
      </c>
      <c r="C3" s="53" t="s">
        <v>3921</v>
      </c>
      <c r="D3" s="54" t="s">
        <v>394</v>
      </c>
      <c r="E3" s="54" t="s">
        <v>3922</v>
      </c>
      <c r="F3" s="34" t="s">
        <v>3923</v>
      </c>
      <c r="G3" s="34" t="s">
        <v>16</v>
      </c>
      <c r="H3" s="34" t="s">
        <v>13</v>
      </c>
      <c r="I3" s="34" t="s">
        <v>3924</v>
      </c>
      <c r="J3" s="34" t="s">
        <v>3925</v>
      </c>
      <c r="K3" s="34" t="s">
        <v>3926</v>
      </c>
      <c r="L3" s="34" t="s">
        <v>3927</v>
      </c>
      <c r="M3" s="53" t="s">
        <v>3928</v>
      </c>
      <c r="N3" s="34" t="s">
        <v>3924</v>
      </c>
    </row>
    <row r="4" spans="1:14" ht="75" customHeight="1" thickTop="1" thickBot="1">
      <c r="A4" s="26">
        <v>2</v>
      </c>
      <c r="B4" s="26">
        <v>2</v>
      </c>
      <c r="C4" s="55" t="s">
        <v>3925</v>
      </c>
      <c r="D4" s="56" t="s">
        <v>394</v>
      </c>
      <c r="E4" s="56" t="s">
        <v>3922</v>
      </c>
      <c r="F4" s="26" t="s">
        <v>3923</v>
      </c>
      <c r="G4" s="26" t="s">
        <v>16</v>
      </c>
      <c r="H4" s="26" t="s">
        <v>13</v>
      </c>
      <c r="I4" s="26" t="s">
        <v>3924</v>
      </c>
      <c r="J4" s="26" t="s">
        <v>3925</v>
      </c>
      <c r="K4" s="26" t="s">
        <v>3929</v>
      </c>
      <c r="L4" s="26" t="s">
        <v>3927</v>
      </c>
      <c r="M4" s="55" t="s">
        <v>2199</v>
      </c>
      <c r="N4" s="26" t="s">
        <v>3924</v>
      </c>
    </row>
    <row r="5" spans="1:14" ht="75" customHeight="1" thickTop="1" thickBot="1">
      <c r="A5" s="34">
        <v>3</v>
      </c>
      <c r="B5" s="34">
        <v>3</v>
      </c>
      <c r="C5" s="55" t="s">
        <v>3930</v>
      </c>
      <c r="D5" s="56" t="s">
        <v>394</v>
      </c>
      <c r="E5" s="56" t="s">
        <v>3931</v>
      </c>
      <c r="F5" s="26" t="s">
        <v>3923</v>
      </c>
      <c r="G5" s="26" t="s">
        <v>3932</v>
      </c>
      <c r="H5" s="26" t="s">
        <v>13</v>
      </c>
      <c r="I5" s="26" t="s">
        <v>3924</v>
      </c>
      <c r="J5" s="26" t="s">
        <v>3933</v>
      </c>
      <c r="K5" s="26" t="s">
        <v>3926</v>
      </c>
      <c r="L5" s="26" t="s">
        <v>3927</v>
      </c>
      <c r="M5" s="55" t="s">
        <v>3934</v>
      </c>
      <c r="N5" s="26" t="s">
        <v>3924</v>
      </c>
    </row>
    <row r="6" spans="1:14" ht="75" customHeight="1" thickTop="1" thickBot="1">
      <c r="A6" s="34">
        <v>4</v>
      </c>
      <c r="B6" s="26">
        <v>4</v>
      </c>
      <c r="C6" s="55" t="s">
        <v>3935</v>
      </c>
      <c r="D6" s="56" t="s">
        <v>394</v>
      </c>
      <c r="E6" s="56" t="s">
        <v>3931</v>
      </c>
      <c r="F6" s="26" t="s">
        <v>3923</v>
      </c>
      <c r="G6" s="26" t="s">
        <v>3932</v>
      </c>
      <c r="H6" s="26" t="s">
        <v>13</v>
      </c>
      <c r="I6" s="26" t="s">
        <v>3924</v>
      </c>
      <c r="J6" s="26" t="s">
        <v>3933</v>
      </c>
      <c r="K6" s="26" t="s">
        <v>3929</v>
      </c>
      <c r="L6" s="26" t="s">
        <v>3927</v>
      </c>
      <c r="M6" s="55" t="s">
        <v>3936</v>
      </c>
      <c r="N6" s="26" t="s">
        <v>3924</v>
      </c>
    </row>
    <row r="7" spans="1:14" ht="75" customHeight="1" thickTop="1" thickBot="1">
      <c r="A7" s="26">
        <v>5</v>
      </c>
      <c r="B7" s="34">
        <v>5</v>
      </c>
      <c r="C7" s="55" t="s">
        <v>3933</v>
      </c>
      <c r="D7" s="56" t="s">
        <v>394</v>
      </c>
      <c r="E7" s="56" t="s">
        <v>3931</v>
      </c>
      <c r="F7" s="26" t="s">
        <v>3923</v>
      </c>
      <c r="G7" s="26" t="s">
        <v>3932</v>
      </c>
      <c r="H7" s="26" t="s">
        <v>13</v>
      </c>
      <c r="I7" s="26" t="s">
        <v>3924</v>
      </c>
      <c r="J7" s="26" t="s">
        <v>3933</v>
      </c>
      <c r="K7" s="67" t="s">
        <v>3937</v>
      </c>
      <c r="L7" s="26" t="s">
        <v>3924</v>
      </c>
      <c r="M7" s="55" t="s">
        <v>3938</v>
      </c>
      <c r="N7" s="26" t="s">
        <v>3924</v>
      </c>
    </row>
    <row r="8" spans="1:14" ht="75" customHeight="1" thickTop="1" thickBot="1">
      <c r="A8" s="34">
        <v>6</v>
      </c>
      <c r="B8" s="26">
        <v>6</v>
      </c>
      <c r="C8" s="55" t="s">
        <v>3939</v>
      </c>
      <c r="D8" s="56" t="s">
        <v>394</v>
      </c>
      <c r="E8" s="56" t="s">
        <v>3931</v>
      </c>
      <c r="F8" s="26" t="s">
        <v>3923</v>
      </c>
      <c r="G8" s="26" t="s">
        <v>3932</v>
      </c>
      <c r="H8" s="26" t="s">
        <v>13</v>
      </c>
      <c r="I8" s="26" t="s">
        <v>3924</v>
      </c>
      <c r="J8" s="26" t="s">
        <v>3940</v>
      </c>
      <c r="K8" s="26" t="s">
        <v>3941</v>
      </c>
      <c r="L8" s="26" t="s">
        <v>3924</v>
      </c>
      <c r="M8" s="55" t="s">
        <v>3942</v>
      </c>
      <c r="N8" s="26" t="s">
        <v>3924</v>
      </c>
    </row>
    <row r="9" spans="1:14" ht="75" customHeight="1" thickTop="1" thickBot="1">
      <c r="A9" s="34">
        <v>7</v>
      </c>
      <c r="B9" s="34">
        <v>7</v>
      </c>
      <c r="C9" s="55" t="s">
        <v>3943</v>
      </c>
      <c r="D9" s="56" t="s">
        <v>394</v>
      </c>
      <c r="E9" s="56" t="s">
        <v>3931</v>
      </c>
      <c r="F9" s="26" t="s">
        <v>3923</v>
      </c>
      <c r="G9" s="26" t="s">
        <v>3932</v>
      </c>
      <c r="H9" s="26" t="s">
        <v>13</v>
      </c>
      <c r="I9" s="26" t="s">
        <v>3924</v>
      </c>
      <c r="J9" s="26" t="s">
        <v>3940</v>
      </c>
      <c r="K9" s="26" t="s">
        <v>3941</v>
      </c>
      <c r="L9" s="26" t="s">
        <v>3924</v>
      </c>
      <c r="M9" s="55" t="s">
        <v>3944</v>
      </c>
      <c r="N9" s="26" t="s">
        <v>3924</v>
      </c>
    </row>
    <row r="10" spans="1:14" ht="75" customHeight="1" thickTop="1" thickBot="1">
      <c r="A10" s="26">
        <v>8</v>
      </c>
      <c r="B10" s="26">
        <v>8</v>
      </c>
      <c r="C10" s="55" t="s">
        <v>3943</v>
      </c>
      <c r="D10" s="56" t="s">
        <v>394</v>
      </c>
      <c r="E10" s="56" t="s">
        <v>3931</v>
      </c>
      <c r="F10" s="26" t="s">
        <v>3923</v>
      </c>
      <c r="G10" s="26" t="s">
        <v>3932</v>
      </c>
      <c r="H10" s="26" t="s">
        <v>13</v>
      </c>
      <c r="I10" s="26" t="s">
        <v>3924</v>
      </c>
      <c r="J10" s="26" t="s">
        <v>3940</v>
      </c>
      <c r="K10" s="26" t="s">
        <v>3941</v>
      </c>
      <c r="L10" s="26" t="s">
        <v>3924</v>
      </c>
      <c r="M10" s="55" t="s">
        <v>3945</v>
      </c>
      <c r="N10" s="26" t="s">
        <v>3924</v>
      </c>
    </row>
    <row r="11" spans="1:14" ht="75" customHeight="1" thickTop="1" thickBot="1">
      <c r="A11" s="34">
        <v>9</v>
      </c>
      <c r="B11" s="34">
        <v>9</v>
      </c>
      <c r="C11" s="55" t="s">
        <v>3946</v>
      </c>
      <c r="D11" s="56" t="s">
        <v>394</v>
      </c>
      <c r="E11" s="56" t="s">
        <v>3931</v>
      </c>
      <c r="F11" s="26" t="s">
        <v>3923</v>
      </c>
      <c r="G11" s="26" t="s">
        <v>3932</v>
      </c>
      <c r="H11" s="26" t="s">
        <v>13</v>
      </c>
      <c r="I11" s="26" t="s">
        <v>3924</v>
      </c>
      <c r="J11" s="26" t="s">
        <v>3946</v>
      </c>
      <c r="K11" s="26" t="s">
        <v>3947</v>
      </c>
      <c r="L11" s="26" t="s">
        <v>3924</v>
      </c>
      <c r="M11" s="55" t="s">
        <v>3948</v>
      </c>
      <c r="N11" s="26" t="s">
        <v>3924</v>
      </c>
    </row>
    <row r="12" spans="1:14" ht="75" customHeight="1" thickTop="1" thickBot="1">
      <c r="A12" s="34">
        <v>10</v>
      </c>
      <c r="B12" s="26">
        <v>10</v>
      </c>
      <c r="C12" s="55" t="s">
        <v>3946</v>
      </c>
      <c r="D12" s="56" t="s">
        <v>394</v>
      </c>
      <c r="E12" s="56" t="s">
        <v>3931</v>
      </c>
      <c r="F12" s="26" t="s">
        <v>3923</v>
      </c>
      <c r="G12" s="26" t="s">
        <v>3932</v>
      </c>
      <c r="H12" s="26" t="s">
        <v>13</v>
      </c>
      <c r="I12" s="26" t="s">
        <v>3924</v>
      </c>
      <c r="J12" s="26" t="s">
        <v>3949</v>
      </c>
      <c r="K12" s="26" t="s">
        <v>3926</v>
      </c>
      <c r="L12" s="26" t="s">
        <v>3950</v>
      </c>
      <c r="M12" s="55" t="s">
        <v>3951</v>
      </c>
      <c r="N12" s="26" t="s">
        <v>3924</v>
      </c>
    </row>
    <row r="13" spans="1:14" ht="75" customHeight="1" thickTop="1" thickBot="1">
      <c r="A13" s="26">
        <v>11</v>
      </c>
      <c r="B13" s="34">
        <v>11</v>
      </c>
      <c r="C13" s="55" t="s">
        <v>3952</v>
      </c>
      <c r="D13" s="56" t="s">
        <v>394</v>
      </c>
      <c r="E13" s="56" t="s">
        <v>3931</v>
      </c>
      <c r="F13" s="26" t="s">
        <v>3923</v>
      </c>
      <c r="G13" s="26" t="s">
        <v>3932</v>
      </c>
      <c r="H13" s="26" t="s">
        <v>13</v>
      </c>
      <c r="I13" s="26" t="s">
        <v>3924</v>
      </c>
      <c r="J13" s="26" t="s">
        <v>3953</v>
      </c>
      <c r="K13" s="26" t="s">
        <v>3954</v>
      </c>
      <c r="L13" s="26" t="s">
        <v>3924</v>
      </c>
      <c r="M13" s="55" t="s">
        <v>3955</v>
      </c>
      <c r="N13" s="26" t="s">
        <v>3924</v>
      </c>
    </row>
    <row r="14" spans="1:14" ht="75" customHeight="1" thickTop="1" thickBot="1">
      <c r="A14" s="34">
        <v>12</v>
      </c>
      <c r="B14" s="26">
        <v>12</v>
      </c>
      <c r="C14" s="55" t="s">
        <v>3956</v>
      </c>
      <c r="D14" s="56" t="s">
        <v>394</v>
      </c>
      <c r="E14" s="56" t="s">
        <v>3931</v>
      </c>
      <c r="F14" s="26" t="s">
        <v>3923</v>
      </c>
      <c r="G14" s="26" t="s">
        <v>3932</v>
      </c>
      <c r="H14" s="26" t="s">
        <v>13</v>
      </c>
      <c r="I14" s="26" t="s">
        <v>3924</v>
      </c>
      <c r="J14" s="26" t="s">
        <v>3956</v>
      </c>
      <c r="K14" s="26" t="s">
        <v>3926</v>
      </c>
      <c r="L14" s="26" t="s">
        <v>3950</v>
      </c>
      <c r="M14" s="55" t="s">
        <v>3957</v>
      </c>
      <c r="N14" s="26" t="s">
        <v>3924</v>
      </c>
    </row>
    <row r="15" spans="1:14" ht="75" customHeight="1" thickTop="1" thickBot="1">
      <c r="A15" s="34">
        <v>13</v>
      </c>
      <c r="B15" s="34">
        <v>13</v>
      </c>
      <c r="C15" s="55" t="s">
        <v>3958</v>
      </c>
      <c r="D15" s="56" t="s">
        <v>394</v>
      </c>
      <c r="E15" s="56" t="s">
        <v>3931</v>
      </c>
      <c r="F15" s="26" t="s">
        <v>3923</v>
      </c>
      <c r="G15" s="26" t="s">
        <v>3932</v>
      </c>
      <c r="H15" s="26" t="s">
        <v>13</v>
      </c>
      <c r="I15" s="26" t="s">
        <v>3924</v>
      </c>
      <c r="J15" s="26" t="s">
        <v>3959</v>
      </c>
      <c r="K15" s="26" t="s">
        <v>3941</v>
      </c>
      <c r="L15" s="26" t="s">
        <v>3960</v>
      </c>
      <c r="M15" s="55" t="s">
        <v>3961</v>
      </c>
      <c r="N15" s="26" t="s">
        <v>3924</v>
      </c>
    </row>
    <row r="16" spans="1:14" ht="75" customHeight="1" thickTop="1" thickBot="1">
      <c r="A16" s="26">
        <v>14</v>
      </c>
      <c r="B16" s="26">
        <v>14</v>
      </c>
      <c r="C16" s="55" t="s">
        <v>3962</v>
      </c>
      <c r="D16" s="56" t="s">
        <v>394</v>
      </c>
      <c r="E16" s="56" t="s">
        <v>3931</v>
      </c>
      <c r="F16" s="26" t="s">
        <v>3923</v>
      </c>
      <c r="G16" s="26" t="s">
        <v>3932</v>
      </c>
      <c r="H16" s="26" t="s">
        <v>13</v>
      </c>
      <c r="I16" s="26" t="s">
        <v>3924</v>
      </c>
      <c r="J16" s="26" t="s">
        <v>3962</v>
      </c>
      <c r="K16" s="26" t="s">
        <v>3926</v>
      </c>
      <c r="L16" s="26" t="s">
        <v>3963</v>
      </c>
      <c r="M16" s="55" t="s">
        <v>3964</v>
      </c>
      <c r="N16" s="26" t="s">
        <v>3924</v>
      </c>
    </row>
    <row r="17" spans="1:14" ht="75" customHeight="1" thickTop="1" thickBot="1">
      <c r="A17" s="34">
        <v>15</v>
      </c>
      <c r="B17" s="34">
        <v>15</v>
      </c>
      <c r="C17" s="55" t="s">
        <v>3965</v>
      </c>
      <c r="D17" s="56" t="s">
        <v>394</v>
      </c>
      <c r="E17" s="56" t="s">
        <v>3931</v>
      </c>
      <c r="F17" s="26" t="s">
        <v>3923</v>
      </c>
      <c r="G17" s="26" t="s">
        <v>3932</v>
      </c>
      <c r="H17" s="26" t="s">
        <v>13</v>
      </c>
      <c r="I17" s="26" t="s">
        <v>3924</v>
      </c>
      <c r="J17" s="26" t="s">
        <v>3965</v>
      </c>
      <c r="K17" s="26" t="s">
        <v>3966</v>
      </c>
      <c r="L17" s="26" t="s">
        <v>3967</v>
      </c>
      <c r="M17" s="55" t="s">
        <v>3968</v>
      </c>
      <c r="N17" s="26" t="s">
        <v>3924</v>
      </c>
    </row>
    <row r="18" spans="1:14" ht="75" customHeight="1" thickTop="1" thickBot="1">
      <c r="A18" s="34">
        <v>16</v>
      </c>
      <c r="B18" s="26">
        <v>16</v>
      </c>
      <c r="C18" s="55" t="s">
        <v>3969</v>
      </c>
      <c r="D18" s="56" t="s">
        <v>394</v>
      </c>
      <c r="E18" s="56" t="s">
        <v>3931</v>
      </c>
      <c r="F18" s="26" t="s">
        <v>3923</v>
      </c>
      <c r="G18" s="26" t="s">
        <v>3932</v>
      </c>
      <c r="H18" s="26" t="s">
        <v>13</v>
      </c>
      <c r="I18" s="26" t="s">
        <v>3924</v>
      </c>
      <c r="J18" s="26" t="s">
        <v>3969</v>
      </c>
      <c r="K18" s="26" t="s">
        <v>3926</v>
      </c>
      <c r="L18" s="26" t="s">
        <v>3970</v>
      </c>
      <c r="M18" s="55" t="s">
        <v>3971</v>
      </c>
      <c r="N18" s="26" t="s">
        <v>3924</v>
      </c>
    </row>
    <row r="19" spans="1:14" ht="75" customHeight="1" thickTop="1" thickBot="1">
      <c r="A19" s="26">
        <v>17</v>
      </c>
      <c r="B19" s="34">
        <v>18</v>
      </c>
      <c r="C19" s="55" t="s">
        <v>3972</v>
      </c>
      <c r="D19" s="56" t="s">
        <v>394</v>
      </c>
      <c r="E19" s="56" t="s">
        <v>3922</v>
      </c>
      <c r="F19" s="26" t="s">
        <v>3923</v>
      </c>
      <c r="G19" s="26" t="s">
        <v>16</v>
      </c>
      <c r="H19" s="26" t="s">
        <v>13</v>
      </c>
      <c r="I19" s="26" t="s">
        <v>3924</v>
      </c>
      <c r="J19" s="26" t="s">
        <v>3973</v>
      </c>
      <c r="K19" s="26" t="s">
        <v>3926</v>
      </c>
      <c r="L19" s="26" t="s">
        <v>3927</v>
      </c>
      <c r="M19" s="55" t="s">
        <v>3974</v>
      </c>
      <c r="N19" s="26" t="s">
        <v>3924</v>
      </c>
    </row>
    <row r="20" spans="1:14" ht="75" customHeight="1" thickTop="1" thickBot="1">
      <c r="A20" s="34">
        <v>18</v>
      </c>
      <c r="B20" s="26">
        <v>19</v>
      </c>
      <c r="C20" s="55" t="s">
        <v>3975</v>
      </c>
      <c r="D20" s="56" t="s">
        <v>394</v>
      </c>
      <c r="E20" s="56" t="s">
        <v>3922</v>
      </c>
      <c r="F20" s="26" t="s">
        <v>3923</v>
      </c>
      <c r="G20" s="26" t="s">
        <v>16</v>
      </c>
      <c r="H20" s="26" t="s">
        <v>13</v>
      </c>
      <c r="I20" s="26" t="s">
        <v>3924</v>
      </c>
      <c r="J20" s="26" t="s">
        <v>3973</v>
      </c>
      <c r="K20" s="26" t="s">
        <v>3976</v>
      </c>
      <c r="L20" s="26" t="s">
        <v>3927</v>
      </c>
      <c r="M20" s="55" t="s">
        <v>3977</v>
      </c>
      <c r="N20" s="26" t="s">
        <v>3924</v>
      </c>
    </row>
    <row r="21" spans="1:14" ht="75" customHeight="1" thickTop="1" thickBot="1">
      <c r="A21" s="34">
        <v>19</v>
      </c>
      <c r="B21" s="34">
        <v>20</v>
      </c>
      <c r="C21" s="55" t="s">
        <v>3978</v>
      </c>
      <c r="D21" s="56" t="s">
        <v>394</v>
      </c>
      <c r="E21" s="56" t="s">
        <v>3922</v>
      </c>
      <c r="F21" s="26" t="s">
        <v>3923</v>
      </c>
      <c r="G21" s="26" t="s">
        <v>16</v>
      </c>
      <c r="H21" s="26" t="s">
        <v>13</v>
      </c>
      <c r="I21" s="26" t="s">
        <v>3924</v>
      </c>
      <c r="J21" s="26" t="s">
        <v>3979</v>
      </c>
      <c r="K21" s="26" t="s">
        <v>3976</v>
      </c>
      <c r="L21" s="26" t="s">
        <v>3927</v>
      </c>
      <c r="M21" s="55" t="s">
        <v>3980</v>
      </c>
      <c r="N21" s="26" t="s">
        <v>3924</v>
      </c>
    </row>
    <row r="22" spans="1:14" ht="75" customHeight="1" thickTop="1" thickBot="1">
      <c r="A22" s="26">
        <v>20</v>
      </c>
      <c r="B22" s="26">
        <v>21</v>
      </c>
      <c r="C22" s="55" t="s">
        <v>3981</v>
      </c>
      <c r="D22" s="56" t="s">
        <v>394</v>
      </c>
      <c r="E22" s="56" t="s">
        <v>3922</v>
      </c>
      <c r="F22" s="26" t="s">
        <v>3923</v>
      </c>
      <c r="G22" s="26" t="s">
        <v>16</v>
      </c>
      <c r="H22" s="26" t="s">
        <v>13</v>
      </c>
      <c r="I22" s="26" t="s">
        <v>3924</v>
      </c>
      <c r="J22" s="26" t="s">
        <v>3979</v>
      </c>
      <c r="K22" s="26" t="s">
        <v>3976</v>
      </c>
      <c r="L22" s="26" t="s">
        <v>3963</v>
      </c>
      <c r="M22" s="55" t="s">
        <v>3982</v>
      </c>
      <c r="N22" s="26" t="s">
        <v>3924</v>
      </c>
    </row>
    <row r="23" spans="1:14" ht="75" customHeight="1" thickTop="1" thickBot="1">
      <c r="A23" s="34">
        <v>21</v>
      </c>
      <c r="B23" s="34">
        <v>22</v>
      </c>
      <c r="C23" s="55" t="s">
        <v>3983</v>
      </c>
      <c r="D23" s="56" t="s">
        <v>394</v>
      </c>
      <c r="E23" s="56" t="s">
        <v>3922</v>
      </c>
      <c r="F23" s="26" t="s">
        <v>3923</v>
      </c>
      <c r="G23" s="26" t="s">
        <v>16</v>
      </c>
      <c r="H23" s="26" t="s">
        <v>13</v>
      </c>
      <c r="I23" s="26" t="s">
        <v>3924</v>
      </c>
      <c r="J23" s="26" t="s">
        <v>3979</v>
      </c>
      <c r="K23" s="26" t="s">
        <v>3976</v>
      </c>
      <c r="L23" s="26" t="s">
        <v>3963</v>
      </c>
      <c r="M23" s="55" t="s">
        <v>3984</v>
      </c>
      <c r="N23" s="26" t="s">
        <v>3924</v>
      </c>
    </row>
    <row r="24" spans="1:14" ht="75" customHeight="1" thickTop="1" thickBot="1">
      <c r="A24" s="34">
        <v>22</v>
      </c>
      <c r="B24" s="26">
        <v>23</v>
      </c>
      <c r="C24" s="55" t="s">
        <v>3985</v>
      </c>
      <c r="D24" s="56" t="s">
        <v>394</v>
      </c>
      <c r="E24" s="56" t="s">
        <v>3922</v>
      </c>
      <c r="F24" s="26" t="s">
        <v>3923</v>
      </c>
      <c r="G24" s="26" t="s">
        <v>16</v>
      </c>
      <c r="H24" s="26" t="s">
        <v>13</v>
      </c>
      <c r="I24" s="26" t="s">
        <v>3924</v>
      </c>
      <c r="J24" s="26" t="s">
        <v>3979</v>
      </c>
      <c r="K24" s="26" t="s">
        <v>3976</v>
      </c>
      <c r="L24" s="26" t="s">
        <v>3986</v>
      </c>
      <c r="M24" s="55" t="s">
        <v>3987</v>
      </c>
      <c r="N24" s="26" t="s">
        <v>3924</v>
      </c>
    </row>
    <row r="25" spans="1:14" ht="75" customHeight="1" thickTop="1" thickBot="1">
      <c r="A25" s="26">
        <v>23</v>
      </c>
      <c r="B25" s="34">
        <v>24</v>
      </c>
      <c r="C25" s="55" t="s">
        <v>3985</v>
      </c>
      <c r="D25" s="56" t="s">
        <v>394</v>
      </c>
      <c r="E25" s="56" t="s">
        <v>3922</v>
      </c>
      <c r="F25" s="26" t="s">
        <v>3923</v>
      </c>
      <c r="G25" s="26" t="s">
        <v>16</v>
      </c>
      <c r="H25" s="26" t="s">
        <v>13</v>
      </c>
      <c r="I25" s="26" t="s">
        <v>3924</v>
      </c>
      <c r="J25" s="26" t="s">
        <v>3979</v>
      </c>
      <c r="K25" s="26" t="s">
        <v>3976</v>
      </c>
      <c r="L25" s="26" t="s">
        <v>3986</v>
      </c>
      <c r="M25" s="55" t="s">
        <v>3988</v>
      </c>
      <c r="N25" s="26" t="s">
        <v>3924</v>
      </c>
    </row>
    <row r="26" spans="1:14" ht="75" customHeight="1" thickTop="1" thickBot="1">
      <c r="A26" s="34">
        <v>24</v>
      </c>
      <c r="B26" s="26">
        <v>25</v>
      </c>
      <c r="C26" s="55" t="s">
        <v>3989</v>
      </c>
      <c r="D26" s="56" t="s">
        <v>394</v>
      </c>
      <c r="E26" s="56" t="s">
        <v>3922</v>
      </c>
      <c r="F26" s="26" t="s">
        <v>3923</v>
      </c>
      <c r="G26" s="26" t="s">
        <v>16</v>
      </c>
      <c r="H26" s="26" t="s">
        <v>13</v>
      </c>
      <c r="I26" s="26" t="s">
        <v>3924</v>
      </c>
      <c r="J26" s="26" t="s">
        <v>3990</v>
      </c>
      <c r="K26" s="26" t="s">
        <v>3991</v>
      </c>
      <c r="L26" s="26" t="s">
        <v>3927</v>
      </c>
      <c r="M26" s="55" t="s">
        <v>3992</v>
      </c>
      <c r="N26" s="26" t="s">
        <v>3924</v>
      </c>
    </row>
    <row r="27" spans="1:14" ht="75" customHeight="1" thickTop="1" thickBot="1">
      <c r="A27" s="34">
        <v>25</v>
      </c>
      <c r="B27" s="34">
        <v>27</v>
      </c>
      <c r="C27" s="55" t="s">
        <v>3993</v>
      </c>
      <c r="D27" s="56" t="s">
        <v>394</v>
      </c>
      <c r="E27" s="56" t="s">
        <v>3994</v>
      </c>
      <c r="F27" s="26" t="s">
        <v>3995</v>
      </c>
      <c r="G27" s="26" t="s">
        <v>16</v>
      </c>
      <c r="H27" s="26" t="s">
        <v>13</v>
      </c>
      <c r="I27" s="26" t="s">
        <v>3996</v>
      </c>
      <c r="J27" s="26" t="s">
        <v>3997</v>
      </c>
      <c r="K27" s="26" t="s">
        <v>3966</v>
      </c>
      <c r="L27" s="26" t="s">
        <v>3924</v>
      </c>
      <c r="M27" s="55" t="s">
        <v>3998</v>
      </c>
      <c r="N27" s="26" t="s">
        <v>3924</v>
      </c>
    </row>
    <row r="28" spans="1:14" ht="75" customHeight="1" thickTop="1" thickBot="1">
      <c r="A28" s="26">
        <v>26</v>
      </c>
      <c r="B28" s="26">
        <v>28</v>
      </c>
      <c r="C28" s="55" t="s">
        <v>3999</v>
      </c>
      <c r="D28" s="56" t="s">
        <v>394</v>
      </c>
      <c r="E28" s="56" t="s">
        <v>3994</v>
      </c>
      <c r="F28" s="26" t="s">
        <v>3995</v>
      </c>
      <c r="G28" s="26" t="s">
        <v>16</v>
      </c>
      <c r="H28" s="26" t="s">
        <v>13</v>
      </c>
      <c r="I28" s="26" t="s">
        <v>3924</v>
      </c>
      <c r="J28" s="26" t="s">
        <v>4000</v>
      </c>
      <c r="K28" s="26" t="s">
        <v>3966</v>
      </c>
      <c r="L28" s="26" t="s">
        <v>3924</v>
      </c>
      <c r="M28" s="55" t="s">
        <v>4001</v>
      </c>
      <c r="N28" s="26" t="s">
        <v>3924</v>
      </c>
    </row>
    <row r="29" spans="1:14" ht="75" customHeight="1" thickTop="1" thickBot="1">
      <c r="A29" s="34">
        <v>27</v>
      </c>
      <c r="B29" s="34">
        <v>29</v>
      </c>
      <c r="C29" s="55" t="s">
        <v>4002</v>
      </c>
      <c r="D29" s="56" t="s">
        <v>394</v>
      </c>
      <c r="E29" s="56" t="s">
        <v>3931</v>
      </c>
      <c r="F29" s="26" t="s">
        <v>3923</v>
      </c>
      <c r="G29" s="26" t="s">
        <v>3932</v>
      </c>
      <c r="H29" s="26" t="s">
        <v>13</v>
      </c>
      <c r="I29" s="26" t="s">
        <v>3924</v>
      </c>
      <c r="J29" s="26" t="s">
        <v>4003</v>
      </c>
      <c r="K29" s="26" t="s">
        <v>4004</v>
      </c>
      <c r="L29" s="26" t="s">
        <v>3924</v>
      </c>
      <c r="M29" s="55" t="s">
        <v>4005</v>
      </c>
      <c r="N29" s="26" t="s">
        <v>3924</v>
      </c>
    </row>
    <row r="30" spans="1:14" ht="75" customHeight="1" thickTop="1" thickBot="1">
      <c r="A30" s="34">
        <v>28</v>
      </c>
      <c r="B30" s="26">
        <v>30</v>
      </c>
      <c r="C30" s="55" t="s">
        <v>4006</v>
      </c>
      <c r="D30" s="56" t="s">
        <v>394</v>
      </c>
      <c r="E30" s="56" t="s">
        <v>3931</v>
      </c>
      <c r="F30" s="26" t="s">
        <v>3923</v>
      </c>
      <c r="G30" s="26" t="s">
        <v>3932</v>
      </c>
      <c r="H30" s="26" t="s">
        <v>13</v>
      </c>
      <c r="I30" s="26" t="s">
        <v>3924</v>
      </c>
      <c r="J30" s="26" t="s">
        <v>4003</v>
      </c>
      <c r="K30" s="26" t="s">
        <v>3941</v>
      </c>
      <c r="L30" s="26" t="s">
        <v>3924</v>
      </c>
      <c r="M30" s="55" t="s">
        <v>4007</v>
      </c>
      <c r="N30" s="26" t="s">
        <v>3924</v>
      </c>
    </row>
    <row r="31" spans="1:14" ht="75" customHeight="1" thickTop="1" thickBot="1">
      <c r="A31" s="26">
        <v>29</v>
      </c>
      <c r="B31" s="34">
        <v>31</v>
      </c>
      <c r="C31" s="55" t="s">
        <v>4008</v>
      </c>
      <c r="D31" s="56" t="s">
        <v>394</v>
      </c>
      <c r="E31" s="56" t="s">
        <v>3931</v>
      </c>
      <c r="F31" s="26" t="s">
        <v>3923</v>
      </c>
      <c r="G31" s="26" t="s">
        <v>3932</v>
      </c>
      <c r="H31" s="26" t="s">
        <v>13</v>
      </c>
      <c r="I31" s="26" t="s">
        <v>3924</v>
      </c>
      <c r="J31" s="26" t="s">
        <v>4003</v>
      </c>
      <c r="K31" s="26" t="s">
        <v>3941</v>
      </c>
      <c r="L31" s="26" t="s">
        <v>3924</v>
      </c>
      <c r="M31" s="55" t="s">
        <v>4009</v>
      </c>
      <c r="N31" s="26" t="s">
        <v>3924</v>
      </c>
    </row>
    <row r="32" spans="1:14" ht="75" customHeight="1" thickTop="1" thickBot="1">
      <c r="A32" s="34">
        <v>30</v>
      </c>
      <c r="B32" s="26">
        <v>32</v>
      </c>
      <c r="C32" s="55" t="s">
        <v>4008</v>
      </c>
      <c r="D32" s="56" t="s">
        <v>394</v>
      </c>
      <c r="E32" s="56" t="s">
        <v>3931</v>
      </c>
      <c r="F32" s="26" t="s">
        <v>3923</v>
      </c>
      <c r="G32" s="26" t="s">
        <v>3932</v>
      </c>
      <c r="H32" s="26" t="s">
        <v>13</v>
      </c>
      <c r="I32" s="26" t="s">
        <v>3924</v>
      </c>
      <c r="J32" s="26" t="s">
        <v>4003</v>
      </c>
      <c r="K32" s="26" t="s">
        <v>4010</v>
      </c>
      <c r="L32" s="26" t="s">
        <v>4011</v>
      </c>
      <c r="M32" s="55" t="s">
        <v>4012</v>
      </c>
      <c r="N32" s="26" t="s">
        <v>3924</v>
      </c>
    </row>
    <row r="33" spans="1:14" ht="75" customHeight="1" thickTop="1" thickBot="1">
      <c r="A33" s="34">
        <v>31</v>
      </c>
      <c r="B33" s="34">
        <v>33</v>
      </c>
      <c r="C33" s="55" t="s">
        <v>4013</v>
      </c>
      <c r="D33" s="56" t="s">
        <v>394</v>
      </c>
      <c r="E33" s="56" t="s">
        <v>3931</v>
      </c>
      <c r="F33" s="26" t="s">
        <v>3923</v>
      </c>
      <c r="G33" s="26" t="s">
        <v>3932</v>
      </c>
      <c r="H33" s="26" t="s">
        <v>13</v>
      </c>
      <c r="I33" s="26" t="s">
        <v>3924</v>
      </c>
      <c r="J33" s="26" t="s">
        <v>4003</v>
      </c>
      <c r="K33" s="26" t="s">
        <v>3926</v>
      </c>
      <c r="L33" s="26" t="s">
        <v>3924</v>
      </c>
      <c r="M33" s="55" t="s">
        <v>4014</v>
      </c>
      <c r="N33" s="26" t="s">
        <v>3924</v>
      </c>
    </row>
    <row r="34" spans="1:14" ht="75" customHeight="1" thickTop="1" thickBot="1">
      <c r="A34" s="26">
        <v>32</v>
      </c>
      <c r="B34" s="26">
        <v>34</v>
      </c>
      <c r="C34" s="55" t="s">
        <v>4015</v>
      </c>
      <c r="D34" s="56" t="s">
        <v>394</v>
      </c>
      <c r="E34" s="56" t="s">
        <v>3931</v>
      </c>
      <c r="F34" s="26" t="s">
        <v>3923</v>
      </c>
      <c r="G34" s="26" t="s">
        <v>3932</v>
      </c>
      <c r="H34" s="26" t="s">
        <v>13</v>
      </c>
      <c r="I34" s="26" t="s">
        <v>3924</v>
      </c>
      <c r="J34" s="26" t="s">
        <v>4003</v>
      </c>
      <c r="K34" s="26" t="s">
        <v>4016</v>
      </c>
      <c r="L34" s="26" t="s">
        <v>3924</v>
      </c>
      <c r="M34" s="55" t="s">
        <v>4017</v>
      </c>
      <c r="N34" s="26" t="s">
        <v>3924</v>
      </c>
    </row>
    <row r="35" spans="1:14" ht="75" customHeight="1" thickTop="1" thickBot="1">
      <c r="A35" s="34">
        <v>33</v>
      </c>
      <c r="B35" s="34">
        <v>35</v>
      </c>
      <c r="C35" s="55" t="s">
        <v>4015</v>
      </c>
      <c r="D35" s="56" t="s">
        <v>394</v>
      </c>
      <c r="E35" s="56" t="s">
        <v>3931</v>
      </c>
      <c r="F35" s="26" t="s">
        <v>3923</v>
      </c>
      <c r="G35" s="26" t="s">
        <v>3932</v>
      </c>
      <c r="H35" s="26" t="s">
        <v>13</v>
      </c>
      <c r="I35" s="26" t="s">
        <v>3924</v>
      </c>
      <c r="J35" s="26" t="s">
        <v>4018</v>
      </c>
      <c r="K35" s="26" t="s">
        <v>4010</v>
      </c>
      <c r="L35" s="26" t="s">
        <v>3924</v>
      </c>
      <c r="M35" s="55" t="s">
        <v>4019</v>
      </c>
      <c r="N35" s="26" t="s">
        <v>3924</v>
      </c>
    </row>
    <row r="36" spans="1:14" ht="75" customHeight="1" thickTop="1" thickBot="1">
      <c r="A36" s="34">
        <v>34</v>
      </c>
      <c r="B36" s="26">
        <v>36</v>
      </c>
      <c r="C36" s="55" t="s">
        <v>4020</v>
      </c>
      <c r="D36" s="56" t="s">
        <v>394</v>
      </c>
      <c r="E36" s="56" t="s">
        <v>3931</v>
      </c>
      <c r="F36" s="26" t="s">
        <v>3923</v>
      </c>
      <c r="G36" s="26" t="s">
        <v>3932</v>
      </c>
      <c r="H36" s="26" t="s">
        <v>13</v>
      </c>
      <c r="I36" s="26" t="s">
        <v>3924</v>
      </c>
      <c r="J36" s="26" t="s">
        <v>4018</v>
      </c>
      <c r="K36" s="26" t="s">
        <v>3929</v>
      </c>
      <c r="L36" s="26" t="s">
        <v>3924</v>
      </c>
      <c r="M36" s="55" t="s">
        <v>4019</v>
      </c>
      <c r="N36" s="26" t="s">
        <v>3924</v>
      </c>
    </row>
    <row r="37" spans="1:14" ht="75" customHeight="1" thickTop="1" thickBot="1">
      <c r="A37" s="26">
        <v>35</v>
      </c>
      <c r="B37" s="34">
        <v>37</v>
      </c>
      <c r="C37" s="55" t="s">
        <v>4020</v>
      </c>
      <c r="D37" s="56" t="s">
        <v>394</v>
      </c>
      <c r="E37" s="56" t="s">
        <v>3931</v>
      </c>
      <c r="F37" s="26" t="s">
        <v>3923</v>
      </c>
      <c r="G37" s="26" t="s">
        <v>3932</v>
      </c>
      <c r="H37" s="26" t="s">
        <v>13</v>
      </c>
      <c r="I37" s="26" t="s">
        <v>3924</v>
      </c>
      <c r="J37" s="26" t="s">
        <v>4018</v>
      </c>
      <c r="K37" s="26" t="s">
        <v>3947</v>
      </c>
      <c r="L37" s="26" t="s">
        <v>4021</v>
      </c>
      <c r="M37" s="55" t="s">
        <v>4022</v>
      </c>
      <c r="N37" s="26" t="s">
        <v>3924</v>
      </c>
    </row>
    <row r="38" spans="1:14" ht="75" customHeight="1" thickTop="1" thickBot="1">
      <c r="A38" s="34">
        <v>36</v>
      </c>
      <c r="B38" s="26">
        <v>38</v>
      </c>
      <c r="C38" s="55" t="s">
        <v>4023</v>
      </c>
      <c r="D38" s="56" t="s">
        <v>394</v>
      </c>
      <c r="E38" s="56" t="s">
        <v>3931</v>
      </c>
      <c r="F38" s="26" t="s">
        <v>3923</v>
      </c>
      <c r="G38" s="26" t="s">
        <v>3932</v>
      </c>
      <c r="H38" s="26" t="s">
        <v>13</v>
      </c>
      <c r="I38" s="26" t="s">
        <v>3924</v>
      </c>
      <c r="J38" s="26" t="s">
        <v>4018</v>
      </c>
      <c r="K38" s="26" t="s">
        <v>4024</v>
      </c>
      <c r="L38" s="26" t="s">
        <v>3924</v>
      </c>
      <c r="M38" s="55" t="s">
        <v>4025</v>
      </c>
      <c r="N38" s="26" t="s">
        <v>3924</v>
      </c>
    </row>
    <row r="39" spans="1:14" ht="75" customHeight="1" thickTop="1" thickBot="1">
      <c r="A39" s="34">
        <v>37</v>
      </c>
      <c r="B39" s="34">
        <v>39</v>
      </c>
      <c r="C39" s="55" t="s">
        <v>4026</v>
      </c>
      <c r="D39" s="56" t="s">
        <v>394</v>
      </c>
      <c r="E39" s="56" t="s">
        <v>3931</v>
      </c>
      <c r="F39" s="26" t="s">
        <v>3923</v>
      </c>
      <c r="G39" s="26" t="s">
        <v>3932</v>
      </c>
      <c r="H39" s="26" t="s">
        <v>13</v>
      </c>
      <c r="I39" s="26" t="s">
        <v>3924</v>
      </c>
      <c r="J39" s="26" t="s">
        <v>4018</v>
      </c>
      <c r="K39" s="26" t="s">
        <v>4024</v>
      </c>
      <c r="L39" s="26" t="s">
        <v>3924</v>
      </c>
      <c r="M39" s="55" t="s">
        <v>4027</v>
      </c>
      <c r="N39" s="26" t="s">
        <v>3924</v>
      </c>
    </row>
    <row r="40" spans="1:14" ht="75" customHeight="1" thickTop="1" thickBot="1">
      <c r="A40" s="26">
        <v>38</v>
      </c>
      <c r="B40" s="26">
        <v>40</v>
      </c>
      <c r="C40" s="55" t="s">
        <v>4028</v>
      </c>
      <c r="D40" s="56" t="s">
        <v>394</v>
      </c>
      <c r="E40" s="56" t="s">
        <v>3931</v>
      </c>
      <c r="F40" s="26" t="s">
        <v>3923</v>
      </c>
      <c r="G40" s="26" t="s">
        <v>3932</v>
      </c>
      <c r="H40" s="26" t="s">
        <v>13</v>
      </c>
      <c r="I40" s="26" t="s">
        <v>3924</v>
      </c>
      <c r="J40" s="26" t="s">
        <v>4018</v>
      </c>
      <c r="K40" s="26" t="s">
        <v>3941</v>
      </c>
      <c r="L40" s="26" t="s">
        <v>4029</v>
      </c>
      <c r="M40" s="55" t="s">
        <v>4030</v>
      </c>
      <c r="N40" s="26" t="s">
        <v>3924</v>
      </c>
    </row>
    <row r="41" spans="1:14" ht="75" customHeight="1" thickTop="1" thickBot="1">
      <c r="A41" s="34">
        <v>39</v>
      </c>
      <c r="B41" s="34">
        <v>41</v>
      </c>
      <c r="C41" s="55" t="s">
        <v>4031</v>
      </c>
      <c r="D41" s="56" t="s">
        <v>394</v>
      </c>
      <c r="E41" s="56" t="s">
        <v>3931</v>
      </c>
      <c r="F41" s="26" t="s">
        <v>3923</v>
      </c>
      <c r="G41" s="26" t="s">
        <v>3932</v>
      </c>
      <c r="H41" s="26" t="s">
        <v>13</v>
      </c>
      <c r="I41" s="26" t="s">
        <v>3924</v>
      </c>
      <c r="J41" s="26" t="s">
        <v>4018</v>
      </c>
      <c r="K41" s="26" t="s">
        <v>4032</v>
      </c>
      <c r="L41" s="26" t="s">
        <v>4033</v>
      </c>
      <c r="M41" s="55" t="s">
        <v>4034</v>
      </c>
      <c r="N41" s="26" t="s">
        <v>3924</v>
      </c>
    </row>
    <row r="42" spans="1:14" ht="75" customHeight="1" thickTop="1" thickBot="1">
      <c r="A42" s="34">
        <v>40</v>
      </c>
      <c r="B42" s="26">
        <v>42</v>
      </c>
      <c r="C42" s="55" t="s">
        <v>4035</v>
      </c>
      <c r="D42" s="56" t="s">
        <v>394</v>
      </c>
      <c r="E42" s="56" t="s">
        <v>3931</v>
      </c>
      <c r="F42" s="26" t="s">
        <v>3923</v>
      </c>
      <c r="G42" s="26" t="s">
        <v>3932</v>
      </c>
      <c r="H42" s="26" t="s">
        <v>13</v>
      </c>
      <c r="I42" s="26" t="s">
        <v>3924</v>
      </c>
      <c r="J42" s="26" t="s">
        <v>4036</v>
      </c>
      <c r="K42" s="26" t="s">
        <v>3947</v>
      </c>
      <c r="L42" s="26" t="s">
        <v>3924</v>
      </c>
      <c r="M42" s="55" t="s">
        <v>4037</v>
      </c>
      <c r="N42" s="26" t="s">
        <v>3924</v>
      </c>
    </row>
    <row r="43" spans="1:14" ht="75" customHeight="1" thickTop="1" thickBot="1">
      <c r="A43" s="26">
        <v>41</v>
      </c>
      <c r="B43" s="34">
        <v>43</v>
      </c>
      <c r="C43" s="55" t="s">
        <v>4035</v>
      </c>
      <c r="D43" s="56" t="s">
        <v>394</v>
      </c>
      <c r="E43" s="56" t="s">
        <v>3931</v>
      </c>
      <c r="F43" s="26" t="s">
        <v>3923</v>
      </c>
      <c r="G43" s="26" t="s">
        <v>3932</v>
      </c>
      <c r="H43" s="26" t="s">
        <v>13</v>
      </c>
      <c r="I43" s="26" t="s">
        <v>3924</v>
      </c>
      <c r="J43" s="26" t="s">
        <v>4036</v>
      </c>
      <c r="K43" s="26" t="s">
        <v>3926</v>
      </c>
      <c r="L43" s="26" t="s">
        <v>3924</v>
      </c>
      <c r="M43" s="55" t="s">
        <v>4038</v>
      </c>
      <c r="N43" s="26" t="s">
        <v>3924</v>
      </c>
    </row>
    <row r="44" spans="1:14" ht="75" customHeight="1" thickTop="1" thickBot="1">
      <c r="A44" s="34">
        <v>42</v>
      </c>
      <c r="B44" s="26">
        <v>44</v>
      </c>
      <c r="C44" s="55" t="s">
        <v>4039</v>
      </c>
      <c r="D44" s="56" t="s">
        <v>394</v>
      </c>
      <c r="E44" s="56" t="s">
        <v>3931</v>
      </c>
      <c r="F44" s="26" t="s">
        <v>3923</v>
      </c>
      <c r="G44" s="26" t="s">
        <v>3932</v>
      </c>
      <c r="H44" s="26" t="s">
        <v>13</v>
      </c>
      <c r="I44" s="26" t="s">
        <v>3924</v>
      </c>
      <c r="J44" s="26" t="s">
        <v>4036</v>
      </c>
      <c r="K44" s="26" t="s">
        <v>4040</v>
      </c>
      <c r="L44" s="26" t="s">
        <v>3924</v>
      </c>
      <c r="M44" s="55" t="s">
        <v>4041</v>
      </c>
      <c r="N44" s="26" t="s">
        <v>3924</v>
      </c>
    </row>
    <row r="45" spans="1:14" ht="75" customHeight="1" thickTop="1" thickBot="1">
      <c r="A45" s="34">
        <v>43</v>
      </c>
      <c r="B45" s="34">
        <v>45</v>
      </c>
      <c r="C45" s="55" t="s">
        <v>4039</v>
      </c>
      <c r="D45" s="56" t="s">
        <v>394</v>
      </c>
      <c r="E45" s="56" t="s">
        <v>3931</v>
      </c>
      <c r="F45" s="26" t="s">
        <v>3923</v>
      </c>
      <c r="G45" s="26" t="s">
        <v>3932</v>
      </c>
      <c r="H45" s="26" t="s">
        <v>13</v>
      </c>
      <c r="I45" s="26" t="s">
        <v>3924</v>
      </c>
      <c r="J45" s="26" t="s">
        <v>4036</v>
      </c>
      <c r="K45" s="26" t="s">
        <v>3954</v>
      </c>
      <c r="L45" s="26" t="s">
        <v>3924</v>
      </c>
      <c r="M45" s="55" t="s">
        <v>4042</v>
      </c>
      <c r="N45" s="26" t="s">
        <v>3924</v>
      </c>
    </row>
    <row r="46" spans="1:14" ht="75" customHeight="1" thickTop="1" thickBot="1">
      <c r="A46" s="26">
        <v>44</v>
      </c>
      <c r="B46" s="26">
        <v>46</v>
      </c>
      <c r="C46" s="55" t="s">
        <v>4043</v>
      </c>
      <c r="D46" s="56" t="s">
        <v>394</v>
      </c>
      <c r="E46" s="56" t="s">
        <v>3931</v>
      </c>
      <c r="F46" s="26" t="s">
        <v>3923</v>
      </c>
      <c r="G46" s="26" t="s">
        <v>3932</v>
      </c>
      <c r="H46" s="26" t="s">
        <v>13</v>
      </c>
      <c r="I46" s="26" t="s">
        <v>3924</v>
      </c>
      <c r="J46" s="26" t="s">
        <v>4036</v>
      </c>
      <c r="K46" s="26" t="s">
        <v>4032</v>
      </c>
      <c r="L46" s="26" t="s">
        <v>4033</v>
      </c>
      <c r="M46" s="55" t="s">
        <v>4044</v>
      </c>
      <c r="N46" s="26" t="s">
        <v>3924</v>
      </c>
    </row>
    <row r="47" spans="1:14" ht="75" customHeight="1" thickTop="1" thickBot="1">
      <c r="A47" s="34">
        <v>45</v>
      </c>
      <c r="B47" s="34">
        <v>47</v>
      </c>
      <c r="C47" s="55" t="s">
        <v>4045</v>
      </c>
      <c r="D47" s="56" t="s">
        <v>394</v>
      </c>
      <c r="E47" s="56" t="s">
        <v>3931</v>
      </c>
      <c r="F47" s="26" t="s">
        <v>3923</v>
      </c>
      <c r="G47" s="26" t="s">
        <v>3932</v>
      </c>
      <c r="H47" s="26" t="s">
        <v>13</v>
      </c>
      <c r="I47" s="26" t="s">
        <v>3924</v>
      </c>
      <c r="J47" s="26" t="s">
        <v>4036</v>
      </c>
      <c r="K47" s="26" t="s">
        <v>4046</v>
      </c>
      <c r="L47" s="26" t="s">
        <v>4033</v>
      </c>
      <c r="M47" s="55" t="s">
        <v>4047</v>
      </c>
      <c r="N47" s="26" t="s">
        <v>3924</v>
      </c>
    </row>
    <row r="48" spans="1:14" ht="75" customHeight="1" thickTop="1" thickBot="1">
      <c r="A48" s="34">
        <v>46</v>
      </c>
      <c r="B48" s="26">
        <v>48</v>
      </c>
      <c r="C48" s="55" t="s">
        <v>4048</v>
      </c>
      <c r="D48" s="56" t="s">
        <v>394</v>
      </c>
      <c r="E48" s="56" t="s">
        <v>3994</v>
      </c>
      <c r="F48" s="26" t="s">
        <v>3995</v>
      </c>
      <c r="G48" s="26" t="s">
        <v>16</v>
      </c>
      <c r="H48" s="26" t="s">
        <v>13</v>
      </c>
      <c r="I48" s="26" t="s">
        <v>3924</v>
      </c>
      <c r="J48" s="26" t="s">
        <v>4049</v>
      </c>
      <c r="K48" s="26" t="s">
        <v>4040</v>
      </c>
      <c r="L48" s="26" t="s">
        <v>3924</v>
      </c>
      <c r="M48" s="55" t="s">
        <v>4050</v>
      </c>
      <c r="N48" s="26" t="s">
        <v>3924</v>
      </c>
    </row>
    <row r="49" spans="1:14" ht="75" customHeight="1" thickTop="1" thickBot="1">
      <c r="A49" s="26">
        <v>47</v>
      </c>
      <c r="B49" s="34">
        <v>49</v>
      </c>
      <c r="C49" s="55" t="s">
        <v>4051</v>
      </c>
      <c r="D49" s="56" t="s">
        <v>394</v>
      </c>
      <c r="E49" s="56" t="s">
        <v>3994</v>
      </c>
      <c r="F49" s="26" t="s">
        <v>3995</v>
      </c>
      <c r="G49" s="26" t="s">
        <v>16</v>
      </c>
      <c r="H49" s="26" t="s">
        <v>13</v>
      </c>
      <c r="I49" s="26" t="s">
        <v>3924</v>
      </c>
      <c r="J49" s="26" t="s">
        <v>4049</v>
      </c>
      <c r="K49" s="26" t="s">
        <v>4040</v>
      </c>
      <c r="L49" s="26" t="s">
        <v>3924</v>
      </c>
      <c r="M49" s="55" t="s">
        <v>4052</v>
      </c>
      <c r="N49" s="26" t="s">
        <v>3924</v>
      </c>
    </row>
    <row r="50" spans="1:14" ht="75" customHeight="1" thickTop="1" thickBot="1">
      <c r="A50" s="34">
        <v>48</v>
      </c>
      <c r="B50" s="26">
        <v>50</v>
      </c>
      <c r="C50" s="55" t="s">
        <v>4053</v>
      </c>
      <c r="D50" s="56" t="s">
        <v>394</v>
      </c>
      <c r="E50" s="56" t="s">
        <v>3994</v>
      </c>
      <c r="F50" s="26" t="s">
        <v>3995</v>
      </c>
      <c r="G50" s="26" t="s">
        <v>14</v>
      </c>
      <c r="H50" s="26" t="s">
        <v>13</v>
      </c>
      <c r="I50" s="26" t="s">
        <v>3924</v>
      </c>
      <c r="J50" s="26" t="s">
        <v>4054</v>
      </c>
      <c r="K50" s="26" t="s">
        <v>4010</v>
      </c>
      <c r="L50" s="26" t="s">
        <v>3927</v>
      </c>
      <c r="M50" s="55" t="s">
        <v>4055</v>
      </c>
      <c r="N50" s="26" t="s">
        <v>3924</v>
      </c>
    </row>
    <row r="51" spans="1:14" ht="75" customHeight="1" thickTop="1" thickBot="1">
      <c r="A51" s="34">
        <v>49</v>
      </c>
      <c r="B51" s="34">
        <v>51</v>
      </c>
      <c r="C51" s="55" t="s">
        <v>4056</v>
      </c>
      <c r="D51" s="56" t="s">
        <v>394</v>
      </c>
      <c r="E51" s="56" t="s">
        <v>3994</v>
      </c>
      <c r="F51" s="26" t="s">
        <v>3995</v>
      </c>
      <c r="G51" s="26" t="s">
        <v>16</v>
      </c>
      <c r="H51" s="26" t="s">
        <v>13</v>
      </c>
      <c r="I51" s="26" t="s">
        <v>3924</v>
      </c>
      <c r="J51" s="26" t="s">
        <v>4057</v>
      </c>
      <c r="K51" s="26" t="s">
        <v>4010</v>
      </c>
      <c r="L51" s="26" t="s">
        <v>3927</v>
      </c>
      <c r="M51" s="55" t="s">
        <v>4058</v>
      </c>
      <c r="N51" s="26" t="s">
        <v>3924</v>
      </c>
    </row>
    <row r="52" spans="1:14" ht="75" customHeight="1" thickTop="1" thickBot="1">
      <c r="A52" s="26">
        <v>50</v>
      </c>
      <c r="B52" s="26">
        <v>52</v>
      </c>
      <c r="C52" s="55" t="s">
        <v>4059</v>
      </c>
      <c r="D52" s="56" t="s">
        <v>394</v>
      </c>
      <c r="E52" s="56" t="s">
        <v>3922</v>
      </c>
      <c r="F52" s="26" t="s">
        <v>3923</v>
      </c>
      <c r="G52" s="26" t="s">
        <v>16</v>
      </c>
      <c r="H52" s="26" t="s">
        <v>13</v>
      </c>
      <c r="I52" s="26" t="s">
        <v>3924</v>
      </c>
      <c r="J52" s="26" t="s">
        <v>4060</v>
      </c>
      <c r="K52" s="26" t="s">
        <v>4040</v>
      </c>
      <c r="L52" s="26" t="s">
        <v>3927</v>
      </c>
      <c r="M52" s="55" t="s">
        <v>4061</v>
      </c>
      <c r="N52" s="26" t="s">
        <v>3924</v>
      </c>
    </row>
    <row r="53" spans="1:14" ht="75" customHeight="1" thickTop="1" thickBot="1">
      <c r="A53" s="34">
        <v>51</v>
      </c>
      <c r="B53" s="34">
        <v>53</v>
      </c>
      <c r="C53" s="55" t="s">
        <v>4062</v>
      </c>
      <c r="D53" s="56" t="s">
        <v>394</v>
      </c>
      <c r="E53" s="56" t="s">
        <v>3922</v>
      </c>
      <c r="F53" s="26" t="s">
        <v>3923</v>
      </c>
      <c r="G53" s="26" t="s">
        <v>16</v>
      </c>
      <c r="H53" s="26" t="s">
        <v>13</v>
      </c>
      <c r="I53" s="26" t="s">
        <v>3924</v>
      </c>
      <c r="J53" s="26" t="s">
        <v>4060</v>
      </c>
      <c r="K53" s="26" t="s">
        <v>4063</v>
      </c>
      <c r="L53" s="26" t="s">
        <v>3927</v>
      </c>
      <c r="M53" s="55" t="s">
        <v>573</v>
      </c>
      <c r="N53" s="26" t="s">
        <v>3924</v>
      </c>
    </row>
    <row r="54" spans="1:14" ht="75" customHeight="1" thickTop="1" thickBot="1">
      <c r="A54" s="34">
        <v>52</v>
      </c>
      <c r="B54" s="26">
        <v>54</v>
      </c>
      <c r="C54" s="55" t="s">
        <v>4064</v>
      </c>
      <c r="D54" s="56" t="s">
        <v>394</v>
      </c>
      <c r="E54" s="56" t="s">
        <v>3922</v>
      </c>
      <c r="F54" s="26" t="s">
        <v>3923</v>
      </c>
      <c r="G54" s="26" t="s">
        <v>16</v>
      </c>
      <c r="H54" s="26" t="s">
        <v>13</v>
      </c>
      <c r="I54" s="26" t="s">
        <v>3924</v>
      </c>
      <c r="J54" s="26" t="s">
        <v>4065</v>
      </c>
      <c r="K54" s="26" t="s">
        <v>3976</v>
      </c>
      <c r="L54" s="26" t="s">
        <v>3927</v>
      </c>
      <c r="M54" s="55" t="s">
        <v>4066</v>
      </c>
      <c r="N54" s="26" t="s">
        <v>3924</v>
      </c>
    </row>
    <row r="55" spans="1:14" ht="75" customHeight="1" thickTop="1" thickBot="1">
      <c r="A55" s="26">
        <v>53</v>
      </c>
      <c r="B55" s="34">
        <v>55</v>
      </c>
      <c r="C55" s="55" t="s">
        <v>4067</v>
      </c>
      <c r="D55" s="56" t="s">
        <v>394</v>
      </c>
      <c r="E55" s="56" t="s">
        <v>3922</v>
      </c>
      <c r="F55" s="26" t="s">
        <v>3923</v>
      </c>
      <c r="G55" s="26" t="s">
        <v>16</v>
      </c>
      <c r="H55" s="26" t="s">
        <v>13</v>
      </c>
      <c r="I55" s="26" t="s">
        <v>3924</v>
      </c>
      <c r="J55" s="26" t="s">
        <v>4065</v>
      </c>
      <c r="K55" s="26" t="s">
        <v>3926</v>
      </c>
      <c r="L55" s="26" t="s">
        <v>3927</v>
      </c>
      <c r="M55" s="55" t="s">
        <v>4068</v>
      </c>
      <c r="N55" s="26" t="s">
        <v>3924</v>
      </c>
    </row>
    <row r="56" spans="1:14" ht="75" customHeight="1" thickTop="1" thickBot="1">
      <c r="A56" s="34">
        <v>54</v>
      </c>
      <c r="B56" s="26">
        <v>56</v>
      </c>
      <c r="C56" s="55" t="s">
        <v>4069</v>
      </c>
      <c r="D56" s="56" t="s">
        <v>394</v>
      </c>
      <c r="E56" s="56" t="s">
        <v>3922</v>
      </c>
      <c r="F56" s="26" t="s">
        <v>3923</v>
      </c>
      <c r="G56" s="26" t="s">
        <v>16</v>
      </c>
      <c r="H56" s="26" t="s">
        <v>13</v>
      </c>
      <c r="I56" s="26" t="s">
        <v>3924</v>
      </c>
      <c r="J56" s="26" t="s">
        <v>4070</v>
      </c>
      <c r="K56" s="26" t="s">
        <v>3976</v>
      </c>
      <c r="L56" s="26" t="s">
        <v>3963</v>
      </c>
      <c r="M56" s="55" t="s">
        <v>4071</v>
      </c>
      <c r="N56" s="26" t="s">
        <v>3924</v>
      </c>
    </row>
    <row r="57" spans="1:14" ht="75" customHeight="1" thickTop="1" thickBot="1">
      <c r="A57" s="34">
        <v>55</v>
      </c>
      <c r="B57" s="34">
        <v>57</v>
      </c>
      <c r="C57" s="55" t="s">
        <v>4072</v>
      </c>
      <c r="D57" s="56" t="s">
        <v>394</v>
      </c>
      <c r="E57" s="56" t="s">
        <v>3922</v>
      </c>
      <c r="F57" s="26" t="s">
        <v>3923</v>
      </c>
      <c r="G57" s="26" t="s">
        <v>16</v>
      </c>
      <c r="H57" s="26" t="s">
        <v>13</v>
      </c>
      <c r="I57" s="26" t="s">
        <v>3924</v>
      </c>
      <c r="J57" s="26" t="s">
        <v>4065</v>
      </c>
      <c r="K57" s="26" t="s">
        <v>3976</v>
      </c>
      <c r="L57" s="26" t="s">
        <v>3927</v>
      </c>
      <c r="M57" s="55" t="s">
        <v>4073</v>
      </c>
      <c r="N57" s="26" t="s">
        <v>3924</v>
      </c>
    </row>
    <row r="58" spans="1:14" ht="75" customHeight="1" thickTop="1" thickBot="1">
      <c r="A58" s="26">
        <v>56</v>
      </c>
      <c r="B58" s="26">
        <v>58</v>
      </c>
      <c r="C58" s="55" t="s">
        <v>4072</v>
      </c>
      <c r="D58" s="56" t="s">
        <v>394</v>
      </c>
      <c r="E58" s="56" t="s">
        <v>3922</v>
      </c>
      <c r="F58" s="26" t="s">
        <v>3923</v>
      </c>
      <c r="G58" s="26" t="s">
        <v>16</v>
      </c>
      <c r="H58" s="26" t="s">
        <v>13</v>
      </c>
      <c r="I58" s="26" t="s">
        <v>3924</v>
      </c>
      <c r="J58" s="26" t="s">
        <v>4065</v>
      </c>
      <c r="K58" s="26" t="s">
        <v>3976</v>
      </c>
      <c r="L58" s="26" t="s">
        <v>3986</v>
      </c>
      <c r="M58" s="55" t="s">
        <v>4066</v>
      </c>
      <c r="N58" s="26" t="s">
        <v>3924</v>
      </c>
    </row>
    <row r="59" spans="1:14" ht="75" customHeight="1" thickTop="1" thickBot="1">
      <c r="A59" s="34">
        <v>57</v>
      </c>
      <c r="B59" s="34">
        <v>59</v>
      </c>
      <c r="C59" s="55" t="s">
        <v>4074</v>
      </c>
      <c r="D59" s="56" t="s">
        <v>394</v>
      </c>
      <c r="E59" s="56" t="s">
        <v>3922</v>
      </c>
      <c r="F59" s="26" t="s">
        <v>3923</v>
      </c>
      <c r="G59" s="26" t="s">
        <v>16</v>
      </c>
      <c r="H59" s="26" t="s">
        <v>13</v>
      </c>
      <c r="I59" s="26" t="s">
        <v>3924</v>
      </c>
      <c r="J59" s="26" t="s">
        <v>4070</v>
      </c>
      <c r="K59" s="26" t="s">
        <v>3976</v>
      </c>
      <c r="L59" s="26" t="s">
        <v>3927</v>
      </c>
      <c r="M59" s="55" t="s">
        <v>4075</v>
      </c>
      <c r="N59" s="26" t="s">
        <v>3924</v>
      </c>
    </row>
    <row r="60" spans="1:14" ht="75" customHeight="1" thickTop="1" thickBot="1">
      <c r="A60" s="34">
        <v>58</v>
      </c>
      <c r="B60" s="26">
        <v>60</v>
      </c>
      <c r="C60" s="55" t="s">
        <v>4076</v>
      </c>
      <c r="D60" s="56" t="s">
        <v>394</v>
      </c>
      <c r="E60" s="56" t="s">
        <v>3922</v>
      </c>
      <c r="F60" s="26" t="s">
        <v>3923</v>
      </c>
      <c r="G60" s="26" t="s">
        <v>15</v>
      </c>
      <c r="H60" s="26" t="s">
        <v>13</v>
      </c>
      <c r="I60" s="26" t="s">
        <v>3924</v>
      </c>
      <c r="J60" s="26" t="s">
        <v>4077</v>
      </c>
      <c r="K60" s="26" t="s">
        <v>3926</v>
      </c>
      <c r="L60" s="26" t="s">
        <v>3927</v>
      </c>
      <c r="M60" s="55" t="s">
        <v>4078</v>
      </c>
      <c r="N60" s="26" t="s">
        <v>3924</v>
      </c>
    </row>
    <row r="61" spans="1:14" ht="75" customHeight="1" thickTop="1" thickBot="1">
      <c r="A61" s="26">
        <v>59</v>
      </c>
      <c r="B61" s="34">
        <v>61</v>
      </c>
      <c r="C61" s="55" t="s">
        <v>4079</v>
      </c>
      <c r="D61" s="56" t="s">
        <v>394</v>
      </c>
      <c r="E61" s="56" t="s">
        <v>3922</v>
      </c>
      <c r="F61" s="26" t="s">
        <v>3923</v>
      </c>
      <c r="G61" s="26" t="s">
        <v>14</v>
      </c>
      <c r="H61" s="26" t="s">
        <v>13</v>
      </c>
      <c r="I61" s="26" t="s">
        <v>3924</v>
      </c>
      <c r="J61" s="26" t="s">
        <v>4080</v>
      </c>
      <c r="K61" s="26" t="s">
        <v>4010</v>
      </c>
      <c r="L61" s="26" t="s">
        <v>4011</v>
      </c>
      <c r="M61" s="55" t="s">
        <v>613</v>
      </c>
      <c r="N61" s="26" t="s">
        <v>3924</v>
      </c>
    </row>
    <row r="62" spans="1:14" ht="75" customHeight="1" thickTop="1" thickBot="1">
      <c r="A62" s="34">
        <v>60</v>
      </c>
      <c r="B62" s="26">
        <v>62</v>
      </c>
      <c r="C62" s="55" t="s">
        <v>4079</v>
      </c>
      <c r="D62" s="56" t="s">
        <v>394</v>
      </c>
      <c r="E62" s="56" t="s">
        <v>3922</v>
      </c>
      <c r="F62" s="26" t="s">
        <v>3923</v>
      </c>
      <c r="G62" s="26" t="s">
        <v>14</v>
      </c>
      <c r="H62" s="26" t="s">
        <v>13</v>
      </c>
      <c r="I62" s="26" t="s">
        <v>3924</v>
      </c>
      <c r="J62" s="26" t="s">
        <v>4080</v>
      </c>
      <c r="K62" s="26" t="s">
        <v>4010</v>
      </c>
      <c r="L62" s="26" t="s">
        <v>4011</v>
      </c>
      <c r="M62" s="55" t="s">
        <v>1472</v>
      </c>
      <c r="N62" s="26" t="s">
        <v>3924</v>
      </c>
    </row>
    <row r="63" spans="1:14" ht="75" customHeight="1" thickTop="1" thickBot="1">
      <c r="A63" s="34">
        <v>61</v>
      </c>
      <c r="B63" s="34">
        <v>63</v>
      </c>
      <c r="C63" s="55" t="s">
        <v>4081</v>
      </c>
      <c r="D63" s="56" t="s">
        <v>394</v>
      </c>
      <c r="E63" s="56" t="s">
        <v>3922</v>
      </c>
      <c r="F63" s="26" t="s">
        <v>3923</v>
      </c>
      <c r="G63" s="26" t="s">
        <v>14</v>
      </c>
      <c r="H63" s="26" t="s">
        <v>13</v>
      </c>
      <c r="I63" s="26" t="s">
        <v>3924</v>
      </c>
      <c r="J63" s="26" t="s">
        <v>4080</v>
      </c>
      <c r="K63" s="26" t="s">
        <v>3976</v>
      </c>
      <c r="L63" s="26" t="s">
        <v>4082</v>
      </c>
      <c r="M63" s="55" t="s">
        <v>4083</v>
      </c>
      <c r="N63" s="26" t="s">
        <v>3924</v>
      </c>
    </row>
    <row r="64" spans="1:14" ht="75" customHeight="1" thickTop="1" thickBot="1">
      <c r="A64" s="26">
        <v>62</v>
      </c>
      <c r="B64" s="26">
        <v>64</v>
      </c>
      <c r="C64" s="55" t="s">
        <v>4077</v>
      </c>
      <c r="D64" s="56" t="s">
        <v>394</v>
      </c>
      <c r="E64" s="56" t="s">
        <v>3922</v>
      </c>
      <c r="F64" s="26" t="s">
        <v>3923</v>
      </c>
      <c r="G64" s="26" t="s">
        <v>14</v>
      </c>
      <c r="H64" s="26" t="s">
        <v>13</v>
      </c>
      <c r="I64" s="26" t="s">
        <v>3924</v>
      </c>
      <c r="J64" s="26" t="s">
        <v>4080</v>
      </c>
      <c r="K64" s="26" t="s">
        <v>3966</v>
      </c>
      <c r="L64" s="26" t="s">
        <v>4082</v>
      </c>
      <c r="M64" s="55" t="s">
        <v>4084</v>
      </c>
      <c r="N64" s="26" t="s">
        <v>3924</v>
      </c>
    </row>
    <row r="65" spans="1:14" ht="75" customHeight="1" thickTop="1" thickBot="1">
      <c r="A65" s="34">
        <v>63</v>
      </c>
      <c r="B65" s="34">
        <v>65</v>
      </c>
      <c r="C65" s="55" t="s">
        <v>4085</v>
      </c>
      <c r="D65" s="56" t="s">
        <v>394</v>
      </c>
      <c r="E65" s="56" t="s">
        <v>3994</v>
      </c>
      <c r="F65" s="26" t="s">
        <v>3995</v>
      </c>
      <c r="G65" s="26" t="s">
        <v>15</v>
      </c>
      <c r="H65" s="26" t="s">
        <v>17</v>
      </c>
      <c r="I65" s="26" t="s">
        <v>3924</v>
      </c>
      <c r="J65" s="26" t="s">
        <v>4086</v>
      </c>
      <c r="K65" s="26" t="s">
        <v>4087</v>
      </c>
      <c r="L65" s="26" t="s">
        <v>3924</v>
      </c>
      <c r="M65" s="55" t="s">
        <v>4088</v>
      </c>
      <c r="N65" s="26" t="s">
        <v>3924</v>
      </c>
    </row>
    <row r="66" spans="1:14" ht="75" customHeight="1" thickTop="1" thickBot="1">
      <c r="A66" s="34">
        <v>64</v>
      </c>
      <c r="B66" s="26">
        <v>66</v>
      </c>
      <c r="C66" s="55" t="s">
        <v>4089</v>
      </c>
      <c r="D66" s="56" t="s">
        <v>394</v>
      </c>
      <c r="E66" s="56" t="s">
        <v>3931</v>
      </c>
      <c r="F66" s="26" t="s">
        <v>3923</v>
      </c>
      <c r="G66" s="26" t="s">
        <v>3932</v>
      </c>
      <c r="H66" s="26" t="s">
        <v>13</v>
      </c>
      <c r="I66" s="26" t="s">
        <v>3924</v>
      </c>
      <c r="J66" s="26" t="s">
        <v>4090</v>
      </c>
      <c r="K66" s="26" t="s">
        <v>3947</v>
      </c>
      <c r="L66" s="26" t="s">
        <v>3924</v>
      </c>
      <c r="M66" s="55" t="s">
        <v>4091</v>
      </c>
      <c r="N66" s="26" t="s">
        <v>3924</v>
      </c>
    </row>
    <row r="67" spans="1:14" ht="75" customHeight="1" thickTop="1" thickBot="1">
      <c r="A67" s="26">
        <v>65</v>
      </c>
      <c r="B67" s="34">
        <v>67</v>
      </c>
      <c r="C67" s="55" t="s">
        <v>4092</v>
      </c>
      <c r="D67" s="56" t="s">
        <v>394</v>
      </c>
      <c r="E67" s="56" t="s">
        <v>3931</v>
      </c>
      <c r="F67" s="26" t="s">
        <v>3923</v>
      </c>
      <c r="G67" s="26" t="s">
        <v>3932</v>
      </c>
      <c r="H67" s="26" t="s">
        <v>13</v>
      </c>
      <c r="I67" s="26" t="s">
        <v>3924</v>
      </c>
      <c r="J67" s="26" t="s">
        <v>4090</v>
      </c>
      <c r="K67" s="26" t="s">
        <v>4010</v>
      </c>
      <c r="L67" s="26" t="s">
        <v>3924</v>
      </c>
      <c r="M67" s="55" t="s">
        <v>4093</v>
      </c>
      <c r="N67" s="26" t="s">
        <v>3924</v>
      </c>
    </row>
    <row r="68" spans="1:14" ht="75" customHeight="1" thickTop="1" thickBot="1">
      <c r="A68" s="34">
        <v>66</v>
      </c>
      <c r="B68" s="26">
        <v>68</v>
      </c>
      <c r="C68" s="55" t="s">
        <v>4094</v>
      </c>
      <c r="D68" s="56" t="s">
        <v>394</v>
      </c>
      <c r="E68" s="56" t="s">
        <v>3931</v>
      </c>
      <c r="F68" s="26" t="s">
        <v>3923</v>
      </c>
      <c r="G68" s="26" t="s">
        <v>3932</v>
      </c>
      <c r="H68" s="26" t="s">
        <v>13</v>
      </c>
      <c r="I68" s="26" t="s">
        <v>3924</v>
      </c>
      <c r="J68" s="26" t="s">
        <v>4095</v>
      </c>
      <c r="K68" s="26" t="s">
        <v>3929</v>
      </c>
      <c r="L68" s="26" t="s">
        <v>4096</v>
      </c>
      <c r="M68" s="55" t="s">
        <v>4097</v>
      </c>
      <c r="N68" s="26" t="s">
        <v>3924</v>
      </c>
    </row>
    <row r="69" spans="1:14" ht="75" customHeight="1" thickTop="1" thickBot="1">
      <c r="A69" s="34">
        <v>67</v>
      </c>
      <c r="B69" s="34">
        <v>69</v>
      </c>
      <c r="C69" s="55" t="s">
        <v>4098</v>
      </c>
      <c r="D69" s="56" t="s">
        <v>394</v>
      </c>
      <c r="E69" s="56" t="s">
        <v>3931</v>
      </c>
      <c r="F69" s="26" t="s">
        <v>3923</v>
      </c>
      <c r="G69" s="26" t="s">
        <v>3932</v>
      </c>
      <c r="H69" s="26" t="s">
        <v>13</v>
      </c>
      <c r="I69" s="26" t="s">
        <v>3924</v>
      </c>
      <c r="J69" s="26" t="s">
        <v>4095</v>
      </c>
      <c r="K69" s="26" t="s">
        <v>3929</v>
      </c>
      <c r="L69" s="26" t="s">
        <v>4096</v>
      </c>
      <c r="M69" s="55" t="s">
        <v>4099</v>
      </c>
      <c r="N69" s="26" t="s">
        <v>3924</v>
      </c>
    </row>
    <row r="70" spans="1:14" ht="75" customHeight="1" thickTop="1" thickBot="1">
      <c r="A70" s="26">
        <v>68</v>
      </c>
      <c r="B70" s="26">
        <v>70</v>
      </c>
      <c r="C70" s="55" t="s">
        <v>4098</v>
      </c>
      <c r="D70" s="56" t="s">
        <v>394</v>
      </c>
      <c r="E70" s="56" t="s">
        <v>3931</v>
      </c>
      <c r="F70" s="26" t="s">
        <v>3923</v>
      </c>
      <c r="G70" s="26" t="s">
        <v>3932</v>
      </c>
      <c r="H70" s="26" t="s">
        <v>13</v>
      </c>
      <c r="I70" s="26" t="s">
        <v>3924</v>
      </c>
      <c r="J70" s="26" t="s">
        <v>4095</v>
      </c>
      <c r="K70" s="26" t="s">
        <v>3947</v>
      </c>
      <c r="L70" s="26" t="s">
        <v>3924</v>
      </c>
      <c r="M70" s="55" t="s">
        <v>4100</v>
      </c>
      <c r="N70" s="26" t="s">
        <v>3924</v>
      </c>
    </row>
    <row r="71" spans="1:14" ht="75" customHeight="1" thickTop="1" thickBot="1">
      <c r="A71" s="34">
        <v>69</v>
      </c>
      <c r="B71" s="34">
        <v>71</v>
      </c>
      <c r="C71" s="55" t="s">
        <v>4101</v>
      </c>
      <c r="D71" s="56" t="s">
        <v>394</v>
      </c>
      <c r="E71" s="56" t="s">
        <v>3931</v>
      </c>
      <c r="F71" s="26" t="s">
        <v>3923</v>
      </c>
      <c r="G71" s="26" t="s">
        <v>3932</v>
      </c>
      <c r="H71" s="26" t="s">
        <v>13</v>
      </c>
      <c r="I71" s="26" t="s">
        <v>3924</v>
      </c>
      <c r="J71" s="26" t="s">
        <v>4095</v>
      </c>
      <c r="K71" s="26" t="s">
        <v>4010</v>
      </c>
      <c r="L71" s="26" t="s">
        <v>3924</v>
      </c>
      <c r="M71" s="55" t="s">
        <v>4102</v>
      </c>
      <c r="N71" s="26" t="s">
        <v>3924</v>
      </c>
    </row>
    <row r="72" spans="1:14" ht="75" customHeight="1" thickTop="1" thickBot="1">
      <c r="A72" s="34">
        <v>70</v>
      </c>
      <c r="B72" s="26">
        <v>72</v>
      </c>
      <c r="C72" s="55" t="s">
        <v>4101</v>
      </c>
      <c r="D72" s="56" t="s">
        <v>394</v>
      </c>
      <c r="E72" s="56" t="s">
        <v>3931</v>
      </c>
      <c r="F72" s="26" t="s">
        <v>3923</v>
      </c>
      <c r="G72" s="26" t="s">
        <v>3932</v>
      </c>
      <c r="H72" s="26" t="s">
        <v>13</v>
      </c>
      <c r="I72" s="26" t="s">
        <v>3924</v>
      </c>
      <c r="J72" s="26" t="s">
        <v>4095</v>
      </c>
      <c r="K72" s="26" t="s">
        <v>4032</v>
      </c>
      <c r="L72" s="26" t="s">
        <v>4033</v>
      </c>
      <c r="M72" s="55" t="s">
        <v>4103</v>
      </c>
      <c r="N72" s="26" t="s">
        <v>3924</v>
      </c>
    </row>
    <row r="73" spans="1:14" ht="75" customHeight="1" thickTop="1" thickBot="1">
      <c r="A73" s="26">
        <v>71</v>
      </c>
      <c r="B73" s="34">
        <v>73</v>
      </c>
      <c r="C73" s="55" t="s">
        <v>4104</v>
      </c>
      <c r="D73" s="56" t="s">
        <v>394</v>
      </c>
      <c r="E73" s="56" t="s">
        <v>3931</v>
      </c>
      <c r="F73" s="26" t="s">
        <v>3923</v>
      </c>
      <c r="G73" s="26" t="s">
        <v>3932</v>
      </c>
      <c r="H73" s="26" t="s">
        <v>13</v>
      </c>
      <c r="I73" s="26" t="s">
        <v>3924</v>
      </c>
      <c r="J73" s="26" t="s">
        <v>4095</v>
      </c>
      <c r="K73" s="26" t="s">
        <v>3929</v>
      </c>
      <c r="L73" s="26" t="s">
        <v>3924</v>
      </c>
      <c r="M73" s="55" t="s">
        <v>4105</v>
      </c>
      <c r="N73" s="26" t="s">
        <v>3924</v>
      </c>
    </row>
    <row r="74" spans="1:14" ht="75" customHeight="1" thickTop="1" thickBot="1">
      <c r="A74" s="34">
        <v>72</v>
      </c>
      <c r="B74" s="26">
        <v>74</v>
      </c>
      <c r="C74" s="55" t="s">
        <v>4106</v>
      </c>
      <c r="D74" s="56" t="s">
        <v>394</v>
      </c>
      <c r="E74" s="56" t="s">
        <v>3931</v>
      </c>
      <c r="F74" s="26" t="s">
        <v>3923</v>
      </c>
      <c r="G74" s="26" t="s">
        <v>3932</v>
      </c>
      <c r="H74" s="26" t="s">
        <v>13</v>
      </c>
      <c r="I74" s="26" t="s">
        <v>3924</v>
      </c>
      <c r="J74" s="26" t="s">
        <v>4095</v>
      </c>
      <c r="K74" s="26" t="s">
        <v>3929</v>
      </c>
      <c r="L74" s="26" t="s">
        <v>4096</v>
      </c>
      <c r="M74" s="55" t="s">
        <v>4107</v>
      </c>
      <c r="N74" s="26" t="s">
        <v>3924</v>
      </c>
    </row>
    <row r="75" spans="1:14" ht="75" customHeight="1" thickTop="1" thickBot="1">
      <c r="A75" s="34">
        <v>73</v>
      </c>
      <c r="B75" s="34">
        <v>75</v>
      </c>
      <c r="C75" s="55" t="s">
        <v>4108</v>
      </c>
      <c r="D75" s="56" t="s">
        <v>394</v>
      </c>
      <c r="E75" s="56" t="s">
        <v>3931</v>
      </c>
      <c r="F75" s="26" t="s">
        <v>3923</v>
      </c>
      <c r="G75" s="26" t="s">
        <v>3932</v>
      </c>
      <c r="H75" s="26" t="s">
        <v>13</v>
      </c>
      <c r="I75" s="26" t="s">
        <v>3924</v>
      </c>
      <c r="J75" s="26" t="s">
        <v>4095</v>
      </c>
      <c r="K75" s="26" t="s">
        <v>3929</v>
      </c>
      <c r="L75" s="26" t="s">
        <v>4096</v>
      </c>
      <c r="M75" s="55" t="s">
        <v>4109</v>
      </c>
      <c r="N75" s="26" t="s">
        <v>3924</v>
      </c>
    </row>
    <row r="76" spans="1:14" ht="75" customHeight="1" thickTop="1" thickBot="1">
      <c r="A76" s="26">
        <v>74</v>
      </c>
      <c r="B76" s="26">
        <v>76</v>
      </c>
      <c r="C76" s="55" t="s">
        <v>4110</v>
      </c>
      <c r="D76" s="56" t="s">
        <v>394</v>
      </c>
      <c r="E76" s="56" t="s">
        <v>3931</v>
      </c>
      <c r="F76" s="26" t="s">
        <v>3923</v>
      </c>
      <c r="G76" s="26" t="s">
        <v>3932</v>
      </c>
      <c r="H76" s="26" t="s">
        <v>13</v>
      </c>
      <c r="I76" s="26" t="s">
        <v>3924</v>
      </c>
      <c r="J76" s="26" t="s">
        <v>4110</v>
      </c>
      <c r="K76" s="26" t="s">
        <v>3976</v>
      </c>
      <c r="L76" s="26" t="s">
        <v>4111</v>
      </c>
      <c r="M76" s="55" t="s">
        <v>4112</v>
      </c>
      <c r="N76" s="26" t="s">
        <v>3924</v>
      </c>
    </row>
    <row r="77" spans="1:14" ht="75" customHeight="1" thickTop="1" thickBot="1">
      <c r="A77" s="34">
        <v>75</v>
      </c>
      <c r="B77" s="34">
        <v>77</v>
      </c>
      <c r="C77" s="55" t="s">
        <v>4113</v>
      </c>
      <c r="D77" s="56" t="s">
        <v>394</v>
      </c>
      <c r="E77" s="56" t="s">
        <v>3931</v>
      </c>
      <c r="F77" s="26" t="s">
        <v>3923</v>
      </c>
      <c r="G77" s="26" t="s">
        <v>3932</v>
      </c>
      <c r="H77" s="26" t="s">
        <v>13</v>
      </c>
      <c r="I77" s="26" t="s">
        <v>3924</v>
      </c>
      <c r="J77" s="26" t="s">
        <v>4114</v>
      </c>
      <c r="K77" s="26" t="s">
        <v>3926</v>
      </c>
      <c r="L77" s="26" t="s">
        <v>3927</v>
      </c>
      <c r="M77" s="55" t="s">
        <v>4115</v>
      </c>
      <c r="N77" s="26" t="s">
        <v>3924</v>
      </c>
    </row>
    <row r="78" spans="1:14" ht="75" customHeight="1" thickTop="1" thickBot="1">
      <c r="A78" s="34">
        <v>76</v>
      </c>
      <c r="B78" s="26">
        <v>78</v>
      </c>
      <c r="C78" s="55" t="s">
        <v>4113</v>
      </c>
      <c r="D78" s="56" t="s">
        <v>394</v>
      </c>
      <c r="E78" s="56" t="s">
        <v>3931</v>
      </c>
      <c r="F78" s="26" t="s">
        <v>3923</v>
      </c>
      <c r="G78" s="26" t="s">
        <v>3932</v>
      </c>
      <c r="H78" s="26" t="s">
        <v>13</v>
      </c>
      <c r="I78" s="26" t="s">
        <v>3924</v>
      </c>
      <c r="J78" s="26" t="s">
        <v>4114</v>
      </c>
      <c r="K78" s="26" t="s">
        <v>4004</v>
      </c>
      <c r="L78" s="26" t="s">
        <v>3924</v>
      </c>
      <c r="M78" s="55" t="s">
        <v>4116</v>
      </c>
      <c r="N78" s="26" t="s">
        <v>3924</v>
      </c>
    </row>
    <row r="79" spans="1:14" ht="75" customHeight="1" thickTop="1" thickBot="1">
      <c r="A79" s="26">
        <v>77</v>
      </c>
      <c r="B79" s="34">
        <v>79</v>
      </c>
      <c r="C79" s="55" t="s">
        <v>4117</v>
      </c>
      <c r="D79" s="56" t="s">
        <v>394</v>
      </c>
      <c r="E79" s="56" t="s">
        <v>3931</v>
      </c>
      <c r="F79" s="26" t="s">
        <v>3923</v>
      </c>
      <c r="G79" s="26" t="s">
        <v>3932</v>
      </c>
      <c r="H79" s="26" t="s">
        <v>13</v>
      </c>
      <c r="I79" s="26" t="s">
        <v>3924</v>
      </c>
      <c r="J79" s="26" t="s">
        <v>4114</v>
      </c>
      <c r="K79" s="26" t="s">
        <v>3929</v>
      </c>
      <c r="L79" s="26" t="s">
        <v>3924</v>
      </c>
      <c r="M79" s="55" t="s">
        <v>4109</v>
      </c>
      <c r="N79" s="26" t="s">
        <v>3924</v>
      </c>
    </row>
    <row r="80" spans="1:14" ht="75" customHeight="1" thickTop="1" thickBot="1">
      <c r="A80" s="34">
        <v>78</v>
      </c>
      <c r="B80" s="26">
        <v>80</v>
      </c>
      <c r="C80" s="55" t="s">
        <v>4118</v>
      </c>
      <c r="D80" s="56" t="s">
        <v>394</v>
      </c>
      <c r="E80" s="56" t="s">
        <v>3931</v>
      </c>
      <c r="F80" s="26" t="s">
        <v>3923</v>
      </c>
      <c r="G80" s="26" t="s">
        <v>3932</v>
      </c>
      <c r="H80" s="26" t="s">
        <v>13</v>
      </c>
      <c r="I80" s="26" t="s">
        <v>3924</v>
      </c>
      <c r="J80" s="26" t="s">
        <v>4114</v>
      </c>
      <c r="K80" s="26" t="s">
        <v>4119</v>
      </c>
      <c r="L80" s="26" t="s">
        <v>3924</v>
      </c>
      <c r="M80" s="55" t="s">
        <v>4120</v>
      </c>
      <c r="N80" s="26" t="s">
        <v>3924</v>
      </c>
    </row>
    <row r="81" spans="1:14" ht="75" customHeight="1" thickTop="1" thickBot="1">
      <c r="A81" s="34">
        <v>79</v>
      </c>
      <c r="B81" s="34">
        <v>81</v>
      </c>
      <c r="C81" s="55" t="s">
        <v>4121</v>
      </c>
      <c r="D81" s="56" t="s">
        <v>394</v>
      </c>
      <c r="E81" s="56" t="s">
        <v>3931</v>
      </c>
      <c r="F81" s="26" t="s">
        <v>3923</v>
      </c>
      <c r="G81" s="26" t="s">
        <v>3932</v>
      </c>
      <c r="H81" s="26" t="s">
        <v>13</v>
      </c>
      <c r="I81" s="26" t="s">
        <v>3924</v>
      </c>
      <c r="J81" s="26" t="s">
        <v>4114</v>
      </c>
      <c r="K81" s="26" t="s">
        <v>4032</v>
      </c>
      <c r="L81" s="26" t="s">
        <v>4033</v>
      </c>
      <c r="M81" s="55" t="s">
        <v>4122</v>
      </c>
      <c r="N81" s="26" t="s">
        <v>3924</v>
      </c>
    </row>
    <row r="82" spans="1:14" ht="75" customHeight="1" thickTop="1" thickBot="1">
      <c r="A82" s="26">
        <v>80</v>
      </c>
      <c r="B82" s="26">
        <v>82</v>
      </c>
      <c r="C82" s="55" t="s">
        <v>4123</v>
      </c>
      <c r="D82" s="56" t="s">
        <v>394</v>
      </c>
      <c r="E82" s="56" t="s">
        <v>3931</v>
      </c>
      <c r="F82" s="26" t="s">
        <v>3923</v>
      </c>
      <c r="G82" s="26" t="s">
        <v>3932</v>
      </c>
      <c r="H82" s="26" t="s">
        <v>13</v>
      </c>
      <c r="I82" s="26" t="s">
        <v>3924</v>
      </c>
      <c r="J82" s="26" t="s">
        <v>4124</v>
      </c>
      <c r="K82" s="26" t="s">
        <v>3929</v>
      </c>
      <c r="L82" s="26" t="s">
        <v>4125</v>
      </c>
      <c r="M82" s="55" t="s">
        <v>4126</v>
      </c>
      <c r="N82" s="26" t="s">
        <v>3924</v>
      </c>
    </row>
    <row r="83" spans="1:14" ht="75" customHeight="1" thickTop="1" thickBot="1">
      <c r="A83" s="34">
        <v>81</v>
      </c>
      <c r="B83" s="34">
        <v>83</v>
      </c>
      <c r="C83" s="55" t="s">
        <v>4127</v>
      </c>
      <c r="D83" s="56" t="s">
        <v>394</v>
      </c>
      <c r="E83" s="56" t="s">
        <v>3931</v>
      </c>
      <c r="F83" s="26" t="s">
        <v>3923</v>
      </c>
      <c r="G83" s="26" t="s">
        <v>3932</v>
      </c>
      <c r="H83" s="26" t="s">
        <v>13</v>
      </c>
      <c r="I83" s="26" t="s">
        <v>3924</v>
      </c>
      <c r="J83" s="26" t="s">
        <v>4124</v>
      </c>
      <c r="K83" s="26" t="s">
        <v>4128</v>
      </c>
      <c r="L83" s="26" t="s">
        <v>4029</v>
      </c>
      <c r="M83" s="55" t="s">
        <v>4129</v>
      </c>
      <c r="N83" s="26" t="s">
        <v>3924</v>
      </c>
    </row>
    <row r="84" spans="1:14" ht="75" customHeight="1" thickTop="1" thickBot="1">
      <c r="A84" s="34">
        <v>82</v>
      </c>
      <c r="B84" s="26">
        <v>84</v>
      </c>
      <c r="C84" s="55" t="s">
        <v>4130</v>
      </c>
      <c r="D84" s="56" t="s">
        <v>394</v>
      </c>
      <c r="E84" s="56" t="s">
        <v>3931</v>
      </c>
      <c r="F84" s="26" t="s">
        <v>3923</v>
      </c>
      <c r="G84" s="26" t="s">
        <v>3932</v>
      </c>
      <c r="H84" s="26" t="s">
        <v>13</v>
      </c>
      <c r="I84" s="26" t="s">
        <v>3924</v>
      </c>
      <c r="J84" s="26" t="s">
        <v>4124</v>
      </c>
      <c r="K84" s="26" t="s">
        <v>4087</v>
      </c>
      <c r="L84" s="26" t="s">
        <v>4029</v>
      </c>
      <c r="M84" s="55" t="s">
        <v>4131</v>
      </c>
      <c r="N84" s="26" t="s">
        <v>3924</v>
      </c>
    </row>
    <row r="85" spans="1:14" ht="75" customHeight="1" thickTop="1" thickBot="1">
      <c r="A85" s="26">
        <v>83</v>
      </c>
      <c r="B85" s="34">
        <v>85</v>
      </c>
      <c r="C85" s="55" t="s">
        <v>4132</v>
      </c>
      <c r="D85" s="56" t="s">
        <v>394</v>
      </c>
      <c r="E85" s="56" t="s">
        <v>3922</v>
      </c>
      <c r="F85" s="26" t="s">
        <v>3923</v>
      </c>
      <c r="G85" s="26" t="s">
        <v>16</v>
      </c>
      <c r="H85" s="26" t="s">
        <v>13</v>
      </c>
      <c r="I85" s="26" t="s">
        <v>3924</v>
      </c>
      <c r="J85" s="26" t="s">
        <v>4132</v>
      </c>
      <c r="K85" s="26" t="s">
        <v>4040</v>
      </c>
      <c r="L85" s="26" t="s">
        <v>3927</v>
      </c>
      <c r="M85" s="55" t="s">
        <v>4133</v>
      </c>
      <c r="N85" s="26" t="s">
        <v>3924</v>
      </c>
    </row>
    <row r="86" spans="1:14" ht="75" customHeight="1" thickTop="1" thickBot="1">
      <c r="A86" s="34">
        <v>84</v>
      </c>
      <c r="B86" s="26">
        <v>86</v>
      </c>
      <c r="C86" s="55" t="s">
        <v>4124</v>
      </c>
      <c r="D86" s="56" t="s">
        <v>394</v>
      </c>
      <c r="E86" s="56" t="s">
        <v>3922</v>
      </c>
      <c r="F86" s="26" t="s">
        <v>3923</v>
      </c>
      <c r="G86" s="26" t="s">
        <v>16</v>
      </c>
      <c r="H86" s="26" t="s">
        <v>13</v>
      </c>
      <c r="I86" s="26" t="s">
        <v>3924</v>
      </c>
      <c r="J86" s="26" t="s">
        <v>4124</v>
      </c>
      <c r="K86" s="26" t="s">
        <v>4040</v>
      </c>
      <c r="L86" s="26" t="s">
        <v>3963</v>
      </c>
      <c r="M86" s="55" t="s">
        <v>4133</v>
      </c>
      <c r="N86" s="26" t="s">
        <v>3924</v>
      </c>
    </row>
    <row r="87" spans="1:14" ht="75" customHeight="1" thickTop="1" thickBot="1">
      <c r="A87" s="34">
        <v>85</v>
      </c>
      <c r="B87" s="34">
        <v>87</v>
      </c>
      <c r="C87" s="55" t="s">
        <v>4114</v>
      </c>
      <c r="D87" s="56" t="s">
        <v>394</v>
      </c>
      <c r="E87" s="56" t="s">
        <v>3922</v>
      </c>
      <c r="F87" s="26" t="s">
        <v>3923</v>
      </c>
      <c r="G87" s="26" t="s">
        <v>16</v>
      </c>
      <c r="H87" s="26" t="s">
        <v>13</v>
      </c>
      <c r="I87" s="26" t="s">
        <v>3924</v>
      </c>
      <c r="J87" s="26" t="s">
        <v>4134</v>
      </c>
      <c r="K87" s="26" t="s">
        <v>3966</v>
      </c>
      <c r="L87" s="26" t="s">
        <v>3927</v>
      </c>
      <c r="M87" s="55" t="s">
        <v>4135</v>
      </c>
      <c r="N87" s="26" t="s">
        <v>3924</v>
      </c>
    </row>
    <row r="88" spans="1:14" ht="75" customHeight="1" thickTop="1" thickBot="1">
      <c r="A88" s="26">
        <v>86</v>
      </c>
      <c r="B88" s="26">
        <v>88</v>
      </c>
      <c r="C88" s="55" t="s">
        <v>4136</v>
      </c>
      <c r="D88" s="56" t="s">
        <v>394</v>
      </c>
      <c r="E88" s="56" t="s">
        <v>3922</v>
      </c>
      <c r="F88" s="26" t="s">
        <v>3923</v>
      </c>
      <c r="G88" s="26" t="s">
        <v>16</v>
      </c>
      <c r="H88" s="26" t="s">
        <v>13</v>
      </c>
      <c r="I88" s="26" t="s">
        <v>3924</v>
      </c>
      <c r="J88" s="26" t="s">
        <v>4134</v>
      </c>
      <c r="K88" s="26" t="s">
        <v>4040</v>
      </c>
      <c r="L88" s="26" t="s">
        <v>3986</v>
      </c>
      <c r="M88" s="55" t="s">
        <v>4133</v>
      </c>
      <c r="N88" s="26" t="s">
        <v>3924</v>
      </c>
    </row>
    <row r="89" spans="1:14" ht="75" customHeight="1" thickTop="1" thickBot="1">
      <c r="A89" s="34">
        <v>87</v>
      </c>
      <c r="B89" s="34">
        <v>89</v>
      </c>
      <c r="C89" s="55" t="s">
        <v>4136</v>
      </c>
      <c r="D89" s="56" t="s">
        <v>394</v>
      </c>
      <c r="E89" s="56" t="s">
        <v>3922</v>
      </c>
      <c r="F89" s="26" t="s">
        <v>3923</v>
      </c>
      <c r="G89" s="26" t="s">
        <v>16</v>
      </c>
      <c r="H89" s="26" t="s">
        <v>13</v>
      </c>
      <c r="I89" s="26" t="s">
        <v>3924</v>
      </c>
      <c r="J89" s="26" t="s">
        <v>4137</v>
      </c>
      <c r="K89" s="26" t="s">
        <v>3929</v>
      </c>
      <c r="L89" s="26" t="s">
        <v>3963</v>
      </c>
      <c r="M89" s="55" t="s">
        <v>4138</v>
      </c>
      <c r="N89" s="26" t="s">
        <v>3924</v>
      </c>
    </row>
    <row r="90" spans="1:14" ht="75" customHeight="1" thickTop="1" thickBot="1">
      <c r="A90" s="34">
        <v>88</v>
      </c>
      <c r="B90" s="26">
        <v>90</v>
      </c>
      <c r="C90" s="55" t="s">
        <v>4139</v>
      </c>
      <c r="D90" s="56" t="s">
        <v>394</v>
      </c>
      <c r="E90" s="56" t="s">
        <v>3922</v>
      </c>
      <c r="F90" s="26" t="s">
        <v>3923</v>
      </c>
      <c r="G90" s="26" t="s">
        <v>16</v>
      </c>
      <c r="H90" s="26" t="s">
        <v>13</v>
      </c>
      <c r="I90" s="26" t="s">
        <v>3924</v>
      </c>
      <c r="J90" s="26" t="s">
        <v>4137</v>
      </c>
      <c r="K90" s="26" t="s">
        <v>4010</v>
      </c>
      <c r="L90" s="26" t="s">
        <v>3963</v>
      </c>
      <c r="M90" s="55" t="s">
        <v>4140</v>
      </c>
      <c r="N90" s="26" t="s">
        <v>3924</v>
      </c>
    </row>
    <row r="91" spans="1:14" ht="75" customHeight="1" thickTop="1" thickBot="1">
      <c r="A91" s="26">
        <v>89</v>
      </c>
      <c r="B91" s="34">
        <v>91</v>
      </c>
      <c r="C91" s="55" t="s">
        <v>4141</v>
      </c>
      <c r="D91" s="56" t="s">
        <v>394</v>
      </c>
      <c r="E91" s="56" t="s">
        <v>3922</v>
      </c>
      <c r="F91" s="26" t="s">
        <v>3923</v>
      </c>
      <c r="G91" s="26" t="s">
        <v>16</v>
      </c>
      <c r="H91" s="26" t="s">
        <v>13</v>
      </c>
      <c r="I91" s="26" t="s">
        <v>3924</v>
      </c>
      <c r="J91" s="26" t="s">
        <v>4137</v>
      </c>
      <c r="K91" s="26" t="s">
        <v>3929</v>
      </c>
      <c r="L91" s="26" t="s">
        <v>3927</v>
      </c>
      <c r="M91" s="55" t="s">
        <v>4138</v>
      </c>
      <c r="N91" s="26" t="s">
        <v>3924</v>
      </c>
    </row>
    <row r="92" spans="1:14" ht="75" customHeight="1" thickTop="1" thickBot="1">
      <c r="A92" s="34">
        <v>90</v>
      </c>
      <c r="B92" s="26">
        <v>92</v>
      </c>
      <c r="C92" s="55" t="s">
        <v>4142</v>
      </c>
      <c r="D92" s="56" t="s">
        <v>394</v>
      </c>
      <c r="E92" s="56" t="s">
        <v>3922</v>
      </c>
      <c r="F92" s="26" t="s">
        <v>3923</v>
      </c>
      <c r="G92" s="26" t="s">
        <v>16</v>
      </c>
      <c r="H92" s="26" t="s">
        <v>13</v>
      </c>
      <c r="I92" s="26" t="s">
        <v>3924</v>
      </c>
      <c r="J92" s="26" t="s">
        <v>4143</v>
      </c>
      <c r="K92" s="26" t="s">
        <v>4010</v>
      </c>
      <c r="L92" s="26" t="s">
        <v>3986</v>
      </c>
      <c r="M92" s="55" t="s">
        <v>874</v>
      </c>
      <c r="N92" s="26" t="s">
        <v>3924</v>
      </c>
    </row>
    <row r="93" spans="1:14" ht="75" customHeight="1" thickTop="1" thickBot="1">
      <c r="A93" s="34">
        <v>91</v>
      </c>
      <c r="B93" s="34">
        <v>93</v>
      </c>
      <c r="C93" s="55" t="s">
        <v>4142</v>
      </c>
      <c r="D93" s="56" t="s">
        <v>394</v>
      </c>
      <c r="E93" s="56" t="s">
        <v>3922</v>
      </c>
      <c r="F93" s="26" t="s">
        <v>3923</v>
      </c>
      <c r="G93" s="26" t="s">
        <v>16</v>
      </c>
      <c r="H93" s="26" t="s">
        <v>13</v>
      </c>
      <c r="I93" s="26" t="s">
        <v>3924</v>
      </c>
      <c r="J93" s="26" t="s">
        <v>4143</v>
      </c>
      <c r="K93" s="26" t="s">
        <v>4010</v>
      </c>
      <c r="L93" s="26" t="s">
        <v>3927</v>
      </c>
      <c r="M93" s="55" t="s">
        <v>4144</v>
      </c>
      <c r="N93" s="26" t="s">
        <v>3924</v>
      </c>
    </row>
    <row r="94" spans="1:14" ht="75" customHeight="1" thickTop="1" thickBot="1">
      <c r="A94" s="26">
        <v>92</v>
      </c>
      <c r="B94" s="26">
        <v>94</v>
      </c>
      <c r="C94" s="55" t="s">
        <v>4145</v>
      </c>
      <c r="D94" s="56" t="s">
        <v>394</v>
      </c>
      <c r="E94" s="56" t="s">
        <v>3922</v>
      </c>
      <c r="F94" s="26" t="s">
        <v>3923</v>
      </c>
      <c r="G94" s="26" t="s">
        <v>16</v>
      </c>
      <c r="H94" s="26" t="s">
        <v>13</v>
      </c>
      <c r="I94" s="26" t="s">
        <v>3924</v>
      </c>
      <c r="J94" s="26" t="s">
        <v>4146</v>
      </c>
      <c r="K94" s="26" t="s">
        <v>4010</v>
      </c>
      <c r="L94" s="26" t="s">
        <v>3963</v>
      </c>
      <c r="M94" s="55" t="s">
        <v>4147</v>
      </c>
      <c r="N94" s="26" t="s">
        <v>3924</v>
      </c>
    </row>
    <row r="95" spans="1:14" ht="75" customHeight="1" thickTop="1" thickBot="1">
      <c r="A95" s="34">
        <v>93</v>
      </c>
      <c r="B95" s="34">
        <v>95</v>
      </c>
      <c r="C95" s="55" t="s">
        <v>4148</v>
      </c>
      <c r="D95" s="56" t="s">
        <v>394</v>
      </c>
      <c r="E95" s="56" t="s">
        <v>3922</v>
      </c>
      <c r="F95" s="26" t="s">
        <v>3923</v>
      </c>
      <c r="G95" s="26" t="s">
        <v>16</v>
      </c>
      <c r="H95" s="26" t="s">
        <v>13</v>
      </c>
      <c r="I95" s="26" t="s">
        <v>3924</v>
      </c>
      <c r="J95" s="26" t="s">
        <v>4146</v>
      </c>
      <c r="K95" s="26" t="s">
        <v>3947</v>
      </c>
      <c r="L95" s="26" t="s">
        <v>3963</v>
      </c>
      <c r="M95" s="55" t="s">
        <v>4149</v>
      </c>
      <c r="N95" s="26" t="s">
        <v>3924</v>
      </c>
    </row>
    <row r="96" spans="1:14" ht="75" customHeight="1" thickTop="1" thickBot="1">
      <c r="A96" s="34">
        <v>94</v>
      </c>
      <c r="B96" s="26">
        <v>96</v>
      </c>
      <c r="C96" s="55" t="s">
        <v>4150</v>
      </c>
      <c r="D96" s="56" t="s">
        <v>394</v>
      </c>
      <c r="E96" s="56" t="s">
        <v>3922</v>
      </c>
      <c r="F96" s="26" t="s">
        <v>3923</v>
      </c>
      <c r="G96" s="26" t="s">
        <v>16</v>
      </c>
      <c r="H96" s="26" t="s">
        <v>13</v>
      </c>
      <c r="I96" s="26" t="s">
        <v>3924</v>
      </c>
      <c r="J96" s="26" t="s">
        <v>4134</v>
      </c>
      <c r="K96" s="26" t="s">
        <v>3947</v>
      </c>
      <c r="L96" s="26" t="s">
        <v>3986</v>
      </c>
      <c r="M96" s="55" t="s">
        <v>4151</v>
      </c>
      <c r="N96" s="26" t="s">
        <v>3924</v>
      </c>
    </row>
    <row r="97" spans="1:14" ht="75" customHeight="1" thickTop="1" thickBot="1">
      <c r="A97" s="26">
        <v>95</v>
      </c>
      <c r="B97" s="34">
        <v>97</v>
      </c>
      <c r="C97" s="55" t="s">
        <v>4150</v>
      </c>
      <c r="D97" s="56" t="s">
        <v>394</v>
      </c>
      <c r="E97" s="56" t="s">
        <v>3922</v>
      </c>
      <c r="F97" s="26" t="s">
        <v>3923</v>
      </c>
      <c r="G97" s="26" t="s">
        <v>16</v>
      </c>
      <c r="H97" s="26" t="s">
        <v>13</v>
      </c>
      <c r="I97" s="26" t="s">
        <v>3924</v>
      </c>
      <c r="J97" s="26" t="s">
        <v>4134</v>
      </c>
      <c r="K97" s="26" t="s">
        <v>4040</v>
      </c>
      <c r="L97" s="26" t="s">
        <v>3927</v>
      </c>
      <c r="M97" s="55" t="s">
        <v>4152</v>
      </c>
      <c r="N97" s="26" t="s">
        <v>3924</v>
      </c>
    </row>
    <row r="98" spans="1:14" ht="75" customHeight="1" thickTop="1" thickBot="1">
      <c r="A98" s="34">
        <v>96</v>
      </c>
      <c r="B98" s="26">
        <v>98</v>
      </c>
      <c r="C98" s="55" t="s">
        <v>4153</v>
      </c>
      <c r="D98" s="56" t="s">
        <v>394</v>
      </c>
      <c r="E98" s="56" t="s">
        <v>3931</v>
      </c>
      <c r="F98" s="26" t="s">
        <v>3923</v>
      </c>
      <c r="G98" s="26" t="s">
        <v>15</v>
      </c>
      <c r="H98" s="26" t="s">
        <v>13</v>
      </c>
      <c r="I98" s="26" t="s">
        <v>3924</v>
      </c>
      <c r="J98" s="26" t="s">
        <v>4154</v>
      </c>
      <c r="K98" s="26" t="s">
        <v>3947</v>
      </c>
      <c r="L98" s="26" t="s">
        <v>3927</v>
      </c>
      <c r="M98" s="55" t="s">
        <v>4155</v>
      </c>
      <c r="N98" s="26" t="s">
        <v>3924</v>
      </c>
    </row>
    <row r="99" spans="1:14" ht="75" customHeight="1" thickTop="1" thickBot="1">
      <c r="A99" s="34">
        <v>97</v>
      </c>
      <c r="B99" s="34">
        <v>99</v>
      </c>
      <c r="C99" s="55" t="s">
        <v>4156</v>
      </c>
      <c r="D99" s="56" t="s">
        <v>394</v>
      </c>
      <c r="E99" s="56" t="s">
        <v>3931</v>
      </c>
      <c r="F99" s="26" t="s">
        <v>3923</v>
      </c>
      <c r="G99" s="26" t="s">
        <v>16</v>
      </c>
      <c r="H99" s="26" t="s">
        <v>13</v>
      </c>
      <c r="I99" s="26" t="s">
        <v>3924</v>
      </c>
      <c r="J99" s="26" t="s">
        <v>4157</v>
      </c>
      <c r="K99" s="26" t="s">
        <v>4040</v>
      </c>
      <c r="L99" s="26" t="s">
        <v>3927</v>
      </c>
      <c r="M99" s="55" t="s">
        <v>4158</v>
      </c>
      <c r="N99" s="26" t="s">
        <v>3924</v>
      </c>
    </row>
    <row r="100" spans="1:14" ht="75" customHeight="1" thickTop="1" thickBot="1">
      <c r="A100" s="26">
        <v>98</v>
      </c>
      <c r="B100" s="26">
        <v>100</v>
      </c>
      <c r="C100" s="55" t="s">
        <v>4156</v>
      </c>
      <c r="D100" s="56" t="s">
        <v>394</v>
      </c>
      <c r="E100" s="56" t="s">
        <v>3931</v>
      </c>
      <c r="F100" s="26" t="s">
        <v>3923</v>
      </c>
      <c r="G100" s="26" t="s">
        <v>16</v>
      </c>
      <c r="H100" s="26" t="s">
        <v>13</v>
      </c>
      <c r="I100" s="26" t="s">
        <v>3924</v>
      </c>
      <c r="J100" s="26" t="s">
        <v>4157</v>
      </c>
      <c r="K100" s="26" t="s">
        <v>4040</v>
      </c>
      <c r="L100" s="26" t="s">
        <v>3963</v>
      </c>
      <c r="M100" s="55" t="s">
        <v>4158</v>
      </c>
      <c r="N100" s="26" t="s">
        <v>3924</v>
      </c>
    </row>
    <row r="101" spans="1:14" ht="75" customHeight="1" thickTop="1" thickBot="1">
      <c r="A101" s="34">
        <v>99</v>
      </c>
      <c r="B101" s="34">
        <v>101</v>
      </c>
      <c r="C101" s="55" t="s">
        <v>4156</v>
      </c>
      <c r="D101" s="56" t="s">
        <v>394</v>
      </c>
      <c r="E101" s="56" t="s">
        <v>3931</v>
      </c>
      <c r="F101" s="26" t="s">
        <v>3923</v>
      </c>
      <c r="G101" s="26" t="s">
        <v>16</v>
      </c>
      <c r="H101" s="26" t="s">
        <v>13</v>
      </c>
      <c r="I101" s="26" t="s">
        <v>3924</v>
      </c>
      <c r="J101" s="26" t="s">
        <v>4157</v>
      </c>
      <c r="K101" s="26" t="s">
        <v>4040</v>
      </c>
      <c r="L101" s="26" t="s">
        <v>3927</v>
      </c>
      <c r="M101" s="55" t="s">
        <v>4159</v>
      </c>
      <c r="N101" s="26" t="s">
        <v>3924</v>
      </c>
    </row>
    <row r="102" spans="1:14" ht="75" customHeight="1" thickTop="1" thickBot="1">
      <c r="A102" s="34">
        <v>100</v>
      </c>
      <c r="B102" s="26">
        <v>102</v>
      </c>
      <c r="C102" s="55" t="s">
        <v>4156</v>
      </c>
      <c r="D102" s="56" t="s">
        <v>394</v>
      </c>
      <c r="E102" s="56" t="s">
        <v>3931</v>
      </c>
      <c r="F102" s="26" t="s">
        <v>3923</v>
      </c>
      <c r="G102" s="26" t="s">
        <v>16</v>
      </c>
      <c r="H102" s="26" t="s">
        <v>13</v>
      </c>
      <c r="I102" s="26" t="s">
        <v>3924</v>
      </c>
      <c r="J102" s="26" t="s">
        <v>4157</v>
      </c>
      <c r="K102" s="26" t="s">
        <v>4040</v>
      </c>
      <c r="L102" s="26" t="s">
        <v>3927</v>
      </c>
      <c r="M102" s="55" t="s">
        <v>4160</v>
      </c>
      <c r="N102" s="26" t="s">
        <v>3924</v>
      </c>
    </row>
    <row r="103" spans="1:14" ht="75" customHeight="1" thickTop="1" thickBot="1">
      <c r="A103" s="26">
        <v>101</v>
      </c>
      <c r="B103" s="34">
        <v>103</v>
      </c>
      <c r="C103" s="55" t="s">
        <v>4161</v>
      </c>
      <c r="D103" s="56" t="s">
        <v>394</v>
      </c>
      <c r="E103" s="56" t="s">
        <v>3931</v>
      </c>
      <c r="F103" s="26" t="s">
        <v>3923</v>
      </c>
      <c r="G103" s="26" t="s">
        <v>3932</v>
      </c>
      <c r="H103" s="26" t="s">
        <v>13</v>
      </c>
      <c r="I103" s="26" t="s">
        <v>3924</v>
      </c>
      <c r="J103" s="26" t="s">
        <v>4162</v>
      </c>
      <c r="K103" s="26" t="s">
        <v>3929</v>
      </c>
      <c r="L103" s="26" t="s">
        <v>3924</v>
      </c>
      <c r="M103" s="55" t="s">
        <v>4163</v>
      </c>
      <c r="N103" s="26" t="s">
        <v>3924</v>
      </c>
    </row>
    <row r="104" spans="1:14" ht="75" customHeight="1" thickTop="1" thickBot="1">
      <c r="A104" s="34">
        <v>102</v>
      </c>
      <c r="B104" s="26">
        <v>104</v>
      </c>
      <c r="C104" s="55" t="s">
        <v>4164</v>
      </c>
      <c r="D104" s="56" t="s">
        <v>394</v>
      </c>
      <c r="E104" s="56" t="s">
        <v>3931</v>
      </c>
      <c r="F104" s="26" t="s">
        <v>3923</v>
      </c>
      <c r="G104" s="26" t="s">
        <v>3932</v>
      </c>
      <c r="H104" s="26" t="s">
        <v>13</v>
      </c>
      <c r="I104" s="26" t="s">
        <v>3924</v>
      </c>
      <c r="J104" s="26" t="s">
        <v>4162</v>
      </c>
      <c r="K104" s="26" t="s">
        <v>3929</v>
      </c>
      <c r="L104" s="26" t="s">
        <v>3986</v>
      </c>
      <c r="M104" s="55" t="s">
        <v>4165</v>
      </c>
      <c r="N104" s="26" t="s">
        <v>3924</v>
      </c>
    </row>
    <row r="105" spans="1:14" ht="75" customHeight="1" thickTop="1" thickBot="1">
      <c r="A105" s="34">
        <v>103</v>
      </c>
      <c r="B105" s="34">
        <v>105</v>
      </c>
      <c r="C105" s="55" t="s">
        <v>4164</v>
      </c>
      <c r="D105" s="56" t="s">
        <v>394</v>
      </c>
      <c r="E105" s="56" t="s">
        <v>3931</v>
      </c>
      <c r="F105" s="26" t="s">
        <v>3923</v>
      </c>
      <c r="G105" s="26" t="s">
        <v>3932</v>
      </c>
      <c r="H105" s="26" t="s">
        <v>13</v>
      </c>
      <c r="I105" s="26" t="s">
        <v>3924</v>
      </c>
      <c r="J105" s="26" t="s">
        <v>4162</v>
      </c>
      <c r="K105" s="26" t="s">
        <v>4046</v>
      </c>
      <c r="L105" s="26" t="s">
        <v>3924</v>
      </c>
      <c r="M105" s="55" t="s">
        <v>4166</v>
      </c>
      <c r="N105" s="26" t="s">
        <v>3924</v>
      </c>
    </row>
    <row r="106" spans="1:14" ht="75" customHeight="1" thickTop="1" thickBot="1">
      <c r="A106" s="26">
        <v>104</v>
      </c>
      <c r="B106" s="26">
        <v>106</v>
      </c>
      <c r="C106" s="55" t="s">
        <v>4167</v>
      </c>
      <c r="D106" s="56" t="s">
        <v>394</v>
      </c>
      <c r="E106" s="56" t="s">
        <v>3931</v>
      </c>
      <c r="F106" s="26" t="s">
        <v>3923</v>
      </c>
      <c r="G106" s="26" t="s">
        <v>3932</v>
      </c>
      <c r="H106" s="26" t="s">
        <v>13</v>
      </c>
      <c r="I106" s="26" t="s">
        <v>3924</v>
      </c>
      <c r="J106" s="26" t="s">
        <v>4162</v>
      </c>
      <c r="K106" s="26" t="s">
        <v>4032</v>
      </c>
      <c r="L106" s="26" t="s">
        <v>4033</v>
      </c>
      <c r="M106" s="55" t="s">
        <v>4168</v>
      </c>
      <c r="N106" s="26" t="s">
        <v>3924</v>
      </c>
    </row>
    <row r="107" spans="1:14" ht="75" customHeight="1" thickTop="1" thickBot="1">
      <c r="A107" s="34">
        <v>105</v>
      </c>
      <c r="B107" s="34">
        <v>107</v>
      </c>
      <c r="C107" s="55" t="s">
        <v>4167</v>
      </c>
      <c r="D107" s="56" t="s">
        <v>394</v>
      </c>
      <c r="E107" s="56" t="s">
        <v>3931</v>
      </c>
      <c r="F107" s="26" t="s">
        <v>3923</v>
      </c>
      <c r="G107" s="26" t="s">
        <v>3932</v>
      </c>
      <c r="H107" s="26" t="s">
        <v>13</v>
      </c>
      <c r="I107" s="26" t="s">
        <v>3924</v>
      </c>
      <c r="J107" s="26" t="s">
        <v>4162</v>
      </c>
      <c r="K107" s="26" t="s">
        <v>3929</v>
      </c>
      <c r="L107" s="26" t="s">
        <v>3924</v>
      </c>
      <c r="M107" s="55" t="s">
        <v>4169</v>
      </c>
      <c r="N107" s="26" t="s">
        <v>3924</v>
      </c>
    </row>
    <row r="108" spans="1:14" ht="75" customHeight="1" thickTop="1" thickBot="1">
      <c r="A108" s="34">
        <v>106</v>
      </c>
      <c r="B108" s="26">
        <v>108</v>
      </c>
      <c r="C108" s="55" t="s">
        <v>4170</v>
      </c>
      <c r="D108" s="56" t="s">
        <v>394</v>
      </c>
      <c r="E108" s="56" t="s">
        <v>3931</v>
      </c>
      <c r="F108" s="26" t="s">
        <v>3923</v>
      </c>
      <c r="G108" s="26" t="s">
        <v>3932</v>
      </c>
      <c r="H108" s="26" t="s">
        <v>13</v>
      </c>
      <c r="I108" s="26" t="s">
        <v>3924</v>
      </c>
      <c r="J108" s="26" t="s">
        <v>4171</v>
      </c>
      <c r="K108" s="26" t="s">
        <v>3929</v>
      </c>
      <c r="L108" s="26" t="s">
        <v>3924</v>
      </c>
      <c r="M108" s="55" t="s">
        <v>4172</v>
      </c>
      <c r="N108" s="26" t="s">
        <v>3924</v>
      </c>
    </row>
    <row r="109" spans="1:14" ht="75" customHeight="1" thickTop="1" thickBot="1">
      <c r="A109" s="26">
        <v>107</v>
      </c>
      <c r="B109" s="34">
        <v>109</v>
      </c>
      <c r="C109" s="55" t="s">
        <v>4173</v>
      </c>
      <c r="D109" s="56" t="s">
        <v>394</v>
      </c>
      <c r="E109" s="56" t="s">
        <v>3931</v>
      </c>
      <c r="F109" s="26" t="s">
        <v>3923</v>
      </c>
      <c r="G109" s="26" t="s">
        <v>3932</v>
      </c>
      <c r="H109" s="26" t="s">
        <v>13</v>
      </c>
      <c r="I109" s="26" t="s">
        <v>3924</v>
      </c>
      <c r="J109" s="26" t="s">
        <v>4171</v>
      </c>
      <c r="K109" s="26" t="s">
        <v>4004</v>
      </c>
      <c r="L109" s="26" t="s">
        <v>3924</v>
      </c>
      <c r="M109" s="55" t="s">
        <v>4174</v>
      </c>
      <c r="N109" s="26" t="s">
        <v>3924</v>
      </c>
    </row>
    <row r="110" spans="1:14" ht="75" customHeight="1" thickTop="1" thickBot="1">
      <c r="A110" s="34">
        <v>108</v>
      </c>
      <c r="B110" s="26">
        <v>110</v>
      </c>
      <c r="C110" s="55" t="s">
        <v>4175</v>
      </c>
      <c r="D110" s="56" t="s">
        <v>394</v>
      </c>
      <c r="E110" s="56" t="s">
        <v>3922</v>
      </c>
      <c r="F110" s="26" t="s">
        <v>3923</v>
      </c>
      <c r="G110" s="26" t="s">
        <v>16</v>
      </c>
      <c r="H110" s="26" t="s">
        <v>13</v>
      </c>
      <c r="I110" s="26" t="s">
        <v>3924</v>
      </c>
      <c r="J110" s="26" t="s">
        <v>4176</v>
      </c>
      <c r="K110" s="26" t="s">
        <v>4010</v>
      </c>
      <c r="L110" s="26" t="s">
        <v>3927</v>
      </c>
      <c r="M110" s="55" t="s">
        <v>4177</v>
      </c>
      <c r="N110" s="26" t="s">
        <v>3924</v>
      </c>
    </row>
    <row r="111" spans="1:14" ht="75" customHeight="1" thickTop="1" thickBot="1">
      <c r="A111" s="34">
        <v>109</v>
      </c>
      <c r="B111" s="34">
        <v>111</v>
      </c>
      <c r="C111" s="55" t="s">
        <v>4178</v>
      </c>
      <c r="D111" s="56" t="s">
        <v>394</v>
      </c>
      <c r="E111" s="56" t="s">
        <v>3922</v>
      </c>
      <c r="F111" s="26" t="s">
        <v>3923</v>
      </c>
      <c r="G111" s="26" t="s">
        <v>16</v>
      </c>
      <c r="H111" s="26" t="s">
        <v>13</v>
      </c>
      <c r="I111" s="26" t="s">
        <v>3924</v>
      </c>
      <c r="J111" s="26" t="s">
        <v>4176</v>
      </c>
      <c r="K111" s="26" t="s">
        <v>4040</v>
      </c>
      <c r="L111" s="26" t="s">
        <v>3927</v>
      </c>
      <c r="M111" s="55" t="s">
        <v>1157</v>
      </c>
      <c r="N111" s="26" t="s">
        <v>3924</v>
      </c>
    </row>
    <row r="112" spans="1:14" ht="75" customHeight="1" thickTop="1" thickBot="1">
      <c r="A112" s="26">
        <v>110</v>
      </c>
      <c r="B112" s="26">
        <v>112</v>
      </c>
      <c r="C112" s="55" t="s">
        <v>4179</v>
      </c>
      <c r="D112" s="56" t="s">
        <v>394</v>
      </c>
      <c r="E112" s="56" t="s">
        <v>3922</v>
      </c>
      <c r="F112" s="26" t="s">
        <v>3923</v>
      </c>
      <c r="G112" s="26" t="s">
        <v>16</v>
      </c>
      <c r="H112" s="26" t="s">
        <v>13</v>
      </c>
      <c r="I112" s="26" t="s">
        <v>3924</v>
      </c>
      <c r="J112" s="26" t="s">
        <v>4176</v>
      </c>
      <c r="K112" s="26" t="s">
        <v>4040</v>
      </c>
      <c r="L112" s="26" t="s">
        <v>3927</v>
      </c>
      <c r="M112" s="55" t="s">
        <v>4180</v>
      </c>
      <c r="N112" s="26" t="s">
        <v>3924</v>
      </c>
    </row>
    <row r="113" spans="1:14" ht="75" customHeight="1" thickTop="1" thickBot="1">
      <c r="A113" s="34">
        <v>111</v>
      </c>
      <c r="B113" s="34">
        <v>113</v>
      </c>
      <c r="C113" s="55" t="s">
        <v>4181</v>
      </c>
      <c r="D113" s="56" t="s">
        <v>394</v>
      </c>
      <c r="E113" s="56" t="s">
        <v>3922</v>
      </c>
      <c r="F113" s="26" t="s">
        <v>3923</v>
      </c>
      <c r="G113" s="26" t="s">
        <v>16</v>
      </c>
      <c r="H113" s="26" t="s">
        <v>13</v>
      </c>
      <c r="I113" s="26" t="s">
        <v>3924</v>
      </c>
      <c r="J113" s="26" t="s">
        <v>4176</v>
      </c>
      <c r="K113" s="26" t="s">
        <v>3966</v>
      </c>
      <c r="L113" s="26" t="s">
        <v>3927</v>
      </c>
      <c r="M113" s="55" t="s">
        <v>4182</v>
      </c>
      <c r="N113" s="26" t="s">
        <v>3924</v>
      </c>
    </row>
    <row r="114" spans="1:14" ht="75" customHeight="1" thickTop="1" thickBot="1">
      <c r="A114" s="34">
        <v>112</v>
      </c>
      <c r="B114" s="26">
        <v>114</v>
      </c>
      <c r="C114" s="55" t="s">
        <v>4181</v>
      </c>
      <c r="D114" s="56" t="s">
        <v>394</v>
      </c>
      <c r="E114" s="56" t="s">
        <v>3922</v>
      </c>
      <c r="F114" s="26" t="s">
        <v>3923</v>
      </c>
      <c r="G114" s="26" t="s">
        <v>16</v>
      </c>
      <c r="H114" s="26" t="s">
        <v>13</v>
      </c>
      <c r="I114" s="26" t="s">
        <v>3924</v>
      </c>
      <c r="J114" s="26" t="s">
        <v>4183</v>
      </c>
      <c r="K114" s="26" t="s">
        <v>3966</v>
      </c>
      <c r="L114" s="26" t="s">
        <v>3927</v>
      </c>
      <c r="M114" s="55" t="s">
        <v>4184</v>
      </c>
      <c r="N114" s="26" t="s">
        <v>3924</v>
      </c>
    </row>
    <row r="115" spans="1:14" ht="75" customHeight="1" thickTop="1" thickBot="1">
      <c r="A115" s="26">
        <v>113</v>
      </c>
      <c r="B115" s="34">
        <v>116</v>
      </c>
      <c r="C115" s="55" t="s">
        <v>4185</v>
      </c>
      <c r="D115" s="56" t="s">
        <v>394</v>
      </c>
      <c r="E115" s="56" t="s">
        <v>3922</v>
      </c>
      <c r="F115" s="26" t="s">
        <v>3923</v>
      </c>
      <c r="G115" s="26" t="s">
        <v>14</v>
      </c>
      <c r="H115" s="26" t="s">
        <v>13</v>
      </c>
      <c r="I115" s="26" t="s">
        <v>3924</v>
      </c>
      <c r="J115" s="26" t="s">
        <v>4186</v>
      </c>
      <c r="K115" s="26" t="s">
        <v>3947</v>
      </c>
      <c r="L115" s="26" t="s">
        <v>4082</v>
      </c>
      <c r="M115" s="55" t="s">
        <v>4187</v>
      </c>
      <c r="N115" s="26" t="s">
        <v>3924</v>
      </c>
    </row>
    <row r="116" spans="1:14" ht="75" customHeight="1" thickTop="1" thickBot="1">
      <c r="A116" s="34">
        <v>114</v>
      </c>
      <c r="B116" s="26">
        <v>117</v>
      </c>
      <c r="C116" s="55" t="s">
        <v>4188</v>
      </c>
      <c r="D116" s="56" t="s">
        <v>394</v>
      </c>
      <c r="E116" s="56" t="s">
        <v>3922</v>
      </c>
      <c r="F116" s="26" t="s">
        <v>3923</v>
      </c>
      <c r="G116" s="26" t="s">
        <v>14</v>
      </c>
      <c r="H116" s="26" t="s">
        <v>13</v>
      </c>
      <c r="I116" s="26" t="s">
        <v>3924</v>
      </c>
      <c r="J116" s="26" t="s">
        <v>4189</v>
      </c>
      <c r="K116" s="26" t="s">
        <v>4190</v>
      </c>
      <c r="L116" s="26" t="s">
        <v>3927</v>
      </c>
      <c r="M116" s="55" t="s">
        <v>4191</v>
      </c>
      <c r="N116" s="26" t="s">
        <v>3924</v>
      </c>
    </row>
    <row r="117" spans="1:14" ht="75" customHeight="1" thickTop="1" thickBot="1">
      <c r="A117" s="34">
        <v>115</v>
      </c>
      <c r="B117" s="34">
        <v>118</v>
      </c>
      <c r="C117" s="55" t="s">
        <v>4188</v>
      </c>
      <c r="D117" s="56" t="s">
        <v>394</v>
      </c>
      <c r="E117" s="56" t="s">
        <v>3922</v>
      </c>
      <c r="F117" s="26" t="s">
        <v>3923</v>
      </c>
      <c r="G117" s="26" t="s">
        <v>14</v>
      </c>
      <c r="H117" s="26" t="s">
        <v>13</v>
      </c>
      <c r="I117" s="26" t="s">
        <v>3924</v>
      </c>
      <c r="J117" s="26" t="s">
        <v>4192</v>
      </c>
      <c r="K117" s="26" t="s">
        <v>3926</v>
      </c>
      <c r="L117" s="26" t="s">
        <v>3927</v>
      </c>
      <c r="M117" s="55" t="s">
        <v>4193</v>
      </c>
      <c r="N117" s="26" t="s">
        <v>3924</v>
      </c>
    </row>
    <row r="118" spans="1:14" ht="75" customHeight="1" thickTop="1" thickBot="1">
      <c r="A118" s="26">
        <v>116</v>
      </c>
      <c r="B118" s="26">
        <v>119</v>
      </c>
      <c r="C118" s="55" t="s">
        <v>4194</v>
      </c>
      <c r="D118" s="56" t="s">
        <v>394</v>
      </c>
      <c r="E118" s="56" t="s">
        <v>3922</v>
      </c>
      <c r="F118" s="26" t="s">
        <v>3923</v>
      </c>
      <c r="G118" s="26" t="s">
        <v>16</v>
      </c>
      <c r="H118" s="26" t="s">
        <v>13</v>
      </c>
      <c r="I118" s="26" t="s">
        <v>3924</v>
      </c>
      <c r="J118" s="26" t="s">
        <v>4192</v>
      </c>
      <c r="K118" s="26" t="s">
        <v>3966</v>
      </c>
      <c r="L118" s="26" t="s">
        <v>4082</v>
      </c>
      <c r="M118" s="55" t="s">
        <v>4195</v>
      </c>
      <c r="N118" s="26" t="s">
        <v>3924</v>
      </c>
    </row>
    <row r="119" spans="1:14" ht="75" customHeight="1" thickTop="1" thickBot="1">
      <c r="A119" s="34">
        <v>117</v>
      </c>
      <c r="B119" s="34">
        <v>120</v>
      </c>
      <c r="C119" s="55" t="s">
        <v>4194</v>
      </c>
      <c r="D119" s="56" t="s">
        <v>394</v>
      </c>
      <c r="E119" s="56" t="s">
        <v>3922</v>
      </c>
      <c r="F119" s="26" t="s">
        <v>3923</v>
      </c>
      <c r="G119" s="26" t="s">
        <v>16</v>
      </c>
      <c r="H119" s="26" t="s">
        <v>13</v>
      </c>
      <c r="I119" s="26" t="s">
        <v>3924</v>
      </c>
      <c r="J119" s="26" t="s">
        <v>4196</v>
      </c>
      <c r="K119" s="26" t="s">
        <v>3966</v>
      </c>
      <c r="L119" s="26" t="s">
        <v>3927</v>
      </c>
      <c r="M119" s="55" t="s">
        <v>4197</v>
      </c>
      <c r="N119" s="26" t="s">
        <v>3924</v>
      </c>
    </row>
    <row r="120" spans="1:14" ht="75" customHeight="1" thickTop="1" thickBot="1">
      <c r="A120" s="34">
        <v>118</v>
      </c>
      <c r="B120" s="26">
        <v>121</v>
      </c>
      <c r="C120" s="55" t="s">
        <v>4198</v>
      </c>
      <c r="D120" s="56" t="s">
        <v>394</v>
      </c>
      <c r="E120" s="56" t="s">
        <v>3922</v>
      </c>
      <c r="F120" s="26" t="s">
        <v>3923</v>
      </c>
      <c r="G120" s="26" t="s">
        <v>16</v>
      </c>
      <c r="H120" s="26" t="s">
        <v>13</v>
      </c>
      <c r="I120" s="26" t="s">
        <v>3924</v>
      </c>
      <c r="J120" s="26" t="s">
        <v>4199</v>
      </c>
      <c r="K120" s="26" t="s">
        <v>3976</v>
      </c>
      <c r="L120" s="26" t="s">
        <v>3927</v>
      </c>
      <c r="M120" s="55" t="s">
        <v>4200</v>
      </c>
      <c r="N120" s="26" t="s">
        <v>3924</v>
      </c>
    </row>
    <row r="121" spans="1:14" ht="75" customHeight="1" thickTop="1" thickBot="1">
      <c r="A121" s="26">
        <v>119</v>
      </c>
      <c r="B121" s="34">
        <v>122</v>
      </c>
      <c r="C121" s="55" t="s">
        <v>4201</v>
      </c>
      <c r="D121" s="56" t="s">
        <v>394</v>
      </c>
      <c r="E121" s="56" t="s">
        <v>3922</v>
      </c>
      <c r="F121" s="26" t="s">
        <v>3923</v>
      </c>
      <c r="G121" s="26" t="s">
        <v>16</v>
      </c>
      <c r="H121" s="26" t="s">
        <v>13</v>
      </c>
      <c r="I121" s="26" t="s">
        <v>3924</v>
      </c>
      <c r="J121" s="26" t="s">
        <v>4202</v>
      </c>
      <c r="K121" s="26" t="s">
        <v>3941</v>
      </c>
      <c r="L121" s="26" t="s">
        <v>4203</v>
      </c>
      <c r="M121" s="55" t="s">
        <v>4204</v>
      </c>
      <c r="N121" s="26" t="s">
        <v>3924</v>
      </c>
    </row>
    <row r="122" spans="1:14" ht="75" customHeight="1" thickTop="1" thickBot="1">
      <c r="A122" s="34">
        <v>120</v>
      </c>
      <c r="B122" s="26">
        <v>123</v>
      </c>
      <c r="C122" s="55" t="s">
        <v>4201</v>
      </c>
      <c r="D122" s="56" t="s">
        <v>394</v>
      </c>
      <c r="E122" s="56" t="s">
        <v>3922</v>
      </c>
      <c r="F122" s="26" t="s">
        <v>3923</v>
      </c>
      <c r="G122" s="26" t="s">
        <v>16</v>
      </c>
      <c r="H122" s="26" t="s">
        <v>13</v>
      </c>
      <c r="I122" s="26" t="s">
        <v>3924</v>
      </c>
      <c r="J122" s="26" t="s">
        <v>4205</v>
      </c>
      <c r="K122" s="26" t="s">
        <v>3929</v>
      </c>
      <c r="L122" s="26" t="s">
        <v>3963</v>
      </c>
      <c r="M122" s="55" t="s">
        <v>4206</v>
      </c>
      <c r="N122" s="26" t="s">
        <v>3924</v>
      </c>
    </row>
    <row r="123" spans="1:14" ht="75" customHeight="1" thickTop="1" thickBot="1">
      <c r="A123" s="34">
        <v>121</v>
      </c>
      <c r="B123" s="34">
        <v>124</v>
      </c>
      <c r="C123" s="55" t="s">
        <v>4207</v>
      </c>
      <c r="D123" s="56" t="s">
        <v>394</v>
      </c>
      <c r="E123" s="56" t="s">
        <v>3922</v>
      </c>
      <c r="F123" s="26" t="s">
        <v>3923</v>
      </c>
      <c r="G123" s="26" t="s">
        <v>16</v>
      </c>
      <c r="H123" s="26" t="s">
        <v>13</v>
      </c>
      <c r="I123" s="26" t="s">
        <v>3924</v>
      </c>
      <c r="J123" s="26" t="s">
        <v>4205</v>
      </c>
      <c r="K123" s="26" t="s">
        <v>3941</v>
      </c>
      <c r="L123" s="26" t="s">
        <v>3927</v>
      </c>
      <c r="M123" s="55" t="s">
        <v>4208</v>
      </c>
      <c r="N123" s="26" t="s">
        <v>3924</v>
      </c>
    </row>
    <row r="124" spans="1:14" ht="75" customHeight="1" thickTop="1" thickBot="1">
      <c r="A124" s="26">
        <v>122</v>
      </c>
      <c r="B124" s="26">
        <v>125</v>
      </c>
      <c r="C124" s="55" t="s">
        <v>4209</v>
      </c>
      <c r="D124" s="56" t="s">
        <v>394</v>
      </c>
      <c r="E124" s="56" t="s">
        <v>3922</v>
      </c>
      <c r="F124" s="26" t="s">
        <v>3923</v>
      </c>
      <c r="G124" s="26" t="s">
        <v>16</v>
      </c>
      <c r="H124" s="26" t="s">
        <v>13</v>
      </c>
      <c r="I124" s="26" t="s">
        <v>3924</v>
      </c>
      <c r="J124" s="26" t="s">
        <v>4205</v>
      </c>
      <c r="K124" s="26" t="s">
        <v>3941</v>
      </c>
      <c r="L124" s="26" t="s">
        <v>3927</v>
      </c>
      <c r="M124" s="55" t="s">
        <v>4208</v>
      </c>
      <c r="N124" s="26" t="s">
        <v>3924</v>
      </c>
    </row>
    <row r="125" spans="1:14" ht="75" customHeight="1" thickTop="1" thickBot="1">
      <c r="A125" s="34">
        <v>123</v>
      </c>
      <c r="B125" s="34">
        <v>126</v>
      </c>
      <c r="C125" s="55" t="s">
        <v>4209</v>
      </c>
      <c r="D125" s="56" t="s">
        <v>394</v>
      </c>
      <c r="E125" s="56" t="s">
        <v>3922</v>
      </c>
      <c r="F125" s="26" t="s">
        <v>3923</v>
      </c>
      <c r="G125" s="26" t="s">
        <v>16</v>
      </c>
      <c r="H125" s="26" t="s">
        <v>13</v>
      </c>
      <c r="I125" s="26" t="s">
        <v>3924</v>
      </c>
      <c r="J125" s="26" t="s">
        <v>4210</v>
      </c>
      <c r="K125" s="26" t="s">
        <v>3941</v>
      </c>
      <c r="L125" s="26" t="s">
        <v>4203</v>
      </c>
      <c r="M125" s="55" t="s">
        <v>4211</v>
      </c>
      <c r="N125" s="26" t="s">
        <v>3924</v>
      </c>
    </row>
    <row r="126" spans="1:14" ht="75" customHeight="1" thickTop="1" thickBot="1">
      <c r="A126" s="34">
        <v>124</v>
      </c>
      <c r="B126" s="26">
        <v>127</v>
      </c>
      <c r="C126" s="55" t="s">
        <v>4212</v>
      </c>
      <c r="D126" s="56" t="s">
        <v>394</v>
      </c>
      <c r="E126" s="56" t="s">
        <v>3922</v>
      </c>
      <c r="F126" s="26" t="s">
        <v>3923</v>
      </c>
      <c r="G126" s="26" t="s">
        <v>16</v>
      </c>
      <c r="H126" s="26" t="s">
        <v>13</v>
      </c>
      <c r="I126" s="26" t="s">
        <v>3924</v>
      </c>
      <c r="J126" s="26" t="s">
        <v>4210</v>
      </c>
      <c r="K126" s="26" t="s">
        <v>3941</v>
      </c>
      <c r="L126" s="26" t="s">
        <v>3986</v>
      </c>
      <c r="M126" s="55" t="s">
        <v>4144</v>
      </c>
      <c r="N126" s="26" t="s">
        <v>3924</v>
      </c>
    </row>
    <row r="127" spans="1:14" ht="75" customHeight="1" thickTop="1" thickBot="1">
      <c r="A127" s="26">
        <v>125</v>
      </c>
      <c r="B127" s="34">
        <v>128</v>
      </c>
      <c r="C127" s="55" t="s">
        <v>4212</v>
      </c>
      <c r="D127" s="56" t="s">
        <v>394</v>
      </c>
      <c r="E127" s="56" t="s">
        <v>3922</v>
      </c>
      <c r="F127" s="26" t="s">
        <v>3923</v>
      </c>
      <c r="G127" s="26" t="s">
        <v>16</v>
      </c>
      <c r="H127" s="26" t="s">
        <v>13</v>
      </c>
      <c r="I127" s="26" t="s">
        <v>3924</v>
      </c>
      <c r="J127" s="26" t="s">
        <v>4210</v>
      </c>
      <c r="K127" s="26" t="s">
        <v>3941</v>
      </c>
      <c r="L127" s="26" t="s">
        <v>4203</v>
      </c>
      <c r="M127" s="55" t="s">
        <v>4213</v>
      </c>
      <c r="N127" s="26" t="s">
        <v>3924</v>
      </c>
    </row>
    <row r="128" spans="1:14" ht="75" customHeight="1" thickTop="1" thickBot="1">
      <c r="A128" s="34">
        <v>126</v>
      </c>
      <c r="B128" s="26">
        <v>129</v>
      </c>
      <c r="C128" s="55" t="s">
        <v>4214</v>
      </c>
      <c r="D128" s="56" t="s">
        <v>394</v>
      </c>
      <c r="E128" s="56" t="s">
        <v>3922</v>
      </c>
      <c r="F128" s="26" t="s">
        <v>3923</v>
      </c>
      <c r="G128" s="26" t="s">
        <v>16</v>
      </c>
      <c r="H128" s="26" t="s">
        <v>13</v>
      </c>
      <c r="I128" s="26" t="s">
        <v>3924</v>
      </c>
      <c r="J128" s="26" t="s">
        <v>4210</v>
      </c>
      <c r="K128" s="26" t="s">
        <v>3941</v>
      </c>
      <c r="L128" s="26" t="s">
        <v>3927</v>
      </c>
      <c r="M128" s="55" t="s">
        <v>1157</v>
      </c>
      <c r="N128" s="26" t="s">
        <v>3924</v>
      </c>
    </row>
    <row r="129" spans="1:14" ht="75" customHeight="1" thickTop="1" thickBot="1">
      <c r="A129" s="34">
        <v>127</v>
      </c>
      <c r="B129" s="34">
        <v>130</v>
      </c>
      <c r="C129" s="55" t="s">
        <v>4214</v>
      </c>
      <c r="D129" s="56" t="s">
        <v>394</v>
      </c>
      <c r="E129" s="56" t="s">
        <v>3922</v>
      </c>
      <c r="F129" s="26" t="s">
        <v>3923</v>
      </c>
      <c r="G129" s="26" t="s">
        <v>16</v>
      </c>
      <c r="H129" s="26" t="s">
        <v>13</v>
      </c>
      <c r="I129" s="26" t="s">
        <v>3924</v>
      </c>
      <c r="J129" s="26" t="s">
        <v>4210</v>
      </c>
      <c r="K129" s="26" t="s">
        <v>3941</v>
      </c>
      <c r="L129" s="26" t="s">
        <v>3963</v>
      </c>
      <c r="M129" s="55" t="s">
        <v>4138</v>
      </c>
      <c r="N129" s="26" t="s">
        <v>3924</v>
      </c>
    </row>
    <row r="130" spans="1:14" ht="75" customHeight="1" thickTop="1" thickBot="1">
      <c r="A130" s="26">
        <v>128</v>
      </c>
      <c r="B130" s="26">
        <v>131</v>
      </c>
      <c r="C130" s="55" t="s">
        <v>4202</v>
      </c>
      <c r="D130" s="56" t="s">
        <v>394</v>
      </c>
      <c r="E130" s="56" t="s">
        <v>3922</v>
      </c>
      <c r="F130" s="26" t="s">
        <v>3923</v>
      </c>
      <c r="G130" s="26" t="s">
        <v>14</v>
      </c>
      <c r="H130" s="26" t="s">
        <v>13</v>
      </c>
      <c r="I130" s="26" t="s">
        <v>3924</v>
      </c>
      <c r="J130" s="26" t="s">
        <v>4215</v>
      </c>
      <c r="K130" s="26" t="s">
        <v>3976</v>
      </c>
      <c r="L130" s="26" t="s">
        <v>4082</v>
      </c>
      <c r="M130" s="55" t="s">
        <v>4216</v>
      </c>
      <c r="N130" s="26" t="s">
        <v>3924</v>
      </c>
    </row>
    <row r="131" spans="1:14" ht="75" customHeight="1" thickTop="1" thickBot="1">
      <c r="A131" s="34">
        <v>129</v>
      </c>
      <c r="B131" s="34">
        <v>132</v>
      </c>
      <c r="C131" s="55" t="s">
        <v>4217</v>
      </c>
      <c r="D131" s="56" t="s">
        <v>394</v>
      </c>
      <c r="E131" s="56" t="s">
        <v>3922</v>
      </c>
      <c r="F131" s="26" t="s">
        <v>3923</v>
      </c>
      <c r="G131" s="26" t="s">
        <v>74</v>
      </c>
      <c r="H131" s="26" t="s">
        <v>13</v>
      </c>
      <c r="I131" s="26" t="s">
        <v>3924</v>
      </c>
      <c r="J131" s="26" t="s">
        <v>4218</v>
      </c>
      <c r="K131" s="26" t="s">
        <v>3947</v>
      </c>
      <c r="L131" s="26" t="s">
        <v>4033</v>
      </c>
      <c r="M131" s="55" t="s">
        <v>4219</v>
      </c>
      <c r="N131" s="26" t="s">
        <v>3924</v>
      </c>
    </row>
    <row r="132" spans="1:14" ht="75" customHeight="1" thickTop="1" thickBot="1">
      <c r="A132" s="34">
        <v>130</v>
      </c>
      <c r="B132" s="26">
        <v>133</v>
      </c>
      <c r="C132" s="55" t="s">
        <v>4220</v>
      </c>
      <c r="D132" s="56" t="s">
        <v>394</v>
      </c>
      <c r="E132" s="56" t="s">
        <v>3922</v>
      </c>
      <c r="F132" s="26" t="s">
        <v>3923</v>
      </c>
      <c r="G132" s="26" t="s">
        <v>74</v>
      </c>
      <c r="H132" s="26" t="s">
        <v>13</v>
      </c>
      <c r="I132" s="26" t="s">
        <v>3924</v>
      </c>
      <c r="J132" s="26" t="s">
        <v>4218</v>
      </c>
      <c r="K132" s="26" t="s">
        <v>4221</v>
      </c>
      <c r="L132" s="26" t="s">
        <v>4033</v>
      </c>
      <c r="M132" s="55" t="s">
        <v>4222</v>
      </c>
      <c r="N132" s="26" t="s">
        <v>3924</v>
      </c>
    </row>
    <row r="133" spans="1:14" ht="75" customHeight="1" thickTop="1" thickBot="1">
      <c r="A133" s="26">
        <v>131</v>
      </c>
      <c r="B133" s="34">
        <v>134</v>
      </c>
      <c r="C133" s="55" t="s">
        <v>4223</v>
      </c>
      <c r="D133" s="56" t="s">
        <v>394</v>
      </c>
      <c r="E133" s="56" t="s">
        <v>3922</v>
      </c>
      <c r="F133" s="26" t="s">
        <v>3923</v>
      </c>
      <c r="G133" s="26" t="s">
        <v>74</v>
      </c>
      <c r="H133" s="26" t="s">
        <v>13</v>
      </c>
      <c r="I133" s="26" t="s">
        <v>3924</v>
      </c>
      <c r="J133" s="26" t="s">
        <v>4224</v>
      </c>
      <c r="K133" s="26" t="s">
        <v>4225</v>
      </c>
      <c r="L133" s="26" t="s">
        <v>4033</v>
      </c>
      <c r="M133" s="55" t="s">
        <v>4226</v>
      </c>
      <c r="N133" s="26" t="s">
        <v>3924</v>
      </c>
    </row>
    <row r="134" spans="1:14" ht="75" customHeight="1" thickTop="1" thickBot="1">
      <c r="A134" s="34">
        <v>132</v>
      </c>
      <c r="B134" s="26">
        <v>135</v>
      </c>
      <c r="C134" s="55" t="s">
        <v>4227</v>
      </c>
      <c r="D134" s="56" t="s">
        <v>394</v>
      </c>
      <c r="E134" s="56" t="s">
        <v>3922</v>
      </c>
      <c r="F134" s="26" t="s">
        <v>3923</v>
      </c>
      <c r="G134" s="26" t="s">
        <v>74</v>
      </c>
      <c r="H134" s="26" t="s">
        <v>13</v>
      </c>
      <c r="I134" s="26" t="s">
        <v>3924</v>
      </c>
      <c r="J134" s="26" t="s">
        <v>4224</v>
      </c>
      <c r="K134" s="26" t="s">
        <v>4033</v>
      </c>
      <c r="L134" s="26" t="s">
        <v>4033</v>
      </c>
      <c r="M134" s="55" t="s">
        <v>4228</v>
      </c>
      <c r="N134" s="26" t="s">
        <v>3924</v>
      </c>
    </row>
    <row r="135" spans="1:14" ht="75" customHeight="1" thickTop="1" thickBot="1">
      <c r="A135" s="34">
        <v>133</v>
      </c>
      <c r="B135" s="34">
        <v>136</v>
      </c>
      <c r="C135" s="55" t="s">
        <v>4218</v>
      </c>
      <c r="D135" s="56" t="s">
        <v>394</v>
      </c>
      <c r="E135" s="56" t="s">
        <v>3922</v>
      </c>
      <c r="F135" s="26" t="s">
        <v>3923</v>
      </c>
      <c r="G135" s="26" t="s">
        <v>74</v>
      </c>
      <c r="H135" s="26" t="s">
        <v>13</v>
      </c>
      <c r="I135" s="26" t="s">
        <v>3924</v>
      </c>
      <c r="J135" s="26" t="s">
        <v>4224</v>
      </c>
      <c r="K135" s="26" t="s">
        <v>4033</v>
      </c>
      <c r="L135" s="26" t="s">
        <v>4033</v>
      </c>
      <c r="M135" s="55" t="s">
        <v>4229</v>
      </c>
      <c r="N135" s="26" t="s">
        <v>3924</v>
      </c>
    </row>
    <row r="136" spans="1:14" ht="75" customHeight="1" thickTop="1" thickBot="1">
      <c r="A136" s="26">
        <v>134</v>
      </c>
      <c r="B136" s="26">
        <v>137</v>
      </c>
      <c r="C136" s="55" t="s">
        <v>4230</v>
      </c>
      <c r="D136" s="56" t="s">
        <v>394</v>
      </c>
      <c r="E136" s="56" t="s">
        <v>3922</v>
      </c>
      <c r="F136" s="26" t="s">
        <v>3923</v>
      </c>
      <c r="G136" s="26" t="s">
        <v>14</v>
      </c>
      <c r="H136" s="26" t="s">
        <v>13</v>
      </c>
      <c r="I136" s="26" t="s">
        <v>3924</v>
      </c>
      <c r="J136" s="26" t="s">
        <v>4230</v>
      </c>
      <c r="K136" s="26" t="s">
        <v>4010</v>
      </c>
      <c r="L136" s="26" t="s">
        <v>4203</v>
      </c>
      <c r="M136" s="55" t="s">
        <v>652</v>
      </c>
      <c r="N136" s="26" t="s">
        <v>3924</v>
      </c>
    </row>
    <row r="137" spans="1:14" ht="75" customHeight="1" thickTop="1" thickBot="1">
      <c r="A137" s="34">
        <v>135</v>
      </c>
      <c r="B137" s="34">
        <v>138</v>
      </c>
      <c r="C137" s="55" t="s">
        <v>4231</v>
      </c>
      <c r="D137" s="56" t="s">
        <v>394</v>
      </c>
      <c r="E137" s="56" t="s">
        <v>3922</v>
      </c>
      <c r="F137" s="26" t="s">
        <v>3923</v>
      </c>
      <c r="G137" s="26" t="s">
        <v>16</v>
      </c>
      <c r="H137" s="26" t="s">
        <v>13</v>
      </c>
      <c r="I137" s="26" t="s">
        <v>3924</v>
      </c>
      <c r="J137" s="26" t="s">
        <v>4232</v>
      </c>
      <c r="K137" s="26" t="s">
        <v>4010</v>
      </c>
      <c r="L137" s="26" t="s">
        <v>3927</v>
      </c>
      <c r="M137" s="55" t="s">
        <v>4233</v>
      </c>
      <c r="N137" s="26" t="s">
        <v>3924</v>
      </c>
    </row>
    <row r="138" spans="1:14" ht="75" customHeight="1" thickTop="1" thickBot="1">
      <c r="A138" s="34">
        <v>136</v>
      </c>
      <c r="B138" s="26">
        <v>139</v>
      </c>
      <c r="C138" s="55" t="s">
        <v>4231</v>
      </c>
      <c r="D138" s="56" t="s">
        <v>394</v>
      </c>
      <c r="E138" s="56" t="s">
        <v>3922</v>
      </c>
      <c r="F138" s="26" t="s">
        <v>3923</v>
      </c>
      <c r="G138" s="26" t="s">
        <v>16</v>
      </c>
      <c r="H138" s="26" t="s">
        <v>13</v>
      </c>
      <c r="I138" s="26" t="s">
        <v>3924</v>
      </c>
      <c r="J138" s="26" t="s">
        <v>4232</v>
      </c>
      <c r="K138" s="26" t="s">
        <v>4010</v>
      </c>
      <c r="L138" s="26" t="s">
        <v>3963</v>
      </c>
      <c r="M138" s="55" t="s">
        <v>4234</v>
      </c>
      <c r="N138" s="26" t="s">
        <v>3924</v>
      </c>
    </row>
    <row r="139" spans="1:14" ht="75" customHeight="1" thickTop="1" thickBot="1">
      <c r="A139" s="26">
        <v>137</v>
      </c>
      <c r="B139" s="34">
        <v>140</v>
      </c>
      <c r="C139" s="55" t="s">
        <v>4235</v>
      </c>
      <c r="D139" s="56" t="s">
        <v>394</v>
      </c>
      <c r="E139" s="56" t="s">
        <v>3922</v>
      </c>
      <c r="F139" s="26" t="s">
        <v>3923</v>
      </c>
      <c r="G139" s="26" t="s">
        <v>16</v>
      </c>
      <c r="H139" s="26" t="s">
        <v>13</v>
      </c>
      <c r="I139" s="26" t="s">
        <v>3924</v>
      </c>
      <c r="J139" s="26" t="s">
        <v>4232</v>
      </c>
      <c r="K139" s="26" t="s">
        <v>4040</v>
      </c>
      <c r="L139" s="26" t="s">
        <v>3963</v>
      </c>
      <c r="M139" s="55" t="s">
        <v>4213</v>
      </c>
      <c r="N139" s="26" t="s">
        <v>3924</v>
      </c>
    </row>
    <row r="140" spans="1:14" ht="75" customHeight="1" thickTop="1" thickBot="1">
      <c r="A140" s="34">
        <v>138</v>
      </c>
      <c r="B140" s="26">
        <v>141</v>
      </c>
      <c r="C140" s="55" t="s">
        <v>4235</v>
      </c>
      <c r="D140" s="56" t="s">
        <v>394</v>
      </c>
      <c r="E140" s="56" t="s">
        <v>3922</v>
      </c>
      <c r="F140" s="26" t="s">
        <v>3923</v>
      </c>
      <c r="G140" s="26" t="s">
        <v>16</v>
      </c>
      <c r="H140" s="26" t="s">
        <v>13</v>
      </c>
      <c r="I140" s="26" t="s">
        <v>3924</v>
      </c>
      <c r="J140" s="26" t="s">
        <v>4232</v>
      </c>
      <c r="K140" s="26" t="s">
        <v>4040</v>
      </c>
      <c r="L140" s="26" t="s">
        <v>3963</v>
      </c>
      <c r="M140" s="55" t="s">
        <v>4236</v>
      </c>
      <c r="N140" s="26" t="s">
        <v>3924</v>
      </c>
    </row>
    <row r="141" spans="1:14" ht="75" customHeight="1" thickTop="1" thickBot="1">
      <c r="A141" s="34">
        <v>139</v>
      </c>
      <c r="B141" s="34">
        <v>142</v>
      </c>
      <c r="C141" s="55" t="s">
        <v>4237</v>
      </c>
      <c r="D141" s="56" t="s">
        <v>394</v>
      </c>
      <c r="E141" s="56" t="s">
        <v>3922</v>
      </c>
      <c r="F141" s="26" t="s">
        <v>3923</v>
      </c>
      <c r="G141" s="26" t="s">
        <v>16</v>
      </c>
      <c r="H141" s="26" t="s">
        <v>13</v>
      </c>
      <c r="I141" s="26" t="s">
        <v>3924</v>
      </c>
      <c r="J141" s="26" t="s">
        <v>4238</v>
      </c>
      <c r="K141" s="26" t="s">
        <v>4040</v>
      </c>
      <c r="L141" s="26" t="s">
        <v>4239</v>
      </c>
      <c r="M141" s="55" t="s">
        <v>4240</v>
      </c>
      <c r="N141" s="26" t="s">
        <v>3924</v>
      </c>
    </row>
    <row r="142" spans="1:14" ht="75" customHeight="1" thickTop="1" thickBot="1">
      <c r="A142" s="26">
        <v>140</v>
      </c>
      <c r="B142" s="26">
        <v>143</v>
      </c>
      <c r="C142" s="55" t="s">
        <v>4237</v>
      </c>
      <c r="D142" s="56" t="s">
        <v>394</v>
      </c>
      <c r="E142" s="56" t="s">
        <v>3922</v>
      </c>
      <c r="F142" s="26" t="s">
        <v>3923</v>
      </c>
      <c r="G142" s="26" t="s">
        <v>16</v>
      </c>
      <c r="H142" s="26" t="s">
        <v>13</v>
      </c>
      <c r="I142" s="26" t="s">
        <v>3924</v>
      </c>
      <c r="J142" s="26" t="s">
        <v>4238</v>
      </c>
      <c r="K142" s="26" t="s">
        <v>4040</v>
      </c>
      <c r="L142" s="26" t="s">
        <v>3927</v>
      </c>
      <c r="M142" s="55" t="s">
        <v>4138</v>
      </c>
      <c r="N142" s="26" t="s">
        <v>3924</v>
      </c>
    </row>
    <row r="143" spans="1:14" ht="75" customHeight="1" thickTop="1" thickBot="1">
      <c r="A143" s="34">
        <v>141</v>
      </c>
      <c r="B143" s="34">
        <v>144</v>
      </c>
      <c r="C143" s="55" t="s">
        <v>4241</v>
      </c>
      <c r="D143" s="56" t="s">
        <v>394</v>
      </c>
      <c r="E143" s="56" t="s">
        <v>3922</v>
      </c>
      <c r="F143" s="26" t="s">
        <v>3923</v>
      </c>
      <c r="G143" s="26" t="s">
        <v>16</v>
      </c>
      <c r="H143" s="26" t="s">
        <v>13</v>
      </c>
      <c r="I143" s="26" t="s">
        <v>3924</v>
      </c>
      <c r="J143" s="26" t="s">
        <v>4238</v>
      </c>
      <c r="K143" s="26" t="s">
        <v>4040</v>
      </c>
      <c r="L143" s="26" t="s">
        <v>3963</v>
      </c>
      <c r="M143" s="55" t="s">
        <v>1105</v>
      </c>
      <c r="N143" s="26" t="s">
        <v>3924</v>
      </c>
    </row>
    <row r="144" spans="1:14" ht="75" customHeight="1" thickTop="1" thickBot="1">
      <c r="A144" s="34">
        <v>142</v>
      </c>
      <c r="B144" s="26">
        <v>145</v>
      </c>
      <c r="C144" s="55" t="s">
        <v>4241</v>
      </c>
      <c r="D144" s="56" t="s">
        <v>394</v>
      </c>
      <c r="E144" s="56" t="s">
        <v>3922</v>
      </c>
      <c r="F144" s="26" t="s">
        <v>3923</v>
      </c>
      <c r="G144" s="26" t="s">
        <v>16</v>
      </c>
      <c r="H144" s="26" t="s">
        <v>13</v>
      </c>
      <c r="I144" s="26" t="s">
        <v>3924</v>
      </c>
      <c r="J144" s="26" t="s">
        <v>4238</v>
      </c>
      <c r="K144" s="26" t="s">
        <v>4040</v>
      </c>
      <c r="L144" s="26" t="s">
        <v>3927</v>
      </c>
      <c r="M144" s="55" t="s">
        <v>4242</v>
      </c>
      <c r="N144" s="26" t="s">
        <v>3924</v>
      </c>
    </row>
    <row r="145" spans="1:14" ht="75" customHeight="1" thickTop="1" thickBot="1">
      <c r="A145" s="26">
        <v>143</v>
      </c>
      <c r="B145" s="34">
        <v>146</v>
      </c>
      <c r="C145" s="55" t="s">
        <v>4243</v>
      </c>
      <c r="D145" s="56" t="s">
        <v>394</v>
      </c>
      <c r="E145" s="56" t="s">
        <v>3922</v>
      </c>
      <c r="F145" s="26" t="s">
        <v>3923</v>
      </c>
      <c r="G145" s="26" t="s">
        <v>16</v>
      </c>
      <c r="H145" s="26" t="s">
        <v>13</v>
      </c>
      <c r="I145" s="26" t="s">
        <v>3924</v>
      </c>
      <c r="J145" s="26" t="s">
        <v>4238</v>
      </c>
      <c r="K145" s="26" t="s">
        <v>4040</v>
      </c>
      <c r="L145" s="26" t="s">
        <v>3986</v>
      </c>
      <c r="M145" s="55" t="s">
        <v>2204</v>
      </c>
      <c r="N145" s="26" t="s">
        <v>3924</v>
      </c>
    </row>
    <row r="146" spans="1:14" ht="75" customHeight="1" thickTop="1" thickBot="1">
      <c r="A146" s="34">
        <v>144</v>
      </c>
      <c r="B146" s="26">
        <v>147</v>
      </c>
      <c r="C146" s="55" t="s">
        <v>4243</v>
      </c>
      <c r="D146" s="56" t="s">
        <v>394</v>
      </c>
      <c r="E146" s="56" t="s">
        <v>3922</v>
      </c>
      <c r="F146" s="26" t="s">
        <v>3923</v>
      </c>
      <c r="G146" s="26" t="s">
        <v>16</v>
      </c>
      <c r="H146" s="26" t="s">
        <v>13</v>
      </c>
      <c r="I146" s="26" t="s">
        <v>3924</v>
      </c>
      <c r="J146" s="26" t="s">
        <v>4244</v>
      </c>
      <c r="K146" s="26" t="s">
        <v>3976</v>
      </c>
      <c r="L146" s="26" t="s">
        <v>3927</v>
      </c>
      <c r="M146" s="55" t="s">
        <v>4245</v>
      </c>
      <c r="N146" s="26" t="s">
        <v>3924</v>
      </c>
    </row>
    <row r="147" spans="1:14" ht="75" customHeight="1" thickTop="1" thickBot="1">
      <c r="A147" s="34">
        <v>145</v>
      </c>
      <c r="B147" s="34">
        <v>148</v>
      </c>
      <c r="C147" s="55" t="s">
        <v>4246</v>
      </c>
      <c r="D147" s="56" t="s">
        <v>394</v>
      </c>
      <c r="E147" s="56" t="s">
        <v>3994</v>
      </c>
      <c r="F147" s="26" t="s">
        <v>3995</v>
      </c>
      <c r="G147" s="26" t="s">
        <v>16</v>
      </c>
      <c r="H147" s="26" t="s">
        <v>13</v>
      </c>
      <c r="I147" s="26" t="s">
        <v>3924</v>
      </c>
      <c r="J147" s="26" t="s">
        <v>4247</v>
      </c>
      <c r="K147" s="26" t="s">
        <v>4010</v>
      </c>
      <c r="L147" s="26" t="s">
        <v>3927</v>
      </c>
      <c r="M147" s="55" t="s">
        <v>4248</v>
      </c>
      <c r="N147" s="26" t="s">
        <v>3924</v>
      </c>
    </row>
    <row r="148" spans="1:14" ht="75" customHeight="1" thickTop="1" thickBot="1">
      <c r="A148" s="26">
        <v>146</v>
      </c>
      <c r="B148" s="26">
        <v>149</v>
      </c>
      <c r="C148" s="55" t="s">
        <v>4249</v>
      </c>
      <c r="D148" s="56" t="s">
        <v>394</v>
      </c>
      <c r="E148" s="56" t="s">
        <v>3994</v>
      </c>
      <c r="F148" s="26" t="s">
        <v>3995</v>
      </c>
      <c r="G148" s="26" t="s">
        <v>3932</v>
      </c>
      <c r="H148" s="26" t="s">
        <v>13</v>
      </c>
      <c r="I148" s="26" t="s">
        <v>3924</v>
      </c>
      <c r="J148" s="26" t="s">
        <v>4250</v>
      </c>
      <c r="K148" s="26" t="s">
        <v>4040</v>
      </c>
      <c r="L148" s="26" t="s">
        <v>3963</v>
      </c>
      <c r="M148" s="55" t="s">
        <v>1224</v>
      </c>
      <c r="N148" s="26" t="s">
        <v>3924</v>
      </c>
    </row>
    <row r="149" spans="1:14" ht="75" customHeight="1" thickTop="1" thickBot="1">
      <c r="A149" s="34">
        <v>147</v>
      </c>
      <c r="B149" s="34">
        <v>150</v>
      </c>
      <c r="C149" s="55" t="s">
        <v>4251</v>
      </c>
      <c r="D149" s="56" t="s">
        <v>394</v>
      </c>
      <c r="E149" s="56" t="s">
        <v>3994</v>
      </c>
      <c r="F149" s="26" t="s">
        <v>3995</v>
      </c>
      <c r="G149" s="26" t="s">
        <v>16</v>
      </c>
      <c r="H149" s="26" t="s">
        <v>13</v>
      </c>
      <c r="I149" s="26" t="s">
        <v>3924</v>
      </c>
      <c r="J149" s="26" t="s">
        <v>4252</v>
      </c>
      <c r="K149" s="26" t="s">
        <v>4040</v>
      </c>
      <c r="L149" s="26" t="s">
        <v>3924</v>
      </c>
      <c r="M149" s="55" t="s">
        <v>4253</v>
      </c>
      <c r="N149" s="26" t="s">
        <v>3924</v>
      </c>
    </row>
    <row r="150" spans="1:14" ht="75" customHeight="1" thickTop="1" thickBot="1">
      <c r="A150" s="34">
        <v>148</v>
      </c>
      <c r="B150" s="26">
        <v>151</v>
      </c>
      <c r="C150" s="55" t="s">
        <v>4254</v>
      </c>
      <c r="D150" s="56" t="s">
        <v>394</v>
      </c>
      <c r="E150" s="56" t="s">
        <v>3994</v>
      </c>
      <c r="F150" s="26" t="s">
        <v>3995</v>
      </c>
      <c r="G150" s="26" t="s">
        <v>16</v>
      </c>
      <c r="H150" s="26" t="s">
        <v>13</v>
      </c>
      <c r="I150" s="26" t="s">
        <v>3924</v>
      </c>
      <c r="J150" s="26" t="s">
        <v>4252</v>
      </c>
      <c r="K150" s="26" t="s">
        <v>4040</v>
      </c>
      <c r="L150" s="26" t="s">
        <v>3924</v>
      </c>
      <c r="M150" s="55" t="s">
        <v>4255</v>
      </c>
      <c r="N150" s="26" t="s">
        <v>3924</v>
      </c>
    </row>
    <row r="151" spans="1:14" ht="75" customHeight="1" thickTop="1" thickBot="1">
      <c r="A151" s="26">
        <v>149</v>
      </c>
      <c r="B151" s="34">
        <v>152</v>
      </c>
      <c r="C151" s="55" t="s">
        <v>4256</v>
      </c>
      <c r="D151" s="56" t="s">
        <v>394</v>
      </c>
      <c r="E151" s="56" t="s">
        <v>3994</v>
      </c>
      <c r="F151" s="26" t="s">
        <v>3995</v>
      </c>
      <c r="G151" s="26" t="s">
        <v>16</v>
      </c>
      <c r="H151" s="26" t="s">
        <v>13</v>
      </c>
      <c r="I151" s="26" t="s">
        <v>3924</v>
      </c>
      <c r="J151" s="26" t="s">
        <v>4252</v>
      </c>
      <c r="K151" s="26" t="s">
        <v>4040</v>
      </c>
      <c r="L151" s="26" t="s">
        <v>3924</v>
      </c>
      <c r="M151" s="55" t="s">
        <v>4257</v>
      </c>
      <c r="N151" s="26" t="s">
        <v>3924</v>
      </c>
    </row>
    <row r="152" spans="1:14" ht="75" customHeight="1" thickTop="1" thickBot="1">
      <c r="A152" s="34">
        <v>150</v>
      </c>
      <c r="B152" s="26">
        <v>153</v>
      </c>
      <c r="C152" s="55" t="s">
        <v>4258</v>
      </c>
      <c r="D152" s="56" t="s">
        <v>394</v>
      </c>
      <c r="E152" s="56" t="s">
        <v>3922</v>
      </c>
      <c r="F152" s="26" t="s">
        <v>3923</v>
      </c>
      <c r="G152" s="26" t="s">
        <v>15</v>
      </c>
      <c r="H152" s="26" t="s">
        <v>13</v>
      </c>
      <c r="I152" s="26" t="s">
        <v>3924</v>
      </c>
      <c r="J152" s="26" t="s">
        <v>4259</v>
      </c>
      <c r="K152" s="26" t="s">
        <v>4040</v>
      </c>
      <c r="L152" s="26" t="s">
        <v>4011</v>
      </c>
      <c r="M152" s="55" t="s">
        <v>4260</v>
      </c>
      <c r="N152" s="26" t="s">
        <v>3924</v>
      </c>
    </row>
    <row r="153" spans="1:14" ht="75" customHeight="1" thickTop="1" thickBot="1">
      <c r="A153" s="34">
        <v>151</v>
      </c>
      <c r="B153" s="34">
        <v>154</v>
      </c>
      <c r="C153" s="55" t="s">
        <v>4261</v>
      </c>
      <c r="D153" s="56" t="s">
        <v>394</v>
      </c>
      <c r="E153" s="56" t="s">
        <v>3922</v>
      </c>
      <c r="F153" s="26" t="s">
        <v>3923</v>
      </c>
      <c r="G153" s="26" t="s">
        <v>15</v>
      </c>
      <c r="H153" s="26" t="s">
        <v>13</v>
      </c>
      <c r="I153" s="26" t="s">
        <v>3924</v>
      </c>
      <c r="J153" s="26" t="s">
        <v>4259</v>
      </c>
      <c r="K153" s="26" t="s">
        <v>4040</v>
      </c>
      <c r="L153" s="26" t="s">
        <v>4262</v>
      </c>
      <c r="M153" s="55" t="s">
        <v>4263</v>
      </c>
      <c r="N153" s="26" t="s">
        <v>3924</v>
      </c>
    </row>
    <row r="154" spans="1:14" ht="75" customHeight="1" thickTop="1" thickBot="1">
      <c r="A154" s="26">
        <v>152</v>
      </c>
      <c r="B154" s="26">
        <v>155</v>
      </c>
      <c r="C154" s="55" t="s">
        <v>4264</v>
      </c>
      <c r="D154" s="56" t="s">
        <v>394</v>
      </c>
      <c r="E154" s="56" t="s">
        <v>3922</v>
      </c>
      <c r="F154" s="26" t="s">
        <v>3923</v>
      </c>
      <c r="G154" s="26" t="s">
        <v>15</v>
      </c>
      <c r="H154" s="26" t="s">
        <v>13</v>
      </c>
      <c r="I154" s="26" t="s">
        <v>3924</v>
      </c>
      <c r="J154" s="26" t="s">
        <v>4259</v>
      </c>
      <c r="K154" s="26" t="s">
        <v>4040</v>
      </c>
      <c r="L154" s="26" t="s">
        <v>4011</v>
      </c>
      <c r="M154" s="55" t="s">
        <v>4265</v>
      </c>
      <c r="N154" s="26" t="s">
        <v>3924</v>
      </c>
    </row>
    <row r="155" spans="1:14" ht="75" customHeight="1" thickTop="1" thickBot="1">
      <c r="A155" s="34">
        <v>153</v>
      </c>
      <c r="B155" s="34">
        <v>156</v>
      </c>
      <c r="C155" s="55" t="s">
        <v>4266</v>
      </c>
      <c r="D155" s="56" t="s">
        <v>394</v>
      </c>
      <c r="E155" s="56" t="s">
        <v>3922</v>
      </c>
      <c r="F155" s="26" t="s">
        <v>3923</v>
      </c>
      <c r="G155" s="26" t="s">
        <v>15</v>
      </c>
      <c r="H155" s="26" t="s">
        <v>13</v>
      </c>
      <c r="I155" s="26" t="s">
        <v>3924</v>
      </c>
      <c r="J155" s="26" t="s">
        <v>4267</v>
      </c>
      <c r="K155" s="26" t="s">
        <v>4040</v>
      </c>
      <c r="L155" s="26" t="s">
        <v>4203</v>
      </c>
      <c r="M155" s="55" t="s">
        <v>4268</v>
      </c>
      <c r="N155" s="26" t="s">
        <v>3924</v>
      </c>
    </row>
    <row r="156" spans="1:14" ht="75" customHeight="1" thickTop="1" thickBot="1">
      <c r="A156" s="34">
        <v>154</v>
      </c>
      <c r="B156" s="26">
        <v>157</v>
      </c>
      <c r="C156" s="55" t="s">
        <v>4269</v>
      </c>
      <c r="D156" s="56" t="s">
        <v>394</v>
      </c>
      <c r="E156" s="56" t="s">
        <v>3922</v>
      </c>
      <c r="F156" s="26" t="s">
        <v>3923</v>
      </c>
      <c r="G156" s="26" t="s">
        <v>15</v>
      </c>
      <c r="H156" s="26" t="s">
        <v>13</v>
      </c>
      <c r="I156" s="26" t="s">
        <v>3924</v>
      </c>
      <c r="J156" s="26" t="s">
        <v>4267</v>
      </c>
      <c r="K156" s="26" t="s">
        <v>4040</v>
      </c>
      <c r="L156" s="26" t="s">
        <v>4203</v>
      </c>
      <c r="M156" s="55" t="s">
        <v>4270</v>
      </c>
      <c r="N156" s="26" t="s">
        <v>3924</v>
      </c>
    </row>
    <row r="157" spans="1:14" ht="75" customHeight="1" thickTop="1" thickBot="1">
      <c r="A157" s="26">
        <v>155</v>
      </c>
      <c r="B157" s="34">
        <v>158</v>
      </c>
      <c r="C157" s="55" t="s">
        <v>4271</v>
      </c>
      <c r="D157" s="56" t="s">
        <v>394</v>
      </c>
      <c r="E157" s="56" t="s">
        <v>3922</v>
      </c>
      <c r="F157" s="26" t="s">
        <v>3923</v>
      </c>
      <c r="G157" s="26" t="s">
        <v>15</v>
      </c>
      <c r="H157" s="26" t="s">
        <v>13</v>
      </c>
      <c r="I157" s="26" t="s">
        <v>3924</v>
      </c>
      <c r="J157" s="26" t="s">
        <v>4267</v>
      </c>
      <c r="K157" s="26" t="s">
        <v>4040</v>
      </c>
      <c r="L157" s="26" t="s">
        <v>4203</v>
      </c>
      <c r="M157" s="55" t="s">
        <v>4265</v>
      </c>
      <c r="N157" s="26" t="s">
        <v>3924</v>
      </c>
    </row>
    <row r="158" spans="1:14" ht="75" customHeight="1" thickTop="1" thickBot="1">
      <c r="A158" s="34">
        <v>156</v>
      </c>
      <c r="B158" s="26">
        <v>159</v>
      </c>
      <c r="C158" s="55" t="s">
        <v>4272</v>
      </c>
      <c r="D158" s="56" t="s">
        <v>394</v>
      </c>
      <c r="E158" s="56" t="s">
        <v>3922</v>
      </c>
      <c r="F158" s="26" t="s">
        <v>3923</v>
      </c>
      <c r="G158" s="26" t="s">
        <v>15</v>
      </c>
      <c r="H158" s="26" t="s">
        <v>13</v>
      </c>
      <c r="I158" s="26" t="s">
        <v>3924</v>
      </c>
      <c r="J158" s="26" t="s">
        <v>4273</v>
      </c>
      <c r="K158" s="26" t="s">
        <v>4040</v>
      </c>
      <c r="L158" s="26" t="s">
        <v>4239</v>
      </c>
      <c r="M158" s="55" t="s">
        <v>4268</v>
      </c>
      <c r="N158" s="26" t="s">
        <v>3924</v>
      </c>
    </row>
    <row r="159" spans="1:14" ht="75" customHeight="1" thickTop="1" thickBot="1">
      <c r="A159" s="34">
        <v>157</v>
      </c>
      <c r="B159" s="34">
        <v>160</v>
      </c>
      <c r="C159" s="55" t="s">
        <v>4274</v>
      </c>
      <c r="D159" s="56" t="s">
        <v>394</v>
      </c>
      <c r="E159" s="56" t="s">
        <v>3922</v>
      </c>
      <c r="F159" s="26" t="s">
        <v>3923</v>
      </c>
      <c r="G159" s="26" t="s">
        <v>15</v>
      </c>
      <c r="H159" s="26" t="s">
        <v>13</v>
      </c>
      <c r="I159" s="26" t="s">
        <v>3924</v>
      </c>
      <c r="J159" s="26" t="s">
        <v>4273</v>
      </c>
      <c r="K159" s="26" t="s">
        <v>4040</v>
      </c>
      <c r="L159" s="26" t="s">
        <v>4239</v>
      </c>
      <c r="M159" s="55" t="s">
        <v>4270</v>
      </c>
      <c r="N159" s="26" t="s">
        <v>3924</v>
      </c>
    </row>
    <row r="160" spans="1:14" ht="75" customHeight="1" thickTop="1" thickBot="1">
      <c r="A160" s="26">
        <v>158</v>
      </c>
      <c r="B160" s="26">
        <v>161</v>
      </c>
      <c r="C160" s="55" t="s">
        <v>4275</v>
      </c>
      <c r="D160" s="56" t="s">
        <v>394</v>
      </c>
      <c r="E160" s="56" t="s">
        <v>3922</v>
      </c>
      <c r="F160" s="26" t="s">
        <v>3923</v>
      </c>
      <c r="G160" s="26" t="s">
        <v>15</v>
      </c>
      <c r="H160" s="26" t="s">
        <v>13</v>
      </c>
      <c r="I160" s="26" t="s">
        <v>3924</v>
      </c>
      <c r="J160" s="26" t="s">
        <v>4273</v>
      </c>
      <c r="K160" s="26" t="s">
        <v>4040</v>
      </c>
      <c r="L160" s="26" t="s">
        <v>4239</v>
      </c>
      <c r="M160" s="55" t="s">
        <v>4265</v>
      </c>
      <c r="N160" s="26" t="s">
        <v>3924</v>
      </c>
    </row>
    <row r="161" spans="1:14" ht="75" customHeight="1" thickTop="1" thickBot="1">
      <c r="A161" s="34">
        <v>159</v>
      </c>
      <c r="B161" s="34">
        <v>162</v>
      </c>
      <c r="C161" s="55" t="s">
        <v>4276</v>
      </c>
      <c r="D161" s="56" t="s">
        <v>394</v>
      </c>
      <c r="E161" s="56" t="s">
        <v>3922</v>
      </c>
      <c r="F161" s="26" t="s">
        <v>3923</v>
      </c>
      <c r="G161" s="26" t="s">
        <v>15</v>
      </c>
      <c r="H161" s="26" t="s">
        <v>13</v>
      </c>
      <c r="I161" s="26" t="s">
        <v>3924</v>
      </c>
      <c r="J161" s="26" t="s">
        <v>4273</v>
      </c>
      <c r="K161" s="26" t="s">
        <v>4040</v>
      </c>
      <c r="L161" s="26" t="s">
        <v>4277</v>
      </c>
      <c r="M161" s="55" t="s">
        <v>4278</v>
      </c>
      <c r="N161" s="26" t="s">
        <v>3924</v>
      </c>
    </row>
    <row r="162" spans="1:14" ht="75" customHeight="1" thickTop="1" thickBot="1">
      <c r="A162" s="34">
        <v>160</v>
      </c>
      <c r="B162" s="26">
        <v>163</v>
      </c>
      <c r="C162" s="55" t="s">
        <v>4279</v>
      </c>
      <c r="D162" s="56" t="s">
        <v>394</v>
      </c>
      <c r="E162" s="56" t="s">
        <v>3922</v>
      </c>
      <c r="F162" s="26" t="s">
        <v>3923</v>
      </c>
      <c r="G162" s="26" t="s">
        <v>15</v>
      </c>
      <c r="H162" s="26" t="s">
        <v>13</v>
      </c>
      <c r="I162" s="26" t="s">
        <v>3924</v>
      </c>
      <c r="J162" s="26" t="s">
        <v>4273</v>
      </c>
      <c r="K162" s="26" t="s">
        <v>4040</v>
      </c>
      <c r="L162" s="26" t="s">
        <v>4277</v>
      </c>
      <c r="M162" s="55" t="s">
        <v>4280</v>
      </c>
      <c r="N162" s="26" t="s">
        <v>3924</v>
      </c>
    </row>
    <row r="163" spans="1:14" ht="75" customHeight="1" thickTop="1" thickBot="1">
      <c r="A163" s="26">
        <v>161</v>
      </c>
      <c r="B163" s="34">
        <v>164</v>
      </c>
      <c r="C163" s="55" t="s">
        <v>4279</v>
      </c>
      <c r="D163" s="56" t="s">
        <v>394</v>
      </c>
      <c r="E163" s="56" t="s">
        <v>3922</v>
      </c>
      <c r="F163" s="26" t="s">
        <v>3923</v>
      </c>
      <c r="G163" s="26" t="s">
        <v>15</v>
      </c>
      <c r="H163" s="26" t="s">
        <v>13</v>
      </c>
      <c r="I163" s="26" t="s">
        <v>3924</v>
      </c>
      <c r="J163" s="26" t="s">
        <v>4273</v>
      </c>
      <c r="K163" s="26" t="s">
        <v>4040</v>
      </c>
      <c r="L163" s="26" t="s">
        <v>4277</v>
      </c>
      <c r="M163" s="55" t="s">
        <v>4281</v>
      </c>
      <c r="N163" s="26" t="s">
        <v>3924</v>
      </c>
    </row>
    <row r="164" spans="1:14" ht="75" customHeight="1" thickTop="1" thickBot="1">
      <c r="A164" s="34">
        <v>162</v>
      </c>
      <c r="B164" s="26">
        <v>165</v>
      </c>
      <c r="C164" s="55" t="s">
        <v>4282</v>
      </c>
      <c r="D164" s="56" t="s">
        <v>394</v>
      </c>
      <c r="E164" s="56" t="s">
        <v>3922</v>
      </c>
      <c r="F164" s="26" t="s">
        <v>3923</v>
      </c>
      <c r="G164" s="26" t="s">
        <v>15</v>
      </c>
      <c r="H164" s="26" t="s">
        <v>13</v>
      </c>
      <c r="I164" s="26" t="s">
        <v>3924</v>
      </c>
      <c r="J164" s="26" t="s">
        <v>4283</v>
      </c>
      <c r="K164" s="26" t="s">
        <v>4040</v>
      </c>
      <c r="L164" s="26" t="s">
        <v>4284</v>
      </c>
      <c r="M164" s="55" t="s">
        <v>4278</v>
      </c>
      <c r="N164" s="26" t="s">
        <v>3924</v>
      </c>
    </row>
    <row r="165" spans="1:14" ht="75" customHeight="1" thickTop="1" thickBot="1">
      <c r="A165" s="34">
        <v>163</v>
      </c>
      <c r="B165" s="34">
        <v>166</v>
      </c>
      <c r="C165" s="55" t="s">
        <v>4285</v>
      </c>
      <c r="D165" s="56" t="s">
        <v>394</v>
      </c>
      <c r="E165" s="56" t="s">
        <v>3922</v>
      </c>
      <c r="F165" s="26" t="s">
        <v>3923</v>
      </c>
      <c r="G165" s="26" t="s">
        <v>15</v>
      </c>
      <c r="H165" s="26" t="s">
        <v>13</v>
      </c>
      <c r="I165" s="26" t="s">
        <v>3924</v>
      </c>
      <c r="J165" s="26" t="s">
        <v>4283</v>
      </c>
      <c r="K165" s="26" t="s">
        <v>4040</v>
      </c>
      <c r="L165" s="26" t="s">
        <v>4284</v>
      </c>
      <c r="M165" s="55" t="s">
        <v>4280</v>
      </c>
      <c r="N165" s="26" t="s">
        <v>3924</v>
      </c>
    </row>
    <row r="166" spans="1:14" ht="75" customHeight="1" thickTop="1" thickBot="1">
      <c r="A166" s="26">
        <v>164</v>
      </c>
      <c r="B166" s="26">
        <v>167</v>
      </c>
      <c r="C166" s="55" t="s">
        <v>4285</v>
      </c>
      <c r="D166" s="56" t="s">
        <v>394</v>
      </c>
      <c r="E166" s="56" t="s">
        <v>3922</v>
      </c>
      <c r="F166" s="26" t="s">
        <v>3923</v>
      </c>
      <c r="G166" s="26" t="s">
        <v>15</v>
      </c>
      <c r="H166" s="26" t="s">
        <v>13</v>
      </c>
      <c r="I166" s="26" t="s">
        <v>3924</v>
      </c>
      <c r="J166" s="26" t="s">
        <v>4283</v>
      </c>
      <c r="K166" s="26" t="s">
        <v>4040</v>
      </c>
      <c r="L166" s="26" t="s">
        <v>4284</v>
      </c>
      <c r="M166" s="55" t="s">
        <v>4281</v>
      </c>
      <c r="N166" s="26" t="s">
        <v>3924</v>
      </c>
    </row>
    <row r="167" spans="1:14" ht="75" customHeight="1" thickTop="1" thickBot="1">
      <c r="A167" s="34">
        <v>165</v>
      </c>
      <c r="B167" s="34">
        <v>168</v>
      </c>
      <c r="C167" s="55" t="s">
        <v>4286</v>
      </c>
      <c r="D167" s="56" t="s">
        <v>394</v>
      </c>
      <c r="E167" s="56" t="s">
        <v>3922</v>
      </c>
      <c r="F167" s="26" t="s">
        <v>3923</v>
      </c>
      <c r="G167" s="26" t="s">
        <v>15</v>
      </c>
      <c r="H167" s="26" t="s">
        <v>13</v>
      </c>
      <c r="I167" s="26" t="s">
        <v>3924</v>
      </c>
      <c r="J167" s="26" t="s">
        <v>4283</v>
      </c>
      <c r="K167" s="26" t="s">
        <v>4040</v>
      </c>
      <c r="L167" s="26" t="s">
        <v>4287</v>
      </c>
      <c r="M167" s="55" t="s">
        <v>4288</v>
      </c>
      <c r="N167" s="26" t="s">
        <v>3924</v>
      </c>
    </row>
    <row r="168" spans="1:14" ht="75" customHeight="1" thickTop="1" thickBot="1">
      <c r="A168" s="34">
        <v>166</v>
      </c>
      <c r="B168" s="26">
        <v>169</v>
      </c>
      <c r="C168" s="55" t="s">
        <v>4286</v>
      </c>
      <c r="D168" s="56" t="s">
        <v>394</v>
      </c>
      <c r="E168" s="56" t="s">
        <v>3922</v>
      </c>
      <c r="F168" s="26" t="s">
        <v>3923</v>
      </c>
      <c r="G168" s="26" t="s">
        <v>15</v>
      </c>
      <c r="H168" s="26" t="s">
        <v>13</v>
      </c>
      <c r="I168" s="26" t="s">
        <v>3924</v>
      </c>
      <c r="J168" s="26" t="s">
        <v>4289</v>
      </c>
      <c r="K168" s="26" t="s">
        <v>4040</v>
      </c>
      <c r="L168" s="26" t="s">
        <v>4125</v>
      </c>
      <c r="M168" s="55" t="s">
        <v>4290</v>
      </c>
      <c r="N168" s="26" t="s">
        <v>3924</v>
      </c>
    </row>
    <row r="169" spans="1:14" ht="75" customHeight="1" thickTop="1" thickBot="1">
      <c r="A169" s="26">
        <v>167</v>
      </c>
      <c r="B169" s="34">
        <v>170</v>
      </c>
      <c r="C169" s="55" t="s">
        <v>4286</v>
      </c>
      <c r="D169" s="56" t="s">
        <v>394</v>
      </c>
      <c r="E169" s="56" t="s">
        <v>3922</v>
      </c>
      <c r="F169" s="26" t="s">
        <v>3923</v>
      </c>
      <c r="G169" s="26" t="s">
        <v>14</v>
      </c>
      <c r="H169" s="26" t="s">
        <v>13</v>
      </c>
      <c r="I169" s="26" t="s">
        <v>3924</v>
      </c>
      <c r="J169" s="26" t="s">
        <v>4289</v>
      </c>
      <c r="K169" s="26" t="s">
        <v>4040</v>
      </c>
      <c r="L169" s="26" t="s">
        <v>4125</v>
      </c>
      <c r="M169" s="55" t="s">
        <v>4291</v>
      </c>
      <c r="N169" s="26" t="s">
        <v>3924</v>
      </c>
    </row>
    <row r="170" spans="1:14" ht="75" customHeight="1" thickTop="1" thickBot="1">
      <c r="A170" s="34">
        <v>168</v>
      </c>
      <c r="B170" s="26">
        <v>171</v>
      </c>
      <c r="C170" s="55" t="s">
        <v>4292</v>
      </c>
      <c r="D170" s="56" t="s">
        <v>394</v>
      </c>
      <c r="E170" s="56" t="s">
        <v>3922</v>
      </c>
      <c r="F170" s="26" t="s">
        <v>3923</v>
      </c>
      <c r="G170" s="26" t="s">
        <v>14</v>
      </c>
      <c r="H170" s="26" t="s">
        <v>13</v>
      </c>
      <c r="I170" s="26" t="s">
        <v>3924</v>
      </c>
      <c r="J170" s="26" t="s">
        <v>4293</v>
      </c>
      <c r="K170" s="26" t="s">
        <v>3966</v>
      </c>
      <c r="L170" s="26" t="s">
        <v>4082</v>
      </c>
      <c r="M170" s="55" t="s">
        <v>4294</v>
      </c>
      <c r="N170" s="26" t="s">
        <v>3924</v>
      </c>
    </row>
    <row r="171" spans="1:14" ht="75" customHeight="1" thickTop="1" thickBot="1">
      <c r="A171" s="34">
        <v>169</v>
      </c>
      <c r="B171" s="34">
        <v>172</v>
      </c>
      <c r="C171" s="55" t="s">
        <v>4295</v>
      </c>
      <c r="D171" s="56" t="s">
        <v>394</v>
      </c>
      <c r="E171" s="56" t="s">
        <v>3922</v>
      </c>
      <c r="F171" s="26" t="s">
        <v>3923</v>
      </c>
      <c r="G171" s="26" t="s">
        <v>14</v>
      </c>
      <c r="H171" s="26" t="s">
        <v>13</v>
      </c>
      <c r="I171" s="26" t="s">
        <v>3924</v>
      </c>
      <c r="J171" s="26" t="s">
        <v>4293</v>
      </c>
      <c r="K171" s="26" t="s">
        <v>3976</v>
      </c>
      <c r="L171" s="26" t="s">
        <v>4082</v>
      </c>
      <c r="M171" s="55" t="s">
        <v>4296</v>
      </c>
      <c r="N171" s="26" t="s">
        <v>3924</v>
      </c>
    </row>
    <row r="172" spans="1:14" ht="75" customHeight="1" thickTop="1" thickBot="1">
      <c r="A172" s="26">
        <v>170</v>
      </c>
      <c r="B172" s="26">
        <v>173</v>
      </c>
      <c r="C172" s="55" t="s">
        <v>4297</v>
      </c>
      <c r="D172" s="56" t="s">
        <v>394</v>
      </c>
      <c r="E172" s="56" t="s">
        <v>3922</v>
      </c>
      <c r="F172" s="26" t="s">
        <v>3923</v>
      </c>
      <c r="G172" s="26" t="s">
        <v>16</v>
      </c>
      <c r="H172" s="26" t="s">
        <v>13</v>
      </c>
      <c r="I172" s="26" t="s">
        <v>3924</v>
      </c>
      <c r="J172" s="26" t="s">
        <v>4298</v>
      </c>
      <c r="K172" s="26" t="s">
        <v>4004</v>
      </c>
      <c r="L172" s="26" t="s">
        <v>3927</v>
      </c>
      <c r="M172" s="55" t="s">
        <v>4299</v>
      </c>
      <c r="N172" s="26" t="s">
        <v>3924</v>
      </c>
    </row>
    <row r="173" spans="1:14" ht="75" customHeight="1" thickTop="1" thickBot="1">
      <c r="A173" s="34">
        <v>171</v>
      </c>
      <c r="B173" s="34">
        <v>174</v>
      </c>
      <c r="C173" s="55" t="s">
        <v>4300</v>
      </c>
      <c r="D173" s="56" t="s">
        <v>394</v>
      </c>
      <c r="E173" s="56" t="s">
        <v>3922</v>
      </c>
      <c r="F173" s="26" t="s">
        <v>3923</v>
      </c>
      <c r="G173" s="26" t="s">
        <v>15</v>
      </c>
      <c r="H173" s="26" t="s">
        <v>13</v>
      </c>
      <c r="I173" s="26" t="s">
        <v>3924</v>
      </c>
      <c r="J173" s="26" t="s">
        <v>4301</v>
      </c>
      <c r="K173" s="26" t="s">
        <v>3976</v>
      </c>
      <c r="L173" s="26" t="s">
        <v>4082</v>
      </c>
      <c r="M173" s="55" t="s">
        <v>4302</v>
      </c>
      <c r="N173" s="26" t="s">
        <v>3924</v>
      </c>
    </row>
    <row r="174" spans="1:14" ht="75" customHeight="1" thickTop="1" thickBot="1">
      <c r="A174" s="34">
        <v>172</v>
      </c>
      <c r="B174" s="26">
        <v>175</v>
      </c>
      <c r="C174" s="55" t="s">
        <v>4301</v>
      </c>
      <c r="D174" s="56" t="s">
        <v>394</v>
      </c>
      <c r="E174" s="56" t="s">
        <v>3922</v>
      </c>
      <c r="F174" s="26" t="s">
        <v>3923</v>
      </c>
      <c r="G174" s="26" t="s">
        <v>14</v>
      </c>
      <c r="H174" s="26" t="s">
        <v>13</v>
      </c>
      <c r="I174" s="26" t="s">
        <v>3924</v>
      </c>
      <c r="J174" s="26" t="s">
        <v>4301</v>
      </c>
      <c r="K174" s="26" t="s">
        <v>3947</v>
      </c>
      <c r="L174" s="26" t="s">
        <v>4082</v>
      </c>
      <c r="M174" s="55" t="s">
        <v>4303</v>
      </c>
      <c r="N174" s="26" t="s">
        <v>3924</v>
      </c>
    </row>
    <row r="175" spans="1:14" ht="75" customHeight="1" thickTop="1" thickBot="1">
      <c r="A175" s="26">
        <v>173</v>
      </c>
      <c r="B175" s="34">
        <v>176</v>
      </c>
      <c r="C175" s="55" t="s">
        <v>4304</v>
      </c>
      <c r="D175" s="56" t="s">
        <v>394</v>
      </c>
      <c r="E175" s="56" t="s">
        <v>3922</v>
      </c>
      <c r="F175" s="26" t="s">
        <v>3923</v>
      </c>
      <c r="G175" s="26" t="s">
        <v>14</v>
      </c>
      <c r="H175" s="26" t="s">
        <v>13</v>
      </c>
      <c r="I175" s="26" t="s">
        <v>3924</v>
      </c>
      <c r="J175" s="26" t="s">
        <v>4305</v>
      </c>
      <c r="K175" s="26" t="s">
        <v>3947</v>
      </c>
      <c r="L175" s="26" t="s">
        <v>4306</v>
      </c>
      <c r="M175" s="55" t="s">
        <v>3374</v>
      </c>
      <c r="N175" s="26" t="s">
        <v>3924</v>
      </c>
    </row>
    <row r="176" spans="1:14" ht="75" customHeight="1" thickTop="1" thickBot="1">
      <c r="A176" s="34">
        <v>174</v>
      </c>
      <c r="B176" s="26">
        <v>177</v>
      </c>
      <c r="C176" s="55" t="s">
        <v>4307</v>
      </c>
      <c r="D176" s="56" t="s">
        <v>394</v>
      </c>
      <c r="E176" s="56" t="s">
        <v>3922</v>
      </c>
      <c r="F176" s="26" t="s">
        <v>3923</v>
      </c>
      <c r="G176" s="26" t="s">
        <v>14</v>
      </c>
      <c r="H176" s="26" t="s">
        <v>13</v>
      </c>
      <c r="I176" s="26" t="s">
        <v>3924</v>
      </c>
      <c r="J176" s="26" t="s">
        <v>4305</v>
      </c>
      <c r="K176" s="26" t="s">
        <v>3947</v>
      </c>
      <c r="L176" s="26" t="s">
        <v>3963</v>
      </c>
      <c r="M176" s="55" t="s">
        <v>652</v>
      </c>
      <c r="N176" s="26" t="s">
        <v>3924</v>
      </c>
    </row>
    <row r="177" spans="1:14" ht="75" customHeight="1" thickTop="1" thickBot="1">
      <c r="A177" s="34">
        <v>175</v>
      </c>
      <c r="B177" s="34">
        <v>178</v>
      </c>
      <c r="C177" s="55" t="s">
        <v>4307</v>
      </c>
      <c r="D177" s="56" t="s">
        <v>394</v>
      </c>
      <c r="E177" s="56" t="s">
        <v>3922</v>
      </c>
      <c r="F177" s="26" t="s">
        <v>3923</v>
      </c>
      <c r="G177" s="26" t="s">
        <v>14</v>
      </c>
      <c r="H177" s="26" t="s">
        <v>13</v>
      </c>
      <c r="I177" s="26" t="s">
        <v>3924</v>
      </c>
      <c r="J177" s="26" t="s">
        <v>4305</v>
      </c>
      <c r="K177" s="26" t="s">
        <v>3947</v>
      </c>
      <c r="L177" s="26" t="s">
        <v>3963</v>
      </c>
      <c r="M177" s="55" t="s">
        <v>914</v>
      </c>
      <c r="N177" s="26" t="s">
        <v>3924</v>
      </c>
    </row>
    <row r="178" spans="1:14" ht="75" customHeight="1" thickTop="1" thickBot="1">
      <c r="A178" s="26">
        <v>176</v>
      </c>
      <c r="B178" s="26">
        <v>179</v>
      </c>
      <c r="C178" s="55" t="s">
        <v>4307</v>
      </c>
      <c r="D178" s="56" t="s">
        <v>394</v>
      </c>
      <c r="E178" s="56" t="s">
        <v>3922</v>
      </c>
      <c r="F178" s="26" t="s">
        <v>3923</v>
      </c>
      <c r="G178" s="26" t="s">
        <v>14</v>
      </c>
      <c r="H178" s="26" t="s">
        <v>13</v>
      </c>
      <c r="I178" s="26" t="s">
        <v>3924</v>
      </c>
      <c r="J178" s="26" t="s">
        <v>4308</v>
      </c>
      <c r="K178" s="26" t="s">
        <v>3947</v>
      </c>
      <c r="L178" s="26" t="s">
        <v>3963</v>
      </c>
      <c r="M178" s="55" t="s">
        <v>4309</v>
      </c>
      <c r="N178" s="26" t="s">
        <v>3924</v>
      </c>
    </row>
    <row r="179" spans="1:14" ht="75" customHeight="1" thickTop="1" thickBot="1">
      <c r="A179" s="34">
        <v>177</v>
      </c>
      <c r="B179" s="34">
        <v>180</v>
      </c>
      <c r="C179" s="55" t="s">
        <v>4310</v>
      </c>
      <c r="D179" s="56" t="s">
        <v>394</v>
      </c>
      <c r="E179" s="56" t="s">
        <v>3922</v>
      </c>
      <c r="F179" s="26" t="s">
        <v>3923</v>
      </c>
      <c r="G179" s="26" t="s">
        <v>15</v>
      </c>
      <c r="H179" s="26" t="s">
        <v>13</v>
      </c>
      <c r="I179" s="26" t="s">
        <v>3924</v>
      </c>
      <c r="J179" s="26" t="s">
        <v>4311</v>
      </c>
      <c r="K179" s="26" t="s">
        <v>3941</v>
      </c>
      <c r="L179" s="26" t="s">
        <v>3963</v>
      </c>
      <c r="M179" s="55" t="s">
        <v>4312</v>
      </c>
      <c r="N179" s="26" t="s">
        <v>3924</v>
      </c>
    </row>
    <row r="180" spans="1:14" ht="75" customHeight="1" thickTop="1" thickBot="1">
      <c r="A180" s="34">
        <v>178</v>
      </c>
      <c r="B180" s="26">
        <v>181</v>
      </c>
      <c r="C180" s="55" t="s">
        <v>4313</v>
      </c>
      <c r="D180" s="56" t="s">
        <v>394</v>
      </c>
      <c r="E180" s="56" t="s">
        <v>3922</v>
      </c>
      <c r="F180" s="26" t="s">
        <v>3923</v>
      </c>
      <c r="G180" s="26" t="s">
        <v>16</v>
      </c>
      <c r="H180" s="26" t="s">
        <v>13</v>
      </c>
      <c r="I180" s="26" t="s">
        <v>3924</v>
      </c>
      <c r="J180" s="26" t="s">
        <v>4314</v>
      </c>
      <c r="K180" s="26" t="s">
        <v>3976</v>
      </c>
      <c r="L180" s="26" t="s">
        <v>3927</v>
      </c>
      <c r="M180" s="55" t="s">
        <v>4315</v>
      </c>
      <c r="N180" s="26" t="s">
        <v>3924</v>
      </c>
    </row>
    <row r="181" spans="1:14" ht="75" customHeight="1" thickTop="1" thickBot="1">
      <c r="A181" s="26">
        <v>179</v>
      </c>
      <c r="B181" s="34">
        <v>182</v>
      </c>
      <c r="C181" s="55" t="s">
        <v>4316</v>
      </c>
      <c r="D181" s="56" t="s">
        <v>394</v>
      </c>
      <c r="E181" s="56" t="s">
        <v>3922</v>
      </c>
      <c r="F181" s="26" t="s">
        <v>3923</v>
      </c>
      <c r="G181" s="26" t="s">
        <v>16</v>
      </c>
      <c r="H181" s="26" t="s">
        <v>13</v>
      </c>
      <c r="I181" s="26" t="s">
        <v>3924</v>
      </c>
      <c r="J181" s="26" t="s">
        <v>4314</v>
      </c>
      <c r="K181" s="26" t="s">
        <v>4190</v>
      </c>
      <c r="L181" s="26" t="s">
        <v>3927</v>
      </c>
      <c r="M181" s="55" t="s">
        <v>4317</v>
      </c>
      <c r="N181" s="26" t="s">
        <v>3924</v>
      </c>
    </row>
    <row r="182" spans="1:14" ht="75" customHeight="1" thickTop="1" thickBot="1">
      <c r="A182" s="34">
        <v>180</v>
      </c>
      <c r="B182" s="26">
        <v>183</v>
      </c>
      <c r="C182" s="55" t="s">
        <v>4318</v>
      </c>
      <c r="D182" s="56" t="s">
        <v>394</v>
      </c>
      <c r="E182" s="56" t="s">
        <v>3922</v>
      </c>
      <c r="F182" s="26" t="s">
        <v>3923</v>
      </c>
      <c r="G182" s="26" t="s">
        <v>74</v>
      </c>
      <c r="H182" s="26" t="s">
        <v>13</v>
      </c>
      <c r="I182" s="26" t="s">
        <v>3924</v>
      </c>
      <c r="J182" s="26" t="s">
        <v>4314</v>
      </c>
      <c r="K182" s="26" t="s">
        <v>4319</v>
      </c>
      <c r="L182" s="26" t="s">
        <v>3927</v>
      </c>
      <c r="M182" s="55" t="s">
        <v>4320</v>
      </c>
      <c r="N182" s="26" t="s">
        <v>3924</v>
      </c>
    </row>
    <row r="183" spans="1:14" ht="75" customHeight="1" thickTop="1" thickBot="1">
      <c r="A183" s="34">
        <v>181</v>
      </c>
      <c r="B183" s="34">
        <v>184</v>
      </c>
      <c r="C183" s="55" t="s">
        <v>4321</v>
      </c>
      <c r="D183" s="56" t="s">
        <v>394</v>
      </c>
      <c r="E183" s="56" t="s">
        <v>3922</v>
      </c>
      <c r="F183" s="26" t="s">
        <v>3923</v>
      </c>
      <c r="G183" s="26" t="s">
        <v>15</v>
      </c>
      <c r="H183" s="26" t="s">
        <v>13</v>
      </c>
      <c r="I183" s="26" t="s">
        <v>3924</v>
      </c>
      <c r="J183" s="26" t="s">
        <v>4321</v>
      </c>
      <c r="K183" s="26" t="s">
        <v>3976</v>
      </c>
      <c r="L183" s="26" t="s">
        <v>3927</v>
      </c>
      <c r="M183" s="55" t="s">
        <v>4322</v>
      </c>
      <c r="N183" s="26" t="s">
        <v>3924</v>
      </c>
    </row>
    <row r="184" spans="1:14" ht="75" customHeight="1" thickTop="1" thickBot="1">
      <c r="A184" s="26">
        <v>182</v>
      </c>
      <c r="B184" s="26">
        <v>185</v>
      </c>
      <c r="C184" s="55" t="s">
        <v>4323</v>
      </c>
      <c r="D184" s="56" t="s">
        <v>394</v>
      </c>
      <c r="E184" s="56" t="s">
        <v>3922</v>
      </c>
      <c r="F184" s="26" t="s">
        <v>3923</v>
      </c>
      <c r="G184" s="26" t="s">
        <v>16</v>
      </c>
      <c r="H184" s="26" t="s">
        <v>13</v>
      </c>
      <c r="I184" s="26" t="s">
        <v>3924</v>
      </c>
      <c r="J184" s="26" t="s">
        <v>4324</v>
      </c>
      <c r="K184" s="26" t="s">
        <v>3926</v>
      </c>
      <c r="L184" s="26" t="s">
        <v>3963</v>
      </c>
      <c r="M184" s="55" t="s">
        <v>4325</v>
      </c>
      <c r="N184" s="26" t="s">
        <v>3924</v>
      </c>
    </row>
    <row r="185" spans="1:14" ht="75" customHeight="1" thickTop="1" thickBot="1">
      <c r="A185" s="34">
        <v>183</v>
      </c>
      <c r="B185" s="34">
        <v>186</v>
      </c>
      <c r="C185" s="55" t="s">
        <v>4326</v>
      </c>
      <c r="D185" s="56" t="s">
        <v>394</v>
      </c>
      <c r="E185" s="56" t="s">
        <v>3922</v>
      </c>
      <c r="F185" s="26" t="s">
        <v>3923</v>
      </c>
      <c r="G185" s="26" t="s">
        <v>16</v>
      </c>
      <c r="H185" s="26" t="s">
        <v>13</v>
      </c>
      <c r="I185" s="26" t="s">
        <v>3924</v>
      </c>
      <c r="J185" s="26" t="s">
        <v>4324</v>
      </c>
      <c r="K185" s="26" t="s">
        <v>3926</v>
      </c>
      <c r="L185" s="26" t="s">
        <v>3927</v>
      </c>
      <c r="M185" s="55" t="s">
        <v>821</v>
      </c>
      <c r="N185" s="26" t="s">
        <v>3924</v>
      </c>
    </row>
    <row r="186" spans="1:14" ht="75" customHeight="1" thickTop="1" thickBot="1">
      <c r="A186" s="34">
        <v>184</v>
      </c>
      <c r="B186" s="26">
        <v>187</v>
      </c>
      <c r="C186" s="55" t="s">
        <v>4326</v>
      </c>
      <c r="D186" s="56" t="s">
        <v>394</v>
      </c>
      <c r="E186" s="56" t="s">
        <v>3922</v>
      </c>
      <c r="F186" s="26" t="s">
        <v>3923</v>
      </c>
      <c r="G186" s="26" t="s">
        <v>16</v>
      </c>
      <c r="H186" s="26" t="s">
        <v>13</v>
      </c>
      <c r="I186" s="26" t="s">
        <v>3924</v>
      </c>
      <c r="J186" s="26" t="s">
        <v>4324</v>
      </c>
      <c r="K186" s="26" t="s">
        <v>3926</v>
      </c>
      <c r="L186" s="26" t="s">
        <v>3986</v>
      </c>
      <c r="M186" s="55" t="s">
        <v>4327</v>
      </c>
      <c r="N186" s="26" t="s">
        <v>3924</v>
      </c>
    </row>
    <row r="187" spans="1:14" ht="75" customHeight="1" thickTop="1" thickBot="1">
      <c r="A187" s="26">
        <v>185</v>
      </c>
      <c r="B187" s="34">
        <v>188</v>
      </c>
      <c r="C187" s="55" t="s">
        <v>4328</v>
      </c>
      <c r="D187" s="56" t="s">
        <v>394</v>
      </c>
      <c r="E187" s="56" t="s">
        <v>3922</v>
      </c>
      <c r="F187" s="26" t="s">
        <v>3923</v>
      </c>
      <c r="G187" s="26" t="s">
        <v>16</v>
      </c>
      <c r="H187" s="26" t="s">
        <v>13</v>
      </c>
      <c r="I187" s="26" t="s">
        <v>3924</v>
      </c>
      <c r="J187" s="26" t="s">
        <v>4329</v>
      </c>
      <c r="K187" s="26" t="s">
        <v>3926</v>
      </c>
      <c r="L187" s="26" t="s">
        <v>3963</v>
      </c>
      <c r="M187" s="55" t="s">
        <v>4330</v>
      </c>
      <c r="N187" s="26" t="s">
        <v>3924</v>
      </c>
    </row>
    <row r="188" spans="1:14" ht="75" customHeight="1" thickTop="1" thickBot="1">
      <c r="A188" s="34">
        <v>186</v>
      </c>
      <c r="B188" s="26">
        <v>189</v>
      </c>
      <c r="C188" s="55" t="s">
        <v>4328</v>
      </c>
      <c r="D188" s="56" t="s">
        <v>394</v>
      </c>
      <c r="E188" s="56" t="s">
        <v>3922</v>
      </c>
      <c r="F188" s="26" t="s">
        <v>3923</v>
      </c>
      <c r="G188" s="26" t="s">
        <v>16</v>
      </c>
      <c r="H188" s="26" t="s">
        <v>13</v>
      </c>
      <c r="I188" s="26" t="s">
        <v>3924</v>
      </c>
      <c r="J188" s="26" t="s">
        <v>4329</v>
      </c>
      <c r="K188" s="26" t="s">
        <v>3926</v>
      </c>
      <c r="L188" s="26" t="s">
        <v>4331</v>
      </c>
      <c r="M188" s="55" t="s">
        <v>1341</v>
      </c>
      <c r="N188" s="26" t="s">
        <v>3924</v>
      </c>
    </row>
    <row r="189" spans="1:14" ht="75" customHeight="1" thickTop="1" thickBot="1">
      <c r="A189" s="34">
        <v>187</v>
      </c>
      <c r="B189" s="34">
        <v>190</v>
      </c>
      <c r="C189" s="55" t="s">
        <v>4332</v>
      </c>
      <c r="D189" s="56" t="s">
        <v>394</v>
      </c>
      <c r="E189" s="56" t="s">
        <v>3922</v>
      </c>
      <c r="F189" s="26" t="s">
        <v>3923</v>
      </c>
      <c r="G189" s="26" t="s">
        <v>16</v>
      </c>
      <c r="H189" s="26" t="s">
        <v>13</v>
      </c>
      <c r="I189" s="26" t="s">
        <v>3924</v>
      </c>
      <c r="J189" s="26" t="s">
        <v>4329</v>
      </c>
      <c r="K189" s="26" t="s">
        <v>3926</v>
      </c>
      <c r="L189" s="26" t="s">
        <v>3927</v>
      </c>
      <c r="M189" s="55" t="s">
        <v>4333</v>
      </c>
      <c r="N189" s="26" t="s">
        <v>3924</v>
      </c>
    </row>
    <row r="190" spans="1:14" ht="75" customHeight="1" thickTop="1" thickBot="1">
      <c r="A190" s="26">
        <v>188</v>
      </c>
      <c r="B190" s="26">
        <v>191</v>
      </c>
      <c r="C190" s="55" t="s">
        <v>4332</v>
      </c>
      <c r="D190" s="56" t="s">
        <v>394</v>
      </c>
      <c r="E190" s="56" t="s">
        <v>3922</v>
      </c>
      <c r="F190" s="26" t="s">
        <v>3923</v>
      </c>
      <c r="G190" s="26" t="s">
        <v>16</v>
      </c>
      <c r="H190" s="26" t="s">
        <v>13</v>
      </c>
      <c r="I190" s="26" t="s">
        <v>3924</v>
      </c>
      <c r="J190" s="26" t="s">
        <v>4329</v>
      </c>
      <c r="K190" s="26" t="s">
        <v>3926</v>
      </c>
      <c r="L190" s="26" t="s">
        <v>3927</v>
      </c>
      <c r="M190" s="55" t="s">
        <v>638</v>
      </c>
      <c r="N190" s="26" t="s">
        <v>3924</v>
      </c>
    </row>
    <row r="191" spans="1:14" ht="75" customHeight="1" thickTop="1" thickBot="1">
      <c r="A191" s="34">
        <v>189</v>
      </c>
      <c r="B191" s="34">
        <v>192</v>
      </c>
      <c r="C191" s="55" t="s">
        <v>4334</v>
      </c>
      <c r="D191" s="56" t="s">
        <v>394</v>
      </c>
      <c r="E191" s="56" t="s">
        <v>3922</v>
      </c>
      <c r="F191" s="26" t="s">
        <v>3923</v>
      </c>
      <c r="G191" s="26" t="s">
        <v>16</v>
      </c>
      <c r="H191" s="26" t="s">
        <v>13</v>
      </c>
      <c r="I191" s="26" t="s">
        <v>3924</v>
      </c>
      <c r="J191" s="26" t="s">
        <v>4329</v>
      </c>
      <c r="K191" s="26" t="s">
        <v>3926</v>
      </c>
      <c r="L191" s="26" t="s">
        <v>3963</v>
      </c>
      <c r="M191" s="55" t="s">
        <v>4335</v>
      </c>
      <c r="N191" s="26" t="s">
        <v>3924</v>
      </c>
    </row>
    <row r="192" spans="1:14" ht="75" customHeight="1" thickTop="1" thickBot="1">
      <c r="A192" s="34">
        <v>190</v>
      </c>
      <c r="B192" s="26">
        <v>193</v>
      </c>
      <c r="C192" s="55" t="s">
        <v>4336</v>
      </c>
      <c r="D192" s="56" t="s">
        <v>394</v>
      </c>
      <c r="E192" s="56" t="s">
        <v>3922</v>
      </c>
      <c r="F192" s="26" t="s">
        <v>3923</v>
      </c>
      <c r="G192" s="26" t="s">
        <v>16</v>
      </c>
      <c r="H192" s="26" t="s">
        <v>13</v>
      </c>
      <c r="I192" s="26" t="s">
        <v>3924</v>
      </c>
      <c r="J192" s="26" t="s">
        <v>4337</v>
      </c>
      <c r="K192" s="26" t="s">
        <v>3926</v>
      </c>
      <c r="L192" s="26" t="s">
        <v>3927</v>
      </c>
      <c r="M192" s="55" t="s">
        <v>4338</v>
      </c>
      <c r="N192" s="26" t="s">
        <v>3924</v>
      </c>
    </row>
    <row r="193" spans="1:14" ht="75" customHeight="1" thickTop="1" thickBot="1">
      <c r="A193" s="26">
        <v>191</v>
      </c>
      <c r="B193" s="34">
        <v>194</v>
      </c>
      <c r="C193" s="55" t="s">
        <v>4339</v>
      </c>
      <c r="D193" s="56" t="s">
        <v>394</v>
      </c>
      <c r="E193" s="56" t="s">
        <v>3922</v>
      </c>
      <c r="F193" s="26" t="s">
        <v>3923</v>
      </c>
      <c r="G193" s="26" t="s">
        <v>16</v>
      </c>
      <c r="H193" s="26" t="s">
        <v>13</v>
      </c>
      <c r="I193" s="26" t="s">
        <v>3924</v>
      </c>
      <c r="J193" s="26" t="s">
        <v>4340</v>
      </c>
      <c r="K193" s="26" t="s">
        <v>4341</v>
      </c>
      <c r="L193" s="26" t="s">
        <v>3927</v>
      </c>
      <c r="M193" s="55" t="s">
        <v>555</v>
      </c>
      <c r="N193" s="26" t="s">
        <v>3924</v>
      </c>
    </row>
    <row r="194" spans="1:14" ht="75" customHeight="1" thickTop="1" thickBot="1">
      <c r="A194" s="34">
        <v>192</v>
      </c>
      <c r="B194" s="26">
        <v>195</v>
      </c>
      <c r="C194" s="55" t="s">
        <v>4342</v>
      </c>
      <c r="D194" s="56" t="s">
        <v>394</v>
      </c>
      <c r="E194" s="56" t="s">
        <v>3931</v>
      </c>
      <c r="F194" s="26" t="s">
        <v>3923</v>
      </c>
      <c r="G194" s="26" t="s">
        <v>3932</v>
      </c>
      <c r="H194" s="26" t="s">
        <v>13</v>
      </c>
      <c r="I194" s="26" t="s">
        <v>3924</v>
      </c>
      <c r="J194" s="26" t="s">
        <v>3924</v>
      </c>
      <c r="K194" s="26" t="s">
        <v>4032</v>
      </c>
      <c r="L194" s="26" t="s">
        <v>4033</v>
      </c>
      <c r="M194" s="55" t="s">
        <v>4343</v>
      </c>
      <c r="N194" s="26" t="s">
        <v>3924</v>
      </c>
    </row>
    <row r="195" spans="1:14" ht="75" customHeight="1" thickTop="1" thickBot="1">
      <c r="A195" s="34">
        <v>193</v>
      </c>
      <c r="B195" s="34">
        <v>196</v>
      </c>
      <c r="C195" s="55" t="s">
        <v>4344</v>
      </c>
      <c r="D195" s="56" t="s">
        <v>394</v>
      </c>
      <c r="E195" s="56" t="s">
        <v>3931</v>
      </c>
      <c r="F195" s="26" t="s">
        <v>3923</v>
      </c>
      <c r="G195" s="26" t="s">
        <v>3932</v>
      </c>
      <c r="H195" s="26" t="s">
        <v>13</v>
      </c>
      <c r="I195" s="26" t="s">
        <v>3924</v>
      </c>
      <c r="J195" s="26" t="s">
        <v>3924</v>
      </c>
      <c r="K195" s="26" t="s">
        <v>3947</v>
      </c>
      <c r="L195" s="26" t="s">
        <v>4345</v>
      </c>
      <c r="M195" s="55" t="s">
        <v>4346</v>
      </c>
      <c r="N195" s="26" t="s">
        <v>3924</v>
      </c>
    </row>
    <row r="196" spans="1:14" ht="75" customHeight="1" thickTop="1" thickBot="1">
      <c r="A196" s="26">
        <v>194</v>
      </c>
      <c r="B196" s="26">
        <v>197</v>
      </c>
      <c r="C196" s="55" t="s">
        <v>4344</v>
      </c>
      <c r="D196" s="56" t="s">
        <v>394</v>
      </c>
      <c r="E196" s="56" t="s">
        <v>3931</v>
      </c>
      <c r="F196" s="26" t="s">
        <v>3923</v>
      </c>
      <c r="G196" s="26" t="s">
        <v>3932</v>
      </c>
      <c r="H196" s="26" t="s">
        <v>13</v>
      </c>
      <c r="I196" s="26" t="s">
        <v>3924</v>
      </c>
      <c r="J196" s="26" t="s">
        <v>3924</v>
      </c>
      <c r="K196" s="26" t="s">
        <v>4010</v>
      </c>
      <c r="L196" s="26" t="s">
        <v>4345</v>
      </c>
      <c r="M196" s="55" t="s">
        <v>4346</v>
      </c>
      <c r="N196" s="26" t="s">
        <v>3924</v>
      </c>
    </row>
    <row r="197" spans="1:14" ht="75" customHeight="1" thickTop="1" thickBot="1">
      <c r="A197" s="34">
        <v>195</v>
      </c>
      <c r="B197" s="34">
        <v>198</v>
      </c>
      <c r="C197" s="55" t="s">
        <v>4344</v>
      </c>
      <c r="D197" s="56" t="s">
        <v>394</v>
      </c>
      <c r="E197" s="56" t="s">
        <v>3931</v>
      </c>
      <c r="F197" s="26" t="s">
        <v>3923</v>
      </c>
      <c r="G197" s="26" t="s">
        <v>3932</v>
      </c>
      <c r="H197" s="26" t="s">
        <v>13</v>
      </c>
      <c r="I197" s="26" t="s">
        <v>3924</v>
      </c>
      <c r="J197" s="26" t="s">
        <v>3924</v>
      </c>
      <c r="K197" s="26" t="s">
        <v>3941</v>
      </c>
      <c r="L197" s="26" t="s">
        <v>4345</v>
      </c>
      <c r="M197" s="55" t="s">
        <v>4346</v>
      </c>
      <c r="N197" s="26" t="s">
        <v>3924</v>
      </c>
    </row>
    <row r="198" spans="1:14" ht="75" customHeight="1" thickTop="1" thickBot="1">
      <c r="A198" s="34">
        <v>196</v>
      </c>
      <c r="B198" s="26">
        <v>199</v>
      </c>
      <c r="C198" s="55" t="s">
        <v>4347</v>
      </c>
      <c r="D198" s="56" t="s">
        <v>394</v>
      </c>
      <c r="E198" s="56" t="s">
        <v>3931</v>
      </c>
      <c r="F198" s="26" t="s">
        <v>3923</v>
      </c>
      <c r="G198" s="26" t="s">
        <v>3932</v>
      </c>
      <c r="H198" s="26" t="s">
        <v>13</v>
      </c>
      <c r="I198" s="26" t="s">
        <v>3924</v>
      </c>
      <c r="J198" s="26" t="s">
        <v>3924</v>
      </c>
      <c r="K198" s="26" t="s">
        <v>3926</v>
      </c>
      <c r="L198" s="26" t="s">
        <v>3927</v>
      </c>
      <c r="M198" s="55" t="s">
        <v>4348</v>
      </c>
      <c r="N198" s="26" t="s">
        <v>3924</v>
      </c>
    </row>
    <row r="199" spans="1:14" ht="75" customHeight="1" thickTop="1" thickBot="1">
      <c r="A199" s="26">
        <v>197</v>
      </c>
      <c r="B199" s="34">
        <v>200</v>
      </c>
      <c r="C199" s="55" t="s">
        <v>4349</v>
      </c>
      <c r="D199" s="56" t="s">
        <v>394</v>
      </c>
      <c r="E199" s="56" t="s">
        <v>3931</v>
      </c>
      <c r="F199" s="26" t="s">
        <v>3923</v>
      </c>
      <c r="G199" s="26" t="s">
        <v>3932</v>
      </c>
      <c r="H199" s="26" t="s">
        <v>13</v>
      </c>
      <c r="I199" s="26" t="s">
        <v>3924</v>
      </c>
      <c r="J199" s="26" t="s">
        <v>3924</v>
      </c>
      <c r="K199" s="26" t="s">
        <v>3929</v>
      </c>
      <c r="L199" s="26" t="s">
        <v>3927</v>
      </c>
      <c r="M199" s="55" t="s">
        <v>4350</v>
      </c>
      <c r="N199" s="26" t="s">
        <v>3924</v>
      </c>
    </row>
    <row r="200" spans="1:14" ht="75" customHeight="1" thickTop="1" thickBot="1">
      <c r="A200" s="34">
        <v>198</v>
      </c>
      <c r="B200" s="26">
        <v>201</v>
      </c>
      <c r="C200" s="55" t="s">
        <v>4351</v>
      </c>
      <c r="D200" s="56" t="s">
        <v>394</v>
      </c>
      <c r="E200" s="56" t="s">
        <v>3931</v>
      </c>
      <c r="F200" s="26" t="s">
        <v>3923</v>
      </c>
      <c r="G200" s="26" t="s">
        <v>3932</v>
      </c>
      <c r="H200" s="26" t="s">
        <v>13</v>
      </c>
      <c r="I200" s="26" t="s">
        <v>3924</v>
      </c>
      <c r="J200" s="26" t="s">
        <v>3924</v>
      </c>
      <c r="K200" s="26" t="s">
        <v>3929</v>
      </c>
      <c r="L200" s="26" t="s">
        <v>3924</v>
      </c>
      <c r="M200" s="55" t="s">
        <v>4352</v>
      </c>
      <c r="N200" s="26" t="s">
        <v>3924</v>
      </c>
    </row>
    <row r="201" spans="1:14" ht="75" customHeight="1" thickTop="1" thickBot="1">
      <c r="A201" s="34">
        <v>199</v>
      </c>
      <c r="B201" s="34">
        <v>202</v>
      </c>
      <c r="C201" s="55" t="s">
        <v>4353</v>
      </c>
      <c r="D201" s="56" t="s">
        <v>394</v>
      </c>
      <c r="E201" s="56" t="s">
        <v>3931</v>
      </c>
      <c r="F201" s="26" t="s">
        <v>3923</v>
      </c>
      <c r="G201" s="26" t="s">
        <v>3932</v>
      </c>
      <c r="H201" s="26" t="s">
        <v>13</v>
      </c>
      <c r="I201" s="26" t="s">
        <v>3924</v>
      </c>
      <c r="J201" s="26" t="s">
        <v>3924</v>
      </c>
      <c r="K201" s="26" t="s">
        <v>3929</v>
      </c>
      <c r="L201" s="26" t="s">
        <v>3924</v>
      </c>
      <c r="M201" s="55" t="s">
        <v>4354</v>
      </c>
      <c r="N201" s="26" t="s">
        <v>3924</v>
      </c>
    </row>
    <row r="202" spans="1:14" ht="75" customHeight="1" thickTop="1" thickBot="1">
      <c r="A202" s="26">
        <v>200</v>
      </c>
      <c r="B202" s="26">
        <v>203</v>
      </c>
      <c r="C202" s="55" t="s">
        <v>4355</v>
      </c>
      <c r="D202" s="56" t="s">
        <v>394</v>
      </c>
      <c r="E202" s="56" t="s">
        <v>3931</v>
      </c>
      <c r="F202" s="26" t="s">
        <v>3923</v>
      </c>
      <c r="G202" s="26" t="s">
        <v>3932</v>
      </c>
      <c r="H202" s="26" t="s">
        <v>13</v>
      </c>
      <c r="I202" s="26" t="s">
        <v>3924</v>
      </c>
      <c r="J202" s="26" t="s">
        <v>3924</v>
      </c>
      <c r="K202" s="26" t="s">
        <v>3926</v>
      </c>
      <c r="L202" s="26" t="s">
        <v>3927</v>
      </c>
      <c r="M202" s="55" t="s">
        <v>4356</v>
      </c>
      <c r="N202" s="26" t="s">
        <v>3924</v>
      </c>
    </row>
    <row r="203" spans="1:14" ht="75" customHeight="1" thickTop="1" thickBot="1">
      <c r="A203" s="34">
        <v>201</v>
      </c>
      <c r="B203" s="34">
        <v>204</v>
      </c>
      <c r="C203" s="55" t="s">
        <v>4357</v>
      </c>
      <c r="D203" s="56" t="s">
        <v>394</v>
      </c>
      <c r="E203" s="56" t="s">
        <v>3931</v>
      </c>
      <c r="F203" s="26" t="s">
        <v>3923</v>
      </c>
      <c r="G203" s="26" t="s">
        <v>3932</v>
      </c>
      <c r="H203" s="26" t="s">
        <v>13</v>
      </c>
      <c r="I203" s="26" t="s">
        <v>3924</v>
      </c>
      <c r="J203" s="26" t="s">
        <v>3924</v>
      </c>
      <c r="K203" s="26" t="s">
        <v>3976</v>
      </c>
      <c r="L203" s="26" t="s">
        <v>3924</v>
      </c>
      <c r="M203" s="55" t="s">
        <v>4358</v>
      </c>
      <c r="N203" s="26" t="s">
        <v>3924</v>
      </c>
    </row>
    <row r="204" spans="1:14" ht="75" customHeight="1" thickTop="1" thickBot="1">
      <c r="A204" s="34">
        <v>202</v>
      </c>
      <c r="B204" s="26">
        <v>205</v>
      </c>
      <c r="C204" s="55" t="s">
        <v>4359</v>
      </c>
      <c r="D204" s="56" t="s">
        <v>394</v>
      </c>
      <c r="E204" s="56" t="s">
        <v>3931</v>
      </c>
      <c r="F204" s="26" t="s">
        <v>3923</v>
      </c>
      <c r="G204" s="26" t="s">
        <v>3932</v>
      </c>
      <c r="H204" s="26" t="s">
        <v>13</v>
      </c>
      <c r="I204" s="26" t="s">
        <v>3924</v>
      </c>
      <c r="J204" s="26" t="s">
        <v>3924</v>
      </c>
      <c r="K204" s="26" t="s">
        <v>3966</v>
      </c>
      <c r="L204" s="26" t="s">
        <v>3924</v>
      </c>
      <c r="M204" s="55" t="s">
        <v>4360</v>
      </c>
      <c r="N204" s="26" t="s">
        <v>3924</v>
      </c>
    </row>
    <row r="205" spans="1:14" ht="75" customHeight="1" thickTop="1" thickBot="1">
      <c r="A205" s="26">
        <v>203</v>
      </c>
      <c r="B205" s="34">
        <v>206</v>
      </c>
      <c r="C205" s="55" t="s">
        <v>4359</v>
      </c>
      <c r="D205" s="56" t="s">
        <v>394</v>
      </c>
      <c r="E205" s="56" t="s">
        <v>3931</v>
      </c>
      <c r="F205" s="26" t="s">
        <v>3923</v>
      </c>
      <c r="G205" s="26" t="s">
        <v>3932</v>
      </c>
      <c r="H205" s="26" t="s">
        <v>13</v>
      </c>
      <c r="I205" s="26" t="s">
        <v>3924</v>
      </c>
      <c r="J205" s="26" t="s">
        <v>3924</v>
      </c>
      <c r="K205" s="26" t="s">
        <v>3929</v>
      </c>
      <c r="L205" s="26" t="s">
        <v>4345</v>
      </c>
      <c r="M205" s="55" t="s">
        <v>4346</v>
      </c>
      <c r="N205" s="26" t="s">
        <v>3924</v>
      </c>
    </row>
    <row r="206" spans="1:14" ht="75" customHeight="1" thickTop="1" thickBot="1">
      <c r="A206" s="34">
        <v>204</v>
      </c>
      <c r="B206" s="26">
        <v>207</v>
      </c>
      <c r="C206" s="55" t="s">
        <v>4361</v>
      </c>
      <c r="D206" s="56" t="s">
        <v>394</v>
      </c>
      <c r="E206" s="56" t="s">
        <v>3931</v>
      </c>
      <c r="F206" s="26" t="s">
        <v>3923</v>
      </c>
      <c r="G206" s="26" t="s">
        <v>3932</v>
      </c>
      <c r="H206" s="26" t="s">
        <v>13</v>
      </c>
      <c r="I206" s="26" t="s">
        <v>3924</v>
      </c>
      <c r="J206" s="26" t="s">
        <v>3924</v>
      </c>
      <c r="K206" s="26" t="s">
        <v>3954</v>
      </c>
      <c r="L206" s="26" t="s">
        <v>3924</v>
      </c>
      <c r="M206" s="55" t="s">
        <v>4362</v>
      </c>
      <c r="N206" s="26" t="s">
        <v>3924</v>
      </c>
    </row>
    <row r="207" spans="1:14" ht="75" customHeight="1" thickTop="1" thickBot="1">
      <c r="A207" s="34">
        <v>205</v>
      </c>
      <c r="B207" s="34">
        <v>208</v>
      </c>
      <c r="C207" s="55" t="s">
        <v>4363</v>
      </c>
      <c r="D207" s="56" t="s">
        <v>394</v>
      </c>
      <c r="E207" s="56" t="s">
        <v>3931</v>
      </c>
      <c r="F207" s="26" t="s">
        <v>3923</v>
      </c>
      <c r="G207" s="26" t="s">
        <v>3932</v>
      </c>
      <c r="H207" s="26" t="s">
        <v>13</v>
      </c>
      <c r="I207" s="26" t="s">
        <v>3924</v>
      </c>
      <c r="J207" s="26" t="s">
        <v>3924</v>
      </c>
      <c r="K207" s="26" t="s">
        <v>4364</v>
      </c>
      <c r="L207" s="26" t="s">
        <v>3924</v>
      </c>
      <c r="M207" s="55" t="s">
        <v>4365</v>
      </c>
      <c r="N207" s="26" t="s">
        <v>3924</v>
      </c>
    </row>
    <row r="208" spans="1:14" ht="75" customHeight="1" thickTop="1" thickBot="1">
      <c r="A208" s="26">
        <v>206</v>
      </c>
      <c r="B208" s="26">
        <v>209</v>
      </c>
      <c r="C208" s="55" t="s">
        <v>4366</v>
      </c>
      <c r="D208" s="56" t="s">
        <v>394</v>
      </c>
      <c r="E208" s="56" t="s">
        <v>3931</v>
      </c>
      <c r="F208" s="26" t="s">
        <v>3923</v>
      </c>
      <c r="G208" s="26" t="s">
        <v>3932</v>
      </c>
      <c r="H208" s="26" t="s">
        <v>13</v>
      </c>
      <c r="I208" s="26" t="s">
        <v>3924</v>
      </c>
      <c r="J208" s="26" t="s">
        <v>3924</v>
      </c>
      <c r="K208" s="26" t="s">
        <v>4367</v>
      </c>
      <c r="L208" s="26" t="s">
        <v>3924</v>
      </c>
      <c r="M208" s="55" t="s">
        <v>4368</v>
      </c>
      <c r="N208" s="26" t="s">
        <v>3924</v>
      </c>
    </row>
    <row r="209" spans="1:14" ht="75" customHeight="1" thickTop="1" thickBot="1">
      <c r="A209" s="34">
        <v>207</v>
      </c>
      <c r="B209" s="34">
        <v>210</v>
      </c>
      <c r="C209" s="55" t="s">
        <v>4369</v>
      </c>
      <c r="D209" s="56" t="s">
        <v>394</v>
      </c>
      <c r="E209" s="56" t="s">
        <v>3931</v>
      </c>
      <c r="F209" s="26" t="s">
        <v>3923</v>
      </c>
      <c r="G209" s="26" t="s">
        <v>3932</v>
      </c>
      <c r="H209" s="26" t="s">
        <v>13</v>
      </c>
      <c r="I209" s="26" t="s">
        <v>3924</v>
      </c>
      <c r="J209" s="26" t="s">
        <v>3924</v>
      </c>
      <c r="K209" s="26" t="s">
        <v>4004</v>
      </c>
      <c r="L209" s="26" t="s">
        <v>3924</v>
      </c>
      <c r="M209" s="55" t="s">
        <v>4370</v>
      </c>
      <c r="N209" s="26" t="s">
        <v>3924</v>
      </c>
    </row>
    <row r="210" spans="1:14" ht="75" customHeight="1" thickTop="1" thickBot="1">
      <c r="A210" s="34">
        <v>208</v>
      </c>
      <c r="B210" s="26">
        <v>211</v>
      </c>
      <c r="C210" s="55" t="s">
        <v>4369</v>
      </c>
      <c r="D210" s="56" t="s">
        <v>394</v>
      </c>
      <c r="E210" s="56" t="s">
        <v>3931</v>
      </c>
      <c r="F210" s="26" t="s">
        <v>3923</v>
      </c>
      <c r="G210" s="26" t="s">
        <v>3932</v>
      </c>
      <c r="H210" s="26" t="s">
        <v>13</v>
      </c>
      <c r="I210" s="26" t="s">
        <v>3924</v>
      </c>
      <c r="J210" s="26" t="s">
        <v>3924</v>
      </c>
      <c r="K210" s="26" t="s">
        <v>3929</v>
      </c>
      <c r="L210" s="26" t="s">
        <v>3924</v>
      </c>
      <c r="M210" s="55" t="s">
        <v>4354</v>
      </c>
      <c r="N210" s="26" t="s">
        <v>3924</v>
      </c>
    </row>
    <row r="211" spans="1:14" ht="75" customHeight="1" thickTop="1" thickBot="1">
      <c r="A211" s="26">
        <v>209</v>
      </c>
      <c r="B211" s="34">
        <v>212</v>
      </c>
      <c r="C211" s="55" t="s">
        <v>4371</v>
      </c>
      <c r="D211" s="56" t="s">
        <v>394</v>
      </c>
      <c r="E211" s="56" t="s">
        <v>3931</v>
      </c>
      <c r="F211" s="26" t="s">
        <v>3923</v>
      </c>
      <c r="G211" s="26" t="s">
        <v>3932</v>
      </c>
      <c r="H211" s="26" t="s">
        <v>13</v>
      </c>
      <c r="I211" s="26" t="s">
        <v>3924</v>
      </c>
      <c r="J211" s="26" t="s">
        <v>3924</v>
      </c>
      <c r="K211" s="26" t="s">
        <v>3966</v>
      </c>
      <c r="L211" s="26" t="s">
        <v>4372</v>
      </c>
      <c r="M211" s="55" t="s">
        <v>4346</v>
      </c>
      <c r="N211" s="26" t="s">
        <v>3924</v>
      </c>
    </row>
    <row r="212" spans="1:14" ht="75" customHeight="1" thickTop="1" thickBot="1">
      <c r="A212" s="34">
        <v>210</v>
      </c>
      <c r="B212" s="26">
        <v>213</v>
      </c>
      <c r="C212" s="55" t="s">
        <v>4373</v>
      </c>
      <c r="D212" s="56" t="s">
        <v>394</v>
      </c>
      <c r="E212" s="56" t="s">
        <v>3931</v>
      </c>
      <c r="F212" s="26" t="s">
        <v>3923</v>
      </c>
      <c r="G212" s="26" t="s">
        <v>3932</v>
      </c>
      <c r="H212" s="26" t="s">
        <v>13</v>
      </c>
      <c r="I212" s="26" t="s">
        <v>3924</v>
      </c>
      <c r="J212" s="26" t="s">
        <v>3924</v>
      </c>
      <c r="K212" s="26" t="s">
        <v>3966</v>
      </c>
      <c r="L212" s="26" t="s">
        <v>4374</v>
      </c>
      <c r="M212" s="55" t="s">
        <v>4375</v>
      </c>
      <c r="N212" s="26" t="s">
        <v>3924</v>
      </c>
    </row>
    <row r="213" spans="1:14" ht="75" customHeight="1" thickTop="1" thickBot="1">
      <c r="A213" s="34">
        <v>211</v>
      </c>
      <c r="B213" s="34">
        <v>214</v>
      </c>
      <c r="C213" s="55" t="s">
        <v>4373</v>
      </c>
      <c r="D213" s="56" t="s">
        <v>394</v>
      </c>
      <c r="E213" s="56" t="s">
        <v>3931</v>
      </c>
      <c r="F213" s="26" t="s">
        <v>3923</v>
      </c>
      <c r="G213" s="26" t="s">
        <v>3932</v>
      </c>
      <c r="H213" s="26" t="s">
        <v>13</v>
      </c>
      <c r="I213" s="26" t="s">
        <v>3924</v>
      </c>
      <c r="J213" s="26" t="s">
        <v>3924</v>
      </c>
      <c r="K213" s="26" t="s">
        <v>3966</v>
      </c>
      <c r="L213" s="26" t="s">
        <v>4374</v>
      </c>
      <c r="M213" s="55" t="s">
        <v>4376</v>
      </c>
      <c r="N213" s="26" t="s">
        <v>3924</v>
      </c>
    </row>
    <row r="214" spans="1:14" ht="75" customHeight="1" thickTop="1" thickBot="1">
      <c r="A214" s="26">
        <v>212</v>
      </c>
      <c r="B214" s="26">
        <v>215</v>
      </c>
      <c r="C214" s="55" t="s">
        <v>4377</v>
      </c>
      <c r="D214" s="56" t="s">
        <v>394</v>
      </c>
      <c r="E214" s="56" t="s">
        <v>3931</v>
      </c>
      <c r="F214" s="26" t="s">
        <v>3923</v>
      </c>
      <c r="G214" s="26" t="s">
        <v>3932</v>
      </c>
      <c r="H214" s="26" t="s">
        <v>13</v>
      </c>
      <c r="I214" s="26" t="s">
        <v>3924</v>
      </c>
      <c r="J214" s="26" t="s">
        <v>3924</v>
      </c>
      <c r="K214" s="26" t="s">
        <v>4032</v>
      </c>
      <c r="L214" s="26" t="s">
        <v>4033</v>
      </c>
      <c r="M214" s="55" t="s">
        <v>4378</v>
      </c>
      <c r="N214" s="26" t="s">
        <v>3924</v>
      </c>
    </row>
    <row r="215" spans="1:14" ht="75" customHeight="1" thickTop="1" thickBot="1">
      <c r="A215" s="34">
        <v>213</v>
      </c>
      <c r="B215" s="34">
        <v>216</v>
      </c>
      <c r="C215" s="55" t="s">
        <v>4377</v>
      </c>
      <c r="D215" s="56" t="s">
        <v>394</v>
      </c>
      <c r="E215" s="56" t="s">
        <v>3931</v>
      </c>
      <c r="F215" s="26" t="s">
        <v>3923</v>
      </c>
      <c r="G215" s="26" t="s">
        <v>3932</v>
      </c>
      <c r="H215" s="26" t="s">
        <v>13</v>
      </c>
      <c r="I215" s="26" t="s">
        <v>3924</v>
      </c>
      <c r="J215" s="26" t="s">
        <v>3924</v>
      </c>
      <c r="K215" s="26" t="s">
        <v>4032</v>
      </c>
      <c r="L215" s="26" t="s">
        <v>4379</v>
      </c>
      <c r="M215" s="55" t="s">
        <v>4380</v>
      </c>
      <c r="N215" s="26" t="s">
        <v>3924</v>
      </c>
    </row>
    <row r="216" spans="1:14" ht="75" customHeight="1" thickTop="1" thickBot="1">
      <c r="A216" s="34">
        <v>214</v>
      </c>
      <c r="B216" s="26">
        <v>217</v>
      </c>
      <c r="C216" s="55" t="s">
        <v>4381</v>
      </c>
      <c r="D216" s="56" t="s">
        <v>394</v>
      </c>
      <c r="E216" s="56" t="s">
        <v>3931</v>
      </c>
      <c r="F216" s="26" t="s">
        <v>3923</v>
      </c>
      <c r="G216" s="26" t="s">
        <v>3932</v>
      </c>
      <c r="H216" s="26" t="s">
        <v>13</v>
      </c>
      <c r="I216" s="26" t="s">
        <v>3924</v>
      </c>
      <c r="J216" s="26" t="s">
        <v>3924</v>
      </c>
      <c r="K216" s="26" t="s">
        <v>4046</v>
      </c>
      <c r="L216" s="26" t="s">
        <v>3924</v>
      </c>
      <c r="M216" s="55" t="s">
        <v>4382</v>
      </c>
      <c r="N216" s="26" t="s">
        <v>3924</v>
      </c>
    </row>
    <row r="217" spans="1:14" ht="75" customHeight="1" thickTop="1" thickBot="1">
      <c r="A217" s="26">
        <v>215</v>
      </c>
      <c r="B217" s="34">
        <v>218</v>
      </c>
      <c r="C217" s="55" t="s">
        <v>4383</v>
      </c>
      <c r="D217" s="56" t="s">
        <v>394</v>
      </c>
      <c r="E217" s="56" t="s">
        <v>3931</v>
      </c>
      <c r="F217" s="26" t="s">
        <v>3923</v>
      </c>
      <c r="G217" s="26" t="s">
        <v>3932</v>
      </c>
      <c r="H217" s="26" t="s">
        <v>13</v>
      </c>
      <c r="I217" s="26" t="s">
        <v>3924</v>
      </c>
      <c r="J217" s="26" t="s">
        <v>3924</v>
      </c>
      <c r="K217" s="26" t="s">
        <v>4087</v>
      </c>
      <c r="L217" s="26" t="s">
        <v>3924</v>
      </c>
      <c r="M217" s="55" t="s">
        <v>4384</v>
      </c>
      <c r="N217" s="26" t="s">
        <v>3924</v>
      </c>
    </row>
    <row r="218" spans="1:14" ht="75" customHeight="1" thickTop="1" thickBot="1">
      <c r="A218" s="34">
        <v>216</v>
      </c>
      <c r="B218" s="26">
        <v>219</v>
      </c>
      <c r="C218" s="55" t="s">
        <v>4383</v>
      </c>
      <c r="D218" s="56" t="s">
        <v>394</v>
      </c>
      <c r="E218" s="56" t="s">
        <v>3931</v>
      </c>
      <c r="F218" s="26" t="s">
        <v>3923</v>
      </c>
      <c r="G218" s="26" t="s">
        <v>3932</v>
      </c>
      <c r="H218" s="26" t="s">
        <v>13</v>
      </c>
      <c r="I218" s="26" t="s">
        <v>3924</v>
      </c>
      <c r="J218" s="26" t="s">
        <v>3924</v>
      </c>
      <c r="K218" s="26" t="s">
        <v>4087</v>
      </c>
      <c r="L218" s="26" t="s">
        <v>3924</v>
      </c>
      <c r="M218" s="55" t="s">
        <v>4385</v>
      </c>
      <c r="N218" s="26" t="s">
        <v>3924</v>
      </c>
    </row>
    <row r="219" spans="1:14" ht="75" customHeight="1" thickTop="1" thickBot="1">
      <c r="A219" s="34">
        <v>217</v>
      </c>
      <c r="B219" s="34">
        <v>220</v>
      </c>
      <c r="C219" s="55" t="s">
        <v>4386</v>
      </c>
      <c r="D219" s="56" t="s">
        <v>394</v>
      </c>
      <c r="E219" s="56" t="s">
        <v>3931</v>
      </c>
      <c r="F219" s="26" t="s">
        <v>3923</v>
      </c>
      <c r="G219" s="26" t="s">
        <v>3932</v>
      </c>
      <c r="H219" s="26" t="s">
        <v>13</v>
      </c>
      <c r="I219" s="26" t="s">
        <v>3924</v>
      </c>
      <c r="J219" s="26" t="s">
        <v>3924</v>
      </c>
      <c r="K219" s="26" t="s">
        <v>4387</v>
      </c>
      <c r="L219" s="26" t="s">
        <v>3924</v>
      </c>
      <c r="M219" s="55" t="s">
        <v>4388</v>
      </c>
      <c r="N219" s="26" t="s">
        <v>3924</v>
      </c>
    </row>
    <row r="220" spans="1:14" ht="75" customHeight="1" thickTop="1" thickBot="1">
      <c r="A220" s="26">
        <v>218</v>
      </c>
      <c r="B220" s="26">
        <v>221</v>
      </c>
      <c r="C220" s="55" t="s">
        <v>4389</v>
      </c>
      <c r="D220" s="56" t="s">
        <v>394</v>
      </c>
      <c r="E220" s="56" t="s">
        <v>3931</v>
      </c>
      <c r="F220" s="26" t="s">
        <v>3923</v>
      </c>
      <c r="G220" s="26" t="s">
        <v>3932</v>
      </c>
      <c r="H220" s="26" t="s">
        <v>13</v>
      </c>
      <c r="I220" s="26" t="s">
        <v>3924</v>
      </c>
      <c r="J220" s="26" t="s">
        <v>3924</v>
      </c>
      <c r="K220" s="26" t="s">
        <v>3976</v>
      </c>
      <c r="L220" s="26" t="s">
        <v>4111</v>
      </c>
      <c r="M220" s="55" t="s">
        <v>4390</v>
      </c>
      <c r="N220" s="26" t="s">
        <v>3924</v>
      </c>
    </row>
    <row r="221" spans="1:14" ht="75" customHeight="1" thickTop="1" thickBot="1">
      <c r="A221" s="34">
        <v>219</v>
      </c>
      <c r="B221" s="34">
        <v>222</v>
      </c>
      <c r="C221" s="55" t="s">
        <v>4389</v>
      </c>
      <c r="D221" s="56" t="s">
        <v>394</v>
      </c>
      <c r="E221" s="56" t="s">
        <v>3931</v>
      </c>
      <c r="F221" s="26" t="s">
        <v>3923</v>
      </c>
      <c r="G221" s="26" t="s">
        <v>3932</v>
      </c>
      <c r="H221" s="26" t="s">
        <v>13</v>
      </c>
      <c r="I221" s="26" t="s">
        <v>3924</v>
      </c>
      <c r="J221" s="26" t="s">
        <v>3924</v>
      </c>
      <c r="K221" s="26" t="s">
        <v>3947</v>
      </c>
      <c r="L221" s="26" t="s">
        <v>4391</v>
      </c>
      <c r="M221" s="55" t="s">
        <v>4390</v>
      </c>
      <c r="N221" s="26" t="s">
        <v>3924</v>
      </c>
    </row>
    <row r="222" spans="1:14" ht="75" customHeight="1" thickTop="1" thickBot="1">
      <c r="A222" s="34">
        <v>220</v>
      </c>
      <c r="B222" s="26">
        <v>223</v>
      </c>
      <c r="C222" s="55" t="s">
        <v>4392</v>
      </c>
      <c r="D222" s="56" t="s">
        <v>394</v>
      </c>
      <c r="E222" s="56" t="s">
        <v>3931</v>
      </c>
      <c r="F222" s="26" t="s">
        <v>3923</v>
      </c>
      <c r="G222" s="26" t="s">
        <v>3932</v>
      </c>
      <c r="H222" s="26" t="s">
        <v>13</v>
      </c>
      <c r="I222" s="26" t="s">
        <v>3924</v>
      </c>
      <c r="J222" s="26" t="s">
        <v>3924</v>
      </c>
      <c r="K222" s="26" t="s">
        <v>3976</v>
      </c>
      <c r="L222" s="26" t="s">
        <v>3960</v>
      </c>
      <c r="M222" s="55" t="s">
        <v>4393</v>
      </c>
      <c r="N222" s="26" t="s">
        <v>3924</v>
      </c>
    </row>
    <row r="223" spans="1:14" ht="75" customHeight="1" thickTop="1" thickBot="1">
      <c r="A223" s="26">
        <v>221</v>
      </c>
      <c r="B223" s="34">
        <v>224</v>
      </c>
      <c r="C223" s="55" t="s">
        <v>4392</v>
      </c>
      <c r="D223" s="56" t="s">
        <v>394</v>
      </c>
      <c r="E223" s="56" t="s">
        <v>3931</v>
      </c>
      <c r="F223" s="26" t="s">
        <v>3923</v>
      </c>
      <c r="G223" s="26" t="s">
        <v>3932</v>
      </c>
      <c r="H223" s="26" t="s">
        <v>13</v>
      </c>
      <c r="I223" s="26" t="s">
        <v>3924</v>
      </c>
      <c r="J223" s="26" t="s">
        <v>3924</v>
      </c>
      <c r="K223" s="26" t="s">
        <v>4040</v>
      </c>
      <c r="L223" s="26" t="s">
        <v>4096</v>
      </c>
      <c r="M223" s="55" t="s">
        <v>4394</v>
      </c>
      <c r="N223" s="26" t="s">
        <v>3924</v>
      </c>
    </row>
    <row r="224" spans="1:14" ht="75" customHeight="1" thickTop="1" thickBot="1">
      <c r="A224" s="34">
        <v>222</v>
      </c>
      <c r="B224" s="26">
        <v>225</v>
      </c>
      <c r="C224" s="55" t="s">
        <v>4395</v>
      </c>
      <c r="D224" s="56" t="s">
        <v>394</v>
      </c>
      <c r="E224" s="56" t="s">
        <v>3931</v>
      </c>
      <c r="F224" s="26" t="s">
        <v>3923</v>
      </c>
      <c r="G224" s="26" t="s">
        <v>3932</v>
      </c>
      <c r="H224" s="26" t="s">
        <v>13</v>
      </c>
      <c r="I224" s="26" t="s">
        <v>3924</v>
      </c>
      <c r="J224" s="26" t="s">
        <v>3924</v>
      </c>
      <c r="K224" s="26" t="s">
        <v>4040</v>
      </c>
      <c r="L224" s="26" t="s">
        <v>4396</v>
      </c>
      <c r="M224" s="55" t="s">
        <v>4397</v>
      </c>
      <c r="N224" s="26" t="s">
        <v>3924</v>
      </c>
    </row>
    <row r="225" spans="1:14" ht="75" customHeight="1" thickTop="1" thickBot="1">
      <c r="A225" s="34">
        <v>223</v>
      </c>
      <c r="B225" s="34">
        <v>226</v>
      </c>
      <c r="C225" s="55" t="s">
        <v>4395</v>
      </c>
      <c r="D225" s="56" t="s">
        <v>394</v>
      </c>
      <c r="E225" s="56" t="s">
        <v>3931</v>
      </c>
      <c r="F225" s="26" t="s">
        <v>3923</v>
      </c>
      <c r="G225" s="26" t="s">
        <v>3932</v>
      </c>
      <c r="H225" s="26" t="s">
        <v>13</v>
      </c>
      <c r="I225" s="26" t="s">
        <v>3924</v>
      </c>
      <c r="J225" s="26" t="s">
        <v>3924</v>
      </c>
      <c r="K225" s="26" t="s">
        <v>4040</v>
      </c>
      <c r="L225" s="26" t="s">
        <v>4396</v>
      </c>
      <c r="M225" s="55" t="s">
        <v>4398</v>
      </c>
      <c r="N225" s="26" t="s">
        <v>3924</v>
      </c>
    </row>
    <row r="226" spans="1:14" ht="75" customHeight="1" thickTop="1" thickBot="1">
      <c r="A226" s="26">
        <v>224</v>
      </c>
      <c r="B226" s="26">
        <v>227</v>
      </c>
      <c r="C226" s="55" t="s">
        <v>4399</v>
      </c>
      <c r="D226" s="56" t="s">
        <v>394</v>
      </c>
      <c r="E226" s="56" t="s">
        <v>3931</v>
      </c>
      <c r="F226" s="26" t="s">
        <v>3923</v>
      </c>
      <c r="G226" s="26" t="s">
        <v>3932</v>
      </c>
      <c r="H226" s="26" t="s">
        <v>13</v>
      </c>
      <c r="I226" s="26" t="s">
        <v>3924</v>
      </c>
      <c r="J226" s="26" t="s">
        <v>3924</v>
      </c>
      <c r="K226" s="26" t="s">
        <v>4040</v>
      </c>
      <c r="L226" s="26" t="s">
        <v>3924</v>
      </c>
      <c r="M226" s="55" t="s">
        <v>4398</v>
      </c>
      <c r="N226" s="26" t="s">
        <v>3924</v>
      </c>
    </row>
    <row r="227" spans="1:14" ht="75" customHeight="1" thickTop="1" thickBot="1">
      <c r="A227" s="34">
        <v>225</v>
      </c>
      <c r="B227" s="34">
        <v>228</v>
      </c>
      <c r="C227" s="55" t="s">
        <v>4399</v>
      </c>
      <c r="D227" s="56" t="s">
        <v>394</v>
      </c>
      <c r="E227" s="56" t="s">
        <v>3931</v>
      </c>
      <c r="F227" s="26" t="s">
        <v>3923</v>
      </c>
      <c r="G227" s="26" t="s">
        <v>3932</v>
      </c>
      <c r="H227" s="26" t="s">
        <v>13</v>
      </c>
      <c r="I227" s="26" t="s">
        <v>3924</v>
      </c>
      <c r="J227" s="26" t="s">
        <v>3924</v>
      </c>
      <c r="K227" s="26" t="s">
        <v>4040</v>
      </c>
      <c r="L227" s="26" t="s">
        <v>3924</v>
      </c>
      <c r="M227" s="55" t="s">
        <v>4400</v>
      </c>
      <c r="N227" s="26" t="s">
        <v>3924</v>
      </c>
    </row>
    <row r="228" spans="1:14" ht="75" customHeight="1" thickTop="1" thickBot="1">
      <c r="A228" s="34">
        <v>226</v>
      </c>
      <c r="B228" s="26">
        <v>229</v>
      </c>
      <c r="C228" s="55" t="s">
        <v>4401</v>
      </c>
      <c r="D228" s="56" t="s">
        <v>394</v>
      </c>
      <c r="E228" s="56" t="s">
        <v>3931</v>
      </c>
      <c r="F228" s="26" t="s">
        <v>3923</v>
      </c>
      <c r="G228" s="26" t="s">
        <v>3932</v>
      </c>
      <c r="H228" s="26" t="s">
        <v>13</v>
      </c>
      <c r="I228" s="26" t="s">
        <v>3924</v>
      </c>
      <c r="J228" s="26" t="s">
        <v>3924</v>
      </c>
      <c r="K228" s="26" t="s">
        <v>3941</v>
      </c>
      <c r="L228" s="26" t="s">
        <v>4096</v>
      </c>
      <c r="M228" s="55" t="s">
        <v>4394</v>
      </c>
      <c r="N228" s="26" t="s">
        <v>3924</v>
      </c>
    </row>
    <row r="229" spans="1:14" ht="75" customHeight="1" thickTop="1" thickBot="1">
      <c r="A229" s="26">
        <v>227</v>
      </c>
      <c r="B229" s="34">
        <v>230</v>
      </c>
      <c r="C229" s="55" t="s">
        <v>4402</v>
      </c>
      <c r="D229" s="56" t="s">
        <v>394</v>
      </c>
      <c r="E229" s="56" t="s">
        <v>3931</v>
      </c>
      <c r="F229" s="26" t="s">
        <v>3923</v>
      </c>
      <c r="G229" s="26" t="s">
        <v>3932</v>
      </c>
      <c r="H229" s="26" t="s">
        <v>13</v>
      </c>
      <c r="I229" s="26" t="s">
        <v>3924</v>
      </c>
      <c r="J229" s="26" t="s">
        <v>3924</v>
      </c>
      <c r="K229" s="26" t="s">
        <v>4032</v>
      </c>
      <c r="L229" s="26" t="s">
        <v>4403</v>
      </c>
      <c r="M229" s="55" t="s">
        <v>4404</v>
      </c>
      <c r="N229" s="26" t="s">
        <v>3924</v>
      </c>
    </row>
    <row r="230" spans="1:14" ht="75" customHeight="1" thickTop="1" thickBot="1">
      <c r="A230" s="34">
        <v>228</v>
      </c>
      <c r="B230" s="26">
        <v>231</v>
      </c>
      <c r="C230" s="55" t="s">
        <v>4405</v>
      </c>
      <c r="D230" s="56" t="s">
        <v>394</v>
      </c>
      <c r="E230" s="56" t="s">
        <v>3931</v>
      </c>
      <c r="F230" s="26" t="s">
        <v>3923</v>
      </c>
      <c r="G230" s="26" t="s">
        <v>3932</v>
      </c>
      <c r="H230" s="26" t="s">
        <v>13</v>
      </c>
      <c r="I230" s="26" t="s">
        <v>3924</v>
      </c>
      <c r="J230" s="26" t="s">
        <v>3924</v>
      </c>
      <c r="K230" s="26" t="s">
        <v>4032</v>
      </c>
      <c r="L230" s="26" t="s">
        <v>4403</v>
      </c>
      <c r="M230" s="55" t="s">
        <v>4022</v>
      </c>
      <c r="N230" s="26" t="s">
        <v>3924</v>
      </c>
    </row>
    <row r="231" spans="1:14" ht="75" customHeight="1" thickTop="1" thickBot="1">
      <c r="A231" s="34">
        <v>229</v>
      </c>
      <c r="B231" s="34">
        <v>232</v>
      </c>
      <c r="C231" s="55" t="s">
        <v>4405</v>
      </c>
      <c r="D231" s="56" t="s">
        <v>394</v>
      </c>
      <c r="E231" s="56" t="s">
        <v>3931</v>
      </c>
      <c r="F231" s="26" t="s">
        <v>3923</v>
      </c>
      <c r="G231" s="26" t="s">
        <v>3932</v>
      </c>
      <c r="H231" s="26" t="s">
        <v>13</v>
      </c>
      <c r="I231" s="26" t="s">
        <v>3924</v>
      </c>
      <c r="J231" s="26" t="s">
        <v>3924</v>
      </c>
      <c r="K231" s="26" t="s">
        <v>4032</v>
      </c>
      <c r="L231" s="26" t="s">
        <v>3924</v>
      </c>
      <c r="M231" s="55" t="s">
        <v>4406</v>
      </c>
      <c r="N231" s="26" t="s">
        <v>3924</v>
      </c>
    </row>
    <row r="232" spans="1:14" ht="75" customHeight="1" thickTop="1" thickBot="1">
      <c r="A232" s="26">
        <v>230</v>
      </c>
      <c r="B232" s="26">
        <v>233</v>
      </c>
      <c r="C232" s="55" t="s">
        <v>4407</v>
      </c>
      <c r="D232" s="56" t="s">
        <v>394</v>
      </c>
      <c r="E232" s="56" t="s">
        <v>3931</v>
      </c>
      <c r="F232" s="26" t="s">
        <v>3923</v>
      </c>
      <c r="G232" s="26" t="s">
        <v>3932</v>
      </c>
      <c r="H232" s="26" t="s">
        <v>13</v>
      </c>
      <c r="I232" s="26" t="s">
        <v>3924</v>
      </c>
      <c r="J232" s="26" t="s">
        <v>3924</v>
      </c>
      <c r="K232" s="26" t="s">
        <v>3941</v>
      </c>
      <c r="L232" s="26" t="s">
        <v>3924</v>
      </c>
      <c r="M232" s="55" t="s">
        <v>4398</v>
      </c>
      <c r="N232" s="26" t="s">
        <v>3924</v>
      </c>
    </row>
    <row r="233" spans="1:14" ht="75" customHeight="1" thickTop="1" thickBot="1">
      <c r="A233" s="34">
        <v>231</v>
      </c>
      <c r="B233" s="34">
        <v>234</v>
      </c>
      <c r="C233" s="55" t="s">
        <v>4408</v>
      </c>
      <c r="D233" s="56" t="s">
        <v>394</v>
      </c>
      <c r="E233" s="56" t="s">
        <v>3931</v>
      </c>
      <c r="F233" s="26" t="s">
        <v>3923</v>
      </c>
      <c r="G233" s="26" t="s">
        <v>3932</v>
      </c>
      <c r="H233" s="26" t="s">
        <v>13</v>
      </c>
      <c r="I233" s="26" t="s">
        <v>3924</v>
      </c>
      <c r="J233" s="26" t="s">
        <v>3924</v>
      </c>
      <c r="K233" s="26" t="s">
        <v>3926</v>
      </c>
      <c r="L233" s="26" t="s">
        <v>4409</v>
      </c>
      <c r="M233" s="55" t="s">
        <v>4410</v>
      </c>
      <c r="N233" s="26" t="s">
        <v>3924</v>
      </c>
    </row>
    <row r="234" spans="1:14" ht="75" customHeight="1" thickTop="1" thickBot="1">
      <c r="A234" s="34">
        <v>232</v>
      </c>
      <c r="B234" s="26">
        <v>235</v>
      </c>
      <c r="C234" s="55" t="s">
        <v>4411</v>
      </c>
      <c r="D234" s="56" t="s">
        <v>394</v>
      </c>
      <c r="E234" s="56" t="s">
        <v>3931</v>
      </c>
      <c r="F234" s="26" t="s">
        <v>3923</v>
      </c>
      <c r="G234" s="26" t="s">
        <v>3932</v>
      </c>
      <c r="H234" s="26" t="s">
        <v>13</v>
      </c>
      <c r="I234" s="26" t="s">
        <v>3924</v>
      </c>
      <c r="J234" s="26" t="s">
        <v>3924</v>
      </c>
      <c r="K234" s="26" t="s">
        <v>3941</v>
      </c>
      <c r="L234" s="26" t="s">
        <v>4412</v>
      </c>
      <c r="M234" s="55" t="s">
        <v>4413</v>
      </c>
      <c r="N234" s="26" t="s">
        <v>3924</v>
      </c>
    </row>
    <row r="235" spans="1:14" ht="75" customHeight="1" thickTop="1" thickBot="1">
      <c r="A235" s="26">
        <v>233</v>
      </c>
      <c r="B235" s="34">
        <v>236</v>
      </c>
      <c r="C235" s="55" t="s">
        <v>4414</v>
      </c>
      <c r="D235" s="56" t="s">
        <v>394</v>
      </c>
      <c r="E235" s="56" t="s">
        <v>3931</v>
      </c>
      <c r="F235" s="26" t="s">
        <v>3923</v>
      </c>
      <c r="G235" s="26" t="s">
        <v>3932</v>
      </c>
      <c r="H235" s="26" t="s">
        <v>13</v>
      </c>
      <c r="I235" s="26" t="s">
        <v>3924</v>
      </c>
      <c r="J235" s="26" t="s">
        <v>3924</v>
      </c>
      <c r="K235" s="26" t="s">
        <v>3941</v>
      </c>
      <c r="L235" s="26" t="s">
        <v>3924</v>
      </c>
      <c r="M235" s="55" t="s">
        <v>4415</v>
      </c>
      <c r="N235" s="26" t="s">
        <v>3924</v>
      </c>
    </row>
    <row r="236" spans="1:14" ht="75" customHeight="1" thickTop="1" thickBot="1">
      <c r="A236" s="34">
        <v>234</v>
      </c>
      <c r="B236" s="26">
        <v>237</v>
      </c>
      <c r="C236" s="55" t="s">
        <v>4414</v>
      </c>
      <c r="D236" s="56" t="s">
        <v>394</v>
      </c>
      <c r="E236" s="56" t="s">
        <v>3931</v>
      </c>
      <c r="F236" s="26" t="s">
        <v>3923</v>
      </c>
      <c r="G236" s="26" t="s">
        <v>3932</v>
      </c>
      <c r="H236" s="26" t="s">
        <v>13</v>
      </c>
      <c r="I236" s="26" t="s">
        <v>3924</v>
      </c>
      <c r="J236" s="26" t="s">
        <v>3924</v>
      </c>
      <c r="K236" s="26" t="s">
        <v>3941</v>
      </c>
      <c r="L236" s="26" t="s">
        <v>3924</v>
      </c>
      <c r="M236" s="55" t="s">
        <v>4416</v>
      </c>
      <c r="N236" s="26" t="s">
        <v>3924</v>
      </c>
    </row>
    <row r="237" spans="1:14" ht="75" customHeight="1" thickTop="1" thickBot="1">
      <c r="A237" s="34">
        <v>235</v>
      </c>
      <c r="B237" s="34">
        <v>238</v>
      </c>
      <c r="C237" s="55" t="s">
        <v>4417</v>
      </c>
      <c r="D237" s="56" t="s">
        <v>394</v>
      </c>
      <c r="E237" s="56" t="s">
        <v>3931</v>
      </c>
      <c r="F237" s="26" t="s">
        <v>3923</v>
      </c>
      <c r="G237" s="26" t="s">
        <v>3932</v>
      </c>
      <c r="H237" s="26" t="s">
        <v>13</v>
      </c>
      <c r="I237" s="26" t="s">
        <v>3924</v>
      </c>
      <c r="J237" s="26" t="s">
        <v>3924</v>
      </c>
      <c r="K237" s="26" t="s">
        <v>3941</v>
      </c>
      <c r="L237" s="26" t="s">
        <v>3963</v>
      </c>
      <c r="M237" s="55" t="s">
        <v>4418</v>
      </c>
      <c r="N237" s="26" t="s">
        <v>3924</v>
      </c>
    </row>
    <row r="238" spans="1:14" ht="75" customHeight="1" thickTop="1" thickBot="1">
      <c r="A238" s="26">
        <v>236</v>
      </c>
      <c r="B238" s="26">
        <v>239</v>
      </c>
      <c r="C238" s="55" t="s">
        <v>4419</v>
      </c>
      <c r="D238" s="56" t="s">
        <v>394</v>
      </c>
      <c r="E238" s="56" t="s">
        <v>3931</v>
      </c>
      <c r="F238" s="26" t="s">
        <v>3923</v>
      </c>
      <c r="G238" s="26" t="s">
        <v>3932</v>
      </c>
      <c r="H238" s="26" t="s">
        <v>13</v>
      </c>
      <c r="I238" s="26" t="s">
        <v>3924</v>
      </c>
      <c r="J238" s="26" t="s">
        <v>3924</v>
      </c>
      <c r="K238" s="26" t="s">
        <v>4032</v>
      </c>
      <c r="L238" s="26" t="s">
        <v>4420</v>
      </c>
      <c r="M238" s="55" t="s">
        <v>4421</v>
      </c>
      <c r="N238" s="26" t="s">
        <v>3924</v>
      </c>
    </row>
    <row r="239" spans="1:14" ht="75" customHeight="1" thickTop="1" thickBot="1">
      <c r="A239" s="34">
        <v>237</v>
      </c>
      <c r="B239" s="34">
        <v>240</v>
      </c>
      <c r="C239" s="55" t="s">
        <v>4419</v>
      </c>
      <c r="D239" s="56" t="s">
        <v>394</v>
      </c>
      <c r="E239" s="56" t="s">
        <v>3931</v>
      </c>
      <c r="F239" s="26" t="s">
        <v>3923</v>
      </c>
      <c r="G239" s="26" t="s">
        <v>3932</v>
      </c>
      <c r="H239" s="26" t="s">
        <v>13</v>
      </c>
      <c r="I239" s="26" t="s">
        <v>3924</v>
      </c>
      <c r="J239" s="26" t="s">
        <v>3924</v>
      </c>
      <c r="K239" s="26" t="s">
        <v>3941</v>
      </c>
      <c r="L239" s="26" t="s">
        <v>3924</v>
      </c>
      <c r="M239" s="55" t="s">
        <v>4422</v>
      </c>
      <c r="N239" s="26" t="s">
        <v>3924</v>
      </c>
    </row>
    <row r="240" spans="1:14" ht="75" customHeight="1" thickTop="1" thickBot="1">
      <c r="A240" s="34">
        <v>238</v>
      </c>
      <c r="B240" s="26">
        <v>241</v>
      </c>
      <c r="C240" s="55" t="s">
        <v>4419</v>
      </c>
      <c r="D240" s="56" t="s">
        <v>394</v>
      </c>
      <c r="E240" s="56" t="s">
        <v>3931</v>
      </c>
      <c r="F240" s="26" t="s">
        <v>3923</v>
      </c>
      <c r="G240" s="26" t="s">
        <v>3932</v>
      </c>
      <c r="H240" s="26" t="s">
        <v>13</v>
      </c>
      <c r="I240" s="26" t="s">
        <v>3924</v>
      </c>
      <c r="J240" s="26" t="s">
        <v>3924</v>
      </c>
      <c r="K240" s="26" t="s">
        <v>3941</v>
      </c>
      <c r="L240" s="26" t="s">
        <v>3924</v>
      </c>
      <c r="M240" s="55" t="s">
        <v>4423</v>
      </c>
      <c r="N240" s="26" t="s">
        <v>3924</v>
      </c>
    </row>
    <row r="241" spans="1:14" ht="75" customHeight="1" thickTop="1" thickBot="1">
      <c r="A241" s="26">
        <v>239</v>
      </c>
      <c r="B241" s="34">
        <v>242</v>
      </c>
      <c r="C241" s="55" t="s">
        <v>4424</v>
      </c>
      <c r="D241" s="56" t="s">
        <v>394</v>
      </c>
      <c r="E241" s="56" t="s">
        <v>3931</v>
      </c>
      <c r="F241" s="26" t="s">
        <v>3923</v>
      </c>
      <c r="G241" s="26" t="s">
        <v>3932</v>
      </c>
      <c r="H241" s="26" t="s">
        <v>13</v>
      </c>
      <c r="I241" s="26" t="s">
        <v>3924</v>
      </c>
      <c r="J241" s="26" t="s">
        <v>3924</v>
      </c>
      <c r="K241" s="26" t="s">
        <v>4040</v>
      </c>
      <c r="L241" s="26" t="s">
        <v>3924</v>
      </c>
      <c r="M241" s="55" t="s">
        <v>4425</v>
      </c>
      <c r="N241" s="26" t="s">
        <v>3924</v>
      </c>
    </row>
    <row r="242" spans="1:14" ht="75" customHeight="1" thickTop="1" thickBot="1">
      <c r="A242" s="34">
        <v>240</v>
      </c>
      <c r="B242" s="26">
        <v>243</v>
      </c>
      <c r="C242" s="55" t="s">
        <v>4424</v>
      </c>
      <c r="D242" s="56" t="s">
        <v>394</v>
      </c>
      <c r="E242" s="56" t="s">
        <v>3931</v>
      </c>
      <c r="F242" s="26" t="s">
        <v>3923</v>
      </c>
      <c r="G242" s="26" t="s">
        <v>3932</v>
      </c>
      <c r="H242" s="26" t="s">
        <v>13</v>
      </c>
      <c r="I242" s="26" t="s">
        <v>3924</v>
      </c>
      <c r="J242" s="26" t="s">
        <v>3924</v>
      </c>
      <c r="K242" s="26" t="s">
        <v>4040</v>
      </c>
      <c r="L242" s="26" t="s">
        <v>3924</v>
      </c>
      <c r="M242" s="55" t="s">
        <v>4426</v>
      </c>
      <c r="N242" s="26" t="s">
        <v>3924</v>
      </c>
    </row>
    <row r="243" spans="1:14" ht="75" customHeight="1" thickTop="1" thickBot="1">
      <c r="A243" s="34">
        <v>241</v>
      </c>
      <c r="B243" s="34">
        <v>244</v>
      </c>
      <c r="C243" s="55" t="s">
        <v>4427</v>
      </c>
      <c r="D243" s="56" t="s">
        <v>394</v>
      </c>
      <c r="E243" s="56" t="s">
        <v>3931</v>
      </c>
      <c r="F243" s="26" t="s">
        <v>3923</v>
      </c>
      <c r="G243" s="26" t="s">
        <v>3932</v>
      </c>
      <c r="H243" s="26" t="s">
        <v>13</v>
      </c>
      <c r="I243" s="26" t="s">
        <v>3924</v>
      </c>
      <c r="J243" s="26" t="s">
        <v>3924</v>
      </c>
      <c r="K243" s="26" t="s">
        <v>3929</v>
      </c>
      <c r="L243" s="26" t="s">
        <v>4412</v>
      </c>
      <c r="M243" s="55" t="s">
        <v>4413</v>
      </c>
      <c r="N243" s="26" t="s">
        <v>3924</v>
      </c>
    </row>
    <row r="244" spans="1:14" ht="75" customHeight="1" thickTop="1" thickBot="1">
      <c r="A244" s="26">
        <v>242</v>
      </c>
      <c r="B244" s="26">
        <v>245</v>
      </c>
      <c r="C244" s="55" t="s">
        <v>4427</v>
      </c>
      <c r="D244" s="56" t="s">
        <v>394</v>
      </c>
      <c r="E244" s="56" t="s">
        <v>3931</v>
      </c>
      <c r="F244" s="26" t="s">
        <v>3923</v>
      </c>
      <c r="G244" s="26" t="s">
        <v>3932</v>
      </c>
      <c r="H244" s="26" t="s">
        <v>13</v>
      </c>
      <c r="I244" s="26" t="s">
        <v>3924</v>
      </c>
      <c r="J244" s="26" t="s">
        <v>3924</v>
      </c>
      <c r="K244" s="26" t="s">
        <v>3941</v>
      </c>
      <c r="L244" s="26" t="s">
        <v>4029</v>
      </c>
      <c r="M244" s="55" t="s">
        <v>4428</v>
      </c>
      <c r="N244" s="26" t="s">
        <v>3924</v>
      </c>
    </row>
    <row r="245" spans="1:14" ht="75" customHeight="1" thickTop="1" thickBot="1">
      <c r="A245" s="34">
        <v>243</v>
      </c>
      <c r="B245" s="34">
        <v>246</v>
      </c>
      <c r="C245" s="55" t="s">
        <v>4429</v>
      </c>
      <c r="D245" s="56" t="s">
        <v>394</v>
      </c>
      <c r="E245" s="56" t="s">
        <v>3931</v>
      </c>
      <c r="F245" s="26" t="s">
        <v>3923</v>
      </c>
      <c r="G245" s="26" t="s">
        <v>3932</v>
      </c>
      <c r="H245" s="26" t="s">
        <v>13</v>
      </c>
      <c r="I245" s="26" t="s">
        <v>3924</v>
      </c>
      <c r="J245" s="26" t="s">
        <v>3924</v>
      </c>
      <c r="K245" s="26" t="s">
        <v>3941</v>
      </c>
      <c r="L245" s="26" t="s">
        <v>3924</v>
      </c>
      <c r="M245" s="55" t="s">
        <v>4423</v>
      </c>
      <c r="N245" s="26" t="s">
        <v>3924</v>
      </c>
    </row>
    <row r="246" spans="1:14" ht="75" customHeight="1" thickTop="1" thickBot="1">
      <c r="A246" s="34">
        <v>244</v>
      </c>
      <c r="B246" s="26">
        <v>247</v>
      </c>
      <c r="C246" s="55" t="s">
        <v>4430</v>
      </c>
      <c r="D246" s="56" t="s">
        <v>394</v>
      </c>
      <c r="E246" s="56" t="s">
        <v>3931</v>
      </c>
      <c r="F246" s="26" t="s">
        <v>3923</v>
      </c>
      <c r="G246" s="26" t="s">
        <v>3932</v>
      </c>
      <c r="H246" s="26" t="s">
        <v>13</v>
      </c>
      <c r="I246" s="26" t="s">
        <v>3924</v>
      </c>
      <c r="J246" s="26" t="s">
        <v>3924</v>
      </c>
      <c r="K246" s="26" t="s">
        <v>4010</v>
      </c>
      <c r="L246" s="26" t="s">
        <v>3924</v>
      </c>
      <c r="M246" s="55" t="s">
        <v>4431</v>
      </c>
      <c r="N246" s="26" t="s">
        <v>3924</v>
      </c>
    </row>
    <row r="247" spans="1:14" ht="75" customHeight="1" thickTop="1" thickBot="1">
      <c r="A247" s="26">
        <v>245</v>
      </c>
      <c r="B247" s="34">
        <v>248</v>
      </c>
      <c r="C247" s="55" t="s">
        <v>4432</v>
      </c>
      <c r="D247" s="56" t="s">
        <v>394</v>
      </c>
      <c r="E247" s="56" t="s">
        <v>3931</v>
      </c>
      <c r="F247" s="26" t="s">
        <v>3923</v>
      </c>
      <c r="G247" s="26" t="s">
        <v>3932</v>
      </c>
      <c r="H247" s="26" t="s">
        <v>13</v>
      </c>
      <c r="I247" s="26" t="s">
        <v>3924</v>
      </c>
      <c r="J247" s="26" t="s">
        <v>3924</v>
      </c>
      <c r="K247" s="26" t="s">
        <v>3926</v>
      </c>
      <c r="L247" s="26" t="s">
        <v>3986</v>
      </c>
      <c r="M247" s="55" t="s">
        <v>4433</v>
      </c>
      <c r="N247" s="26" t="s">
        <v>3924</v>
      </c>
    </row>
    <row r="248" spans="1:14" ht="75" customHeight="1" thickTop="1" thickBot="1">
      <c r="A248" s="34">
        <v>246</v>
      </c>
      <c r="B248" s="26">
        <v>249</v>
      </c>
      <c r="C248" s="55" t="s">
        <v>4434</v>
      </c>
      <c r="D248" s="56" t="s">
        <v>394</v>
      </c>
      <c r="E248" s="56" t="s">
        <v>3931</v>
      </c>
      <c r="F248" s="26" t="s">
        <v>3923</v>
      </c>
      <c r="G248" s="26" t="s">
        <v>3932</v>
      </c>
      <c r="H248" s="26" t="s">
        <v>13</v>
      </c>
      <c r="I248" s="26" t="s">
        <v>3924</v>
      </c>
      <c r="J248" s="26" t="s">
        <v>3924</v>
      </c>
      <c r="K248" s="26" t="s">
        <v>4004</v>
      </c>
      <c r="L248" s="26" t="s">
        <v>4435</v>
      </c>
      <c r="M248" s="55" t="s">
        <v>4436</v>
      </c>
      <c r="N248" s="26" t="s">
        <v>3924</v>
      </c>
    </row>
    <row r="249" spans="1:14" ht="75" customHeight="1" thickTop="1" thickBot="1">
      <c r="A249" s="34">
        <v>247</v>
      </c>
      <c r="B249" s="34">
        <v>250</v>
      </c>
      <c r="C249" s="55" t="s">
        <v>4437</v>
      </c>
      <c r="D249" s="56" t="s">
        <v>394</v>
      </c>
      <c r="E249" s="56" t="s">
        <v>3931</v>
      </c>
      <c r="F249" s="26" t="s">
        <v>3923</v>
      </c>
      <c r="G249" s="26" t="s">
        <v>3932</v>
      </c>
      <c r="H249" s="26" t="s">
        <v>13</v>
      </c>
      <c r="I249" s="26" t="s">
        <v>3924</v>
      </c>
      <c r="J249" s="26" t="s">
        <v>3924</v>
      </c>
      <c r="K249" s="26" t="s">
        <v>4438</v>
      </c>
      <c r="L249" s="26" t="s">
        <v>3924</v>
      </c>
      <c r="M249" s="55" t="s">
        <v>4426</v>
      </c>
      <c r="N249" s="26" t="s">
        <v>3924</v>
      </c>
    </row>
    <row r="250" spans="1:14" ht="75" customHeight="1" thickTop="1" thickBot="1">
      <c r="A250" s="26">
        <v>248</v>
      </c>
      <c r="B250" s="26">
        <v>251</v>
      </c>
      <c r="C250" s="55" t="s">
        <v>4437</v>
      </c>
      <c r="D250" s="56" t="s">
        <v>394</v>
      </c>
      <c r="E250" s="56" t="s">
        <v>3931</v>
      </c>
      <c r="F250" s="26" t="s">
        <v>3923</v>
      </c>
      <c r="G250" s="26" t="s">
        <v>3932</v>
      </c>
      <c r="H250" s="26" t="s">
        <v>13</v>
      </c>
      <c r="I250" s="26" t="s">
        <v>3924</v>
      </c>
      <c r="J250" s="26" t="s">
        <v>3924</v>
      </c>
      <c r="K250" s="26" t="s">
        <v>3947</v>
      </c>
      <c r="L250" s="26" t="s">
        <v>3924</v>
      </c>
      <c r="M250" s="55" t="s">
        <v>4398</v>
      </c>
      <c r="N250" s="26" t="s">
        <v>3924</v>
      </c>
    </row>
    <row r="251" spans="1:14" ht="75" customHeight="1" thickTop="1" thickBot="1">
      <c r="A251" s="34">
        <v>249</v>
      </c>
      <c r="B251" s="34">
        <v>252</v>
      </c>
      <c r="C251" s="55" t="s">
        <v>4439</v>
      </c>
      <c r="D251" s="56" t="s">
        <v>394</v>
      </c>
      <c r="E251" s="56" t="s">
        <v>3931</v>
      </c>
      <c r="F251" s="26" t="s">
        <v>3923</v>
      </c>
      <c r="G251" s="26" t="s">
        <v>3932</v>
      </c>
      <c r="H251" s="26" t="s">
        <v>13</v>
      </c>
      <c r="I251" s="26" t="s">
        <v>3924</v>
      </c>
      <c r="J251" s="26" t="s">
        <v>4440</v>
      </c>
      <c r="K251" s="26" t="s">
        <v>3926</v>
      </c>
      <c r="L251" s="26" t="s">
        <v>4441</v>
      </c>
      <c r="M251" s="55" t="s">
        <v>4442</v>
      </c>
      <c r="N251" s="26" t="s">
        <v>3924</v>
      </c>
    </row>
    <row r="252" spans="1:14" ht="75" customHeight="1" thickTop="1" thickBot="1">
      <c r="A252" s="34">
        <v>250</v>
      </c>
      <c r="B252" s="26">
        <v>253</v>
      </c>
      <c r="C252" s="55" t="s">
        <v>4443</v>
      </c>
      <c r="D252" s="56" t="s">
        <v>394</v>
      </c>
      <c r="E252" s="56" t="s">
        <v>3931</v>
      </c>
      <c r="F252" s="26" t="s">
        <v>3923</v>
      </c>
      <c r="G252" s="26" t="s">
        <v>3932</v>
      </c>
      <c r="H252" s="26" t="s">
        <v>13</v>
      </c>
      <c r="I252" s="26" t="s">
        <v>3924</v>
      </c>
      <c r="J252" s="26" t="s">
        <v>4440</v>
      </c>
      <c r="K252" s="26" t="s">
        <v>3947</v>
      </c>
      <c r="L252" s="26" t="s">
        <v>4396</v>
      </c>
      <c r="M252" s="55" t="s">
        <v>4444</v>
      </c>
      <c r="N252" s="26" t="s">
        <v>3924</v>
      </c>
    </row>
    <row r="253" spans="1:14" ht="75" customHeight="1" thickTop="1" thickBot="1">
      <c r="A253" s="26">
        <v>251</v>
      </c>
      <c r="B253" s="34">
        <v>254</v>
      </c>
      <c r="C253" s="55" t="s">
        <v>4443</v>
      </c>
      <c r="D253" s="56" t="s">
        <v>394</v>
      </c>
      <c r="E253" s="56" t="s">
        <v>3931</v>
      </c>
      <c r="F253" s="26" t="s">
        <v>3923</v>
      </c>
      <c r="G253" s="26" t="s">
        <v>3932</v>
      </c>
      <c r="H253" s="26" t="s">
        <v>13</v>
      </c>
      <c r="I253" s="26" t="s">
        <v>3924</v>
      </c>
      <c r="J253" s="26" t="s">
        <v>4440</v>
      </c>
      <c r="K253" s="26" t="s">
        <v>3947</v>
      </c>
      <c r="L253" s="26" t="s">
        <v>4096</v>
      </c>
      <c r="M253" s="55" t="s">
        <v>4445</v>
      </c>
      <c r="N253" s="26" t="s">
        <v>3924</v>
      </c>
    </row>
    <row r="254" spans="1:14" ht="75" customHeight="1" thickTop="1" thickBot="1">
      <c r="A254" s="34">
        <v>252</v>
      </c>
      <c r="B254" s="26">
        <v>255</v>
      </c>
      <c r="C254" s="55" t="s">
        <v>4443</v>
      </c>
      <c r="D254" s="56" t="s">
        <v>394</v>
      </c>
      <c r="E254" s="56" t="s">
        <v>3931</v>
      </c>
      <c r="F254" s="26" t="s">
        <v>3923</v>
      </c>
      <c r="G254" s="26" t="s">
        <v>3932</v>
      </c>
      <c r="H254" s="26" t="s">
        <v>13</v>
      </c>
      <c r="I254" s="26" t="s">
        <v>3924</v>
      </c>
      <c r="J254" s="26" t="s">
        <v>4440</v>
      </c>
      <c r="K254" s="26" t="s">
        <v>3947</v>
      </c>
      <c r="L254" s="26" t="s">
        <v>3963</v>
      </c>
      <c r="M254" s="55" t="s">
        <v>4446</v>
      </c>
      <c r="N254" s="26" t="s">
        <v>3924</v>
      </c>
    </row>
    <row r="255" spans="1:14" ht="75" customHeight="1" thickTop="1" thickBot="1">
      <c r="A255" s="34">
        <v>253</v>
      </c>
      <c r="B255" s="34">
        <v>256</v>
      </c>
      <c r="C255" s="55" t="s">
        <v>4447</v>
      </c>
      <c r="D255" s="56" t="s">
        <v>394</v>
      </c>
      <c r="E255" s="56" t="s">
        <v>3931</v>
      </c>
      <c r="F255" s="26" t="s">
        <v>3923</v>
      </c>
      <c r="G255" s="26" t="s">
        <v>3932</v>
      </c>
      <c r="H255" s="26" t="s">
        <v>13</v>
      </c>
      <c r="I255" s="26" t="s">
        <v>3924</v>
      </c>
      <c r="J255" s="26" t="s">
        <v>4448</v>
      </c>
      <c r="K255" s="26" t="s">
        <v>3926</v>
      </c>
      <c r="L255" s="26" t="s">
        <v>4449</v>
      </c>
      <c r="M255" s="55" t="s">
        <v>4450</v>
      </c>
      <c r="N255" s="26" t="s">
        <v>3924</v>
      </c>
    </row>
    <row r="256" spans="1:14" ht="75" customHeight="1" thickTop="1" thickBot="1">
      <c r="A256" s="26">
        <v>254</v>
      </c>
      <c r="B256" s="26">
        <v>257</v>
      </c>
      <c r="C256" s="55" t="s">
        <v>4451</v>
      </c>
      <c r="D256" s="56" t="s">
        <v>394</v>
      </c>
      <c r="E256" s="56" t="s">
        <v>3931</v>
      </c>
      <c r="F256" s="26" t="s">
        <v>3923</v>
      </c>
      <c r="G256" s="26" t="s">
        <v>3932</v>
      </c>
      <c r="H256" s="26" t="s">
        <v>13</v>
      </c>
      <c r="I256" s="26" t="s">
        <v>3924</v>
      </c>
      <c r="J256" s="26" t="s">
        <v>4448</v>
      </c>
      <c r="K256" s="26" t="s">
        <v>3926</v>
      </c>
      <c r="L256" s="26" t="s">
        <v>4452</v>
      </c>
      <c r="M256" s="55" t="s">
        <v>4453</v>
      </c>
      <c r="N256" s="26" t="s">
        <v>3924</v>
      </c>
    </row>
    <row r="257" spans="1:14" ht="75" customHeight="1" thickTop="1" thickBot="1">
      <c r="A257" s="34">
        <v>255</v>
      </c>
      <c r="B257" s="34">
        <v>258</v>
      </c>
      <c r="C257" s="55" t="s">
        <v>4454</v>
      </c>
      <c r="D257" s="56" t="s">
        <v>394</v>
      </c>
      <c r="E257" s="56" t="s">
        <v>3931</v>
      </c>
      <c r="F257" s="26" t="s">
        <v>3923</v>
      </c>
      <c r="G257" s="26" t="s">
        <v>3932</v>
      </c>
      <c r="H257" s="26" t="s">
        <v>13</v>
      </c>
      <c r="I257" s="26" t="s">
        <v>3924</v>
      </c>
      <c r="J257" s="26" t="s">
        <v>3924</v>
      </c>
      <c r="K257" s="26" t="s">
        <v>3947</v>
      </c>
      <c r="L257" s="26" t="s">
        <v>3963</v>
      </c>
      <c r="M257" s="55" t="s">
        <v>4455</v>
      </c>
      <c r="N257" s="26" t="s">
        <v>3924</v>
      </c>
    </row>
    <row r="258" spans="1:14" ht="75" customHeight="1" thickTop="1" thickBot="1">
      <c r="A258" s="34">
        <v>256</v>
      </c>
      <c r="B258" s="26">
        <v>259</v>
      </c>
      <c r="C258" s="55" t="s">
        <v>4454</v>
      </c>
      <c r="D258" s="56" t="s">
        <v>394</v>
      </c>
      <c r="E258" s="56" t="s">
        <v>3931</v>
      </c>
      <c r="F258" s="26" t="s">
        <v>3923</v>
      </c>
      <c r="G258" s="26" t="s">
        <v>3932</v>
      </c>
      <c r="H258" s="26" t="s">
        <v>13</v>
      </c>
      <c r="I258" s="26" t="s">
        <v>3924</v>
      </c>
      <c r="J258" s="26" t="s">
        <v>3924</v>
      </c>
      <c r="K258" s="26" t="s">
        <v>4010</v>
      </c>
      <c r="L258" s="26" t="s">
        <v>3924</v>
      </c>
      <c r="M258" s="55" t="s">
        <v>4456</v>
      </c>
      <c r="N258" s="26" t="s">
        <v>3924</v>
      </c>
    </row>
    <row r="259" spans="1:14" ht="75" customHeight="1" thickTop="1" thickBot="1">
      <c r="A259" s="26">
        <v>257</v>
      </c>
      <c r="B259" s="34">
        <v>260</v>
      </c>
      <c r="C259" s="55" t="s">
        <v>4457</v>
      </c>
      <c r="D259" s="56" t="s">
        <v>394</v>
      </c>
      <c r="E259" s="56" t="s">
        <v>3931</v>
      </c>
      <c r="F259" s="26" t="s">
        <v>3923</v>
      </c>
      <c r="G259" s="26" t="s">
        <v>3932</v>
      </c>
      <c r="H259" s="26" t="s">
        <v>13</v>
      </c>
      <c r="I259" s="26" t="s">
        <v>3924</v>
      </c>
      <c r="J259" s="26" t="s">
        <v>3924</v>
      </c>
      <c r="K259" s="26" t="s">
        <v>3926</v>
      </c>
      <c r="L259" s="26" t="s">
        <v>4458</v>
      </c>
      <c r="M259" s="55" t="s">
        <v>4459</v>
      </c>
      <c r="N259" s="26" t="s">
        <v>3924</v>
      </c>
    </row>
    <row r="260" spans="1:14" ht="75" customHeight="1" thickTop="1" thickBot="1">
      <c r="A260" s="34">
        <v>258</v>
      </c>
      <c r="B260" s="26">
        <v>261</v>
      </c>
      <c r="C260" s="55" t="s">
        <v>4460</v>
      </c>
      <c r="D260" s="56" t="s">
        <v>394</v>
      </c>
      <c r="E260" s="56" t="s">
        <v>3931</v>
      </c>
      <c r="F260" s="26" t="s">
        <v>3923</v>
      </c>
      <c r="G260" s="26" t="s">
        <v>3932</v>
      </c>
      <c r="H260" s="26" t="s">
        <v>13</v>
      </c>
      <c r="I260" s="26" t="s">
        <v>3924</v>
      </c>
      <c r="J260" s="26" t="s">
        <v>3924</v>
      </c>
      <c r="K260" s="26" t="s">
        <v>4010</v>
      </c>
      <c r="L260" s="26" t="s">
        <v>3963</v>
      </c>
      <c r="M260" s="55" t="s">
        <v>4461</v>
      </c>
      <c r="N260" s="26" t="s">
        <v>3924</v>
      </c>
    </row>
    <row r="261" spans="1:14" ht="75" customHeight="1" thickTop="1" thickBot="1">
      <c r="A261" s="34">
        <v>259</v>
      </c>
      <c r="B261" s="34">
        <v>262</v>
      </c>
      <c r="C261" s="55" t="s">
        <v>4460</v>
      </c>
      <c r="D261" s="56" t="s">
        <v>394</v>
      </c>
      <c r="E261" s="56" t="s">
        <v>3931</v>
      </c>
      <c r="F261" s="26" t="s">
        <v>3923</v>
      </c>
      <c r="G261" s="26" t="s">
        <v>3932</v>
      </c>
      <c r="H261" s="26" t="s">
        <v>13</v>
      </c>
      <c r="I261" s="26" t="s">
        <v>3924</v>
      </c>
      <c r="J261" s="26" t="s">
        <v>3924</v>
      </c>
      <c r="K261" s="26" t="s">
        <v>4010</v>
      </c>
      <c r="L261" s="26" t="s">
        <v>3963</v>
      </c>
      <c r="M261" s="55" t="s">
        <v>4462</v>
      </c>
      <c r="N261" s="26" t="s">
        <v>3924</v>
      </c>
    </row>
    <row r="262" spans="1:14" ht="75" customHeight="1" thickTop="1" thickBot="1">
      <c r="A262" s="26">
        <v>260</v>
      </c>
      <c r="B262" s="26">
        <v>263</v>
      </c>
      <c r="C262" s="55" t="s">
        <v>4463</v>
      </c>
      <c r="D262" s="56" t="s">
        <v>394</v>
      </c>
      <c r="E262" s="56" t="s">
        <v>3931</v>
      </c>
      <c r="F262" s="26" t="s">
        <v>3923</v>
      </c>
      <c r="G262" s="26" t="s">
        <v>3932</v>
      </c>
      <c r="H262" s="26" t="s">
        <v>13</v>
      </c>
      <c r="I262" s="26" t="s">
        <v>3924</v>
      </c>
      <c r="J262" s="26" t="s">
        <v>3924</v>
      </c>
      <c r="K262" s="26" t="s">
        <v>4010</v>
      </c>
      <c r="L262" s="26" t="s">
        <v>3963</v>
      </c>
      <c r="M262" s="55" t="s">
        <v>4418</v>
      </c>
      <c r="N262" s="26" t="s">
        <v>3924</v>
      </c>
    </row>
    <row r="263" spans="1:14" ht="75" customHeight="1" thickTop="1" thickBot="1">
      <c r="A263" s="34">
        <v>261</v>
      </c>
      <c r="B263" s="34">
        <v>264</v>
      </c>
      <c r="C263" s="55" t="s">
        <v>4464</v>
      </c>
      <c r="D263" s="56" t="s">
        <v>394</v>
      </c>
      <c r="E263" s="56" t="s">
        <v>3931</v>
      </c>
      <c r="F263" s="26" t="s">
        <v>3923</v>
      </c>
      <c r="G263" s="26" t="s">
        <v>3932</v>
      </c>
      <c r="H263" s="26" t="s">
        <v>13</v>
      </c>
      <c r="I263" s="26" t="s">
        <v>3924</v>
      </c>
      <c r="J263" s="26" t="s">
        <v>3924</v>
      </c>
      <c r="K263" s="26" t="s">
        <v>3976</v>
      </c>
      <c r="L263" s="26" t="s">
        <v>4465</v>
      </c>
      <c r="M263" s="55" t="s">
        <v>4466</v>
      </c>
      <c r="N263" s="26" t="s">
        <v>3924</v>
      </c>
    </row>
    <row r="264" spans="1:14" ht="75" customHeight="1" thickTop="1" thickBot="1">
      <c r="A264" s="34">
        <v>262</v>
      </c>
      <c r="B264" s="26">
        <v>265</v>
      </c>
      <c r="C264" s="55" t="s">
        <v>4464</v>
      </c>
      <c r="D264" s="56" t="s">
        <v>394</v>
      </c>
      <c r="E264" s="56" t="s">
        <v>3931</v>
      </c>
      <c r="F264" s="26" t="s">
        <v>3923</v>
      </c>
      <c r="G264" s="26" t="s">
        <v>3932</v>
      </c>
      <c r="H264" s="26" t="s">
        <v>13</v>
      </c>
      <c r="I264" s="26" t="s">
        <v>3924</v>
      </c>
      <c r="J264" s="26" t="s">
        <v>3924</v>
      </c>
      <c r="K264" s="26" t="s">
        <v>4010</v>
      </c>
      <c r="L264" s="26" t="s">
        <v>3924</v>
      </c>
      <c r="M264" s="55" t="s">
        <v>4467</v>
      </c>
      <c r="N264" s="26" t="s">
        <v>3924</v>
      </c>
    </row>
    <row r="265" spans="1:14" ht="75" customHeight="1" thickTop="1" thickBot="1">
      <c r="A265" s="26">
        <v>263</v>
      </c>
      <c r="B265" s="34">
        <v>266</v>
      </c>
      <c r="C265" s="55" t="s">
        <v>4468</v>
      </c>
      <c r="D265" s="56" t="s">
        <v>394</v>
      </c>
      <c r="E265" s="56" t="s">
        <v>3931</v>
      </c>
      <c r="F265" s="26" t="s">
        <v>3923</v>
      </c>
      <c r="G265" s="26" t="s">
        <v>3932</v>
      </c>
      <c r="H265" s="26" t="s">
        <v>13</v>
      </c>
      <c r="I265" s="26" t="s">
        <v>3924</v>
      </c>
      <c r="J265" s="26" t="s">
        <v>4440</v>
      </c>
      <c r="K265" s="26" t="s">
        <v>4010</v>
      </c>
      <c r="L265" s="26" t="s">
        <v>3924</v>
      </c>
      <c r="M265" s="55" t="s">
        <v>4469</v>
      </c>
      <c r="N265" s="26" t="s">
        <v>3924</v>
      </c>
    </row>
    <row r="266" spans="1:14" ht="75" customHeight="1" thickTop="1" thickBot="1">
      <c r="A266" s="34">
        <v>264</v>
      </c>
      <c r="B266" s="26">
        <v>267</v>
      </c>
      <c r="C266" s="55" t="s">
        <v>4470</v>
      </c>
      <c r="D266" s="56" t="s">
        <v>394</v>
      </c>
      <c r="E266" s="56" t="s">
        <v>3922</v>
      </c>
      <c r="F266" s="26" t="s">
        <v>3923</v>
      </c>
      <c r="G266" s="26" t="s">
        <v>16</v>
      </c>
      <c r="H266" s="26" t="s">
        <v>13</v>
      </c>
      <c r="I266" s="26" t="s">
        <v>3924</v>
      </c>
      <c r="J266" s="26" t="s">
        <v>4471</v>
      </c>
      <c r="K266" s="26" t="s">
        <v>3926</v>
      </c>
      <c r="L266" s="26" t="s">
        <v>3963</v>
      </c>
      <c r="M266" s="55" t="s">
        <v>4472</v>
      </c>
      <c r="N266" s="26" t="s">
        <v>3924</v>
      </c>
    </row>
    <row r="267" spans="1:14" ht="75" customHeight="1" thickTop="1" thickBot="1">
      <c r="A267" s="34">
        <v>265</v>
      </c>
      <c r="B267" s="34">
        <v>268</v>
      </c>
      <c r="C267" s="55" t="s">
        <v>4473</v>
      </c>
      <c r="D267" s="56" t="s">
        <v>394</v>
      </c>
      <c r="E267" s="56" t="s">
        <v>3922</v>
      </c>
      <c r="F267" s="26" t="s">
        <v>3923</v>
      </c>
      <c r="G267" s="26" t="s">
        <v>16</v>
      </c>
      <c r="H267" s="26" t="s">
        <v>13</v>
      </c>
      <c r="I267" s="26" t="s">
        <v>3924</v>
      </c>
      <c r="J267" s="26" t="s">
        <v>4471</v>
      </c>
      <c r="K267" s="26" t="s">
        <v>3926</v>
      </c>
      <c r="L267" s="26" t="s">
        <v>3963</v>
      </c>
      <c r="M267" s="55" t="s">
        <v>4474</v>
      </c>
      <c r="N267" s="26" t="s">
        <v>3924</v>
      </c>
    </row>
    <row r="268" spans="1:14" ht="75" customHeight="1" thickTop="1" thickBot="1">
      <c r="A268" s="26">
        <v>266</v>
      </c>
      <c r="B268" s="26">
        <v>269</v>
      </c>
      <c r="C268" s="55" t="s">
        <v>4475</v>
      </c>
      <c r="D268" s="56" t="s">
        <v>394</v>
      </c>
      <c r="E268" s="56" t="s">
        <v>3922</v>
      </c>
      <c r="F268" s="26" t="s">
        <v>3923</v>
      </c>
      <c r="G268" s="26" t="s">
        <v>16</v>
      </c>
      <c r="H268" s="26" t="s">
        <v>13</v>
      </c>
      <c r="I268" s="26" t="s">
        <v>3924</v>
      </c>
      <c r="J268" s="26" t="s">
        <v>4471</v>
      </c>
      <c r="K268" s="26" t="s">
        <v>3926</v>
      </c>
      <c r="L268" s="26" t="s">
        <v>3927</v>
      </c>
      <c r="M268" s="55" t="s">
        <v>4474</v>
      </c>
      <c r="N268" s="26" t="s">
        <v>3924</v>
      </c>
    </row>
    <row r="269" spans="1:14" ht="75" customHeight="1" thickTop="1" thickBot="1">
      <c r="A269" s="34">
        <v>267</v>
      </c>
      <c r="B269" s="34">
        <v>270</v>
      </c>
      <c r="C269" s="55" t="s">
        <v>4476</v>
      </c>
      <c r="D269" s="56" t="s">
        <v>394</v>
      </c>
      <c r="E269" s="56" t="s">
        <v>3922</v>
      </c>
      <c r="F269" s="26" t="s">
        <v>3923</v>
      </c>
      <c r="G269" s="26" t="s">
        <v>16</v>
      </c>
      <c r="H269" s="26" t="s">
        <v>13</v>
      </c>
      <c r="I269" s="26" t="s">
        <v>3924</v>
      </c>
      <c r="J269" s="26" t="s">
        <v>4477</v>
      </c>
      <c r="K269" s="26" t="s">
        <v>3926</v>
      </c>
      <c r="L269" s="26" t="s">
        <v>3927</v>
      </c>
      <c r="M269" s="55" t="s">
        <v>4478</v>
      </c>
      <c r="N269" s="26" t="s">
        <v>3924</v>
      </c>
    </row>
    <row r="270" spans="1:14" ht="75" customHeight="1" thickTop="1" thickBot="1">
      <c r="A270" s="34">
        <v>268</v>
      </c>
      <c r="B270" s="26">
        <v>271</v>
      </c>
      <c r="C270" s="55" t="s">
        <v>4476</v>
      </c>
      <c r="D270" s="56" t="s">
        <v>394</v>
      </c>
      <c r="E270" s="56" t="s">
        <v>3922</v>
      </c>
      <c r="F270" s="26" t="s">
        <v>3923</v>
      </c>
      <c r="G270" s="26" t="s">
        <v>16</v>
      </c>
      <c r="H270" s="26" t="s">
        <v>13</v>
      </c>
      <c r="I270" s="26" t="s">
        <v>3924</v>
      </c>
      <c r="J270" s="26" t="s">
        <v>4477</v>
      </c>
      <c r="K270" s="26" t="s">
        <v>3926</v>
      </c>
      <c r="L270" s="26" t="s">
        <v>3927</v>
      </c>
      <c r="M270" s="55" t="s">
        <v>4479</v>
      </c>
      <c r="N270" s="26" t="s">
        <v>3924</v>
      </c>
    </row>
    <row r="271" spans="1:14" ht="75" customHeight="1" thickTop="1" thickBot="1">
      <c r="A271" s="26">
        <v>269</v>
      </c>
      <c r="B271" s="34">
        <v>272</v>
      </c>
      <c r="C271" s="55" t="s">
        <v>4476</v>
      </c>
      <c r="D271" s="56" t="s">
        <v>394</v>
      </c>
      <c r="E271" s="56" t="s">
        <v>3922</v>
      </c>
      <c r="F271" s="26" t="s">
        <v>3923</v>
      </c>
      <c r="G271" s="26" t="s">
        <v>16</v>
      </c>
      <c r="H271" s="26" t="s">
        <v>13</v>
      </c>
      <c r="I271" s="26" t="s">
        <v>3924</v>
      </c>
      <c r="J271" s="26" t="s">
        <v>4480</v>
      </c>
      <c r="K271" s="26" t="s">
        <v>3926</v>
      </c>
      <c r="L271" s="26" t="s">
        <v>3927</v>
      </c>
      <c r="M271" s="55" t="s">
        <v>4481</v>
      </c>
      <c r="N271" s="26" t="s">
        <v>3924</v>
      </c>
    </row>
    <row r="272" spans="1:14" ht="75" customHeight="1" thickTop="1" thickBot="1">
      <c r="A272" s="34">
        <v>270</v>
      </c>
      <c r="B272" s="26">
        <v>273</v>
      </c>
      <c r="C272" s="55" t="s">
        <v>4482</v>
      </c>
      <c r="D272" s="56" t="s">
        <v>394</v>
      </c>
      <c r="E272" s="56" t="s">
        <v>3922</v>
      </c>
      <c r="F272" s="26" t="s">
        <v>3923</v>
      </c>
      <c r="G272" s="26" t="s">
        <v>16</v>
      </c>
      <c r="H272" s="26" t="s">
        <v>13</v>
      </c>
      <c r="I272" s="26" t="s">
        <v>3924</v>
      </c>
      <c r="J272" s="26" t="s">
        <v>4480</v>
      </c>
      <c r="K272" s="26" t="s">
        <v>4483</v>
      </c>
      <c r="L272" s="26" t="s">
        <v>3927</v>
      </c>
      <c r="M272" s="55" t="s">
        <v>4484</v>
      </c>
      <c r="N272" s="26" t="s">
        <v>3924</v>
      </c>
    </row>
    <row r="273" spans="1:14" ht="75" customHeight="1" thickTop="1" thickBot="1">
      <c r="A273" s="34">
        <v>271</v>
      </c>
      <c r="B273" s="34">
        <v>274</v>
      </c>
      <c r="C273" s="55" t="s">
        <v>4482</v>
      </c>
      <c r="D273" s="56" t="s">
        <v>394</v>
      </c>
      <c r="E273" s="56" t="s">
        <v>3922</v>
      </c>
      <c r="F273" s="26" t="s">
        <v>3923</v>
      </c>
      <c r="G273" s="26" t="s">
        <v>16</v>
      </c>
      <c r="H273" s="26" t="s">
        <v>13</v>
      </c>
      <c r="I273" s="26" t="s">
        <v>3924</v>
      </c>
      <c r="J273" s="26" t="s">
        <v>4480</v>
      </c>
      <c r="K273" s="26" t="s">
        <v>3926</v>
      </c>
      <c r="L273" s="26" t="s">
        <v>3927</v>
      </c>
      <c r="M273" s="55" t="s">
        <v>4485</v>
      </c>
      <c r="N273" s="26" t="s">
        <v>3924</v>
      </c>
    </row>
    <row r="274" spans="1:14" ht="75" customHeight="1" thickTop="1" thickBot="1">
      <c r="A274" s="26">
        <v>272</v>
      </c>
      <c r="B274" s="26">
        <v>275</v>
      </c>
      <c r="C274" s="55" t="s">
        <v>4486</v>
      </c>
      <c r="D274" s="56" t="s">
        <v>394</v>
      </c>
      <c r="E274" s="56" t="s">
        <v>3922</v>
      </c>
      <c r="F274" s="26" t="s">
        <v>3923</v>
      </c>
      <c r="G274" s="26" t="s">
        <v>16</v>
      </c>
      <c r="H274" s="26" t="s">
        <v>13</v>
      </c>
      <c r="I274" s="26" t="s">
        <v>3924</v>
      </c>
      <c r="J274" s="26" t="s">
        <v>4480</v>
      </c>
      <c r="K274" s="26" t="s">
        <v>3947</v>
      </c>
      <c r="L274" s="26" t="s">
        <v>3986</v>
      </c>
      <c r="M274" s="55" t="s">
        <v>4487</v>
      </c>
      <c r="N274" s="26" t="s">
        <v>3924</v>
      </c>
    </row>
    <row r="275" spans="1:14" ht="75" customHeight="1" thickTop="1" thickBot="1">
      <c r="A275" s="34">
        <v>273</v>
      </c>
      <c r="B275" s="34">
        <v>276</v>
      </c>
      <c r="C275" s="55" t="s">
        <v>4488</v>
      </c>
      <c r="D275" s="56" t="s">
        <v>394</v>
      </c>
      <c r="E275" s="56" t="s">
        <v>3922</v>
      </c>
      <c r="F275" s="26" t="s">
        <v>3923</v>
      </c>
      <c r="G275" s="26" t="s">
        <v>16</v>
      </c>
      <c r="H275" s="26" t="s">
        <v>13</v>
      </c>
      <c r="I275" s="26" t="s">
        <v>3924</v>
      </c>
      <c r="J275" s="26" t="s">
        <v>4480</v>
      </c>
      <c r="K275" s="26" t="s">
        <v>3926</v>
      </c>
      <c r="L275" s="26" t="s">
        <v>3927</v>
      </c>
      <c r="M275" s="55" t="s">
        <v>4489</v>
      </c>
      <c r="N275" s="26" t="s">
        <v>3924</v>
      </c>
    </row>
    <row r="276" spans="1:14" ht="75" customHeight="1" thickTop="1" thickBot="1">
      <c r="A276" s="34">
        <v>274</v>
      </c>
      <c r="B276" s="26">
        <v>277</v>
      </c>
      <c r="C276" s="55" t="s">
        <v>4490</v>
      </c>
      <c r="D276" s="56" t="s">
        <v>394</v>
      </c>
      <c r="E276" s="56" t="s">
        <v>3922</v>
      </c>
      <c r="F276" s="26" t="s">
        <v>3923</v>
      </c>
      <c r="G276" s="26" t="s">
        <v>16</v>
      </c>
      <c r="H276" s="26" t="s">
        <v>13</v>
      </c>
      <c r="I276" s="26" t="s">
        <v>3924</v>
      </c>
      <c r="J276" s="26" t="s">
        <v>4491</v>
      </c>
      <c r="K276" s="26" t="s">
        <v>3926</v>
      </c>
      <c r="L276" s="26" t="s">
        <v>3927</v>
      </c>
      <c r="M276" s="55" t="s">
        <v>4492</v>
      </c>
      <c r="N276" s="26" t="s">
        <v>3924</v>
      </c>
    </row>
    <row r="277" spans="1:14" ht="75" customHeight="1" thickTop="1" thickBot="1">
      <c r="A277" s="26">
        <v>275</v>
      </c>
      <c r="B277" s="34">
        <v>278</v>
      </c>
      <c r="C277" s="55" t="s">
        <v>4493</v>
      </c>
      <c r="D277" s="56" t="s">
        <v>394</v>
      </c>
      <c r="E277" s="56" t="s">
        <v>3922</v>
      </c>
      <c r="F277" s="26" t="s">
        <v>3923</v>
      </c>
      <c r="G277" s="26" t="s">
        <v>16</v>
      </c>
      <c r="H277" s="26" t="s">
        <v>13</v>
      </c>
      <c r="I277" s="26" t="s">
        <v>3924</v>
      </c>
      <c r="J277" s="26" t="s">
        <v>4491</v>
      </c>
      <c r="K277" s="26" t="s">
        <v>3947</v>
      </c>
      <c r="L277" s="26" t="s">
        <v>3927</v>
      </c>
      <c r="M277" s="55" t="s">
        <v>4494</v>
      </c>
      <c r="N277" s="26" t="s">
        <v>3924</v>
      </c>
    </row>
    <row r="278" spans="1:14" ht="75" customHeight="1" thickTop="1" thickBot="1">
      <c r="A278" s="34">
        <v>276</v>
      </c>
      <c r="B278" s="26">
        <v>279</v>
      </c>
      <c r="C278" s="55" t="s">
        <v>4495</v>
      </c>
      <c r="D278" s="56" t="s">
        <v>394</v>
      </c>
      <c r="E278" s="56" t="s">
        <v>3922</v>
      </c>
      <c r="F278" s="26" t="s">
        <v>3923</v>
      </c>
      <c r="G278" s="26" t="s">
        <v>16</v>
      </c>
      <c r="H278" s="26" t="s">
        <v>13</v>
      </c>
      <c r="I278" s="26" t="s">
        <v>3924</v>
      </c>
      <c r="J278" s="26" t="s">
        <v>4491</v>
      </c>
      <c r="K278" s="26" t="s">
        <v>3947</v>
      </c>
      <c r="L278" s="26" t="s">
        <v>3963</v>
      </c>
      <c r="M278" s="55" t="s">
        <v>4496</v>
      </c>
      <c r="N278" s="26" t="s">
        <v>3924</v>
      </c>
    </row>
    <row r="279" spans="1:14" ht="75" customHeight="1" thickTop="1" thickBot="1">
      <c r="A279" s="34">
        <v>277</v>
      </c>
      <c r="B279" s="34">
        <v>280</v>
      </c>
      <c r="C279" s="55" t="s">
        <v>4495</v>
      </c>
      <c r="D279" s="56" t="s">
        <v>394</v>
      </c>
      <c r="E279" s="56" t="s">
        <v>3922</v>
      </c>
      <c r="F279" s="26" t="s">
        <v>3923</v>
      </c>
      <c r="G279" s="26" t="s">
        <v>16</v>
      </c>
      <c r="H279" s="26" t="s">
        <v>13</v>
      </c>
      <c r="I279" s="26" t="s">
        <v>3924</v>
      </c>
      <c r="J279" s="26" t="s">
        <v>4491</v>
      </c>
      <c r="K279" s="26" t="s">
        <v>3947</v>
      </c>
      <c r="L279" s="26" t="s">
        <v>3963</v>
      </c>
      <c r="M279" s="55" t="s">
        <v>4497</v>
      </c>
      <c r="N279" s="26" t="s">
        <v>3924</v>
      </c>
    </row>
    <row r="280" spans="1:14" ht="75" customHeight="1" thickTop="1" thickBot="1">
      <c r="A280" s="26">
        <v>278</v>
      </c>
      <c r="B280" s="26">
        <v>281</v>
      </c>
      <c r="C280" s="55" t="s">
        <v>4498</v>
      </c>
      <c r="D280" s="56" t="s">
        <v>394</v>
      </c>
      <c r="E280" s="56" t="s">
        <v>3922</v>
      </c>
      <c r="F280" s="26" t="s">
        <v>3923</v>
      </c>
      <c r="G280" s="26" t="s">
        <v>16</v>
      </c>
      <c r="H280" s="26" t="s">
        <v>13</v>
      </c>
      <c r="I280" s="26" t="s">
        <v>3924</v>
      </c>
      <c r="J280" s="26" t="s">
        <v>4499</v>
      </c>
      <c r="K280" s="26" t="s">
        <v>3947</v>
      </c>
      <c r="L280" s="26" t="s">
        <v>4203</v>
      </c>
      <c r="M280" s="55" t="s">
        <v>4497</v>
      </c>
      <c r="N280" s="26" t="s">
        <v>3924</v>
      </c>
    </row>
    <row r="281" spans="1:14" ht="75" customHeight="1" thickTop="1" thickBot="1">
      <c r="A281" s="34">
        <v>279</v>
      </c>
      <c r="B281" s="34">
        <v>282</v>
      </c>
      <c r="C281" s="55" t="s">
        <v>4500</v>
      </c>
      <c r="D281" s="56" t="s">
        <v>394</v>
      </c>
      <c r="E281" s="56" t="s">
        <v>3922</v>
      </c>
      <c r="F281" s="26" t="s">
        <v>3923</v>
      </c>
      <c r="G281" s="26" t="s">
        <v>16</v>
      </c>
      <c r="H281" s="26" t="s">
        <v>13</v>
      </c>
      <c r="I281" s="26" t="s">
        <v>3924</v>
      </c>
      <c r="J281" s="26" t="s">
        <v>4499</v>
      </c>
      <c r="K281" s="26" t="s">
        <v>3947</v>
      </c>
      <c r="L281" s="26" t="s">
        <v>4284</v>
      </c>
      <c r="M281" s="55" t="s">
        <v>4501</v>
      </c>
      <c r="N281" s="26" t="s">
        <v>3924</v>
      </c>
    </row>
    <row r="282" spans="1:14" ht="75" customHeight="1" thickTop="1" thickBot="1">
      <c r="A282" s="34">
        <v>280</v>
      </c>
      <c r="B282" s="26">
        <v>283</v>
      </c>
      <c r="C282" s="55" t="s">
        <v>4500</v>
      </c>
      <c r="D282" s="56" t="s">
        <v>394</v>
      </c>
      <c r="E282" s="56" t="s">
        <v>3922</v>
      </c>
      <c r="F282" s="26" t="s">
        <v>3923</v>
      </c>
      <c r="G282" s="26" t="s">
        <v>16</v>
      </c>
      <c r="H282" s="26" t="s">
        <v>13</v>
      </c>
      <c r="I282" s="26" t="s">
        <v>3924</v>
      </c>
      <c r="J282" s="26" t="s">
        <v>4499</v>
      </c>
      <c r="K282" s="26" t="s">
        <v>3947</v>
      </c>
      <c r="L282" s="26" t="s">
        <v>4284</v>
      </c>
      <c r="M282" s="55" t="s">
        <v>2240</v>
      </c>
      <c r="N282" s="26" t="s">
        <v>3924</v>
      </c>
    </row>
    <row r="283" spans="1:14" ht="75" customHeight="1" thickTop="1" thickBot="1">
      <c r="A283" s="26">
        <v>281</v>
      </c>
      <c r="B283" s="34">
        <v>284</v>
      </c>
      <c r="C283" s="55" t="s">
        <v>4502</v>
      </c>
      <c r="D283" s="56" t="s">
        <v>394</v>
      </c>
      <c r="E283" s="56" t="s">
        <v>3922</v>
      </c>
      <c r="F283" s="26" t="s">
        <v>3923</v>
      </c>
      <c r="G283" s="26" t="s">
        <v>16</v>
      </c>
      <c r="H283" s="26" t="s">
        <v>13</v>
      </c>
      <c r="I283" s="26" t="s">
        <v>3924</v>
      </c>
      <c r="J283" s="26" t="s">
        <v>4503</v>
      </c>
      <c r="K283" s="26" t="s">
        <v>3947</v>
      </c>
      <c r="L283" s="26" t="s">
        <v>4239</v>
      </c>
      <c r="M283" s="55" t="s">
        <v>844</v>
      </c>
      <c r="N283" s="26" t="s">
        <v>3924</v>
      </c>
    </row>
    <row r="284" spans="1:14" ht="75" customHeight="1" thickTop="1" thickBot="1">
      <c r="A284" s="34">
        <v>282</v>
      </c>
      <c r="B284" s="26">
        <v>285</v>
      </c>
      <c r="C284" s="55" t="s">
        <v>4502</v>
      </c>
      <c r="D284" s="56" t="s">
        <v>394</v>
      </c>
      <c r="E284" s="56" t="s">
        <v>3922</v>
      </c>
      <c r="F284" s="26" t="s">
        <v>3923</v>
      </c>
      <c r="G284" s="26" t="s">
        <v>16</v>
      </c>
      <c r="H284" s="26" t="s">
        <v>13</v>
      </c>
      <c r="I284" s="26" t="s">
        <v>3924</v>
      </c>
      <c r="J284" s="26" t="s">
        <v>4503</v>
      </c>
      <c r="K284" s="26" t="s">
        <v>3947</v>
      </c>
      <c r="L284" s="26" t="s">
        <v>3927</v>
      </c>
      <c r="M284" s="55" t="s">
        <v>1385</v>
      </c>
      <c r="N284" s="26" t="s">
        <v>3924</v>
      </c>
    </row>
    <row r="285" spans="1:14" ht="75" customHeight="1" thickTop="1" thickBot="1">
      <c r="A285" s="34">
        <v>283</v>
      </c>
      <c r="B285" s="34">
        <v>286</v>
      </c>
      <c r="C285" s="55" t="s">
        <v>4504</v>
      </c>
      <c r="D285" s="56" t="s">
        <v>394</v>
      </c>
      <c r="E285" s="56" t="s">
        <v>3922</v>
      </c>
      <c r="F285" s="26" t="s">
        <v>3923</v>
      </c>
      <c r="G285" s="26" t="s">
        <v>16</v>
      </c>
      <c r="H285" s="26" t="s">
        <v>13</v>
      </c>
      <c r="I285" s="26" t="s">
        <v>3924</v>
      </c>
      <c r="J285" s="26" t="s">
        <v>4505</v>
      </c>
      <c r="K285" s="26" t="s">
        <v>4010</v>
      </c>
      <c r="L285" s="26" t="s">
        <v>4203</v>
      </c>
      <c r="M285" s="55" t="s">
        <v>4501</v>
      </c>
      <c r="N285" s="26" t="s">
        <v>3924</v>
      </c>
    </row>
    <row r="286" spans="1:14" ht="75" customHeight="1" thickTop="1" thickBot="1">
      <c r="A286" s="26">
        <v>284</v>
      </c>
      <c r="B286" s="26">
        <v>287</v>
      </c>
      <c r="C286" s="55" t="s">
        <v>4504</v>
      </c>
      <c r="D286" s="56" t="s">
        <v>394</v>
      </c>
      <c r="E286" s="56" t="s">
        <v>3922</v>
      </c>
      <c r="F286" s="26" t="s">
        <v>3923</v>
      </c>
      <c r="G286" s="26" t="s">
        <v>16</v>
      </c>
      <c r="H286" s="26" t="s">
        <v>13</v>
      </c>
      <c r="I286" s="26" t="s">
        <v>3924</v>
      </c>
      <c r="J286" s="26" t="s">
        <v>4506</v>
      </c>
      <c r="K286" s="26" t="s">
        <v>4010</v>
      </c>
      <c r="L286" s="26" t="s">
        <v>3963</v>
      </c>
      <c r="M286" s="55" t="s">
        <v>1146</v>
      </c>
      <c r="N286" s="26" t="s">
        <v>3924</v>
      </c>
    </row>
    <row r="287" spans="1:14" ht="75" customHeight="1" thickTop="1" thickBot="1">
      <c r="A287" s="34">
        <v>285</v>
      </c>
      <c r="B287" s="34">
        <v>288</v>
      </c>
      <c r="C287" s="55" t="s">
        <v>4504</v>
      </c>
      <c r="D287" s="56" t="s">
        <v>394</v>
      </c>
      <c r="E287" s="56" t="s">
        <v>3922</v>
      </c>
      <c r="F287" s="26" t="s">
        <v>3923</v>
      </c>
      <c r="G287" s="26" t="s">
        <v>16</v>
      </c>
      <c r="H287" s="26" t="s">
        <v>13</v>
      </c>
      <c r="I287" s="26" t="s">
        <v>3924</v>
      </c>
      <c r="J287" s="26" t="s">
        <v>4506</v>
      </c>
      <c r="K287" s="26" t="s">
        <v>4010</v>
      </c>
      <c r="L287" s="26" t="s">
        <v>3986</v>
      </c>
      <c r="M287" s="55" t="s">
        <v>4501</v>
      </c>
      <c r="N287" s="26" t="s">
        <v>3924</v>
      </c>
    </row>
    <row r="288" spans="1:14" ht="75" customHeight="1" thickTop="1" thickBot="1">
      <c r="A288" s="34">
        <v>286</v>
      </c>
      <c r="B288" s="26">
        <v>289</v>
      </c>
      <c r="C288" s="55" t="s">
        <v>4507</v>
      </c>
      <c r="D288" s="56" t="s">
        <v>394</v>
      </c>
      <c r="E288" s="56" t="s">
        <v>3922</v>
      </c>
      <c r="F288" s="26" t="s">
        <v>3923</v>
      </c>
      <c r="G288" s="26" t="s">
        <v>16</v>
      </c>
      <c r="H288" s="26" t="s">
        <v>13</v>
      </c>
      <c r="I288" s="26" t="s">
        <v>3924</v>
      </c>
      <c r="J288" s="26" t="s">
        <v>4506</v>
      </c>
      <c r="K288" s="26" t="s">
        <v>4010</v>
      </c>
      <c r="L288" s="26" t="s">
        <v>4239</v>
      </c>
      <c r="M288" s="55" t="s">
        <v>4508</v>
      </c>
      <c r="N288" s="26" t="s">
        <v>3924</v>
      </c>
    </row>
    <row r="289" spans="1:14" ht="75" customHeight="1" thickTop="1" thickBot="1">
      <c r="A289" s="26">
        <v>287</v>
      </c>
      <c r="B289" s="34">
        <v>290</v>
      </c>
      <c r="C289" s="55" t="s">
        <v>4507</v>
      </c>
      <c r="D289" s="56" t="s">
        <v>394</v>
      </c>
      <c r="E289" s="56" t="s">
        <v>3922</v>
      </c>
      <c r="F289" s="26" t="s">
        <v>3923</v>
      </c>
      <c r="G289" s="26" t="s">
        <v>16</v>
      </c>
      <c r="H289" s="26" t="s">
        <v>13</v>
      </c>
      <c r="I289" s="26" t="s">
        <v>3924</v>
      </c>
      <c r="J289" s="26" t="s">
        <v>4509</v>
      </c>
      <c r="K289" s="26" t="s">
        <v>4010</v>
      </c>
      <c r="L289" s="26" t="s">
        <v>4239</v>
      </c>
      <c r="M289" s="55" t="s">
        <v>4510</v>
      </c>
      <c r="N289" s="26" t="s">
        <v>3924</v>
      </c>
    </row>
    <row r="290" spans="1:14" ht="75" customHeight="1" thickTop="1" thickBot="1">
      <c r="A290" s="34">
        <v>288</v>
      </c>
      <c r="B290" s="26">
        <v>291</v>
      </c>
      <c r="C290" s="55" t="s">
        <v>4511</v>
      </c>
      <c r="D290" s="56" t="s">
        <v>394</v>
      </c>
      <c r="E290" s="56" t="s">
        <v>3922</v>
      </c>
      <c r="F290" s="26" t="s">
        <v>3923</v>
      </c>
      <c r="G290" s="26" t="s">
        <v>16</v>
      </c>
      <c r="H290" s="26" t="s">
        <v>13</v>
      </c>
      <c r="I290" s="26" t="s">
        <v>3924</v>
      </c>
      <c r="J290" s="26" t="s">
        <v>4509</v>
      </c>
      <c r="K290" s="26" t="s">
        <v>3947</v>
      </c>
      <c r="L290" s="26" t="s">
        <v>3927</v>
      </c>
      <c r="M290" s="55" t="s">
        <v>4512</v>
      </c>
      <c r="N290" s="26" t="s">
        <v>3924</v>
      </c>
    </row>
    <row r="291" spans="1:14" ht="75" customHeight="1" thickTop="1" thickBot="1">
      <c r="A291" s="34">
        <v>289</v>
      </c>
      <c r="B291" s="34">
        <v>292</v>
      </c>
      <c r="C291" s="55" t="s">
        <v>4513</v>
      </c>
      <c r="D291" s="56" t="s">
        <v>394</v>
      </c>
      <c r="E291" s="56" t="s">
        <v>3922</v>
      </c>
      <c r="F291" s="26" t="s">
        <v>3923</v>
      </c>
      <c r="G291" s="26" t="s">
        <v>16</v>
      </c>
      <c r="H291" s="26" t="s">
        <v>13</v>
      </c>
      <c r="I291" s="26" t="s">
        <v>3924</v>
      </c>
      <c r="J291" s="26" t="s">
        <v>4509</v>
      </c>
      <c r="K291" s="26" t="s">
        <v>3941</v>
      </c>
      <c r="L291" s="26" t="s">
        <v>4203</v>
      </c>
      <c r="M291" s="55" t="s">
        <v>4514</v>
      </c>
      <c r="N291" s="26" t="s">
        <v>3924</v>
      </c>
    </row>
    <row r="292" spans="1:14" ht="75" customHeight="1" thickTop="1" thickBot="1">
      <c r="A292" s="26">
        <v>290</v>
      </c>
      <c r="B292" s="26">
        <v>293</v>
      </c>
      <c r="C292" s="55" t="s">
        <v>4513</v>
      </c>
      <c r="D292" s="56" t="s">
        <v>394</v>
      </c>
      <c r="E292" s="56" t="s">
        <v>3922</v>
      </c>
      <c r="F292" s="26" t="s">
        <v>3923</v>
      </c>
      <c r="G292" s="26" t="s">
        <v>16</v>
      </c>
      <c r="H292" s="26" t="s">
        <v>13</v>
      </c>
      <c r="I292" s="26" t="s">
        <v>3924</v>
      </c>
      <c r="J292" s="26" t="s">
        <v>4515</v>
      </c>
      <c r="K292" s="26" t="s">
        <v>3941</v>
      </c>
      <c r="L292" s="26" t="s">
        <v>4516</v>
      </c>
      <c r="M292" s="55" t="s">
        <v>4514</v>
      </c>
      <c r="N292" s="26" t="s">
        <v>3924</v>
      </c>
    </row>
    <row r="293" spans="1:14" ht="75" customHeight="1" thickTop="1" thickBot="1">
      <c r="A293" s="34">
        <v>291</v>
      </c>
      <c r="B293" s="34">
        <v>294</v>
      </c>
      <c r="C293" s="55" t="s">
        <v>4517</v>
      </c>
      <c r="D293" s="56" t="s">
        <v>394</v>
      </c>
      <c r="E293" s="56" t="s">
        <v>3922</v>
      </c>
      <c r="F293" s="26" t="s">
        <v>3923</v>
      </c>
      <c r="G293" s="26" t="s">
        <v>16</v>
      </c>
      <c r="H293" s="26" t="s">
        <v>13</v>
      </c>
      <c r="I293" s="26" t="s">
        <v>3924</v>
      </c>
      <c r="J293" s="26" t="s">
        <v>4515</v>
      </c>
      <c r="K293" s="26" t="s">
        <v>3941</v>
      </c>
      <c r="L293" s="26" t="s">
        <v>4277</v>
      </c>
      <c r="M293" s="55" t="s">
        <v>4497</v>
      </c>
      <c r="N293" s="26" t="s">
        <v>3924</v>
      </c>
    </row>
    <row r="294" spans="1:14" ht="75" customHeight="1" thickTop="1" thickBot="1">
      <c r="A294" s="34">
        <v>292</v>
      </c>
      <c r="B294" s="26">
        <v>295</v>
      </c>
      <c r="C294" s="55" t="s">
        <v>4518</v>
      </c>
      <c r="D294" s="56" t="s">
        <v>394</v>
      </c>
      <c r="E294" s="56" t="s">
        <v>3922</v>
      </c>
      <c r="F294" s="26" t="s">
        <v>3923</v>
      </c>
      <c r="G294" s="26" t="s">
        <v>16</v>
      </c>
      <c r="H294" s="26" t="s">
        <v>13</v>
      </c>
      <c r="I294" s="26" t="s">
        <v>3924</v>
      </c>
      <c r="J294" s="26" t="s">
        <v>4519</v>
      </c>
      <c r="K294" s="26" t="s">
        <v>3941</v>
      </c>
      <c r="L294" s="26" t="s">
        <v>3963</v>
      </c>
      <c r="M294" s="55" t="s">
        <v>4520</v>
      </c>
      <c r="N294" s="26" t="s">
        <v>3924</v>
      </c>
    </row>
    <row r="295" spans="1:14" ht="75" customHeight="1" thickTop="1" thickBot="1">
      <c r="A295" s="26">
        <v>293</v>
      </c>
      <c r="B295" s="34">
        <v>296</v>
      </c>
      <c r="C295" s="55" t="s">
        <v>4518</v>
      </c>
      <c r="D295" s="56" t="s">
        <v>394</v>
      </c>
      <c r="E295" s="56" t="s">
        <v>3922</v>
      </c>
      <c r="F295" s="26" t="s">
        <v>3923</v>
      </c>
      <c r="G295" s="26" t="s">
        <v>16</v>
      </c>
      <c r="H295" s="26" t="s">
        <v>13</v>
      </c>
      <c r="I295" s="26" t="s">
        <v>3924</v>
      </c>
      <c r="J295" s="26" t="s">
        <v>4519</v>
      </c>
      <c r="K295" s="26" t="s">
        <v>3929</v>
      </c>
      <c r="L295" s="26" t="s">
        <v>4284</v>
      </c>
      <c r="M295" s="55" t="s">
        <v>4521</v>
      </c>
      <c r="N295" s="26" t="s">
        <v>3924</v>
      </c>
    </row>
    <row r="296" spans="1:14" ht="75" customHeight="1" thickTop="1" thickBot="1">
      <c r="A296" s="34">
        <v>294</v>
      </c>
      <c r="B296" s="26">
        <v>297</v>
      </c>
      <c r="C296" s="55" t="s">
        <v>4522</v>
      </c>
      <c r="D296" s="56" t="s">
        <v>394</v>
      </c>
      <c r="E296" s="56" t="s">
        <v>3922</v>
      </c>
      <c r="F296" s="26" t="s">
        <v>3923</v>
      </c>
      <c r="G296" s="26" t="s">
        <v>16</v>
      </c>
      <c r="H296" s="26" t="s">
        <v>13</v>
      </c>
      <c r="I296" s="26" t="s">
        <v>3924</v>
      </c>
      <c r="J296" s="26" t="s">
        <v>4519</v>
      </c>
      <c r="K296" s="26" t="s">
        <v>3929</v>
      </c>
      <c r="L296" s="26" t="s">
        <v>4284</v>
      </c>
      <c r="M296" s="55" t="s">
        <v>611</v>
      </c>
      <c r="N296" s="26" t="s">
        <v>3924</v>
      </c>
    </row>
    <row r="297" spans="1:14" ht="75" customHeight="1" thickTop="1" thickBot="1">
      <c r="A297" s="34">
        <v>295</v>
      </c>
      <c r="B297" s="34">
        <v>298</v>
      </c>
      <c r="C297" s="55" t="s">
        <v>4523</v>
      </c>
      <c r="D297" s="56" t="s">
        <v>394</v>
      </c>
      <c r="E297" s="56" t="s">
        <v>3922</v>
      </c>
      <c r="F297" s="26" t="s">
        <v>3923</v>
      </c>
      <c r="G297" s="26" t="s">
        <v>16</v>
      </c>
      <c r="H297" s="26" t="s">
        <v>13</v>
      </c>
      <c r="I297" s="26" t="s">
        <v>3924</v>
      </c>
      <c r="J297" s="26" t="s">
        <v>4524</v>
      </c>
      <c r="K297" s="26" t="s">
        <v>3929</v>
      </c>
      <c r="L297" s="26" t="s">
        <v>3963</v>
      </c>
      <c r="M297" s="55" t="s">
        <v>4525</v>
      </c>
      <c r="N297" s="26" t="s">
        <v>3924</v>
      </c>
    </row>
    <row r="298" spans="1:14" ht="75" customHeight="1" thickTop="1" thickBot="1">
      <c r="A298" s="26">
        <v>296</v>
      </c>
      <c r="B298" s="26">
        <v>299</v>
      </c>
      <c r="C298" s="55" t="s">
        <v>4523</v>
      </c>
      <c r="D298" s="56" t="s">
        <v>394</v>
      </c>
      <c r="E298" s="56" t="s">
        <v>3922</v>
      </c>
      <c r="F298" s="26" t="s">
        <v>3923</v>
      </c>
      <c r="G298" s="26" t="s">
        <v>16</v>
      </c>
      <c r="H298" s="26" t="s">
        <v>13</v>
      </c>
      <c r="I298" s="26" t="s">
        <v>3924</v>
      </c>
      <c r="J298" s="26" t="s">
        <v>4524</v>
      </c>
      <c r="K298" s="26" t="s">
        <v>3947</v>
      </c>
      <c r="L298" s="26" t="s">
        <v>3927</v>
      </c>
      <c r="M298" s="55" t="s">
        <v>4526</v>
      </c>
      <c r="N298" s="26" t="s">
        <v>3924</v>
      </c>
    </row>
    <row r="299" spans="1:14" ht="75" customHeight="1" thickTop="1" thickBot="1">
      <c r="A299" s="34">
        <v>297</v>
      </c>
      <c r="B299" s="34">
        <v>300</v>
      </c>
      <c r="C299" s="55" t="s">
        <v>4527</v>
      </c>
      <c r="D299" s="56" t="s">
        <v>394</v>
      </c>
      <c r="E299" s="56" t="s">
        <v>3922</v>
      </c>
      <c r="F299" s="26" t="s">
        <v>3923</v>
      </c>
      <c r="G299" s="26" t="s">
        <v>16</v>
      </c>
      <c r="H299" s="26" t="s">
        <v>13</v>
      </c>
      <c r="I299" s="26" t="s">
        <v>3924</v>
      </c>
      <c r="J299" s="26" t="s">
        <v>4524</v>
      </c>
      <c r="K299" s="26" t="s">
        <v>3947</v>
      </c>
      <c r="L299" s="26" t="s">
        <v>3927</v>
      </c>
      <c r="M299" s="55" t="s">
        <v>4528</v>
      </c>
      <c r="N299" s="26" t="s">
        <v>3924</v>
      </c>
    </row>
    <row r="300" spans="1:14" ht="75" customHeight="1" thickTop="1" thickBot="1">
      <c r="A300" s="34">
        <v>298</v>
      </c>
      <c r="B300" s="26">
        <v>301</v>
      </c>
      <c r="C300" s="55" t="s">
        <v>4529</v>
      </c>
      <c r="D300" s="56" t="s">
        <v>394</v>
      </c>
      <c r="E300" s="56" t="s">
        <v>3922</v>
      </c>
      <c r="F300" s="26" t="s">
        <v>3923</v>
      </c>
      <c r="G300" s="26" t="s">
        <v>16</v>
      </c>
      <c r="H300" s="26" t="s">
        <v>13</v>
      </c>
      <c r="I300" s="26" t="s">
        <v>3924</v>
      </c>
      <c r="J300" s="26" t="s">
        <v>4530</v>
      </c>
      <c r="K300" s="26" t="s">
        <v>3947</v>
      </c>
      <c r="L300" s="26" t="s">
        <v>3927</v>
      </c>
      <c r="M300" s="55" t="s">
        <v>1341</v>
      </c>
      <c r="N300" s="26" t="s">
        <v>3924</v>
      </c>
    </row>
    <row r="301" spans="1:14" ht="75" customHeight="1" thickTop="1" thickBot="1">
      <c r="A301" s="26">
        <v>299</v>
      </c>
      <c r="B301" s="34">
        <v>302</v>
      </c>
      <c r="C301" s="55" t="s">
        <v>4529</v>
      </c>
      <c r="D301" s="56" t="s">
        <v>394</v>
      </c>
      <c r="E301" s="56" t="s">
        <v>3922</v>
      </c>
      <c r="F301" s="26" t="s">
        <v>3923</v>
      </c>
      <c r="G301" s="26" t="s">
        <v>16</v>
      </c>
      <c r="H301" s="26" t="s">
        <v>13</v>
      </c>
      <c r="I301" s="26" t="s">
        <v>3924</v>
      </c>
      <c r="J301" s="26" t="s">
        <v>4530</v>
      </c>
      <c r="K301" s="26" t="s">
        <v>3947</v>
      </c>
      <c r="L301" s="26" t="s">
        <v>3963</v>
      </c>
      <c r="M301" s="55" t="s">
        <v>4531</v>
      </c>
      <c r="N301" s="26" t="s">
        <v>3924</v>
      </c>
    </row>
    <row r="302" spans="1:14" ht="75" customHeight="1" thickTop="1" thickBot="1">
      <c r="A302" s="34">
        <v>300</v>
      </c>
      <c r="B302" s="26">
        <v>303</v>
      </c>
      <c r="C302" s="55" t="s">
        <v>4532</v>
      </c>
      <c r="D302" s="56" t="s">
        <v>394</v>
      </c>
      <c r="E302" s="56" t="s">
        <v>3922</v>
      </c>
      <c r="F302" s="26" t="s">
        <v>3923</v>
      </c>
      <c r="G302" s="26" t="s">
        <v>16</v>
      </c>
      <c r="H302" s="26" t="s">
        <v>13</v>
      </c>
      <c r="I302" s="26" t="s">
        <v>3924</v>
      </c>
      <c r="J302" s="26" t="s">
        <v>4533</v>
      </c>
      <c r="K302" s="26" t="s">
        <v>3947</v>
      </c>
      <c r="L302" s="26" t="s">
        <v>3927</v>
      </c>
      <c r="M302" s="55" t="s">
        <v>638</v>
      </c>
      <c r="N302" s="26" t="s">
        <v>3924</v>
      </c>
    </row>
    <row r="303" spans="1:14" ht="75" customHeight="1" thickTop="1" thickBot="1">
      <c r="A303" s="34">
        <v>301</v>
      </c>
      <c r="B303" s="34">
        <v>304</v>
      </c>
      <c r="C303" s="55" t="s">
        <v>4532</v>
      </c>
      <c r="D303" s="56" t="s">
        <v>394</v>
      </c>
      <c r="E303" s="56" t="s">
        <v>3922</v>
      </c>
      <c r="F303" s="26" t="s">
        <v>3923</v>
      </c>
      <c r="G303" s="26" t="s">
        <v>16</v>
      </c>
      <c r="H303" s="26" t="s">
        <v>13</v>
      </c>
      <c r="I303" s="26" t="s">
        <v>3924</v>
      </c>
      <c r="J303" s="26" t="s">
        <v>4534</v>
      </c>
      <c r="K303" s="26" t="s">
        <v>4010</v>
      </c>
      <c r="L303" s="26" t="s">
        <v>3963</v>
      </c>
      <c r="M303" s="55" t="s">
        <v>2202</v>
      </c>
      <c r="N303" s="26" t="s">
        <v>3924</v>
      </c>
    </row>
    <row r="304" spans="1:14" ht="75" customHeight="1" thickTop="1" thickBot="1">
      <c r="A304" s="26">
        <v>302</v>
      </c>
      <c r="B304" s="26">
        <v>305</v>
      </c>
      <c r="C304" s="55" t="s">
        <v>4535</v>
      </c>
      <c r="D304" s="56" t="s">
        <v>394</v>
      </c>
      <c r="E304" s="56" t="s">
        <v>3922</v>
      </c>
      <c r="F304" s="26" t="s">
        <v>3923</v>
      </c>
      <c r="G304" s="26" t="s">
        <v>16</v>
      </c>
      <c r="H304" s="26" t="s">
        <v>13</v>
      </c>
      <c r="I304" s="26" t="s">
        <v>3924</v>
      </c>
      <c r="J304" s="26" t="s">
        <v>4536</v>
      </c>
      <c r="K304" s="26" t="s">
        <v>4010</v>
      </c>
      <c r="L304" s="26" t="s">
        <v>3927</v>
      </c>
      <c r="M304" s="55" t="s">
        <v>4537</v>
      </c>
      <c r="N304" s="26" t="s">
        <v>3924</v>
      </c>
    </row>
    <row r="305" spans="1:14" ht="75" customHeight="1" thickTop="1" thickBot="1">
      <c r="A305" s="34">
        <v>303</v>
      </c>
      <c r="B305" s="34">
        <v>306</v>
      </c>
      <c r="C305" s="55" t="s">
        <v>4535</v>
      </c>
      <c r="D305" s="56" t="s">
        <v>394</v>
      </c>
      <c r="E305" s="56" t="s">
        <v>3922</v>
      </c>
      <c r="F305" s="26" t="s">
        <v>3923</v>
      </c>
      <c r="G305" s="26" t="s">
        <v>16</v>
      </c>
      <c r="H305" s="26" t="s">
        <v>13</v>
      </c>
      <c r="I305" s="26" t="s">
        <v>3924</v>
      </c>
      <c r="J305" s="26" t="s">
        <v>4536</v>
      </c>
      <c r="K305" s="26" t="s">
        <v>4010</v>
      </c>
      <c r="L305" s="26" t="s">
        <v>3986</v>
      </c>
      <c r="M305" s="55" t="s">
        <v>1105</v>
      </c>
      <c r="N305" s="26" t="s">
        <v>3924</v>
      </c>
    </row>
    <row r="306" spans="1:14" ht="75" customHeight="1" thickTop="1" thickBot="1">
      <c r="A306" s="34">
        <v>304</v>
      </c>
      <c r="B306" s="26">
        <v>307</v>
      </c>
      <c r="C306" s="55" t="s">
        <v>4535</v>
      </c>
      <c r="D306" s="56" t="s">
        <v>394</v>
      </c>
      <c r="E306" s="56" t="s">
        <v>3922</v>
      </c>
      <c r="F306" s="26" t="s">
        <v>3923</v>
      </c>
      <c r="G306" s="26" t="s">
        <v>16</v>
      </c>
      <c r="H306" s="26" t="s">
        <v>13</v>
      </c>
      <c r="I306" s="26" t="s">
        <v>3924</v>
      </c>
      <c r="J306" s="26" t="s">
        <v>4538</v>
      </c>
      <c r="K306" s="26" t="s">
        <v>4040</v>
      </c>
      <c r="L306" s="26" t="s">
        <v>3927</v>
      </c>
      <c r="M306" s="55" t="s">
        <v>1385</v>
      </c>
      <c r="N306" s="26" t="s">
        <v>3924</v>
      </c>
    </row>
    <row r="307" spans="1:14" ht="75" customHeight="1" thickTop="1" thickBot="1">
      <c r="A307" s="26">
        <v>305</v>
      </c>
      <c r="B307" s="34">
        <v>308</v>
      </c>
      <c r="C307" s="55" t="s">
        <v>4539</v>
      </c>
      <c r="D307" s="56" t="s">
        <v>394</v>
      </c>
      <c r="E307" s="56" t="s">
        <v>3922</v>
      </c>
      <c r="F307" s="26" t="s">
        <v>3923</v>
      </c>
      <c r="G307" s="26" t="s">
        <v>16</v>
      </c>
      <c r="H307" s="26" t="s">
        <v>13</v>
      </c>
      <c r="I307" s="26" t="s">
        <v>3924</v>
      </c>
      <c r="J307" s="26" t="s">
        <v>4538</v>
      </c>
      <c r="K307" s="26" t="s">
        <v>4040</v>
      </c>
      <c r="L307" s="26" t="s">
        <v>3963</v>
      </c>
      <c r="M307" s="55" t="s">
        <v>844</v>
      </c>
      <c r="N307" s="26" t="s">
        <v>3924</v>
      </c>
    </row>
    <row r="308" spans="1:14" ht="75" customHeight="1" thickTop="1" thickBot="1">
      <c r="A308" s="34">
        <v>306</v>
      </c>
      <c r="B308" s="26">
        <v>309</v>
      </c>
      <c r="C308" s="55" t="s">
        <v>4539</v>
      </c>
      <c r="D308" s="56" t="s">
        <v>394</v>
      </c>
      <c r="E308" s="56" t="s">
        <v>3922</v>
      </c>
      <c r="F308" s="26" t="s">
        <v>3923</v>
      </c>
      <c r="G308" s="26" t="s">
        <v>16</v>
      </c>
      <c r="H308" s="26" t="s">
        <v>13</v>
      </c>
      <c r="I308" s="26" t="s">
        <v>3924</v>
      </c>
      <c r="J308" s="26" t="s">
        <v>4538</v>
      </c>
      <c r="K308" s="26" t="s">
        <v>4040</v>
      </c>
      <c r="L308" s="26" t="s">
        <v>3927</v>
      </c>
      <c r="M308" s="55" t="s">
        <v>822</v>
      </c>
      <c r="N308" s="26" t="s">
        <v>3924</v>
      </c>
    </row>
    <row r="309" spans="1:14" ht="75" customHeight="1" thickTop="1" thickBot="1">
      <c r="A309" s="34">
        <v>307</v>
      </c>
      <c r="B309" s="34">
        <v>310</v>
      </c>
      <c r="C309" s="55" t="s">
        <v>4540</v>
      </c>
      <c r="D309" s="56" t="s">
        <v>394</v>
      </c>
      <c r="E309" s="56" t="s">
        <v>3922</v>
      </c>
      <c r="F309" s="26" t="s">
        <v>3923</v>
      </c>
      <c r="G309" s="26" t="s">
        <v>16</v>
      </c>
      <c r="H309" s="26" t="s">
        <v>13</v>
      </c>
      <c r="I309" s="26" t="s">
        <v>3924</v>
      </c>
      <c r="J309" s="26" t="s">
        <v>4541</v>
      </c>
      <c r="K309" s="26" t="s">
        <v>4063</v>
      </c>
      <c r="L309" s="26" t="s">
        <v>3927</v>
      </c>
      <c r="M309" s="55" t="s">
        <v>4542</v>
      </c>
      <c r="N309" s="26" t="s">
        <v>3924</v>
      </c>
    </row>
    <row r="310" spans="1:14" ht="75" customHeight="1" thickTop="1" thickBot="1">
      <c r="A310" s="26">
        <v>308</v>
      </c>
      <c r="B310" s="26">
        <v>311</v>
      </c>
      <c r="C310" s="55" t="s">
        <v>4543</v>
      </c>
      <c r="D310" s="56" t="s">
        <v>394</v>
      </c>
      <c r="E310" s="56" t="s">
        <v>3922</v>
      </c>
      <c r="F310" s="26" t="s">
        <v>3923</v>
      </c>
      <c r="G310" s="26" t="s">
        <v>16</v>
      </c>
      <c r="H310" s="26" t="s">
        <v>13</v>
      </c>
      <c r="I310" s="26" t="s">
        <v>3924</v>
      </c>
      <c r="J310" s="26" t="s">
        <v>4541</v>
      </c>
      <c r="K310" s="26" t="s">
        <v>3947</v>
      </c>
      <c r="L310" s="26" t="s">
        <v>3986</v>
      </c>
      <c r="M310" s="55" t="s">
        <v>4544</v>
      </c>
      <c r="N310" s="26" t="s">
        <v>3924</v>
      </c>
    </row>
    <row r="311" spans="1:14" ht="75" customHeight="1" thickTop="1" thickBot="1">
      <c r="A311" s="34">
        <v>309</v>
      </c>
      <c r="B311" s="34">
        <v>312</v>
      </c>
      <c r="C311" s="55" t="s">
        <v>4543</v>
      </c>
      <c r="D311" s="56" t="s">
        <v>394</v>
      </c>
      <c r="E311" s="56" t="s">
        <v>3922</v>
      </c>
      <c r="F311" s="26" t="s">
        <v>3923</v>
      </c>
      <c r="G311" s="26" t="s">
        <v>16</v>
      </c>
      <c r="H311" s="26" t="s">
        <v>13</v>
      </c>
      <c r="I311" s="26" t="s">
        <v>3924</v>
      </c>
      <c r="J311" s="26" t="s">
        <v>4541</v>
      </c>
      <c r="K311" s="26" t="s">
        <v>3947</v>
      </c>
      <c r="L311" s="26" t="s">
        <v>3986</v>
      </c>
      <c r="M311" s="55" t="s">
        <v>4545</v>
      </c>
      <c r="N311" s="26" t="s">
        <v>3924</v>
      </c>
    </row>
    <row r="312" spans="1:14" ht="75" customHeight="1" thickTop="1" thickBot="1">
      <c r="A312" s="34">
        <v>310</v>
      </c>
      <c r="B312" s="26">
        <v>313</v>
      </c>
      <c r="C312" s="55" t="s">
        <v>4546</v>
      </c>
      <c r="D312" s="56" t="s">
        <v>394</v>
      </c>
      <c r="E312" s="56" t="s">
        <v>3922</v>
      </c>
      <c r="F312" s="26" t="s">
        <v>3923</v>
      </c>
      <c r="G312" s="26" t="s">
        <v>16</v>
      </c>
      <c r="H312" s="26" t="s">
        <v>13</v>
      </c>
      <c r="I312" s="26" t="s">
        <v>3924</v>
      </c>
      <c r="J312" s="26" t="s">
        <v>4541</v>
      </c>
      <c r="K312" s="26" t="s">
        <v>4040</v>
      </c>
      <c r="L312" s="26" t="s">
        <v>3927</v>
      </c>
      <c r="M312" s="55" t="s">
        <v>4547</v>
      </c>
      <c r="N312" s="26" t="s">
        <v>3924</v>
      </c>
    </row>
    <row r="313" spans="1:14" ht="75" customHeight="1" thickTop="1" thickBot="1">
      <c r="A313" s="26">
        <v>311</v>
      </c>
      <c r="B313" s="34">
        <v>314</v>
      </c>
      <c r="C313" s="55" t="s">
        <v>4548</v>
      </c>
      <c r="D313" s="56" t="s">
        <v>394</v>
      </c>
      <c r="E313" s="56" t="s">
        <v>3922</v>
      </c>
      <c r="F313" s="26" t="s">
        <v>3923</v>
      </c>
      <c r="G313" s="26" t="s">
        <v>16</v>
      </c>
      <c r="H313" s="26" t="s">
        <v>13</v>
      </c>
      <c r="I313" s="26" t="s">
        <v>3924</v>
      </c>
      <c r="J313" s="26" t="s">
        <v>4549</v>
      </c>
      <c r="K313" s="26" t="s">
        <v>4040</v>
      </c>
      <c r="L313" s="26" t="s">
        <v>3927</v>
      </c>
      <c r="M313" s="55" t="s">
        <v>4547</v>
      </c>
      <c r="N313" s="26" t="s">
        <v>3924</v>
      </c>
    </row>
    <row r="314" spans="1:14" ht="75" customHeight="1" thickTop="1" thickBot="1">
      <c r="A314" s="34">
        <v>312</v>
      </c>
      <c r="B314" s="26">
        <v>315</v>
      </c>
      <c r="C314" s="55" t="s">
        <v>4548</v>
      </c>
      <c r="D314" s="56" t="s">
        <v>394</v>
      </c>
      <c r="E314" s="56" t="s">
        <v>3922</v>
      </c>
      <c r="F314" s="26" t="s">
        <v>3923</v>
      </c>
      <c r="G314" s="26" t="s">
        <v>16</v>
      </c>
      <c r="H314" s="26" t="s">
        <v>13</v>
      </c>
      <c r="I314" s="26" t="s">
        <v>3924</v>
      </c>
      <c r="J314" s="26" t="s">
        <v>4549</v>
      </c>
      <c r="K314" s="26" t="s">
        <v>3947</v>
      </c>
      <c r="L314" s="26" t="s">
        <v>4239</v>
      </c>
      <c r="M314" s="55" t="s">
        <v>4550</v>
      </c>
      <c r="N314" s="26" t="s">
        <v>3924</v>
      </c>
    </row>
    <row r="315" spans="1:14" ht="75" customHeight="1" thickTop="1" thickBot="1">
      <c r="A315" s="34">
        <v>313</v>
      </c>
      <c r="B315" s="34">
        <v>316</v>
      </c>
      <c r="C315" s="55" t="s">
        <v>4551</v>
      </c>
      <c r="D315" s="56" t="s">
        <v>394</v>
      </c>
      <c r="E315" s="56" t="s">
        <v>3922</v>
      </c>
      <c r="F315" s="26" t="s">
        <v>3923</v>
      </c>
      <c r="G315" s="26" t="s">
        <v>16</v>
      </c>
      <c r="H315" s="26" t="s">
        <v>13</v>
      </c>
      <c r="I315" s="26" t="s">
        <v>3924</v>
      </c>
      <c r="J315" s="26" t="s">
        <v>4552</v>
      </c>
      <c r="K315" s="26" t="s">
        <v>3966</v>
      </c>
      <c r="L315" s="26" t="s">
        <v>3927</v>
      </c>
      <c r="M315" s="55" t="s">
        <v>4553</v>
      </c>
      <c r="N315" s="26" t="s">
        <v>3924</v>
      </c>
    </row>
    <row r="316" spans="1:14" ht="75" customHeight="1" thickTop="1" thickBot="1">
      <c r="A316" s="26">
        <v>314</v>
      </c>
      <c r="B316" s="26">
        <v>317</v>
      </c>
      <c r="C316" s="55" t="s">
        <v>4554</v>
      </c>
      <c r="D316" s="56" t="s">
        <v>394</v>
      </c>
      <c r="E316" s="56" t="s">
        <v>3994</v>
      </c>
      <c r="F316" s="26" t="s">
        <v>3995</v>
      </c>
      <c r="G316" s="26" t="s">
        <v>3932</v>
      </c>
      <c r="H316" s="26" t="s">
        <v>13</v>
      </c>
      <c r="I316" s="26" t="s">
        <v>3924</v>
      </c>
      <c r="J316" s="26" t="s">
        <v>4555</v>
      </c>
      <c r="K316" s="26" t="s">
        <v>4040</v>
      </c>
      <c r="L316" s="26" t="s">
        <v>3927</v>
      </c>
      <c r="M316" s="55" t="s">
        <v>4556</v>
      </c>
      <c r="N316" s="26" t="s">
        <v>3924</v>
      </c>
    </row>
    <row r="317" spans="1:14" ht="75" customHeight="1" thickTop="1" thickBot="1">
      <c r="A317" s="34">
        <v>315</v>
      </c>
      <c r="B317" s="34">
        <v>318</v>
      </c>
      <c r="C317" s="55" t="s">
        <v>4557</v>
      </c>
      <c r="D317" s="56" t="s">
        <v>394</v>
      </c>
      <c r="E317" s="56" t="s">
        <v>3922</v>
      </c>
      <c r="F317" s="26" t="s">
        <v>3923</v>
      </c>
      <c r="G317" s="26" t="s">
        <v>14</v>
      </c>
      <c r="H317" s="26" t="s">
        <v>13</v>
      </c>
      <c r="I317" s="26" t="s">
        <v>3924</v>
      </c>
      <c r="J317" s="26" t="s">
        <v>4558</v>
      </c>
      <c r="K317" s="26" t="s">
        <v>3947</v>
      </c>
      <c r="L317" s="26" t="s">
        <v>3963</v>
      </c>
      <c r="M317" s="55" t="s">
        <v>4559</v>
      </c>
      <c r="N317" s="26" t="s">
        <v>3924</v>
      </c>
    </row>
    <row r="318" spans="1:14" ht="75" customHeight="1" thickTop="1" thickBot="1">
      <c r="A318" s="34">
        <v>316</v>
      </c>
      <c r="B318" s="26">
        <v>319</v>
      </c>
      <c r="C318" s="55" t="s">
        <v>4557</v>
      </c>
      <c r="D318" s="56" t="s">
        <v>394</v>
      </c>
      <c r="E318" s="56" t="s">
        <v>3922</v>
      </c>
      <c r="F318" s="26" t="s">
        <v>3923</v>
      </c>
      <c r="G318" s="26" t="s">
        <v>15</v>
      </c>
      <c r="H318" s="26" t="s">
        <v>13</v>
      </c>
      <c r="I318" s="26" t="s">
        <v>3924</v>
      </c>
      <c r="J318" s="26" t="s">
        <v>4558</v>
      </c>
      <c r="K318" s="26" t="s">
        <v>3966</v>
      </c>
      <c r="L318" s="26" t="s">
        <v>4082</v>
      </c>
      <c r="M318" s="55" t="s">
        <v>4302</v>
      </c>
      <c r="N318" s="26" t="s">
        <v>3924</v>
      </c>
    </row>
    <row r="319" spans="1:14" ht="75" customHeight="1" thickTop="1" thickBot="1">
      <c r="A319" s="26">
        <v>317</v>
      </c>
      <c r="B319" s="34">
        <v>320</v>
      </c>
      <c r="C319" s="55" t="s">
        <v>4558</v>
      </c>
      <c r="D319" s="56" t="s">
        <v>394</v>
      </c>
      <c r="E319" s="56" t="s">
        <v>3922</v>
      </c>
      <c r="F319" s="26" t="s">
        <v>3923</v>
      </c>
      <c r="G319" s="26" t="s">
        <v>15</v>
      </c>
      <c r="H319" s="26" t="s">
        <v>13</v>
      </c>
      <c r="I319" s="26" t="s">
        <v>3924</v>
      </c>
      <c r="J319" s="26" t="s">
        <v>4555</v>
      </c>
      <c r="K319" s="26" t="s">
        <v>3947</v>
      </c>
      <c r="L319" s="26" t="s">
        <v>3963</v>
      </c>
      <c r="M319" s="55" t="s">
        <v>4155</v>
      </c>
      <c r="N319" s="26" t="s">
        <v>3924</v>
      </c>
    </row>
    <row r="320" spans="1:14" ht="75" customHeight="1" thickTop="1" thickBot="1">
      <c r="A320" s="34">
        <v>318</v>
      </c>
      <c r="B320" s="26">
        <v>321</v>
      </c>
      <c r="C320" s="55" t="s">
        <v>4560</v>
      </c>
      <c r="D320" s="56" t="s">
        <v>394</v>
      </c>
      <c r="E320" s="56" t="s">
        <v>3994</v>
      </c>
      <c r="F320" s="26" t="s">
        <v>3995</v>
      </c>
      <c r="G320" s="26" t="s">
        <v>16</v>
      </c>
      <c r="H320" s="26" t="s">
        <v>13</v>
      </c>
      <c r="I320" s="26" t="s">
        <v>3924</v>
      </c>
      <c r="J320" s="26" t="s">
        <v>4561</v>
      </c>
      <c r="K320" s="26" t="s">
        <v>3926</v>
      </c>
      <c r="L320" s="26" t="s">
        <v>3927</v>
      </c>
      <c r="M320" s="55" t="s">
        <v>4562</v>
      </c>
      <c r="N320" s="26" t="s">
        <v>3924</v>
      </c>
    </row>
    <row r="321" spans="1:14" ht="75" customHeight="1" thickTop="1" thickBot="1">
      <c r="A321" s="34">
        <v>319</v>
      </c>
      <c r="B321" s="34">
        <v>322</v>
      </c>
      <c r="C321" s="55" t="s">
        <v>4563</v>
      </c>
      <c r="D321" s="56" t="s">
        <v>394</v>
      </c>
      <c r="E321" s="56" t="s">
        <v>3994</v>
      </c>
      <c r="F321" s="26" t="s">
        <v>3995</v>
      </c>
      <c r="G321" s="26" t="s">
        <v>15</v>
      </c>
      <c r="H321" s="26" t="s">
        <v>13</v>
      </c>
      <c r="I321" s="26" t="s">
        <v>3924</v>
      </c>
      <c r="J321" s="26" t="s">
        <v>4564</v>
      </c>
      <c r="K321" s="26" t="s">
        <v>3941</v>
      </c>
      <c r="L321" s="26" t="s">
        <v>3924</v>
      </c>
      <c r="M321" s="55" t="s">
        <v>4565</v>
      </c>
      <c r="N321" s="26" t="s">
        <v>3924</v>
      </c>
    </row>
    <row r="322" spans="1:14" s="25" customFormat="1" ht="75" customHeight="1" thickTop="1" thickBot="1">
      <c r="A322" s="26">
        <v>320</v>
      </c>
      <c r="B322" s="26">
        <v>323</v>
      </c>
      <c r="C322" s="55" t="s">
        <v>4566</v>
      </c>
      <c r="D322" s="56" t="s">
        <v>394</v>
      </c>
      <c r="E322" s="56" t="s">
        <v>3994</v>
      </c>
      <c r="F322" s="26" t="s">
        <v>3995</v>
      </c>
      <c r="G322" s="26" t="s">
        <v>15</v>
      </c>
      <c r="H322" s="26" t="s">
        <v>13</v>
      </c>
      <c r="I322" s="26" t="s">
        <v>3924</v>
      </c>
      <c r="J322" s="26" t="s">
        <v>4564</v>
      </c>
      <c r="K322" s="26" t="s">
        <v>3941</v>
      </c>
      <c r="L322" s="26" t="s">
        <v>3924</v>
      </c>
      <c r="M322" s="55" t="s">
        <v>4567</v>
      </c>
      <c r="N322" s="26" t="s">
        <v>3924</v>
      </c>
    </row>
    <row r="323" spans="1:14" ht="75" customHeight="1" thickTop="1" thickBot="1">
      <c r="A323" s="34">
        <v>321</v>
      </c>
      <c r="B323" s="34">
        <v>324</v>
      </c>
      <c r="C323" s="55" t="s">
        <v>4568</v>
      </c>
      <c r="D323" s="56" t="s">
        <v>394</v>
      </c>
      <c r="E323" s="56" t="s">
        <v>3922</v>
      </c>
      <c r="F323" s="26" t="s">
        <v>3923</v>
      </c>
      <c r="G323" s="26" t="s">
        <v>16</v>
      </c>
      <c r="H323" s="26" t="s">
        <v>13</v>
      </c>
      <c r="I323" s="26" t="s">
        <v>3924</v>
      </c>
      <c r="J323" s="26" t="s">
        <v>4569</v>
      </c>
      <c r="K323" s="26" t="s">
        <v>3966</v>
      </c>
      <c r="L323" s="26" t="s">
        <v>3927</v>
      </c>
      <c r="M323" s="55" t="s">
        <v>4570</v>
      </c>
      <c r="N323" s="26" t="s">
        <v>3924</v>
      </c>
    </row>
    <row r="324" spans="1:14" ht="75" customHeight="1" thickTop="1" thickBot="1">
      <c r="A324" s="34">
        <v>322</v>
      </c>
      <c r="B324" s="26">
        <v>325</v>
      </c>
      <c r="C324" s="55" t="s">
        <v>4568</v>
      </c>
      <c r="D324" s="56" t="s">
        <v>394</v>
      </c>
      <c r="E324" s="56" t="s">
        <v>3922</v>
      </c>
      <c r="F324" s="26" t="s">
        <v>3923</v>
      </c>
      <c r="G324" s="26" t="s">
        <v>16</v>
      </c>
      <c r="H324" s="26" t="s">
        <v>13</v>
      </c>
      <c r="I324" s="26" t="s">
        <v>3924</v>
      </c>
      <c r="J324" s="26" t="s">
        <v>4569</v>
      </c>
      <c r="K324" s="26" t="s">
        <v>3976</v>
      </c>
      <c r="L324" s="26" t="s">
        <v>3927</v>
      </c>
      <c r="M324" s="55" t="s">
        <v>4570</v>
      </c>
      <c r="N324" s="26" t="s">
        <v>3924</v>
      </c>
    </row>
    <row r="325" spans="1:14" ht="75" customHeight="1" thickTop="1" thickBot="1">
      <c r="A325" s="26">
        <v>323</v>
      </c>
      <c r="B325" s="34">
        <v>326</v>
      </c>
      <c r="C325" s="55" t="s">
        <v>4571</v>
      </c>
      <c r="D325" s="56" t="s">
        <v>394</v>
      </c>
      <c r="E325" s="56" t="s">
        <v>3922</v>
      </c>
      <c r="F325" s="26" t="s">
        <v>3923</v>
      </c>
      <c r="G325" s="26" t="s">
        <v>16</v>
      </c>
      <c r="H325" s="26" t="s">
        <v>13</v>
      </c>
      <c r="I325" s="26" t="s">
        <v>3924</v>
      </c>
      <c r="J325" s="26" t="s">
        <v>4569</v>
      </c>
      <c r="K325" s="26" t="s">
        <v>4040</v>
      </c>
      <c r="L325" s="26" t="s">
        <v>3927</v>
      </c>
      <c r="M325" s="55" t="s">
        <v>4570</v>
      </c>
      <c r="N325" s="26" t="s">
        <v>3924</v>
      </c>
    </row>
    <row r="326" spans="1:14" ht="75" customHeight="1" thickTop="1" thickBot="1">
      <c r="A326" s="34">
        <v>324</v>
      </c>
      <c r="B326" s="26">
        <v>327</v>
      </c>
      <c r="C326" s="55" t="s">
        <v>4571</v>
      </c>
      <c r="D326" s="56" t="s">
        <v>394</v>
      </c>
      <c r="E326" s="56" t="s">
        <v>3922</v>
      </c>
      <c r="F326" s="26" t="s">
        <v>3923</v>
      </c>
      <c r="G326" s="26" t="s">
        <v>16</v>
      </c>
      <c r="H326" s="26" t="s">
        <v>13</v>
      </c>
      <c r="I326" s="26" t="s">
        <v>3924</v>
      </c>
      <c r="J326" s="26" t="s">
        <v>4572</v>
      </c>
      <c r="K326" s="26" t="s">
        <v>3947</v>
      </c>
      <c r="L326" s="26" t="s">
        <v>3927</v>
      </c>
      <c r="M326" s="55" t="s">
        <v>4573</v>
      </c>
      <c r="N326" s="26" t="s">
        <v>3924</v>
      </c>
    </row>
    <row r="327" spans="1:14" ht="75" customHeight="1" thickTop="1" thickBot="1">
      <c r="A327" s="34">
        <v>325</v>
      </c>
      <c r="B327" s="34">
        <v>328</v>
      </c>
      <c r="C327" s="55" t="s">
        <v>4574</v>
      </c>
      <c r="D327" s="56" t="s">
        <v>394</v>
      </c>
      <c r="E327" s="56" t="s">
        <v>3922</v>
      </c>
      <c r="F327" s="26" t="s">
        <v>3923</v>
      </c>
      <c r="G327" s="26" t="s">
        <v>16</v>
      </c>
      <c r="H327" s="26" t="s">
        <v>13</v>
      </c>
      <c r="I327" s="26" t="s">
        <v>3924</v>
      </c>
      <c r="J327" s="26" t="s">
        <v>4572</v>
      </c>
      <c r="K327" s="26" t="s">
        <v>3947</v>
      </c>
      <c r="L327" s="26" t="s">
        <v>4125</v>
      </c>
      <c r="M327" s="55" t="s">
        <v>844</v>
      </c>
      <c r="N327" s="26" t="s">
        <v>3924</v>
      </c>
    </row>
    <row r="328" spans="1:14" ht="75" customHeight="1" thickTop="1" thickBot="1">
      <c r="A328" s="26">
        <v>326</v>
      </c>
      <c r="B328" s="26">
        <v>329</v>
      </c>
      <c r="C328" s="55" t="s">
        <v>4575</v>
      </c>
      <c r="D328" s="56" t="s">
        <v>394</v>
      </c>
      <c r="E328" s="56" t="s">
        <v>3922</v>
      </c>
      <c r="F328" s="26" t="s">
        <v>3923</v>
      </c>
      <c r="G328" s="26" t="s">
        <v>16</v>
      </c>
      <c r="H328" s="26" t="s">
        <v>13</v>
      </c>
      <c r="I328" s="26" t="s">
        <v>3924</v>
      </c>
      <c r="J328" s="26" t="s">
        <v>4572</v>
      </c>
      <c r="K328" s="26" t="s">
        <v>3947</v>
      </c>
      <c r="L328" s="26" t="s">
        <v>3963</v>
      </c>
      <c r="M328" s="55" t="s">
        <v>4576</v>
      </c>
      <c r="N328" s="26" t="s">
        <v>3924</v>
      </c>
    </row>
    <row r="329" spans="1:14" ht="75" customHeight="1" thickTop="1" thickBot="1">
      <c r="A329" s="34">
        <v>327</v>
      </c>
      <c r="B329" s="34">
        <v>330</v>
      </c>
      <c r="C329" s="55" t="s">
        <v>4575</v>
      </c>
      <c r="D329" s="56" t="s">
        <v>394</v>
      </c>
      <c r="E329" s="56" t="s">
        <v>3922</v>
      </c>
      <c r="F329" s="26" t="s">
        <v>3923</v>
      </c>
      <c r="G329" s="26" t="s">
        <v>16</v>
      </c>
      <c r="H329" s="26" t="s">
        <v>13</v>
      </c>
      <c r="I329" s="26" t="s">
        <v>3924</v>
      </c>
      <c r="J329" s="26" t="s">
        <v>4577</v>
      </c>
      <c r="K329" s="26" t="s">
        <v>3947</v>
      </c>
      <c r="L329" s="26" t="s">
        <v>3986</v>
      </c>
      <c r="M329" s="55" t="s">
        <v>4578</v>
      </c>
      <c r="N329" s="26" t="s">
        <v>3924</v>
      </c>
    </row>
    <row r="330" spans="1:14" ht="75" customHeight="1" thickTop="1" thickBot="1">
      <c r="A330" s="34">
        <v>328</v>
      </c>
      <c r="B330" s="26">
        <v>331</v>
      </c>
      <c r="C330" s="55" t="s">
        <v>4579</v>
      </c>
      <c r="D330" s="56" t="s">
        <v>394</v>
      </c>
      <c r="E330" s="56" t="s">
        <v>3922</v>
      </c>
      <c r="F330" s="26" t="s">
        <v>3923</v>
      </c>
      <c r="G330" s="26" t="s">
        <v>16</v>
      </c>
      <c r="H330" s="26" t="s">
        <v>13</v>
      </c>
      <c r="I330" s="26" t="s">
        <v>3924</v>
      </c>
      <c r="J330" s="26" t="s">
        <v>4577</v>
      </c>
      <c r="K330" s="26" t="s">
        <v>3966</v>
      </c>
      <c r="L330" s="26" t="s">
        <v>3927</v>
      </c>
      <c r="M330" s="55" t="s">
        <v>4580</v>
      </c>
      <c r="N330" s="26" t="s">
        <v>3924</v>
      </c>
    </row>
    <row r="331" spans="1:14" ht="75" customHeight="1" thickTop="1" thickBot="1">
      <c r="A331" s="26">
        <v>329</v>
      </c>
      <c r="B331" s="34">
        <v>332</v>
      </c>
      <c r="C331" s="55" t="s">
        <v>4581</v>
      </c>
      <c r="D331" s="56" t="s">
        <v>394</v>
      </c>
      <c r="E331" s="56" t="s">
        <v>3922</v>
      </c>
      <c r="F331" s="26" t="s">
        <v>3923</v>
      </c>
      <c r="G331" s="26" t="s">
        <v>16</v>
      </c>
      <c r="H331" s="26" t="s">
        <v>13</v>
      </c>
      <c r="I331" s="26" t="s">
        <v>3924</v>
      </c>
      <c r="J331" s="26" t="s">
        <v>4577</v>
      </c>
      <c r="K331" s="26" t="s">
        <v>3926</v>
      </c>
      <c r="L331" s="26" t="s">
        <v>3927</v>
      </c>
      <c r="M331" s="55" t="s">
        <v>4582</v>
      </c>
      <c r="N331" s="26" t="s">
        <v>3924</v>
      </c>
    </row>
    <row r="332" spans="1:14" ht="75" customHeight="1" thickTop="1" thickBot="1">
      <c r="A332" s="34">
        <v>330</v>
      </c>
      <c r="B332" s="26">
        <v>333</v>
      </c>
      <c r="C332" s="55" t="s">
        <v>4583</v>
      </c>
      <c r="D332" s="56" t="s">
        <v>394</v>
      </c>
      <c r="E332" s="56" t="s">
        <v>3922</v>
      </c>
      <c r="F332" s="26" t="s">
        <v>3923</v>
      </c>
      <c r="G332" s="26" t="s">
        <v>16</v>
      </c>
      <c r="H332" s="26" t="s">
        <v>13</v>
      </c>
      <c r="I332" s="26" t="s">
        <v>3924</v>
      </c>
      <c r="J332" s="26" t="s">
        <v>4577</v>
      </c>
      <c r="K332" s="26" t="s">
        <v>4040</v>
      </c>
      <c r="L332" s="26" t="s">
        <v>3927</v>
      </c>
      <c r="M332" s="55" t="s">
        <v>4584</v>
      </c>
      <c r="N332" s="26" t="s">
        <v>3924</v>
      </c>
    </row>
    <row r="333" spans="1:14" ht="75" customHeight="1" thickTop="1" thickBot="1">
      <c r="A333" s="34">
        <v>331</v>
      </c>
      <c r="B333" s="34">
        <v>334</v>
      </c>
      <c r="C333" s="55" t="s">
        <v>4583</v>
      </c>
      <c r="D333" s="56" t="s">
        <v>394</v>
      </c>
      <c r="E333" s="56" t="s">
        <v>3922</v>
      </c>
      <c r="F333" s="26" t="s">
        <v>3923</v>
      </c>
      <c r="G333" s="26" t="s">
        <v>16</v>
      </c>
      <c r="H333" s="26" t="s">
        <v>13</v>
      </c>
      <c r="I333" s="26" t="s">
        <v>3924</v>
      </c>
      <c r="J333" s="26" t="s">
        <v>4577</v>
      </c>
      <c r="K333" s="26" t="s">
        <v>3926</v>
      </c>
      <c r="L333" s="26" t="s">
        <v>3927</v>
      </c>
      <c r="M333" s="55" t="s">
        <v>4489</v>
      </c>
      <c r="N333" s="26" t="s">
        <v>3924</v>
      </c>
    </row>
    <row r="334" spans="1:14" ht="75" customHeight="1" thickTop="1" thickBot="1">
      <c r="A334" s="26">
        <v>332</v>
      </c>
      <c r="B334" s="26">
        <v>335</v>
      </c>
      <c r="C334" s="55" t="s">
        <v>4585</v>
      </c>
      <c r="D334" s="56" t="s">
        <v>394</v>
      </c>
      <c r="E334" s="56" t="s">
        <v>3922</v>
      </c>
      <c r="F334" s="26" t="s">
        <v>3923</v>
      </c>
      <c r="G334" s="26" t="s">
        <v>16</v>
      </c>
      <c r="H334" s="26" t="s">
        <v>13</v>
      </c>
      <c r="I334" s="26" t="s">
        <v>3924</v>
      </c>
      <c r="J334" s="26" t="s">
        <v>4586</v>
      </c>
      <c r="K334" s="26" t="s">
        <v>3929</v>
      </c>
      <c r="L334" s="26" t="s">
        <v>3963</v>
      </c>
      <c r="M334" s="55" t="s">
        <v>844</v>
      </c>
      <c r="N334" s="26" t="s">
        <v>3924</v>
      </c>
    </row>
    <row r="335" spans="1:14" ht="75" customHeight="1" thickTop="1" thickBot="1">
      <c r="A335" s="34">
        <v>333</v>
      </c>
      <c r="B335" s="34">
        <v>336</v>
      </c>
      <c r="C335" s="55" t="s">
        <v>4587</v>
      </c>
      <c r="D335" s="56" t="s">
        <v>394</v>
      </c>
      <c r="E335" s="56" t="s">
        <v>3922</v>
      </c>
      <c r="F335" s="26" t="s">
        <v>3923</v>
      </c>
      <c r="G335" s="26" t="s">
        <v>16</v>
      </c>
      <c r="H335" s="26" t="s">
        <v>13</v>
      </c>
      <c r="I335" s="26" t="s">
        <v>3924</v>
      </c>
      <c r="J335" s="26" t="s">
        <v>4586</v>
      </c>
      <c r="K335" s="26" t="s">
        <v>3929</v>
      </c>
      <c r="L335" s="26" t="s">
        <v>4011</v>
      </c>
      <c r="M335" s="55" t="s">
        <v>4588</v>
      </c>
      <c r="N335" s="26" t="s">
        <v>3924</v>
      </c>
    </row>
    <row r="336" spans="1:14" ht="75" customHeight="1" thickTop="1" thickBot="1">
      <c r="A336" s="34">
        <v>334</v>
      </c>
      <c r="B336" s="26">
        <v>337</v>
      </c>
      <c r="C336" s="55" t="s">
        <v>4587</v>
      </c>
      <c r="D336" s="56" t="s">
        <v>394</v>
      </c>
      <c r="E336" s="56" t="s">
        <v>3922</v>
      </c>
      <c r="F336" s="26" t="s">
        <v>3923</v>
      </c>
      <c r="G336" s="26" t="s">
        <v>16</v>
      </c>
      <c r="H336" s="26" t="s">
        <v>13</v>
      </c>
      <c r="I336" s="26" t="s">
        <v>3924</v>
      </c>
      <c r="J336" s="26" t="s">
        <v>4586</v>
      </c>
      <c r="K336" s="26" t="s">
        <v>3929</v>
      </c>
      <c r="L336" s="26" t="s">
        <v>3963</v>
      </c>
      <c r="M336" s="55" t="s">
        <v>4236</v>
      </c>
      <c r="N336" s="26" t="s">
        <v>3924</v>
      </c>
    </row>
    <row r="337" spans="1:14" ht="75" customHeight="1" thickTop="1" thickBot="1">
      <c r="A337" s="26">
        <v>335</v>
      </c>
      <c r="B337" s="34">
        <v>338</v>
      </c>
      <c r="C337" s="55" t="s">
        <v>4589</v>
      </c>
      <c r="D337" s="56" t="s">
        <v>394</v>
      </c>
      <c r="E337" s="56" t="s">
        <v>3922</v>
      </c>
      <c r="F337" s="26" t="s">
        <v>3923</v>
      </c>
      <c r="G337" s="26" t="s">
        <v>16</v>
      </c>
      <c r="H337" s="26" t="s">
        <v>13</v>
      </c>
      <c r="I337" s="26" t="s">
        <v>3924</v>
      </c>
      <c r="J337" s="26" t="s">
        <v>4586</v>
      </c>
      <c r="K337" s="26" t="s">
        <v>3929</v>
      </c>
      <c r="L337" s="26" t="s">
        <v>3927</v>
      </c>
      <c r="M337" s="55" t="s">
        <v>611</v>
      </c>
      <c r="N337" s="26" t="s">
        <v>3924</v>
      </c>
    </row>
    <row r="338" spans="1:14" ht="75" customHeight="1" thickTop="1" thickBot="1">
      <c r="A338" s="34">
        <v>336</v>
      </c>
      <c r="B338" s="26">
        <v>339</v>
      </c>
      <c r="C338" s="55" t="s">
        <v>4590</v>
      </c>
      <c r="D338" s="56" t="s">
        <v>394</v>
      </c>
      <c r="E338" s="56" t="s">
        <v>3922</v>
      </c>
      <c r="F338" s="26" t="s">
        <v>3923</v>
      </c>
      <c r="G338" s="26" t="s">
        <v>16</v>
      </c>
      <c r="H338" s="26" t="s">
        <v>13</v>
      </c>
      <c r="I338" s="26" t="s">
        <v>3924</v>
      </c>
      <c r="J338" s="26" t="s">
        <v>4586</v>
      </c>
      <c r="K338" s="26" t="s">
        <v>3929</v>
      </c>
      <c r="L338" s="26" t="s">
        <v>3963</v>
      </c>
      <c r="M338" s="55" t="s">
        <v>4591</v>
      </c>
      <c r="N338" s="26" t="s">
        <v>3924</v>
      </c>
    </row>
    <row r="339" spans="1:14" ht="75" customHeight="1" thickTop="1" thickBot="1">
      <c r="A339" s="34">
        <v>337</v>
      </c>
      <c r="B339" s="34">
        <v>340</v>
      </c>
      <c r="C339" s="55" t="s">
        <v>4590</v>
      </c>
      <c r="D339" s="56" t="s">
        <v>394</v>
      </c>
      <c r="E339" s="56" t="s">
        <v>3922</v>
      </c>
      <c r="F339" s="26" t="s">
        <v>3923</v>
      </c>
      <c r="G339" s="26" t="s">
        <v>16</v>
      </c>
      <c r="H339" s="26" t="s">
        <v>13</v>
      </c>
      <c r="I339" s="26" t="s">
        <v>3924</v>
      </c>
      <c r="J339" s="26" t="s">
        <v>4592</v>
      </c>
      <c r="K339" s="26" t="s">
        <v>3929</v>
      </c>
      <c r="L339" s="26" t="s">
        <v>3927</v>
      </c>
      <c r="M339" s="55" t="s">
        <v>4208</v>
      </c>
      <c r="N339" s="26" t="s">
        <v>3924</v>
      </c>
    </row>
    <row r="340" spans="1:14" ht="75" customHeight="1" thickTop="1" thickBot="1">
      <c r="A340" s="26">
        <v>338</v>
      </c>
      <c r="B340" s="26">
        <v>341</v>
      </c>
      <c r="C340" s="55" t="s">
        <v>4593</v>
      </c>
      <c r="D340" s="56" t="s">
        <v>394</v>
      </c>
      <c r="E340" s="56" t="s">
        <v>3922</v>
      </c>
      <c r="F340" s="26" t="s">
        <v>3923</v>
      </c>
      <c r="G340" s="26" t="s">
        <v>16</v>
      </c>
      <c r="H340" s="26" t="s">
        <v>13</v>
      </c>
      <c r="I340" s="26" t="s">
        <v>3924</v>
      </c>
      <c r="J340" s="26" t="s">
        <v>4592</v>
      </c>
      <c r="K340" s="26" t="s">
        <v>3976</v>
      </c>
      <c r="L340" s="26" t="s">
        <v>3927</v>
      </c>
      <c r="M340" s="55" t="s">
        <v>4594</v>
      </c>
      <c r="N340" s="26" t="s">
        <v>3924</v>
      </c>
    </row>
    <row r="341" spans="1:14" ht="75" customHeight="1" thickTop="1" thickBot="1">
      <c r="A341" s="34">
        <v>339</v>
      </c>
      <c r="B341" s="34">
        <v>342</v>
      </c>
      <c r="C341" s="55" t="s">
        <v>4595</v>
      </c>
      <c r="D341" s="56" t="s">
        <v>394</v>
      </c>
      <c r="E341" s="56" t="s">
        <v>3922</v>
      </c>
      <c r="F341" s="26" t="s">
        <v>3923</v>
      </c>
      <c r="G341" s="26" t="s">
        <v>16</v>
      </c>
      <c r="H341" s="26" t="s">
        <v>13</v>
      </c>
      <c r="I341" s="26" t="s">
        <v>3924</v>
      </c>
      <c r="J341" s="26" t="s">
        <v>4592</v>
      </c>
      <c r="K341" s="26" t="s">
        <v>4040</v>
      </c>
      <c r="L341" s="26" t="s">
        <v>3927</v>
      </c>
      <c r="M341" s="55" t="s">
        <v>4596</v>
      </c>
      <c r="N341" s="26" t="s">
        <v>3924</v>
      </c>
    </row>
    <row r="342" spans="1:14" ht="75" customHeight="1" thickTop="1" thickBot="1">
      <c r="A342" s="34">
        <v>340</v>
      </c>
      <c r="B342" s="26">
        <v>343</v>
      </c>
      <c r="C342" s="55" t="s">
        <v>4595</v>
      </c>
      <c r="D342" s="56" t="s">
        <v>394</v>
      </c>
      <c r="E342" s="56" t="s">
        <v>3922</v>
      </c>
      <c r="F342" s="26" t="s">
        <v>3923</v>
      </c>
      <c r="G342" s="26" t="s">
        <v>16</v>
      </c>
      <c r="H342" s="26" t="s">
        <v>13</v>
      </c>
      <c r="I342" s="26" t="s">
        <v>3924</v>
      </c>
      <c r="J342" s="26" t="s">
        <v>4597</v>
      </c>
      <c r="K342" s="26" t="s">
        <v>3926</v>
      </c>
      <c r="L342" s="26" t="s">
        <v>3927</v>
      </c>
      <c r="M342" s="55" t="s">
        <v>4598</v>
      </c>
      <c r="N342" s="26" t="s">
        <v>3924</v>
      </c>
    </row>
    <row r="343" spans="1:14" ht="75" customHeight="1" thickTop="1" thickBot="1">
      <c r="A343" s="26">
        <v>341</v>
      </c>
      <c r="B343" s="34">
        <v>344</v>
      </c>
      <c r="C343" s="55" t="s">
        <v>4599</v>
      </c>
      <c r="D343" s="56" t="s">
        <v>394</v>
      </c>
      <c r="E343" s="56" t="s">
        <v>3922</v>
      </c>
      <c r="F343" s="26" t="s">
        <v>3923</v>
      </c>
      <c r="G343" s="26" t="s">
        <v>16</v>
      </c>
      <c r="H343" s="26" t="s">
        <v>13</v>
      </c>
      <c r="I343" s="26" t="s">
        <v>3924</v>
      </c>
      <c r="J343" s="26" t="s">
        <v>4597</v>
      </c>
      <c r="K343" s="26" t="s">
        <v>3926</v>
      </c>
      <c r="L343" s="26" t="s">
        <v>3927</v>
      </c>
      <c r="M343" s="55" t="s">
        <v>4600</v>
      </c>
      <c r="N343" s="26" t="s">
        <v>3924</v>
      </c>
    </row>
    <row r="344" spans="1:14" ht="75" customHeight="1" thickTop="1" thickBot="1">
      <c r="A344" s="34">
        <v>342</v>
      </c>
      <c r="B344" s="26">
        <v>345</v>
      </c>
      <c r="C344" s="55" t="s">
        <v>4599</v>
      </c>
      <c r="D344" s="56" t="s">
        <v>394</v>
      </c>
      <c r="E344" s="56" t="s">
        <v>3922</v>
      </c>
      <c r="F344" s="26" t="s">
        <v>3923</v>
      </c>
      <c r="G344" s="26" t="s">
        <v>16</v>
      </c>
      <c r="H344" s="26" t="s">
        <v>13</v>
      </c>
      <c r="I344" s="26" t="s">
        <v>3924</v>
      </c>
      <c r="J344" s="26" t="s">
        <v>4597</v>
      </c>
      <c r="K344" s="26" t="s">
        <v>3976</v>
      </c>
      <c r="L344" s="26" t="s">
        <v>3927</v>
      </c>
      <c r="M344" s="55" t="s">
        <v>4601</v>
      </c>
      <c r="N344" s="26" t="s">
        <v>3924</v>
      </c>
    </row>
    <row r="345" spans="1:14" ht="75" customHeight="1" thickTop="1" thickBot="1">
      <c r="A345" s="34">
        <v>343</v>
      </c>
      <c r="B345" s="34">
        <v>346</v>
      </c>
      <c r="C345" s="55" t="s">
        <v>4602</v>
      </c>
      <c r="D345" s="56" t="s">
        <v>394</v>
      </c>
      <c r="E345" s="56" t="s">
        <v>3922</v>
      </c>
      <c r="F345" s="26" t="s">
        <v>3923</v>
      </c>
      <c r="G345" s="26" t="s">
        <v>16</v>
      </c>
      <c r="H345" s="26" t="s">
        <v>13</v>
      </c>
      <c r="I345" s="26" t="s">
        <v>3924</v>
      </c>
      <c r="J345" s="26" t="s">
        <v>4597</v>
      </c>
      <c r="K345" s="26" t="s">
        <v>3926</v>
      </c>
      <c r="L345" s="26" t="s">
        <v>3927</v>
      </c>
      <c r="M345" s="55" t="s">
        <v>4603</v>
      </c>
      <c r="N345" s="26" t="s">
        <v>3924</v>
      </c>
    </row>
    <row r="346" spans="1:14" ht="75" customHeight="1" thickTop="1" thickBot="1">
      <c r="A346" s="26">
        <v>344</v>
      </c>
      <c r="B346" s="26">
        <v>347</v>
      </c>
      <c r="C346" s="55" t="s">
        <v>4604</v>
      </c>
      <c r="D346" s="56" t="s">
        <v>394</v>
      </c>
      <c r="E346" s="56" t="s">
        <v>3922</v>
      </c>
      <c r="F346" s="26" t="s">
        <v>3923</v>
      </c>
      <c r="G346" s="26" t="s">
        <v>16</v>
      </c>
      <c r="H346" s="26" t="s">
        <v>13</v>
      </c>
      <c r="I346" s="26" t="s">
        <v>3924</v>
      </c>
      <c r="J346" s="26" t="s">
        <v>4597</v>
      </c>
      <c r="K346" s="26" t="s">
        <v>3926</v>
      </c>
      <c r="L346" s="26" t="s">
        <v>3927</v>
      </c>
      <c r="M346" s="55" t="s">
        <v>615</v>
      </c>
      <c r="N346" s="26" t="s">
        <v>3924</v>
      </c>
    </row>
    <row r="347" spans="1:14" ht="75" customHeight="1" thickTop="1" thickBot="1">
      <c r="A347" s="34">
        <v>345</v>
      </c>
      <c r="B347" s="34">
        <v>348</v>
      </c>
      <c r="C347" s="55" t="s">
        <v>4604</v>
      </c>
      <c r="D347" s="56" t="s">
        <v>394</v>
      </c>
      <c r="E347" s="56" t="s">
        <v>3922</v>
      </c>
      <c r="F347" s="26" t="s">
        <v>3923</v>
      </c>
      <c r="G347" s="26" t="s">
        <v>16</v>
      </c>
      <c r="H347" s="26" t="s">
        <v>13</v>
      </c>
      <c r="I347" s="26" t="s">
        <v>3924</v>
      </c>
      <c r="J347" s="26" t="s">
        <v>4605</v>
      </c>
      <c r="K347" s="26" t="s">
        <v>4040</v>
      </c>
      <c r="L347" s="26" t="s">
        <v>4277</v>
      </c>
      <c r="M347" s="55" t="s">
        <v>4213</v>
      </c>
      <c r="N347" s="26" t="s">
        <v>3924</v>
      </c>
    </row>
    <row r="348" spans="1:14" ht="75" customHeight="1" thickTop="1" thickBot="1">
      <c r="A348" s="34">
        <v>346</v>
      </c>
      <c r="B348" s="26">
        <v>349</v>
      </c>
      <c r="C348" s="55" t="s">
        <v>4604</v>
      </c>
      <c r="D348" s="56" t="s">
        <v>394</v>
      </c>
      <c r="E348" s="56" t="s">
        <v>3922</v>
      </c>
      <c r="F348" s="26" t="s">
        <v>3923</v>
      </c>
      <c r="G348" s="26" t="s">
        <v>16</v>
      </c>
      <c r="H348" s="26" t="s">
        <v>13</v>
      </c>
      <c r="I348" s="26" t="s">
        <v>3924</v>
      </c>
      <c r="J348" s="26" t="s">
        <v>4605</v>
      </c>
      <c r="K348" s="26" t="s">
        <v>4040</v>
      </c>
      <c r="L348" s="26" t="s">
        <v>4284</v>
      </c>
      <c r="M348" s="55" t="s">
        <v>4501</v>
      </c>
      <c r="N348" s="26" t="s">
        <v>3924</v>
      </c>
    </row>
    <row r="349" spans="1:14" ht="75" customHeight="1" thickTop="1" thickBot="1">
      <c r="A349" s="26">
        <v>347</v>
      </c>
      <c r="B349" s="34">
        <v>350</v>
      </c>
      <c r="C349" s="55" t="s">
        <v>4606</v>
      </c>
      <c r="D349" s="56" t="s">
        <v>394</v>
      </c>
      <c r="E349" s="56" t="s">
        <v>3922</v>
      </c>
      <c r="F349" s="26" t="s">
        <v>3923</v>
      </c>
      <c r="G349" s="26" t="s">
        <v>16</v>
      </c>
      <c r="H349" s="26" t="s">
        <v>13</v>
      </c>
      <c r="I349" s="26" t="s">
        <v>3924</v>
      </c>
      <c r="J349" s="26" t="s">
        <v>4605</v>
      </c>
      <c r="K349" s="26" t="s">
        <v>3976</v>
      </c>
      <c r="L349" s="26" t="s">
        <v>3927</v>
      </c>
      <c r="M349" s="55" t="s">
        <v>4607</v>
      </c>
      <c r="N349" s="26" t="s">
        <v>3924</v>
      </c>
    </row>
    <row r="350" spans="1:14" ht="75" customHeight="1" thickTop="1" thickBot="1">
      <c r="A350" s="34">
        <v>348</v>
      </c>
      <c r="B350" s="26">
        <v>351</v>
      </c>
      <c r="C350" s="55" t="s">
        <v>4608</v>
      </c>
      <c r="D350" s="56" t="s">
        <v>394</v>
      </c>
      <c r="E350" s="56" t="s">
        <v>3922</v>
      </c>
      <c r="F350" s="26" t="s">
        <v>3923</v>
      </c>
      <c r="G350" s="26" t="s">
        <v>16</v>
      </c>
      <c r="H350" s="26" t="s">
        <v>13</v>
      </c>
      <c r="I350" s="26" t="s">
        <v>3924</v>
      </c>
      <c r="J350" s="26" t="s">
        <v>4605</v>
      </c>
      <c r="K350" s="26" t="s">
        <v>3976</v>
      </c>
      <c r="L350" s="26" t="s">
        <v>3963</v>
      </c>
      <c r="M350" s="55" t="s">
        <v>4609</v>
      </c>
      <c r="N350" s="26" t="s">
        <v>3924</v>
      </c>
    </row>
    <row r="351" spans="1:14" ht="75" customHeight="1" thickTop="1" thickBot="1">
      <c r="A351" s="34">
        <v>349</v>
      </c>
      <c r="B351" s="34">
        <v>352</v>
      </c>
      <c r="C351" s="55" t="s">
        <v>4608</v>
      </c>
      <c r="D351" s="56" t="s">
        <v>394</v>
      </c>
      <c r="E351" s="56" t="s">
        <v>3922</v>
      </c>
      <c r="F351" s="26" t="s">
        <v>3923</v>
      </c>
      <c r="G351" s="26" t="s">
        <v>16</v>
      </c>
      <c r="H351" s="26" t="s">
        <v>13</v>
      </c>
      <c r="I351" s="26" t="s">
        <v>3924</v>
      </c>
      <c r="J351" s="26" t="s">
        <v>4610</v>
      </c>
      <c r="K351" s="26" t="s">
        <v>3976</v>
      </c>
      <c r="L351" s="26" t="s">
        <v>3986</v>
      </c>
      <c r="M351" s="55" t="s">
        <v>4611</v>
      </c>
      <c r="N351" s="26" t="s">
        <v>3924</v>
      </c>
    </row>
    <row r="352" spans="1:14" ht="75" customHeight="1" thickTop="1" thickBot="1">
      <c r="A352" s="26">
        <v>350</v>
      </c>
      <c r="B352" s="26">
        <v>353</v>
      </c>
      <c r="C352" s="55" t="s">
        <v>4612</v>
      </c>
      <c r="D352" s="56" t="s">
        <v>394</v>
      </c>
      <c r="E352" s="56" t="s">
        <v>3922</v>
      </c>
      <c r="F352" s="26" t="s">
        <v>3923</v>
      </c>
      <c r="G352" s="26" t="s">
        <v>16</v>
      </c>
      <c r="H352" s="26" t="s">
        <v>13</v>
      </c>
      <c r="I352" s="26" t="s">
        <v>3924</v>
      </c>
      <c r="J352" s="26" t="s">
        <v>4610</v>
      </c>
      <c r="K352" s="26" t="s">
        <v>3929</v>
      </c>
      <c r="L352" s="26" t="s">
        <v>3927</v>
      </c>
      <c r="M352" s="55" t="s">
        <v>4613</v>
      </c>
      <c r="N352" s="26" t="s">
        <v>3924</v>
      </c>
    </row>
    <row r="353" spans="1:14" ht="75" customHeight="1" thickTop="1" thickBot="1">
      <c r="A353" s="34">
        <v>351</v>
      </c>
      <c r="B353" s="34">
        <v>354</v>
      </c>
      <c r="C353" s="55" t="s">
        <v>4614</v>
      </c>
      <c r="D353" s="56" t="s">
        <v>394</v>
      </c>
      <c r="E353" s="56" t="s">
        <v>3922</v>
      </c>
      <c r="F353" s="26" t="s">
        <v>3923</v>
      </c>
      <c r="G353" s="26" t="s">
        <v>16</v>
      </c>
      <c r="H353" s="26" t="s">
        <v>13</v>
      </c>
      <c r="I353" s="26" t="s">
        <v>3924</v>
      </c>
      <c r="J353" s="26" t="s">
        <v>4610</v>
      </c>
      <c r="K353" s="26" t="s">
        <v>3929</v>
      </c>
      <c r="L353" s="26" t="s">
        <v>3927</v>
      </c>
      <c r="M353" s="55" t="s">
        <v>4615</v>
      </c>
      <c r="N353" s="26" t="s">
        <v>3924</v>
      </c>
    </row>
    <row r="354" spans="1:14" ht="75" customHeight="1" thickTop="1" thickBot="1">
      <c r="A354" s="34">
        <v>352</v>
      </c>
      <c r="B354" s="26">
        <v>355</v>
      </c>
      <c r="C354" s="55" t="s">
        <v>4614</v>
      </c>
      <c r="D354" s="56" t="s">
        <v>394</v>
      </c>
      <c r="E354" s="56" t="s">
        <v>3922</v>
      </c>
      <c r="F354" s="26" t="s">
        <v>3923</v>
      </c>
      <c r="G354" s="26" t="s">
        <v>16</v>
      </c>
      <c r="H354" s="26" t="s">
        <v>13</v>
      </c>
      <c r="I354" s="26" t="s">
        <v>3924</v>
      </c>
      <c r="J354" s="26" t="s">
        <v>4610</v>
      </c>
      <c r="K354" s="26" t="s">
        <v>3929</v>
      </c>
      <c r="L354" s="26" t="s">
        <v>3927</v>
      </c>
      <c r="M354" s="55" t="s">
        <v>4616</v>
      </c>
      <c r="N354" s="26" t="s">
        <v>3924</v>
      </c>
    </row>
    <row r="355" spans="1:14" ht="75" customHeight="1" thickTop="1" thickBot="1">
      <c r="A355" s="26">
        <v>353</v>
      </c>
      <c r="B355" s="34">
        <v>356</v>
      </c>
      <c r="C355" s="55" t="s">
        <v>4617</v>
      </c>
      <c r="D355" s="56" t="s">
        <v>394</v>
      </c>
      <c r="E355" s="56" t="s">
        <v>3922</v>
      </c>
      <c r="F355" s="26" t="s">
        <v>3923</v>
      </c>
      <c r="G355" s="26" t="s">
        <v>16</v>
      </c>
      <c r="H355" s="26" t="s">
        <v>13</v>
      </c>
      <c r="I355" s="26" t="s">
        <v>3924</v>
      </c>
      <c r="J355" s="26" t="s">
        <v>4610</v>
      </c>
      <c r="K355" s="26" t="s">
        <v>3976</v>
      </c>
      <c r="L355" s="26" t="s">
        <v>3963</v>
      </c>
      <c r="M355" s="55" t="s">
        <v>4618</v>
      </c>
      <c r="N355" s="26" t="s">
        <v>3924</v>
      </c>
    </row>
    <row r="356" spans="1:14" ht="75" customHeight="1" thickTop="1" thickBot="1">
      <c r="A356" s="34">
        <v>354</v>
      </c>
      <c r="B356" s="26">
        <v>357</v>
      </c>
      <c r="C356" s="55" t="s">
        <v>4619</v>
      </c>
      <c r="D356" s="56" t="s">
        <v>394</v>
      </c>
      <c r="E356" s="56" t="s">
        <v>3922</v>
      </c>
      <c r="F356" s="26" t="s">
        <v>3923</v>
      </c>
      <c r="G356" s="26" t="s">
        <v>15</v>
      </c>
      <c r="H356" s="26" t="s">
        <v>13</v>
      </c>
      <c r="I356" s="26" t="s">
        <v>3924</v>
      </c>
      <c r="J356" s="26" t="s">
        <v>4620</v>
      </c>
      <c r="K356" s="26" t="s">
        <v>3926</v>
      </c>
      <c r="L356" s="26" t="s">
        <v>3927</v>
      </c>
      <c r="M356" s="55" t="s">
        <v>4621</v>
      </c>
      <c r="N356" s="26" t="s">
        <v>3924</v>
      </c>
    </row>
    <row r="357" spans="1:14" ht="75" customHeight="1" thickTop="1" thickBot="1">
      <c r="A357" s="34">
        <v>355</v>
      </c>
      <c r="B357" s="34">
        <v>358</v>
      </c>
      <c r="C357" s="55" t="s">
        <v>4619</v>
      </c>
      <c r="D357" s="56" t="s">
        <v>394</v>
      </c>
      <c r="E357" s="56" t="s">
        <v>3922</v>
      </c>
      <c r="F357" s="26" t="s">
        <v>3923</v>
      </c>
      <c r="G357" s="26" t="s">
        <v>15</v>
      </c>
      <c r="H357" s="26" t="s">
        <v>13</v>
      </c>
      <c r="I357" s="26" t="s">
        <v>3924</v>
      </c>
      <c r="J357" s="26" t="s">
        <v>4622</v>
      </c>
      <c r="K357" s="26" t="s">
        <v>3947</v>
      </c>
      <c r="L357" s="26" t="s">
        <v>3927</v>
      </c>
      <c r="M357" s="55" t="s">
        <v>4621</v>
      </c>
      <c r="N357" s="26" t="s">
        <v>3924</v>
      </c>
    </row>
    <row r="358" spans="1:14" ht="75" customHeight="1" thickTop="1" thickBot="1">
      <c r="A358" s="26">
        <v>356</v>
      </c>
      <c r="B358" s="26">
        <v>359</v>
      </c>
      <c r="C358" s="55" t="s">
        <v>4620</v>
      </c>
      <c r="D358" s="56" t="s">
        <v>394</v>
      </c>
      <c r="E358" s="56" t="s">
        <v>3922</v>
      </c>
      <c r="F358" s="26" t="s">
        <v>3923</v>
      </c>
      <c r="G358" s="26" t="s">
        <v>15</v>
      </c>
      <c r="H358" s="26" t="s">
        <v>13</v>
      </c>
      <c r="I358" s="26" t="s">
        <v>3924</v>
      </c>
      <c r="J358" s="26" t="s">
        <v>4622</v>
      </c>
      <c r="K358" s="26" t="s">
        <v>4040</v>
      </c>
      <c r="L358" s="26" t="s">
        <v>3927</v>
      </c>
      <c r="M358" s="55" t="s">
        <v>4623</v>
      </c>
      <c r="N358" s="26" t="s">
        <v>3924</v>
      </c>
    </row>
    <row r="359" spans="1:14" ht="75" customHeight="1" thickTop="1" thickBot="1">
      <c r="A359" s="34">
        <v>357</v>
      </c>
      <c r="B359" s="34">
        <v>360</v>
      </c>
      <c r="C359" s="55" t="s">
        <v>4620</v>
      </c>
      <c r="D359" s="56" t="s">
        <v>394</v>
      </c>
      <c r="E359" s="56" t="s">
        <v>3922</v>
      </c>
      <c r="F359" s="26" t="s">
        <v>3923</v>
      </c>
      <c r="G359" s="26" t="s">
        <v>15</v>
      </c>
      <c r="H359" s="26" t="s">
        <v>13</v>
      </c>
      <c r="I359" s="26" t="s">
        <v>3924</v>
      </c>
      <c r="J359" s="26" t="s">
        <v>4620</v>
      </c>
      <c r="K359" s="26" t="s">
        <v>4087</v>
      </c>
      <c r="L359" s="26" t="s">
        <v>4277</v>
      </c>
      <c r="M359" s="55" t="s">
        <v>4624</v>
      </c>
      <c r="N359" s="26" t="s">
        <v>3924</v>
      </c>
    </row>
    <row r="360" spans="1:14" ht="75" customHeight="1" thickTop="1" thickBot="1">
      <c r="A360" s="34">
        <v>358</v>
      </c>
      <c r="B360" s="26">
        <v>361</v>
      </c>
      <c r="C360" s="55" t="s">
        <v>4625</v>
      </c>
      <c r="D360" s="56" t="s">
        <v>394</v>
      </c>
      <c r="E360" s="56" t="s">
        <v>3922</v>
      </c>
      <c r="F360" s="26" t="s">
        <v>3923</v>
      </c>
      <c r="G360" s="26" t="s">
        <v>15</v>
      </c>
      <c r="H360" s="26" t="s">
        <v>13</v>
      </c>
      <c r="I360" s="26" t="s">
        <v>3924</v>
      </c>
      <c r="J360" s="26" t="s">
        <v>4626</v>
      </c>
      <c r="K360" s="26" t="s">
        <v>3929</v>
      </c>
      <c r="L360" s="26" t="s">
        <v>3927</v>
      </c>
      <c r="M360" s="55" t="s">
        <v>4627</v>
      </c>
      <c r="N360" s="26" t="s">
        <v>3924</v>
      </c>
    </row>
    <row r="361" spans="1:14" ht="75" customHeight="1" thickTop="1" thickBot="1">
      <c r="A361" s="26">
        <v>359</v>
      </c>
      <c r="B361" s="34">
        <v>362</v>
      </c>
      <c r="C361" s="55" t="s">
        <v>4625</v>
      </c>
      <c r="D361" s="56" t="s">
        <v>394</v>
      </c>
      <c r="E361" s="56" t="s">
        <v>3922</v>
      </c>
      <c r="F361" s="26" t="s">
        <v>3923</v>
      </c>
      <c r="G361" s="26" t="s">
        <v>15</v>
      </c>
      <c r="H361" s="26" t="s">
        <v>13</v>
      </c>
      <c r="I361" s="26" t="s">
        <v>3924</v>
      </c>
      <c r="J361" s="26" t="s">
        <v>4628</v>
      </c>
      <c r="K361" s="26" t="s">
        <v>3929</v>
      </c>
      <c r="L361" s="26" t="s">
        <v>3963</v>
      </c>
      <c r="M361" s="55" t="s">
        <v>4627</v>
      </c>
      <c r="N361" s="26" t="s">
        <v>3924</v>
      </c>
    </row>
    <row r="362" spans="1:14" ht="75" customHeight="1" thickTop="1" thickBot="1">
      <c r="A362" s="34">
        <v>360</v>
      </c>
      <c r="B362" s="26">
        <v>363</v>
      </c>
      <c r="C362" s="55" t="s">
        <v>4629</v>
      </c>
      <c r="D362" s="56" t="s">
        <v>394</v>
      </c>
      <c r="E362" s="56" t="s">
        <v>3922</v>
      </c>
      <c r="F362" s="26" t="s">
        <v>3923</v>
      </c>
      <c r="G362" s="26" t="s">
        <v>15</v>
      </c>
      <c r="H362" s="26" t="s">
        <v>13</v>
      </c>
      <c r="I362" s="26" t="s">
        <v>3924</v>
      </c>
      <c r="J362" s="26" t="s">
        <v>4630</v>
      </c>
      <c r="K362" s="26" t="s">
        <v>3929</v>
      </c>
      <c r="L362" s="26" t="s">
        <v>3986</v>
      </c>
      <c r="M362" s="55" t="s">
        <v>4631</v>
      </c>
      <c r="N362" s="26" t="s">
        <v>3924</v>
      </c>
    </row>
    <row r="363" spans="1:14" ht="75" customHeight="1" thickTop="1" thickBot="1">
      <c r="A363" s="34">
        <v>361</v>
      </c>
      <c r="B363" s="34">
        <v>364</v>
      </c>
      <c r="C363" s="55" t="s">
        <v>4632</v>
      </c>
      <c r="D363" s="56" t="s">
        <v>394</v>
      </c>
      <c r="E363" s="56" t="s">
        <v>3922</v>
      </c>
      <c r="F363" s="26" t="s">
        <v>3923</v>
      </c>
      <c r="G363" s="26" t="s">
        <v>15</v>
      </c>
      <c r="H363" s="26" t="s">
        <v>13</v>
      </c>
      <c r="I363" s="26" t="s">
        <v>3924</v>
      </c>
      <c r="J363" s="26" t="s">
        <v>4630</v>
      </c>
      <c r="K363" s="26" t="s">
        <v>3929</v>
      </c>
      <c r="L363" s="26" t="s">
        <v>4011</v>
      </c>
      <c r="M363" s="55" t="s">
        <v>4633</v>
      </c>
      <c r="N363" s="26" t="s">
        <v>3924</v>
      </c>
    </row>
    <row r="364" spans="1:14" ht="75" customHeight="1" thickTop="1" thickBot="1">
      <c r="A364" s="26">
        <v>362</v>
      </c>
      <c r="B364" s="26">
        <v>365</v>
      </c>
      <c r="C364" s="55" t="s">
        <v>4632</v>
      </c>
      <c r="D364" s="56" t="s">
        <v>394</v>
      </c>
      <c r="E364" s="56" t="s">
        <v>3922</v>
      </c>
      <c r="F364" s="26" t="s">
        <v>3923</v>
      </c>
      <c r="G364" s="26" t="s">
        <v>15</v>
      </c>
      <c r="H364" s="26" t="s">
        <v>13</v>
      </c>
      <c r="I364" s="26" t="s">
        <v>3924</v>
      </c>
      <c r="J364" s="26" t="s">
        <v>4630</v>
      </c>
      <c r="K364" s="26" t="s">
        <v>3929</v>
      </c>
      <c r="L364" s="26" t="s">
        <v>4203</v>
      </c>
      <c r="M364" s="55" t="s">
        <v>4633</v>
      </c>
      <c r="N364" s="26" t="s">
        <v>3924</v>
      </c>
    </row>
    <row r="365" spans="1:14" ht="75" customHeight="1" thickTop="1" thickBot="1">
      <c r="A365" s="34">
        <v>363</v>
      </c>
      <c r="B365" s="34">
        <v>366</v>
      </c>
      <c r="C365" s="55" t="s">
        <v>4632</v>
      </c>
      <c r="D365" s="56" t="s">
        <v>394</v>
      </c>
      <c r="E365" s="56" t="s">
        <v>3922</v>
      </c>
      <c r="F365" s="26" t="s">
        <v>3923</v>
      </c>
      <c r="G365" s="26" t="s">
        <v>15</v>
      </c>
      <c r="H365" s="26" t="s">
        <v>13</v>
      </c>
      <c r="I365" s="26" t="s">
        <v>3924</v>
      </c>
      <c r="J365" s="26" t="s">
        <v>4630</v>
      </c>
      <c r="K365" s="26" t="s">
        <v>3929</v>
      </c>
      <c r="L365" s="26" t="s">
        <v>4239</v>
      </c>
      <c r="M365" s="55" t="s">
        <v>4634</v>
      </c>
      <c r="N365" s="26" t="s">
        <v>3924</v>
      </c>
    </row>
    <row r="366" spans="1:14" ht="75" customHeight="1" thickTop="1" thickBot="1">
      <c r="A366" s="34">
        <v>364</v>
      </c>
      <c r="B366" s="26">
        <v>367</v>
      </c>
      <c r="C366" s="55" t="s">
        <v>4635</v>
      </c>
      <c r="D366" s="56" t="s">
        <v>394</v>
      </c>
      <c r="E366" s="56" t="s">
        <v>3922</v>
      </c>
      <c r="F366" s="26" t="s">
        <v>3923</v>
      </c>
      <c r="G366" s="26" t="s">
        <v>15</v>
      </c>
      <c r="H366" s="26" t="s">
        <v>13</v>
      </c>
      <c r="I366" s="26" t="s">
        <v>3924</v>
      </c>
      <c r="J366" s="26" t="s">
        <v>4636</v>
      </c>
      <c r="K366" s="26" t="s">
        <v>3929</v>
      </c>
      <c r="L366" s="26" t="s">
        <v>4277</v>
      </c>
      <c r="M366" s="55" t="s">
        <v>4637</v>
      </c>
      <c r="N366" s="26" t="s">
        <v>3924</v>
      </c>
    </row>
    <row r="367" spans="1:14" ht="75" customHeight="1" thickTop="1" thickBot="1">
      <c r="A367" s="26">
        <v>365</v>
      </c>
      <c r="B367" s="34">
        <v>368</v>
      </c>
      <c r="C367" s="55" t="s">
        <v>4638</v>
      </c>
      <c r="D367" s="56" t="s">
        <v>394</v>
      </c>
      <c r="E367" s="56" t="s">
        <v>3922</v>
      </c>
      <c r="F367" s="26" t="s">
        <v>3923</v>
      </c>
      <c r="G367" s="26" t="s">
        <v>15</v>
      </c>
      <c r="H367" s="26" t="s">
        <v>13</v>
      </c>
      <c r="I367" s="26" t="s">
        <v>3924</v>
      </c>
      <c r="J367" s="26" t="s">
        <v>4636</v>
      </c>
      <c r="K367" s="26" t="s">
        <v>3929</v>
      </c>
      <c r="L367" s="26" t="s">
        <v>4284</v>
      </c>
      <c r="M367" s="55" t="s">
        <v>4637</v>
      </c>
      <c r="N367" s="26" t="s">
        <v>3924</v>
      </c>
    </row>
    <row r="368" spans="1:14" ht="75" customHeight="1" thickTop="1" thickBot="1">
      <c r="A368" s="34">
        <v>366</v>
      </c>
      <c r="B368" s="26">
        <v>369</v>
      </c>
      <c r="C368" s="55" t="s">
        <v>4638</v>
      </c>
      <c r="D368" s="56" t="s">
        <v>394</v>
      </c>
      <c r="E368" s="56" t="s">
        <v>3922</v>
      </c>
      <c r="F368" s="26" t="s">
        <v>3923</v>
      </c>
      <c r="G368" s="26" t="s">
        <v>15</v>
      </c>
      <c r="H368" s="26" t="s">
        <v>13</v>
      </c>
      <c r="I368" s="26" t="s">
        <v>3924</v>
      </c>
      <c r="J368" s="26" t="s">
        <v>4636</v>
      </c>
      <c r="K368" s="26" t="s">
        <v>3929</v>
      </c>
      <c r="L368" s="26" t="s">
        <v>4125</v>
      </c>
      <c r="M368" s="55" t="s">
        <v>4639</v>
      </c>
      <c r="N368" s="26" t="s">
        <v>3924</v>
      </c>
    </row>
    <row r="369" spans="1:14" ht="75" customHeight="1" thickTop="1" thickBot="1">
      <c r="A369" s="34">
        <v>367</v>
      </c>
      <c r="B369" s="34">
        <v>370</v>
      </c>
      <c r="C369" s="55" t="s">
        <v>4638</v>
      </c>
      <c r="D369" s="56" t="s">
        <v>394</v>
      </c>
      <c r="E369" s="56" t="s">
        <v>3922</v>
      </c>
      <c r="F369" s="26" t="s">
        <v>3923</v>
      </c>
      <c r="G369" s="26" t="s">
        <v>15</v>
      </c>
      <c r="H369" s="26" t="s">
        <v>13</v>
      </c>
      <c r="I369" s="26" t="s">
        <v>3924</v>
      </c>
      <c r="J369" s="26" t="s">
        <v>4636</v>
      </c>
      <c r="K369" s="26" t="s">
        <v>3929</v>
      </c>
      <c r="L369" s="26" t="s">
        <v>4011</v>
      </c>
      <c r="M369" s="55" t="s">
        <v>4640</v>
      </c>
      <c r="N369" s="26" t="s">
        <v>3924</v>
      </c>
    </row>
    <row r="370" spans="1:14" ht="75" customHeight="1" thickTop="1" thickBot="1">
      <c r="A370" s="26">
        <v>368</v>
      </c>
      <c r="B370" s="26">
        <v>371</v>
      </c>
      <c r="C370" s="55" t="s">
        <v>4641</v>
      </c>
      <c r="D370" s="56" t="s">
        <v>394</v>
      </c>
      <c r="E370" s="56" t="s">
        <v>3922</v>
      </c>
      <c r="F370" s="26" t="s">
        <v>3923</v>
      </c>
      <c r="G370" s="26" t="s">
        <v>15</v>
      </c>
      <c r="H370" s="26" t="s">
        <v>13</v>
      </c>
      <c r="I370" s="26" t="s">
        <v>3924</v>
      </c>
      <c r="J370" s="26" t="s">
        <v>4636</v>
      </c>
      <c r="K370" s="26" t="s">
        <v>3929</v>
      </c>
      <c r="L370" s="26" t="s">
        <v>4203</v>
      </c>
      <c r="M370" s="55" t="s">
        <v>4640</v>
      </c>
      <c r="N370" s="26" t="s">
        <v>3924</v>
      </c>
    </row>
    <row r="371" spans="1:14" ht="75" customHeight="1" thickTop="1" thickBot="1">
      <c r="A371" s="34">
        <v>369</v>
      </c>
      <c r="B371" s="34">
        <v>372</v>
      </c>
      <c r="C371" s="55" t="s">
        <v>4641</v>
      </c>
      <c r="D371" s="56" t="s">
        <v>394</v>
      </c>
      <c r="E371" s="56" t="s">
        <v>3922</v>
      </c>
      <c r="F371" s="26" t="s">
        <v>3923</v>
      </c>
      <c r="G371" s="26" t="s">
        <v>15</v>
      </c>
      <c r="H371" s="26" t="s">
        <v>13</v>
      </c>
      <c r="I371" s="26" t="s">
        <v>3924</v>
      </c>
      <c r="J371" s="26" t="s">
        <v>4642</v>
      </c>
      <c r="K371" s="26" t="s">
        <v>3929</v>
      </c>
      <c r="L371" s="26" t="s">
        <v>4239</v>
      </c>
      <c r="M371" s="55" t="s">
        <v>4640</v>
      </c>
      <c r="N371" s="26" t="s">
        <v>3924</v>
      </c>
    </row>
    <row r="372" spans="1:14" ht="75" customHeight="1" thickTop="1" thickBot="1">
      <c r="A372" s="34">
        <v>370</v>
      </c>
      <c r="B372" s="26">
        <v>373</v>
      </c>
      <c r="C372" s="55" t="s">
        <v>4643</v>
      </c>
      <c r="D372" s="56" t="s">
        <v>394</v>
      </c>
      <c r="E372" s="56" t="s">
        <v>3922</v>
      </c>
      <c r="F372" s="26" t="s">
        <v>3923</v>
      </c>
      <c r="G372" s="26" t="s">
        <v>15</v>
      </c>
      <c r="H372" s="26" t="s">
        <v>13</v>
      </c>
      <c r="I372" s="26" t="s">
        <v>3924</v>
      </c>
      <c r="J372" s="26" t="s">
        <v>4642</v>
      </c>
      <c r="K372" s="26" t="s">
        <v>3929</v>
      </c>
      <c r="L372" s="26" t="s">
        <v>4011</v>
      </c>
      <c r="M372" s="55" t="s">
        <v>4644</v>
      </c>
      <c r="N372" s="26" t="s">
        <v>3924</v>
      </c>
    </row>
    <row r="373" spans="1:14" ht="75" customHeight="1" thickTop="1" thickBot="1">
      <c r="A373" s="26">
        <v>371</v>
      </c>
      <c r="B373" s="34">
        <v>374</v>
      </c>
      <c r="C373" s="55" t="s">
        <v>4643</v>
      </c>
      <c r="D373" s="56" t="s">
        <v>394</v>
      </c>
      <c r="E373" s="56" t="s">
        <v>3922</v>
      </c>
      <c r="F373" s="26" t="s">
        <v>3923</v>
      </c>
      <c r="G373" s="26" t="s">
        <v>15</v>
      </c>
      <c r="H373" s="26" t="s">
        <v>13</v>
      </c>
      <c r="I373" s="26" t="s">
        <v>3924</v>
      </c>
      <c r="J373" s="26" t="s">
        <v>4642</v>
      </c>
      <c r="K373" s="26" t="s">
        <v>3929</v>
      </c>
      <c r="L373" s="26" t="s">
        <v>4203</v>
      </c>
      <c r="M373" s="55" t="s">
        <v>4644</v>
      </c>
      <c r="N373" s="26" t="s">
        <v>3924</v>
      </c>
    </row>
    <row r="374" spans="1:14" ht="75" customHeight="1" thickTop="1" thickBot="1">
      <c r="A374" s="34">
        <v>372</v>
      </c>
      <c r="B374" s="26">
        <v>375</v>
      </c>
      <c r="C374" s="55" t="s">
        <v>4643</v>
      </c>
      <c r="D374" s="56" t="s">
        <v>394</v>
      </c>
      <c r="E374" s="56" t="s">
        <v>3922</v>
      </c>
      <c r="F374" s="26" t="s">
        <v>3923</v>
      </c>
      <c r="G374" s="26" t="s">
        <v>15</v>
      </c>
      <c r="H374" s="26" t="s">
        <v>13</v>
      </c>
      <c r="I374" s="26" t="s">
        <v>3924</v>
      </c>
      <c r="J374" s="26" t="s">
        <v>4642</v>
      </c>
      <c r="K374" s="26" t="s">
        <v>3929</v>
      </c>
      <c r="L374" s="26" t="s">
        <v>4239</v>
      </c>
      <c r="M374" s="55" t="s">
        <v>4644</v>
      </c>
      <c r="N374" s="26" t="s">
        <v>3924</v>
      </c>
    </row>
    <row r="375" spans="1:14" ht="75" customHeight="1" thickTop="1" thickBot="1">
      <c r="A375" s="34">
        <v>373</v>
      </c>
      <c r="B375" s="34">
        <v>376</v>
      </c>
      <c r="C375" s="55" t="s">
        <v>4645</v>
      </c>
      <c r="D375" s="56" t="s">
        <v>394</v>
      </c>
      <c r="E375" s="56" t="s">
        <v>3922</v>
      </c>
      <c r="F375" s="26" t="s">
        <v>3923</v>
      </c>
      <c r="G375" s="26" t="s">
        <v>15</v>
      </c>
      <c r="H375" s="26" t="s">
        <v>13</v>
      </c>
      <c r="I375" s="26" t="s">
        <v>3924</v>
      </c>
      <c r="J375" s="26" t="s">
        <v>4642</v>
      </c>
      <c r="K375" s="26" t="s">
        <v>3929</v>
      </c>
      <c r="L375" s="26" t="s">
        <v>4277</v>
      </c>
      <c r="M375" s="55" t="s">
        <v>4646</v>
      </c>
      <c r="N375" s="26" t="s">
        <v>3924</v>
      </c>
    </row>
    <row r="376" spans="1:14" ht="75" customHeight="1" thickTop="1" thickBot="1">
      <c r="A376" s="26">
        <v>374</v>
      </c>
      <c r="B376" s="26">
        <v>377</v>
      </c>
      <c r="C376" s="55" t="s">
        <v>4647</v>
      </c>
      <c r="D376" s="56" t="s">
        <v>394</v>
      </c>
      <c r="E376" s="56" t="s">
        <v>3922</v>
      </c>
      <c r="F376" s="26" t="s">
        <v>3923</v>
      </c>
      <c r="G376" s="26" t="s">
        <v>15</v>
      </c>
      <c r="H376" s="26" t="s">
        <v>13</v>
      </c>
      <c r="I376" s="26" t="s">
        <v>3924</v>
      </c>
      <c r="J376" s="26" t="s">
        <v>4642</v>
      </c>
      <c r="K376" s="26" t="s">
        <v>3929</v>
      </c>
      <c r="L376" s="26" t="s">
        <v>4284</v>
      </c>
      <c r="M376" s="55" t="s">
        <v>4646</v>
      </c>
      <c r="N376" s="26" t="s">
        <v>3924</v>
      </c>
    </row>
    <row r="377" spans="1:14" ht="75" customHeight="1" thickTop="1" thickBot="1">
      <c r="A377" s="34">
        <v>375</v>
      </c>
      <c r="B377" s="34">
        <v>378</v>
      </c>
      <c r="C377" s="55" t="s">
        <v>4647</v>
      </c>
      <c r="D377" s="56" t="s">
        <v>394</v>
      </c>
      <c r="E377" s="56" t="s">
        <v>3922</v>
      </c>
      <c r="F377" s="26" t="s">
        <v>3923</v>
      </c>
      <c r="G377" s="26" t="s">
        <v>15</v>
      </c>
      <c r="H377" s="26" t="s">
        <v>13</v>
      </c>
      <c r="I377" s="26" t="s">
        <v>3924</v>
      </c>
      <c r="J377" s="26" t="s">
        <v>4648</v>
      </c>
      <c r="K377" s="26" t="s">
        <v>3929</v>
      </c>
      <c r="L377" s="26" t="s">
        <v>4125</v>
      </c>
      <c r="M377" s="55" t="s">
        <v>4649</v>
      </c>
      <c r="N377" s="26" t="s">
        <v>3924</v>
      </c>
    </row>
    <row r="378" spans="1:14" ht="75" customHeight="1" thickTop="1" thickBot="1">
      <c r="A378" s="34">
        <v>376</v>
      </c>
      <c r="B378" s="26">
        <v>379</v>
      </c>
      <c r="C378" s="55" t="s">
        <v>4650</v>
      </c>
      <c r="D378" s="56" t="s">
        <v>394</v>
      </c>
      <c r="E378" s="56" t="s">
        <v>3922</v>
      </c>
      <c r="F378" s="26" t="s">
        <v>3923</v>
      </c>
      <c r="G378" s="26" t="s">
        <v>14</v>
      </c>
      <c r="H378" s="26" t="s">
        <v>13</v>
      </c>
      <c r="I378" s="26" t="s">
        <v>3924</v>
      </c>
      <c r="J378" s="26" t="s">
        <v>4628</v>
      </c>
      <c r="K378" s="26" t="s">
        <v>3947</v>
      </c>
      <c r="L378" s="26" t="s">
        <v>4082</v>
      </c>
      <c r="M378" s="55" t="s">
        <v>4296</v>
      </c>
      <c r="N378" s="26" t="s">
        <v>3924</v>
      </c>
    </row>
    <row r="379" spans="1:14" ht="75" customHeight="1" thickTop="1" thickBot="1">
      <c r="A379" s="26">
        <v>377</v>
      </c>
      <c r="B379" s="34">
        <v>380</v>
      </c>
      <c r="C379" s="55" t="s">
        <v>4650</v>
      </c>
      <c r="D379" s="56" t="s">
        <v>394</v>
      </c>
      <c r="E379" s="56" t="s">
        <v>3922</v>
      </c>
      <c r="F379" s="26" t="s">
        <v>3923</v>
      </c>
      <c r="G379" s="26" t="s">
        <v>16</v>
      </c>
      <c r="H379" s="26" t="s">
        <v>13</v>
      </c>
      <c r="I379" s="26" t="s">
        <v>3924</v>
      </c>
      <c r="J379" s="26" t="s">
        <v>4628</v>
      </c>
      <c r="K379" s="26" t="s">
        <v>4190</v>
      </c>
      <c r="L379" s="26" t="s">
        <v>3927</v>
      </c>
      <c r="M379" s="55" t="s">
        <v>850</v>
      </c>
      <c r="N379" s="26" t="s">
        <v>3924</v>
      </c>
    </row>
    <row r="380" spans="1:14" ht="75" customHeight="1" thickTop="1" thickBot="1">
      <c r="A380" s="34">
        <v>378</v>
      </c>
      <c r="B380" s="26">
        <v>381</v>
      </c>
      <c r="C380" s="55" t="s">
        <v>4651</v>
      </c>
      <c r="D380" s="56" t="s">
        <v>394</v>
      </c>
      <c r="E380" s="56" t="s">
        <v>3922</v>
      </c>
      <c r="F380" s="26" t="s">
        <v>3923</v>
      </c>
      <c r="G380" s="26" t="s">
        <v>14</v>
      </c>
      <c r="H380" s="26" t="s">
        <v>13</v>
      </c>
      <c r="I380" s="26" t="s">
        <v>3924</v>
      </c>
      <c r="J380" s="26" t="s">
        <v>4628</v>
      </c>
      <c r="K380" s="26" t="s">
        <v>4087</v>
      </c>
      <c r="L380" s="26" t="s">
        <v>4082</v>
      </c>
      <c r="M380" s="55" t="s">
        <v>4652</v>
      </c>
      <c r="N380" s="26" t="s">
        <v>3924</v>
      </c>
    </row>
    <row r="381" spans="1:14" ht="75" customHeight="1" thickTop="1" thickBot="1">
      <c r="A381" s="34">
        <v>379</v>
      </c>
      <c r="B381" s="34">
        <v>382</v>
      </c>
      <c r="C381" s="55" t="s">
        <v>4653</v>
      </c>
      <c r="D381" s="56" t="s">
        <v>394</v>
      </c>
      <c r="E381" s="56" t="s">
        <v>3922</v>
      </c>
      <c r="F381" s="26" t="s">
        <v>3923</v>
      </c>
      <c r="G381" s="26" t="s">
        <v>14</v>
      </c>
      <c r="H381" s="26" t="s">
        <v>13</v>
      </c>
      <c r="I381" s="26" t="s">
        <v>3924</v>
      </c>
      <c r="J381" s="26" t="s">
        <v>4654</v>
      </c>
      <c r="K381" s="26" t="s">
        <v>4040</v>
      </c>
      <c r="L381" s="26" t="s">
        <v>4082</v>
      </c>
      <c r="M381" s="55" t="s">
        <v>4655</v>
      </c>
      <c r="N381" s="26" t="s">
        <v>3924</v>
      </c>
    </row>
    <row r="382" spans="1:14" ht="75" customHeight="1" thickTop="1" thickBot="1">
      <c r="A382" s="26">
        <v>380</v>
      </c>
      <c r="B382" s="26">
        <v>383</v>
      </c>
      <c r="C382" s="55" t="s">
        <v>4653</v>
      </c>
      <c r="D382" s="56" t="s">
        <v>394</v>
      </c>
      <c r="E382" s="56" t="s">
        <v>3922</v>
      </c>
      <c r="F382" s="26" t="s">
        <v>3923</v>
      </c>
      <c r="G382" s="26" t="s">
        <v>14</v>
      </c>
      <c r="H382" s="26" t="s">
        <v>13</v>
      </c>
      <c r="I382" s="26" t="s">
        <v>3924</v>
      </c>
      <c r="J382" s="26" t="s">
        <v>4654</v>
      </c>
      <c r="K382" s="26" t="s">
        <v>3966</v>
      </c>
      <c r="L382" s="26" t="s">
        <v>4082</v>
      </c>
      <c r="M382" s="55" t="s">
        <v>4655</v>
      </c>
      <c r="N382" s="26" t="s">
        <v>3924</v>
      </c>
    </row>
    <row r="383" spans="1:14" ht="75" customHeight="1" thickTop="1" thickBot="1">
      <c r="A383" s="34">
        <v>381</v>
      </c>
      <c r="B383" s="34">
        <v>384</v>
      </c>
      <c r="C383" s="55" t="s">
        <v>4656</v>
      </c>
      <c r="D383" s="56" t="s">
        <v>394</v>
      </c>
      <c r="E383" s="56" t="s">
        <v>3922</v>
      </c>
      <c r="F383" s="26" t="s">
        <v>3923</v>
      </c>
      <c r="G383" s="26" t="s">
        <v>14</v>
      </c>
      <c r="H383" s="26" t="s">
        <v>13</v>
      </c>
      <c r="I383" s="26" t="s">
        <v>3924</v>
      </c>
      <c r="J383" s="26" t="s">
        <v>4654</v>
      </c>
      <c r="K383" s="26" t="s">
        <v>4087</v>
      </c>
      <c r="L383" s="26" t="s">
        <v>4082</v>
      </c>
      <c r="M383" s="55" t="s">
        <v>4657</v>
      </c>
      <c r="N383" s="26" t="s">
        <v>3924</v>
      </c>
    </row>
    <row r="384" spans="1:14" ht="75" customHeight="1" thickTop="1" thickBot="1">
      <c r="A384" s="34">
        <v>382</v>
      </c>
      <c r="B384" s="26">
        <v>385</v>
      </c>
      <c r="C384" s="55" t="s">
        <v>4656</v>
      </c>
      <c r="D384" s="56" t="s">
        <v>394</v>
      </c>
      <c r="E384" s="56" t="s">
        <v>3922</v>
      </c>
      <c r="F384" s="26" t="s">
        <v>3923</v>
      </c>
      <c r="G384" s="26" t="s">
        <v>14</v>
      </c>
      <c r="H384" s="26" t="s">
        <v>13</v>
      </c>
      <c r="I384" s="26" t="s">
        <v>3924</v>
      </c>
      <c r="J384" s="26" t="s">
        <v>4654</v>
      </c>
      <c r="K384" s="26" t="s">
        <v>3941</v>
      </c>
      <c r="L384" s="26" t="s">
        <v>4082</v>
      </c>
      <c r="M384" s="55" t="s">
        <v>4655</v>
      </c>
      <c r="N384" s="26" t="s">
        <v>3924</v>
      </c>
    </row>
    <row r="385" spans="1:14" ht="75" customHeight="1" thickTop="1" thickBot="1">
      <c r="A385" s="26">
        <v>383</v>
      </c>
      <c r="B385" s="34">
        <v>386</v>
      </c>
      <c r="C385" s="55" t="s">
        <v>4658</v>
      </c>
      <c r="D385" s="56" t="s">
        <v>394</v>
      </c>
      <c r="E385" s="56" t="s">
        <v>3922</v>
      </c>
      <c r="F385" s="26" t="s">
        <v>3923</v>
      </c>
      <c r="G385" s="26" t="s">
        <v>14</v>
      </c>
      <c r="H385" s="26" t="s">
        <v>13</v>
      </c>
      <c r="I385" s="26" t="s">
        <v>3924</v>
      </c>
      <c r="J385" s="26" t="s">
        <v>4654</v>
      </c>
      <c r="K385" s="26" t="s">
        <v>3976</v>
      </c>
      <c r="L385" s="26" t="s">
        <v>4082</v>
      </c>
      <c r="M385" s="55" t="s">
        <v>4657</v>
      </c>
      <c r="N385" s="26" t="s">
        <v>3924</v>
      </c>
    </row>
    <row r="386" spans="1:14" ht="75" customHeight="1" thickTop="1" thickBot="1">
      <c r="A386" s="34">
        <v>384</v>
      </c>
      <c r="B386" s="26">
        <v>387</v>
      </c>
      <c r="C386" s="55" t="s">
        <v>4659</v>
      </c>
      <c r="D386" s="56" t="s">
        <v>394</v>
      </c>
      <c r="E386" s="56" t="s">
        <v>3922</v>
      </c>
      <c r="F386" s="26" t="s">
        <v>3923</v>
      </c>
      <c r="G386" s="26" t="s">
        <v>14</v>
      </c>
      <c r="H386" s="26" t="s">
        <v>13</v>
      </c>
      <c r="I386" s="26" t="s">
        <v>3924</v>
      </c>
      <c r="J386" s="26" t="s">
        <v>4660</v>
      </c>
      <c r="K386" s="26" t="s">
        <v>3929</v>
      </c>
      <c r="L386" s="26" t="s">
        <v>4082</v>
      </c>
      <c r="M386" s="55" t="s">
        <v>4655</v>
      </c>
      <c r="N386" s="26" t="s">
        <v>3924</v>
      </c>
    </row>
    <row r="387" spans="1:14" ht="75" customHeight="1" thickTop="1" thickBot="1">
      <c r="A387" s="34">
        <v>385</v>
      </c>
      <c r="B387" s="34">
        <v>388</v>
      </c>
      <c r="C387" s="55" t="s">
        <v>4661</v>
      </c>
      <c r="D387" s="56" t="s">
        <v>394</v>
      </c>
      <c r="E387" s="56" t="s">
        <v>3922</v>
      </c>
      <c r="F387" s="26" t="s">
        <v>3923</v>
      </c>
      <c r="G387" s="26" t="s">
        <v>14</v>
      </c>
      <c r="H387" s="26" t="s">
        <v>13</v>
      </c>
      <c r="I387" s="26" t="s">
        <v>3924</v>
      </c>
      <c r="J387" s="26" t="s">
        <v>4660</v>
      </c>
      <c r="K387" s="26" t="s">
        <v>3926</v>
      </c>
      <c r="L387" s="26" t="s">
        <v>3927</v>
      </c>
      <c r="M387" s="55" t="s">
        <v>4662</v>
      </c>
      <c r="N387" s="26" t="s">
        <v>3924</v>
      </c>
    </row>
    <row r="388" spans="1:14" ht="75" customHeight="1" thickTop="1" thickBot="1">
      <c r="A388" s="26">
        <v>386</v>
      </c>
      <c r="B388" s="26">
        <v>389</v>
      </c>
      <c r="C388" s="55" t="s">
        <v>4663</v>
      </c>
      <c r="D388" s="56" t="s">
        <v>394</v>
      </c>
      <c r="E388" s="56" t="s">
        <v>3922</v>
      </c>
      <c r="F388" s="26" t="s">
        <v>3923</v>
      </c>
      <c r="G388" s="26" t="s">
        <v>14</v>
      </c>
      <c r="H388" s="26" t="s">
        <v>13</v>
      </c>
      <c r="I388" s="26" t="s">
        <v>3924</v>
      </c>
      <c r="J388" s="26" t="s">
        <v>4664</v>
      </c>
      <c r="K388" s="26" t="s">
        <v>3929</v>
      </c>
      <c r="L388" s="26" t="s">
        <v>4082</v>
      </c>
      <c r="M388" s="55" t="s">
        <v>4665</v>
      </c>
      <c r="N388" s="26" t="s">
        <v>3924</v>
      </c>
    </row>
    <row r="389" spans="1:14" ht="75" customHeight="1" thickTop="1" thickBot="1">
      <c r="A389" s="34">
        <v>387</v>
      </c>
      <c r="B389" s="34">
        <v>390</v>
      </c>
      <c r="C389" s="55" t="s">
        <v>4663</v>
      </c>
      <c r="D389" s="56" t="s">
        <v>394</v>
      </c>
      <c r="E389" s="56" t="s">
        <v>3922</v>
      </c>
      <c r="F389" s="26" t="s">
        <v>3923</v>
      </c>
      <c r="G389" s="26" t="s">
        <v>14</v>
      </c>
      <c r="H389" s="26" t="s">
        <v>13</v>
      </c>
      <c r="I389" s="26" t="s">
        <v>3924</v>
      </c>
      <c r="J389" s="26" t="s">
        <v>4664</v>
      </c>
      <c r="K389" s="26" t="s">
        <v>3947</v>
      </c>
      <c r="L389" s="26" t="s">
        <v>4082</v>
      </c>
      <c r="M389" s="55" t="s">
        <v>4666</v>
      </c>
      <c r="N389" s="26" t="s">
        <v>3924</v>
      </c>
    </row>
    <row r="390" spans="1:14" ht="75" customHeight="1" thickTop="1" thickBot="1">
      <c r="A390" s="34">
        <v>388</v>
      </c>
      <c r="B390" s="26">
        <v>391</v>
      </c>
      <c r="C390" s="55" t="s">
        <v>4667</v>
      </c>
      <c r="D390" s="56" t="s">
        <v>394</v>
      </c>
      <c r="E390" s="56" t="s">
        <v>3922</v>
      </c>
      <c r="F390" s="26" t="s">
        <v>3923</v>
      </c>
      <c r="G390" s="26" t="s">
        <v>14</v>
      </c>
      <c r="H390" s="26" t="s">
        <v>13</v>
      </c>
      <c r="I390" s="26" t="s">
        <v>3924</v>
      </c>
      <c r="J390" s="26" t="s">
        <v>4664</v>
      </c>
      <c r="K390" s="26" t="s">
        <v>4010</v>
      </c>
      <c r="L390" s="26" t="s">
        <v>4082</v>
      </c>
      <c r="M390" s="55" t="s">
        <v>4668</v>
      </c>
      <c r="N390" s="26" t="s">
        <v>3924</v>
      </c>
    </row>
    <row r="391" spans="1:14" ht="75" customHeight="1" thickTop="1" thickBot="1">
      <c r="A391" s="26">
        <v>389</v>
      </c>
      <c r="B391" s="34">
        <v>392</v>
      </c>
      <c r="C391" s="55" t="s">
        <v>4669</v>
      </c>
      <c r="D391" s="56" t="s">
        <v>394</v>
      </c>
      <c r="E391" s="56" t="s">
        <v>3922</v>
      </c>
      <c r="F391" s="26" t="s">
        <v>3923</v>
      </c>
      <c r="G391" s="26" t="s">
        <v>14</v>
      </c>
      <c r="H391" s="26" t="s">
        <v>13</v>
      </c>
      <c r="I391" s="26" t="s">
        <v>3924</v>
      </c>
      <c r="J391" s="26" t="s">
        <v>4670</v>
      </c>
      <c r="K391" s="26" t="s">
        <v>4040</v>
      </c>
      <c r="L391" s="26" t="s">
        <v>3927</v>
      </c>
      <c r="M391" s="55" t="s">
        <v>4671</v>
      </c>
      <c r="N391" s="26" t="s">
        <v>3924</v>
      </c>
    </row>
    <row r="392" spans="1:14" ht="75" customHeight="1" thickTop="1" thickBot="1">
      <c r="A392" s="34">
        <v>390</v>
      </c>
      <c r="B392" s="26">
        <v>393</v>
      </c>
      <c r="C392" s="55" t="s">
        <v>4672</v>
      </c>
      <c r="D392" s="56" t="s">
        <v>394</v>
      </c>
      <c r="E392" s="56" t="s">
        <v>3922</v>
      </c>
      <c r="F392" s="26" t="s">
        <v>3923</v>
      </c>
      <c r="G392" s="26" t="s">
        <v>14</v>
      </c>
      <c r="H392" s="26" t="s">
        <v>13</v>
      </c>
      <c r="I392" s="26" t="s">
        <v>3924</v>
      </c>
      <c r="J392" s="26" t="s">
        <v>4670</v>
      </c>
      <c r="K392" s="26" t="s">
        <v>4040</v>
      </c>
      <c r="L392" s="26" t="s">
        <v>3927</v>
      </c>
      <c r="M392" s="55" t="s">
        <v>4673</v>
      </c>
      <c r="N392" s="26" t="s">
        <v>3924</v>
      </c>
    </row>
    <row r="393" spans="1:14" ht="75" customHeight="1" thickTop="1" thickBot="1">
      <c r="A393" s="34">
        <v>391</v>
      </c>
      <c r="B393" s="34">
        <v>394</v>
      </c>
      <c r="C393" s="55" t="s">
        <v>4674</v>
      </c>
      <c r="D393" s="56" t="s">
        <v>394</v>
      </c>
      <c r="E393" s="56" t="s">
        <v>3922</v>
      </c>
      <c r="F393" s="26" t="s">
        <v>3923</v>
      </c>
      <c r="G393" s="26" t="s">
        <v>14</v>
      </c>
      <c r="H393" s="26" t="s">
        <v>13</v>
      </c>
      <c r="I393" s="26" t="s">
        <v>3924</v>
      </c>
      <c r="J393" s="26" t="s">
        <v>4670</v>
      </c>
      <c r="K393" s="26" t="s">
        <v>4225</v>
      </c>
      <c r="L393" s="26" t="s">
        <v>4082</v>
      </c>
      <c r="M393" s="55" t="s">
        <v>4675</v>
      </c>
      <c r="N393" s="26" t="s">
        <v>3924</v>
      </c>
    </row>
    <row r="394" spans="1:14" ht="75" customHeight="1" thickTop="1" thickBot="1">
      <c r="A394" s="26">
        <v>392</v>
      </c>
      <c r="B394" s="26">
        <v>395</v>
      </c>
      <c r="C394" s="55" t="s">
        <v>4674</v>
      </c>
      <c r="D394" s="56" t="s">
        <v>394</v>
      </c>
      <c r="E394" s="56" t="s">
        <v>3922</v>
      </c>
      <c r="F394" s="26" t="s">
        <v>3923</v>
      </c>
      <c r="G394" s="26" t="s">
        <v>14</v>
      </c>
      <c r="H394" s="26" t="s">
        <v>13</v>
      </c>
      <c r="I394" s="26" t="s">
        <v>3924</v>
      </c>
      <c r="J394" s="26" t="s">
        <v>4670</v>
      </c>
      <c r="K394" s="26" t="s">
        <v>3947</v>
      </c>
      <c r="L394" s="26" t="s">
        <v>3927</v>
      </c>
      <c r="M394" s="55" t="s">
        <v>676</v>
      </c>
      <c r="N394" s="26" t="s">
        <v>3924</v>
      </c>
    </row>
    <row r="395" spans="1:14" ht="75" customHeight="1" thickTop="1" thickBot="1">
      <c r="A395" s="34">
        <v>393</v>
      </c>
      <c r="B395" s="34">
        <v>396</v>
      </c>
      <c r="C395" s="55" t="s">
        <v>4676</v>
      </c>
      <c r="D395" s="56" t="s">
        <v>394</v>
      </c>
      <c r="E395" s="56" t="s">
        <v>3922</v>
      </c>
      <c r="F395" s="26" t="s">
        <v>3923</v>
      </c>
      <c r="G395" s="26" t="s">
        <v>14</v>
      </c>
      <c r="H395" s="26" t="s">
        <v>13</v>
      </c>
      <c r="I395" s="26" t="s">
        <v>3924</v>
      </c>
      <c r="J395" s="26" t="s">
        <v>4677</v>
      </c>
      <c r="K395" s="26" t="s">
        <v>4010</v>
      </c>
      <c r="L395" s="26" t="s">
        <v>4082</v>
      </c>
      <c r="M395" s="55" t="s">
        <v>1481</v>
      </c>
      <c r="N395" s="26" t="s">
        <v>3924</v>
      </c>
    </row>
    <row r="396" spans="1:14" ht="75" customHeight="1" thickTop="1" thickBot="1">
      <c r="A396" s="34">
        <v>394</v>
      </c>
      <c r="B396" s="26">
        <v>397</v>
      </c>
      <c r="C396" s="55" t="s">
        <v>4678</v>
      </c>
      <c r="D396" s="56" t="s">
        <v>394</v>
      </c>
      <c r="E396" s="56" t="s">
        <v>3922</v>
      </c>
      <c r="F396" s="26" t="s">
        <v>3923</v>
      </c>
      <c r="G396" s="26" t="s">
        <v>14</v>
      </c>
      <c r="H396" s="26" t="s">
        <v>13</v>
      </c>
      <c r="I396" s="26" t="s">
        <v>3924</v>
      </c>
      <c r="J396" s="26" t="s">
        <v>4677</v>
      </c>
      <c r="K396" s="26" t="s">
        <v>3976</v>
      </c>
      <c r="L396" s="26" t="s">
        <v>4082</v>
      </c>
      <c r="M396" s="55" t="s">
        <v>4679</v>
      </c>
      <c r="N396" s="26" t="s">
        <v>3924</v>
      </c>
    </row>
    <row r="397" spans="1:14" ht="75" customHeight="1" thickTop="1" thickBot="1">
      <c r="A397" s="26">
        <v>395</v>
      </c>
      <c r="B397" s="34">
        <v>398</v>
      </c>
      <c r="C397" s="55" t="s">
        <v>4678</v>
      </c>
      <c r="D397" s="56" t="s">
        <v>394</v>
      </c>
      <c r="E397" s="56" t="s">
        <v>3922</v>
      </c>
      <c r="F397" s="26" t="s">
        <v>3923</v>
      </c>
      <c r="G397" s="26" t="s">
        <v>14</v>
      </c>
      <c r="H397" s="26" t="s">
        <v>13</v>
      </c>
      <c r="I397" s="26" t="s">
        <v>3924</v>
      </c>
      <c r="J397" s="26" t="s">
        <v>4677</v>
      </c>
      <c r="K397" s="26" t="s">
        <v>3976</v>
      </c>
      <c r="L397" s="26" t="s">
        <v>4082</v>
      </c>
      <c r="M397" s="55" t="s">
        <v>1481</v>
      </c>
      <c r="N397" s="26" t="s">
        <v>3924</v>
      </c>
    </row>
    <row r="398" spans="1:14" ht="75" customHeight="1" thickTop="1" thickBot="1">
      <c r="A398" s="34">
        <v>396</v>
      </c>
      <c r="B398" s="26">
        <v>399</v>
      </c>
      <c r="C398" s="55" t="s">
        <v>4678</v>
      </c>
      <c r="D398" s="56" t="s">
        <v>394</v>
      </c>
      <c r="E398" s="56" t="s">
        <v>3922</v>
      </c>
      <c r="F398" s="26" t="s">
        <v>3923</v>
      </c>
      <c r="G398" s="26" t="s">
        <v>14</v>
      </c>
      <c r="H398" s="26" t="s">
        <v>13</v>
      </c>
      <c r="I398" s="26" t="s">
        <v>3924</v>
      </c>
      <c r="J398" s="26" t="s">
        <v>4677</v>
      </c>
      <c r="K398" s="26" t="s">
        <v>3976</v>
      </c>
      <c r="L398" s="26" t="s">
        <v>4082</v>
      </c>
      <c r="M398" s="55" t="s">
        <v>4665</v>
      </c>
      <c r="N398" s="26" t="s">
        <v>3924</v>
      </c>
    </row>
    <row r="399" spans="1:14" ht="75" customHeight="1" thickTop="1" thickBot="1">
      <c r="A399" s="34">
        <v>397</v>
      </c>
      <c r="B399" s="34">
        <v>400</v>
      </c>
      <c r="C399" s="55" t="s">
        <v>4680</v>
      </c>
      <c r="D399" s="56" t="s">
        <v>394</v>
      </c>
      <c r="E399" s="56" t="s">
        <v>3922</v>
      </c>
      <c r="F399" s="26" t="s">
        <v>3923</v>
      </c>
      <c r="G399" s="26" t="s">
        <v>15</v>
      </c>
      <c r="H399" s="26" t="s">
        <v>13</v>
      </c>
      <c r="I399" s="26" t="s">
        <v>3924</v>
      </c>
      <c r="J399" s="26" t="s">
        <v>4677</v>
      </c>
      <c r="K399" s="26" t="s">
        <v>3976</v>
      </c>
      <c r="L399" s="26" t="s">
        <v>4306</v>
      </c>
      <c r="M399" s="55" t="s">
        <v>4681</v>
      </c>
      <c r="N399" s="26" t="s">
        <v>3924</v>
      </c>
    </row>
    <row r="400" spans="1:14" ht="75" customHeight="1" thickTop="1" thickBot="1">
      <c r="A400" s="26">
        <v>398</v>
      </c>
      <c r="B400" s="26">
        <v>401</v>
      </c>
      <c r="C400" s="55" t="s">
        <v>4682</v>
      </c>
      <c r="D400" s="56" t="s">
        <v>394</v>
      </c>
      <c r="E400" s="56" t="s">
        <v>3931</v>
      </c>
      <c r="F400" s="26" t="s">
        <v>3923</v>
      </c>
      <c r="G400" s="26" t="s">
        <v>3932</v>
      </c>
      <c r="H400" s="26" t="s">
        <v>13</v>
      </c>
      <c r="I400" s="26" t="s">
        <v>3924</v>
      </c>
      <c r="J400" s="26" t="s">
        <v>3924</v>
      </c>
      <c r="K400" s="26" t="s">
        <v>3976</v>
      </c>
      <c r="L400" s="26" t="s">
        <v>4412</v>
      </c>
      <c r="M400" s="55" t="s">
        <v>4683</v>
      </c>
      <c r="N400" s="26" t="s">
        <v>3924</v>
      </c>
    </row>
    <row r="401" spans="1:14" ht="75" customHeight="1" thickTop="1" thickBot="1">
      <c r="A401" s="34">
        <v>399</v>
      </c>
      <c r="B401" s="34">
        <v>402</v>
      </c>
      <c r="C401" s="55" t="s">
        <v>4684</v>
      </c>
      <c r="D401" s="56" t="s">
        <v>394</v>
      </c>
      <c r="E401" s="56" t="s">
        <v>3931</v>
      </c>
      <c r="F401" s="26" t="s">
        <v>3923</v>
      </c>
      <c r="G401" s="26" t="s">
        <v>3932</v>
      </c>
      <c r="H401" s="26" t="s">
        <v>13</v>
      </c>
      <c r="I401" s="26" t="s">
        <v>3924</v>
      </c>
      <c r="J401" s="26" t="s">
        <v>3924</v>
      </c>
      <c r="K401" s="26" t="s">
        <v>3947</v>
      </c>
      <c r="L401" s="26" t="s">
        <v>3924</v>
      </c>
      <c r="M401" s="55" t="s">
        <v>4685</v>
      </c>
      <c r="N401" s="26" t="s">
        <v>3924</v>
      </c>
    </row>
    <row r="402" spans="1:14" ht="75" customHeight="1" thickTop="1" thickBot="1">
      <c r="A402" s="34">
        <v>400</v>
      </c>
      <c r="B402" s="26">
        <v>403</v>
      </c>
      <c r="C402" s="55" t="s">
        <v>4686</v>
      </c>
      <c r="D402" s="56" t="s">
        <v>394</v>
      </c>
      <c r="E402" s="56" t="s">
        <v>3931</v>
      </c>
      <c r="F402" s="26" t="s">
        <v>3923</v>
      </c>
      <c r="G402" s="26" t="s">
        <v>3932</v>
      </c>
      <c r="H402" s="26" t="s">
        <v>13</v>
      </c>
      <c r="I402" s="26" t="s">
        <v>3924</v>
      </c>
      <c r="J402" s="26" t="s">
        <v>3924</v>
      </c>
      <c r="K402" s="26" t="s">
        <v>4010</v>
      </c>
      <c r="L402" s="26" t="s">
        <v>3924</v>
      </c>
      <c r="M402" s="55" t="s">
        <v>4687</v>
      </c>
      <c r="N402" s="26" t="s">
        <v>3924</v>
      </c>
    </row>
    <row r="403" spans="1:14" ht="75" customHeight="1" thickTop="1" thickBot="1">
      <c r="A403" s="26">
        <v>401</v>
      </c>
      <c r="B403" s="34">
        <v>404</v>
      </c>
      <c r="C403" s="55" t="s">
        <v>4686</v>
      </c>
      <c r="D403" s="56" t="s">
        <v>394</v>
      </c>
      <c r="E403" s="56" t="s">
        <v>3931</v>
      </c>
      <c r="F403" s="26" t="s">
        <v>3923</v>
      </c>
      <c r="G403" s="26" t="s">
        <v>3932</v>
      </c>
      <c r="H403" s="26" t="s">
        <v>13</v>
      </c>
      <c r="I403" s="26" t="s">
        <v>3924</v>
      </c>
      <c r="J403" s="26" t="s">
        <v>3924</v>
      </c>
      <c r="K403" s="26" t="s">
        <v>4010</v>
      </c>
      <c r="L403" s="26" t="s">
        <v>3924</v>
      </c>
      <c r="M403" s="55" t="s">
        <v>4688</v>
      </c>
      <c r="N403" s="26" t="s">
        <v>3924</v>
      </c>
    </row>
    <row r="404" spans="1:14" ht="75" customHeight="1" thickTop="1" thickBot="1">
      <c r="A404" s="34">
        <v>402</v>
      </c>
      <c r="B404" s="26">
        <v>405</v>
      </c>
      <c r="C404" s="55" t="s">
        <v>4689</v>
      </c>
      <c r="D404" s="56" t="s">
        <v>394</v>
      </c>
      <c r="E404" s="56" t="s">
        <v>3931</v>
      </c>
      <c r="F404" s="26" t="s">
        <v>3923</v>
      </c>
      <c r="G404" s="26" t="s">
        <v>3932</v>
      </c>
      <c r="H404" s="26" t="s">
        <v>13</v>
      </c>
      <c r="I404" s="26" t="s">
        <v>3924</v>
      </c>
      <c r="J404" s="26" t="s">
        <v>3924</v>
      </c>
      <c r="K404" s="26" t="s">
        <v>3941</v>
      </c>
      <c r="L404" s="26" t="s">
        <v>3924</v>
      </c>
      <c r="M404" s="55" t="s">
        <v>4690</v>
      </c>
      <c r="N404" s="26" t="s">
        <v>3924</v>
      </c>
    </row>
    <row r="405" spans="1:14" ht="75" customHeight="1" thickTop="1" thickBot="1">
      <c r="A405" s="34">
        <v>403</v>
      </c>
      <c r="B405" s="34">
        <v>406</v>
      </c>
      <c r="C405" s="55" t="s">
        <v>4689</v>
      </c>
      <c r="D405" s="56" t="s">
        <v>394</v>
      </c>
      <c r="E405" s="56" t="s">
        <v>3931</v>
      </c>
      <c r="F405" s="26" t="s">
        <v>3923</v>
      </c>
      <c r="G405" s="26" t="s">
        <v>3932</v>
      </c>
      <c r="H405" s="26" t="s">
        <v>13</v>
      </c>
      <c r="I405" s="26" t="s">
        <v>3924</v>
      </c>
      <c r="J405" s="26" t="s">
        <v>3924</v>
      </c>
      <c r="K405" s="26" t="s">
        <v>3941</v>
      </c>
      <c r="L405" s="26" t="s">
        <v>3924</v>
      </c>
      <c r="M405" s="55" t="s">
        <v>4691</v>
      </c>
      <c r="N405" s="26" t="s">
        <v>3924</v>
      </c>
    </row>
    <row r="406" spans="1:14" ht="75" customHeight="1" thickTop="1" thickBot="1">
      <c r="A406" s="26">
        <v>404</v>
      </c>
      <c r="B406" s="26">
        <v>407</v>
      </c>
      <c r="C406" s="55" t="s">
        <v>4692</v>
      </c>
      <c r="D406" s="56" t="s">
        <v>394</v>
      </c>
      <c r="E406" s="56" t="s">
        <v>3931</v>
      </c>
      <c r="F406" s="26" t="s">
        <v>3923</v>
      </c>
      <c r="G406" s="26" t="s">
        <v>3932</v>
      </c>
      <c r="H406" s="26" t="s">
        <v>13</v>
      </c>
      <c r="I406" s="26" t="s">
        <v>3924</v>
      </c>
      <c r="J406" s="26" t="s">
        <v>3924</v>
      </c>
      <c r="K406" s="26" t="s">
        <v>3929</v>
      </c>
      <c r="L406" s="26" t="s">
        <v>3924</v>
      </c>
      <c r="M406" s="55" t="s">
        <v>4693</v>
      </c>
      <c r="N406" s="26" t="s">
        <v>3924</v>
      </c>
    </row>
    <row r="407" spans="1:14" ht="75" customHeight="1" thickTop="1" thickBot="1">
      <c r="A407" s="34">
        <v>405</v>
      </c>
      <c r="B407" s="34">
        <v>408</v>
      </c>
      <c r="C407" s="55" t="s">
        <v>4692</v>
      </c>
      <c r="D407" s="56" t="s">
        <v>394</v>
      </c>
      <c r="E407" s="56" t="s">
        <v>3931</v>
      </c>
      <c r="F407" s="26" t="s">
        <v>3923</v>
      </c>
      <c r="G407" s="26" t="s">
        <v>3932</v>
      </c>
      <c r="H407" s="26" t="s">
        <v>13</v>
      </c>
      <c r="I407" s="26" t="s">
        <v>3924</v>
      </c>
      <c r="J407" s="26" t="s">
        <v>3924</v>
      </c>
      <c r="K407" s="26" t="s">
        <v>3929</v>
      </c>
      <c r="L407" s="26" t="s">
        <v>3924</v>
      </c>
      <c r="M407" s="55" t="s">
        <v>4694</v>
      </c>
      <c r="N407" s="26" t="s">
        <v>3924</v>
      </c>
    </row>
    <row r="408" spans="1:14" ht="75" customHeight="1" thickTop="1" thickBot="1">
      <c r="A408" s="34">
        <v>406</v>
      </c>
      <c r="B408" s="26">
        <v>409</v>
      </c>
      <c r="C408" s="55" t="s">
        <v>4695</v>
      </c>
      <c r="D408" s="56" t="s">
        <v>394</v>
      </c>
      <c r="E408" s="56" t="s">
        <v>3931</v>
      </c>
      <c r="F408" s="26" t="s">
        <v>3923</v>
      </c>
      <c r="G408" s="26" t="s">
        <v>3932</v>
      </c>
      <c r="H408" s="26" t="s">
        <v>13</v>
      </c>
      <c r="I408" s="26" t="s">
        <v>3924</v>
      </c>
      <c r="J408" s="26" t="s">
        <v>3924</v>
      </c>
      <c r="K408" s="26" t="s">
        <v>3929</v>
      </c>
      <c r="L408" s="26" t="s">
        <v>3924</v>
      </c>
      <c r="M408" s="55" t="s">
        <v>4696</v>
      </c>
      <c r="N408" s="26" t="s">
        <v>3924</v>
      </c>
    </row>
    <row r="409" spans="1:14" ht="75" customHeight="1" thickTop="1" thickBot="1">
      <c r="A409" s="26">
        <v>407</v>
      </c>
      <c r="B409" s="34">
        <v>410</v>
      </c>
      <c r="C409" s="55" t="s">
        <v>4695</v>
      </c>
      <c r="D409" s="56" t="s">
        <v>394</v>
      </c>
      <c r="E409" s="56" t="s">
        <v>3931</v>
      </c>
      <c r="F409" s="26" t="s">
        <v>3923</v>
      </c>
      <c r="G409" s="26" t="s">
        <v>3932</v>
      </c>
      <c r="H409" s="26" t="s">
        <v>13</v>
      </c>
      <c r="I409" s="26" t="s">
        <v>3924</v>
      </c>
      <c r="J409" s="26" t="s">
        <v>3924</v>
      </c>
      <c r="K409" s="26" t="s">
        <v>4004</v>
      </c>
      <c r="L409" s="26" t="s">
        <v>3924</v>
      </c>
      <c r="M409" s="55" t="s">
        <v>3934</v>
      </c>
      <c r="N409" s="26" t="s">
        <v>3924</v>
      </c>
    </row>
    <row r="410" spans="1:14" ht="75" customHeight="1" thickTop="1" thickBot="1">
      <c r="A410" s="34">
        <v>408</v>
      </c>
      <c r="B410" s="26">
        <v>411</v>
      </c>
      <c r="C410" s="55" t="s">
        <v>4697</v>
      </c>
      <c r="D410" s="56" t="s">
        <v>394</v>
      </c>
      <c r="E410" s="56" t="s">
        <v>3931</v>
      </c>
      <c r="F410" s="26" t="s">
        <v>3923</v>
      </c>
      <c r="G410" s="26" t="s">
        <v>3932</v>
      </c>
      <c r="H410" s="26" t="s">
        <v>13</v>
      </c>
      <c r="I410" s="26" t="s">
        <v>3924</v>
      </c>
      <c r="J410" s="26" t="s">
        <v>3924</v>
      </c>
      <c r="K410" s="26" t="s">
        <v>3976</v>
      </c>
      <c r="L410" s="26" t="s">
        <v>3924</v>
      </c>
      <c r="M410" s="55" t="s">
        <v>4698</v>
      </c>
      <c r="N410" s="26" t="s">
        <v>3924</v>
      </c>
    </row>
    <row r="411" spans="1:14" ht="75" customHeight="1" thickTop="1" thickBot="1">
      <c r="A411" s="34">
        <v>409</v>
      </c>
      <c r="B411" s="34">
        <v>412</v>
      </c>
      <c r="C411" s="55" t="s">
        <v>4697</v>
      </c>
      <c r="D411" s="56" t="s">
        <v>394</v>
      </c>
      <c r="E411" s="56" t="s">
        <v>3931</v>
      </c>
      <c r="F411" s="26" t="s">
        <v>3923</v>
      </c>
      <c r="G411" s="26" t="s">
        <v>3932</v>
      </c>
      <c r="H411" s="26" t="s">
        <v>13</v>
      </c>
      <c r="I411" s="26" t="s">
        <v>3924</v>
      </c>
      <c r="J411" s="26" t="s">
        <v>3924</v>
      </c>
      <c r="K411" s="26" t="s">
        <v>3976</v>
      </c>
      <c r="L411" s="26" t="s">
        <v>3924</v>
      </c>
      <c r="M411" s="55" t="s">
        <v>4699</v>
      </c>
      <c r="N411" s="26" t="s">
        <v>3924</v>
      </c>
    </row>
    <row r="412" spans="1:14" ht="75" customHeight="1" thickTop="1" thickBot="1">
      <c r="A412" s="26">
        <v>410</v>
      </c>
      <c r="B412" s="26">
        <v>413</v>
      </c>
      <c r="C412" s="55" t="s">
        <v>4700</v>
      </c>
      <c r="D412" s="56" t="s">
        <v>394</v>
      </c>
      <c r="E412" s="56" t="s">
        <v>3931</v>
      </c>
      <c r="F412" s="26" t="s">
        <v>3923</v>
      </c>
      <c r="G412" s="26" t="s">
        <v>3932</v>
      </c>
      <c r="H412" s="26" t="s">
        <v>13</v>
      </c>
      <c r="I412" s="26" t="s">
        <v>3924</v>
      </c>
      <c r="J412" s="26" t="s">
        <v>3924</v>
      </c>
      <c r="K412" s="26" t="s">
        <v>3976</v>
      </c>
      <c r="L412" s="26" t="s">
        <v>3924</v>
      </c>
      <c r="M412" s="55" t="s">
        <v>4701</v>
      </c>
      <c r="N412" s="26" t="s">
        <v>3924</v>
      </c>
    </row>
    <row r="413" spans="1:14" ht="75" customHeight="1" thickTop="1" thickBot="1">
      <c r="A413" s="34">
        <v>411</v>
      </c>
      <c r="B413" s="34">
        <v>414</v>
      </c>
      <c r="C413" s="55" t="s">
        <v>4702</v>
      </c>
      <c r="D413" s="56" t="s">
        <v>394</v>
      </c>
      <c r="E413" s="56" t="s">
        <v>3931</v>
      </c>
      <c r="F413" s="26" t="s">
        <v>3923</v>
      </c>
      <c r="G413" s="26" t="s">
        <v>3932</v>
      </c>
      <c r="H413" s="26" t="s">
        <v>13</v>
      </c>
      <c r="I413" s="26" t="s">
        <v>3924</v>
      </c>
      <c r="J413" s="26" t="s">
        <v>3924</v>
      </c>
      <c r="K413" s="26" t="s">
        <v>3966</v>
      </c>
      <c r="L413" s="26" t="s">
        <v>4435</v>
      </c>
      <c r="M413" s="55" t="s">
        <v>4703</v>
      </c>
      <c r="N413" s="26" t="s">
        <v>3924</v>
      </c>
    </row>
    <row r="414" spans="1:14" ht="75" customHeight="1" thickTop="1" thickBot="1">
      <c r="A414" s="34">
        <v>412</v>
      </c>
      <c r="B414" s="26">
        <v>415</v>
      </c>
      <c r="C414" s="55" t="s">
        <v>4702</v>
      </c>
      <c r="D414" s="56" t="s">
        <v>394</v>
      </c>
      <c r="E414" s="56" t="s">
        <v>3931</v>
      </c>
      <c r="F414" s="26" t="s">
        <v>3923</v>
      </c>
      <c r="G414" s="26" t="s">
        <v>3932</v>
      </c>
      <c r="H414" s="26" t="s">
        <v>13</v>
      </c>
      <c r="I414" s="26" t="s">
        <v>3924</v>
      </c>
      <c r="J414" s="26" t="s">
        <v>3924</v>
      </c>
      <c r="K414" s="26" t="s">
        <v>3966</v>
      </c>
      <c r="L414" s="26" t="s">
        <v>3924</v>
      </c>
      <c r="M414" s="55" t="s">
        <v>4704</v>
      </c>
      <c r="N414" s="26" t="s">
        <v>3924</v>
      </c>
    </row>
    <row r="415" spans="1:14" ht="75" customHeight="1" thickTop="1" thickBot="1">
      <c r="A415" s="26">
        <v>413</v>
      </c>
      <c r="B415" s="34">
        <v>417</v>
      </c>
      <c r="C415" s="55" t="s">
        <v>4705</v>
      </c>
      <c r="D415" s="56" t="s">
        <v>394</v>
      </c>
      <c r="E415" s="56" t="s">
        <v>3931</v>
      </c>
      <c r="F415" s="26" t="s">
        <v>3923</v>
      </c>
      <c r="G415" s="26" t="s">
        <v>3932</v>
      </c>
      <c r="H415" s="26" t="s">
        <v>13</v>
      </c>
      <c r="I415" s="26" t="s">
        <v>3924</v>
      </c>
      <c r="J415" s="26" t="s">
        <v>3924</v>
      </c>
      <c r="K415" s="26" t="s">
        <v>4040</v>
      </c>
      <c r="L415" s="26" t="s">
        <v>4706</v>
      </c>
      <c r="M415" s="55" t="s">
        <v>4707</v>
      </c>
      <c r="N415" s="26" t="s">
        <v>3924</v>
      </c>
    </row>
    <row r="416" spans="1:14" ht="75" customHeight="1" thickTop="1" thickBot="1">
      <c r="A416" s="34">
        <v>414</v>
      </c>
      <c r="B416" s="26">
        <v>418</v>
      </c>
      <c r="C416" s="55" t="s">
        <v>4708</v>
      </c>
      <c r="D416" s="56" t="s">
        <v>394</v>
      </c>
      <c r="E416" s="56" t="s">
        <v>3931</v>
      </c>
      <c r="F416" s="26" t="s">
        <v>3923</v>
      </c>
      <c r="G416" s="26" t="s">
        <v>3932</v>
      </c>
      <c r="H416" s="26" t="s">
        <v>13</v>
      </c>
      <c r="I416" s="26" t="s">
        <v>3924</v>
      </c>
      <c r="J416" s="26" t="s">
        <v>3924</v>
      </c>
      <c r="K416" s="26" t="s">
        <v>4040</v>
      </c>
      <c r="L416" s="26" t="s">
        <v>3924</v>
      </c>
      <c r="M416" s="55" t="s">
        <v>4709</v>
      </c>
      <c r="N416" s="26" t="s">
        <v>3924</v>
      </c>
    </row>
    <row r="417" spans="1:14" ht="75" customHeight="1" thickTop="1" thickBot="1">
      <c r="A417" s="34">
        <v>415</v>
      </c>
      <c r="B417" s="34">
        <v>419</v>
      </c>
      <c r="C417" s="55" t="s">
        <v>4710</v>
      </c>
      <c r="D417" s="56" t="s">
        <v>394</v>
      </c>
      <c r="E417" s="56" t="s">
        <v>3931</v>
      </c>
      <c r="F417" s="26" t="s">
        <v>3923</v>
      </c>
      <c r="G417" s="26" t="s">
        <v>3932</v>
      </c>
      <c r="H417" s="26" t="s">
        <v>13</v>
      </c>
      <c r="I417" s="26" t="s">
        <v>3924</v>
      </c>
      <c r="J417" s="26" t="s">
        <v>3924</v>
      </c>
      <c r="K417" s="26" t="s">
        <v>3926</v>
      </c>
      <c r="L417" s="26" t="s">
        <v>4711</v>
      </c>
      <c r="M417" s="55" t="s">
        <v>4712</v>
      </c>
      <c r="N417" s="26" t="s">
        <v>3924</v>
      </c>
    </row>
    <row r="418" spans="1:14" ht="75" customHeight="1" thickTop="1" thickBot="1">
      <c r="A418" s="26">
        <v>416</v>
      </c>
      <c r="B418" s="26">
        <v>420</v>
      </c>
      <c r="C418" s="55" t="s">
        <v>4713</v>
      </c>
      <c r="D418" s="56" t="s">
        <v>394</v>
      </c>
      <c r="E418" s="56" t="s">
        <v>3931</v>
      </c>
      <c r="F418" s="26" t="s">
        <v>3923</v>
      </c>
      <c r="G418" s="26" t="s">
        <v>3932</v>
      </c>
      <c r="H418" s="26" t="s">
        <v>13</v>
      </c>
      <c r="I418" s="26" t="s">
        <v>3924</v>
      </c>
      <c r="J418" s="26" t="s">
        <v>3924</v>
      </c>
      <c r="K418" s="26" t="s">
        <v>4714</v>
      </c>
      <c r="L418" s="26" t="s">
        <v>4715</v>
      </c>
      <c r="M418" s="55" t="s">
        <v>4716</v>
      </c>
      <c r="N418" s="26" t="s">
        <v>3924</v>
      </c>
    </row>
    <row r="419" spans="1:14" ht="75" customHeight="1" thickTop="1" thickBot="1">
      <c r="A419" s="34">
        <v>417</v>
      </c>
      <c r="B419" s="34">
        <v>421</v>
      </c>
      <c r="C419" s="55" t="s">
        <v>4717</v>
      </c>
      <c r="D419" s="56" t="s">
        <v>394</v>
      </c>
      <c r="E419" s="56" t="s">
        <v>3931</v>
      </c>
      <c r="F419" s="26" t="s">
        <v>3923</v>
      </c>
      <c r="G419" s="26" t="s">
        <v>3932</v>
      </c>
      <c r="H419" s="26" t="s">
        <v>13</v>
      </c>
      <c r="I419" s="26" t="s">
        <v>3924</v>
      </c>
      <c r="J419" s="26" t="s">
        <v>3924</v>
      </c>
      <c r="K419" s="26" t="s">
        <v>4718</v>
      </c>
      <c r="L419" s="26" t="s">
        <v>4719</v>
      </c>
      <c r="M419" s="55" t="s">
        <v>4720</v>
      </c>
      <c r="N419" s="26" t="s">
        <v>3924</v>
      </c>
    </row>
    <row r="420" spans="1:14" ht="75" customHeight="1" thickTop="1" thickBot="1">
      <c r="A420" s="34">
        <v>418</v>
      </c>
      <c r="B420" s="26">
        <v>422</v>
      </c>
      <c r="C420" s="55" t="s">
        <v>4721</v>
      </c>
      <c r="D420" s="56" t="s">
        <v>394</v>
      </c>
      <c r="E420" s="56" t="s">
        <v>3931</v>
      </c>
      <c r="F420" s="26" t="s">
        <v>3923</v>
      </c>
      <c r="G420" s="26" t="s">
        <v>3932</v>
      </c>
      <c r="H420" s="26" t="s">
        <v>13</v>
      </c>
      <c r="I420" s="26" t="s">
        <v>3924</v>
      </c>
      <c r="J420" s="26" t="s">
        <v>3924</v>
      </c>
      <c r="K420" s="26" t="s">
        <v>3947</v>
      </c>
      <c r="L420" s="26" t="s">
        <v>4412</v>
      </c>
      <c r="M420" s="55" t="s">
        <v>4722</v>
      </c>
      <c r="N420" s="26" t="s">
        <v>3924</v>
      </c>
    </row>
    <row r="421" spans="1:14" ht="75" customHeight="1" thickTop="1" thickBot="1">
      <c r="A421" s="26">
        <v>419</v>
      </c>
      <c r="B421" s="34">
        <v>423</v>
      </c>
      <c r="C421" s="55" t="s">
        <v>4721</v>
      </c>
      <c r="D421" s="56" t="s">
        <v>394</v>
      </c>
      <c r="E421" s="56" t="s">
        <v>3931</v>
      </c>
      <c r="F421" s="26" t="s">
        <v>3923</v>
      </c>
      <c r="G421" s="26" t="s">
        <v>3932</v>
      </c>
      <c r="H421" s="26" t="s">
        <v>13</v>
      </c>
      <c r="I421" s="26" t="s">
        <v>3924</v>
      </c>
      <c r="J421" s="26" t="s">
        <v>3924</v>
      </c>
      <c r="K421" s="26" t="s">
        <v>3976</v>
      </c>
      <c r="L421" s="26" t="s">
        <v>4111</v>
      </c>
      <c r="M421" s="55" t="s">
        <v>4723</v>
      </c>
      <c r="N421" s="26" t="s">
        <v>3924</v>
      </c>
    </row>
    <row r="422" spans="1:14" ht="75" customHeight="1" thickTop="1" thickBot="1">
      <c r="A422" s="34">
        <v>420</v>
      </c>
      <c r="B422" s="26">
        <v>424</v>
      </c>
      <c r="C422" s="55" t="s">
        <v>4724</v>
      </c>
      <c r="D422" s="56" t="s">
        <v>394</v>
      </c>
      <c r="E422" s="56" t="s">
        <v>3931</v>
      </c>
      <c r="F422" s="26" t="s">
        <v>3923</v>
      </c>
      <c r="G422" s="26" t="s">
        <v>3932</v>
      </c>
      <c r="H422" s="26" t="s">
        <v>13</v>
      </c>
      <c r="I422" s="26" t="s">
        <v>3924</v>
      </c>
      <c r="J422" s="26" t="s">
        <v>3924</v>
      </c>
      <c r="K422" s="26" t="s">
        <v>4714</v>
      </c>
      <c r="L422" s="26" t="s">
        <v>4725</v>
      </c>
      <c r="M422" s="55" t="s">
        <v>4726</v>
      </c>
      <c r="N422" s="26" t="s">
        <v>3924</v>
      </c>
    </row>
    <row r="423" spans="1:14" ht="75" customHeight="1" thickTop="1" thickBot="1">
      <c r="A423" s="34">
        <v>421</v>
      </c>
      <c r="B423" s="34">
        <v>425</v>
      </c>
      <c r="C423" s="55" t="s">
        <v>4727</v>
      </c>
      <c r="D423" s="56" t="s">
        <v>394</v>
      </c>
      <c r="E423" s="56" t="s">
        <v>3931</v>
      </c>
      <c r="F423" s="26" t="s">
        <v>3923</v>
      </c>
      <c r="G423" s="26" t="s">
        <v>3932</v>
      </c>
      <c r="H423" s="26" t="s">
        <v>13</v>
      </c>
      <c r="I423" s="26" t="s">
        <v>3924</v>
      </c>
      <c r="J423" s="26" t="s">
        <v>3924</v>
      </c>
      <c r="K423" s="26" t="s">
        <v>3947</v>
      </c>
      <c r="L423" s="26" t="s">
        <v>4082</v>
      </c>
      <c r="M423" s="55" t="s">
        <v>4728</v>
      </c>
      <c r="N423" s="26" t="s">
        <v>3924</v>
      </c>
    </row>
    <row r="424" spans="1:14" ht="75" customHeight="1" thickTop="1" thickBot="1">
      <c r="A424" s="26">
        <v>422</v>
      </c>
      <c r="B424" s="26">
        <v>426</v>
      </c>
      <c r="C424" s="55" t="s">
        <v>4729</v>
      </c>
      <c r="D424" s="56" t="s">
        <v>394</v>
      </c>
      <c r="E424" s="56" t="s">
        <v>3931</v>
      </c>
      <c r="F424" s="26" t="s">
        <v>3923</v>
      </c>
      <c r="G424" s="26" t="s">
        <v>3932</v>
      </c>
      <c r="H424" s="26" t="s">
        <v>13</v>
      </c>
      <c r="I424" s="26" t="s">
        <v>3924</v>
      </c>
      <c r="J424" s="26" t="s">
        <v>3924</v>
      </c>
      <c r="K424" s="26" t="s">
        <v>3976</v>
      </c>
      <c r="L424" s="26" t="s">
        <v>4111</v>
      </c>
      <c r="M424" s="55" t="s">
        <v>4703</v>
      </c>
      <c r="N424" s="26" t="s">
        <v>3924</v>
      </c>
    </row>
    <row r="425" spans="1:14" ht="75" customHeight="1" thickTop="1" thickBot="1">
      <c r="A425" s="34">
        <v>423</v>
      </c>
      <c r="B425" s="34">
        <v>427</v>
      </c>
      <c r="C425" s="55" t="s">
        <v>4730</v>
      </c>
      <c r="D425" s="56" t="s">
        <v>394</v>
      </c>
      <c r="E425" s="56" t="s">
        <v>3931</v>
      </c>
      <c r="F425" s="26" t="s">
        <v>3923</v>
      </c>
      <c r="G425" s="26" t="s">
        <v>3932</v>
      </c>
      <c r="H425" s="26" t="s">
        <v>13</v>
      </c>
      <c r="I425" s="26" t="s">
        <v>3924</v>
      </c>
      <c r="J425" s="26" t="s">
        <v>3924</v>
      </c>
      <c r="K425" s="26" t="s">
        <v>4004</v>
      </c>
      <c r="L425" s="26" t="s">
        <v>4731</v>
      </c>
      <c r="M425" s="55" t="s">
        <v>4732</v>
      </c>
      <c r="N425" s="26" t="s">
        <v>3924</v>
      </c>
    </row>
    <row r="426" spans="1:14" ht="75" customHeight="1" thickTop="1" thickBot="1">
      <c r="A426" s="34">
        <v>424</v>
      </c>
      <c r="B426" s="26">
        <v>428</v>
      </c>
      <c r="C426" s="55" t="s">
        <v>4730</v>
      </c>
      <c r="D426" s="56" t="s">
        <v>394</v>
      </c>
      <c r="E426" s="56" t="s">
        <v>3931</v>
      </c>
      <c r="F426" s="26" t="s">
        <v>3923</v>
      </c>
      <c r="G426" s="26" t="s">
        <v>3932</v>
      </c>
      <c r="H426" s="26" t="s">
        <v>13</v>
      </c>
      <c r="I426" s="26" t="s">
        <v>3924</v>
      </c>
      <c r="J426" s="26" t="s">
        <v>3924</v>
      </c>
      <c r="K426" s="26" t="s">
        <v>4733</v>
      </c>
      <c r="L426" s="26" t="s">
        <v>3924</v>
      </c>
      <c r="M426" s="55" t="s">
        <v>4734</v>
      </c>
      <c r="N426" s="26" t="s">
        <v>3924</v>
      </c>
    </row>
    <row r="427" spans="1:14" ht="75" customHeight="1" thickTop="1" thickBot="1">
      <c r="A427" s="26">
        <v>425</v>
      </c>
      <c r="B427" s="34">
        <v>429</v>
      </c>
      <c r="C427" s="55" t="s">
        <v>4735</v>
      </c>
      <c r="D427" s="56" t="s">
        <v>394</v>
      </c>
      <c r="E427" s="56" t="s">
        <v>3931</v>
      </c>
      <c r="F427" s="26" t="s">
        <v>3923</v>
      </c>
      <c r="G427" s="26" t="s">
        <v>3932</v>
      </c>
      <c r="H427" s="26" t="s">
        <v>13</v>
      </c>
      <c r="I427" s="26" t="s">
        <v>3924</v>
      </c>
      <c r="J427" s="26" t="s">
        <v>3924</v>
      </c>
      <c r="K427" s="26" t="s">
        <v>3976</v>
      </c>
      <c r="L427" s="26" t="s">
        <v>3924</v>
      </c>
      <c r="M427" s="55" t="s">
        <v>4736</v>
      </c>
      <c r="N427" s="26" t="s">
        <v>3924</v>
      </c>
    </row>
    <row r="428" spans="1:14" ht="75" customHeight="1" thickTop="1" thickBot="1">
      <c r="A428" s="34">
        <v>426</v>
      </c>
      <c r="B428" s="26">
        <v>430</v>
      </c>
      <c r="C428" s="55" t="s">
        <v>4737</v>
      </c>
      <c r="D428" s="56" t="s">
        <v>394</v>
      </c>
      <c r="E428" s="56" t="s">
        <v>3931</v>
      </c>
      <c r="F428" s="26" t="s">
        <v>3923</v>
      </c>
      <c r="G428" s="26" t="s">
        <v>3932</v>
      </c>
      <c r="H428" s="26" t="s">
        <v>13</v>
      </c>
      <c r="I428" s="26" t="s">
        <v>3924</v>
      </c>
      <c r="J428" s="26" t="s">
        <v>3924</v>
      </c>
      <c r="K428" s="26" t="s">
        <v>4010</v>
      </c>
      <c r="L428" s="26" t="s">
        <v>4011</v>
      </c>
      <c r="M428" s="55" t="s">
        <v>4738</v>
      </c>
      <c r="N428" s="26" t="s">
        <v>3924</v>
      </c>
    </row>
    <row r="429" spans="1:14" ht="75" customHeight="1" thickTop="1" thickBot="1">
      <c r="A429" s="34">
        <v>427</v>
      </c>
      <c r="B429" s="34">
        <v>431</v>
      </c>
      <c r="C429" s="55" t="s">
        <v>4739</v>
      </c>
      <c r="D429" s="56" t="s">
        <v>394</v>
      </c>
      <c r="E429" s="56" t="s">
        <v>3931</v>
      </c>
      <c r="F429" s="26" t="s">
        <v>3923</v>
      </c>
      <c r="G429" s="26" t="s">
        <v>3932</v>
      </c>
      <c r="H429" s="26" t="s">
        <v>13</v>
      </c>
      <c r="I429" s="26" t="s">
        <v>3924</v>
      </c>
      <c r="J429" s="26" t="s">
        <v>3924</v>
      </c>
      <c r="K429" s="26" t="s">
        <v>4010</v>
      </c>
      <c r="L429" s="26" t="s">
        <v>4203</v>
      </c>
      <c r="M429" s="55" t="s">
        <v>4740</v>
      </c>
      <c r="N429" s="26" t="s">
        <v>3924</v>
      </c>
    </row>
    <row r="430" spans="1:14" ht="75" customHeight="1" thickTop="1" thickBot="1">
      <c r="A430" s="26">
        <v>428</v>
      </c>
      <c r="B430" s="26">
        <v>432</v>
      </c>
      <c r="C430" s="55" t="s">
        <v>4741</v>
      </c>
      <c r="D430" s="56" t="s">
        <v>394</v>
      </c>
      <c r="E430" s="56" t="s">
        <v>3931</v>
      </c>
      <c r="F430" s="26" t="s">
        <v>3923</v>
      </c>
      <c r="G430" s="26" t="s">
        <v>3932</v>
      </c>
      <c r="H430" s="26" t="s">
        <v>13</v>
      </c>
      <c r="I430" s="26" t="s">
        <v>3924</v>
      </c>
      <c r="J430" s="26" t="s">
        <v>3924</v>
      </c>
      <c r="K430" s="26" t="s">
        <v>4742</v>
      </c>
      <c r="L430" s="26" t="s">
        <v>3924</v>
      </c>
      <c r="M430" s="55" t="s">
        <v>4743</v>
      </c>
      <c r="N430" s="26" t="s">
        <v>3924</v>
      </c>
    </row>
    <row r="431" spans="1:14" ht="75" customHeight="1" thickTop="1" thickBot="1">
      <c r="A431" s="34">
        <v>429</v>
      </c>
      <c r="B431" s="34">
        <v>433</v>
      </c>
      <c r="C431" s="55" t="s">
        <v>4741</v>
      </c>
      <c r="D431" s="56" t="s">
        <v>394</v>
      </c>
      <c r="E431" s="56" t="s">
        <v>3931</v>
      </c>
      <c r="F431" s="26" t="s">
        <v>3923</v>
      </c>
      <c r="G431" s="26" t="s">
        <v>3932</v>
      </c>
      <c r="H431" s="26" t="s">
        <v>13</v>
      </c>
      <c r="I431" s="26" t="s">
        <v>3924</v>
      </c>
      <c r="J431" s="26" t="s">
        <v>3924</v>
      </c>
      <c r="K431" s="26" t="s">
        <v>4742</v>
      </c>
      <c r="L431" s="26" t="s">
        <v>3924</v>
      </c>
      <c r="M431" s="55" t="s">
        <v>4744</v>
      </c>
      <c r="N431" s="26" t="s">
        <v>3924</v>
      </c>
    </row>
    <row r="432" spans="1:14" ht="75" customHeight="1" thickTop="1" thickBot="1">
      <c r="A432" s="34">
        <v>430</v>
      </c>
      <c r="B432" s="26">
        <v>434</v>
      </c>
      <c r="C432" s="55" t="s">
        <v>4745</v>
      </c>
      <c r="D432" s="56" t="s">
        <v>394</v>
      </c>
      <c r="E432" s="56" t="s">
        <v>3931</v>
      </c>
      <c r="F432" s="26" t="s">
        <v>3923</v>
      </c>
      <c r="G432" s="26" t="s">
        <v>3932</v>
      </c>
      <c r="H432" s="26" t="s">
        <v>13</v>
      </c>
      <c r="I432" s="26" t="s">
        <v>3924</v>
      </c>
      <c r="J432" s="26" t="s">
        <v>3924</v>
      </c>
      <c r="K432" s="26" t="s">
        <v>4010</v>
      </c>
      <c r="L432" s="26" t="s">
        <v>4011</v>
      </c>
      <c r="M432" s="55" t="s">
        <v>4746</v>
      </c>
      <c r="N432" s="26" t="s">
        <v>3924</v>
      </c>
    </row>
    <row r="433" spans="1:14" ht="75" customHeight="1" thickTop="1" thickBot="1">
      <c r="A433" s="26">
        <v>431</v>
      </c>
      <c r="B433" s="34">
        <v>435</v>
      </c>
      <c r="C433" s="55" t="s">
        <v>4747</v>
      </c>
      <c r="D433" s="56" t="s">
        <v>394</v>
      </c>
      <c r="E433" s="56" t="s">
        <v>3931</v>
      </c>
      <c r="F433" s="26" t="s">
        <v>3923</v>
      </c>
      <c r="G433" s="26" t="s">
        <v>3932</v>
      </c>
      <c r="H433" s="26" t="s">
        <v>13</v>
      </c>
      <c r="I433" s="26" t="s">
        <v>3924</v>
      </c>
      <c r="J433" s="26" t="s">
        <v>3924</v>
      </c>
      <c r="K433" s="26" t="s">
        <v>4010</v>
      </c>
      <c r="L433" s="26" t="s">
        <v>3927</v>
      </c>
      <c r="M433" s="55" t="s">
        <v>4748</v>
      </c>
      <c r="N433" s="26" t="s">
        <v>3924</v>
      </c>
    </row>
    <row r="434" spans="1:14" ht="75" customHeight="1" thickTop="1" thickBot="1">
      <c r="A434" s="34">
        <v>432</v>
      </c>
      <c r="B434" s="26">
        <v>436</v>
      </c>
      <c r="C434" s="55" t="s">
        <v>4747</v>
      </c>
      <c r="D434" s="56" t="s">
        <v>394</v>
      </c>
      <c r="E434" s="56" t="s">
        <v>3931</v>
      </c>
      <c r="F434" s="26" t="s">
        <v>3923</v>
      </c>
      <c r="G434" s="26" t="s">
        <v>3932</v>
      </c>
      <c r="H434" s="26" t="s">
        <v>13</v>
      </c>
      <c r="I434" s="26" t="s">
        <v>3924</v>
      </c>
      <c r="J434" s="26" t="s">
        <v>3924</v>
      </c>
      <c r="K434" s="26" t="s">
        <v>4010</v>
      </c>
      <c r="L434" s="26" t="s">
        <v>3963</v>
      </c>
      <c r="M434" s="55" t="s">
        <v>4749</v>
      </c>
      <c r="N434" s="26" t="s">
        <v>3924</v>
      </c>
    </row>
    <row r="435" spans="1:14" ht="75" customHeight="1" thickTop="1" thickBot="1">
      <c r="A435" s="34">
        <v>433</v>
      </c>
      <c r="B435" s="34">
        <v>437</v>
      </c>
      <c r="C435" s="55" t="s">
        <v>4750</v>
      </c>
      <c r="D435" s="56" t="s">
        <v>394</v>
      </c>
      <c r="E435" s="56" t="s">
        <v>3931</v>
      </c>
      <c r="F435" s="26" t="s">
        <v>3923</v>
      </c>
      <c r="G435" s="26" t="s">
        <v>3932</v>
      </c>
      <c r="H435" s="26" t="s">
        <v>13</v>
      </c>
      <c r="I435" s="26" t="s">
        <v>3924</v>
      </c>
      <c r="J435" s="26" t="s">
        <v>3924</v>
      </c>
      <c r="K435" s="26" t="s">
        <v>4010</v>
      </c>
      <c r="L435" s="26" t="s">
        <v>3986</v>
      </c>
      <c r="M435" s="55" t="s">
        <v>4751</v>
      </c>
      <c r="N435" s="26" t="s">
        <v>3924</v>
      </c>
    </row>
    <row r="436" spans="1:14" ht="75" customHeight="1" thickTop="1" thickBot="1">
      <c r="A436" s="26">
        <v>434</v>
      </c>
      <c r="B436" s="26">
        <v>438</v>
      </c>
      <c r="C436" s="55" t="s">
        <v>4752</v>
      </c>
      <c r="D436" s="56" t="s">
        <v>394</v>
      </c>
      <c r="E436" s="56" t="s">
        <v>3931</v>
      </c>
      <c r="F436" s="26" t="s">
        <v>3923</v>
      </c>
      <c r="G436" s="26" t="s">
        <v>3932</v>
      </c>
      <c r="H436" s="26" t="s">
        <v>13</v>
      </c>
      <c r="I436" s="26" t="s">
        <v>3924</v>
      </c>
      <c r="J436" s="26" t="s">
        <v>3924</v>
      </c>
      <c r="K436" s="26" t="s">
        <v>4010</v>
      </c>
      <c r="L436" s="26" t="s">
        <v>4284</v>
      </c>
      <c r="M436" s="55" t="s">
        <v>4753</v>
      </c>
      <c r="N436" s="26" t="s">
        <v>3924</v>
      </c>
    </row>
    <row r="437" spans="1:14" ht="75" customHeight="1" thickTop="1" thickBot="1">
      <c r="A437" s="34">
        <v>435</v>
      </c>
      <c r="B437" s="34">
        <v>439</v>
      </c>
      <c r="C437" s="55" t="s">
        <v>4754</v>
      </c>
      <c r="D437" s="56" t="s">
        <v>394</v>
      </c>
      <c r="E437" s="56" t="s">
        <v>3931</v>
      </c>
      <c r="F437" s="26" t="s">
        <v>3923</v>
      </c>
      <c r="G437" s="26" t="s">
        <v>3932</v>
      </c>
      <c r="H437" s="26" t="s">
        <v>13</v>
      </c>
      <c r="I437" s="26" t="s">
        <v>3924</v>
      </c>
      <c r="J437" s="26" t="s">
        <v>3924</v>
      </c>
      <c r="K437" s="26" t="s">
        <v>4004</v>
      </c>
      <c r="L437" s="26" t="s">
        <v>4731</v>
      </c>
      <c r="M437" s="55" t="s">
        <v>4755</v>
      </c>
      <c r="N437" s="26" t="s">
        <v>3924</v>
      </c>
    </row>
    <row r="438" spans="1:14" ht="75" customHeight="1" thickTop="1" thickBot="1">
      <c r="A438" s="34">
        <v>436</v>
      </c>
      <c r="B438" s="26">
        <v>440</v>
      </c>
      <c r="C438" s="55" t="s">
        <v>4754</v>
      </c>
      <c r="D438" s="56" t="s">
        <v>394</v>
      </c>
      <c r="E438" s="56" t="s">
        <v>3931</v>
      </c>
      <c r="F438" s="26" t="s">
        <v>3923</v>
      </c>
      <c r="G438" s="26" t="s">
        <v>3932</v>
      </c>
      <c r="H438" s="26" t="s">
        <v>13</v>
      </c>
      <c r="I438" s="26" t="s">
        <v>3924</v>
      </c>
      <c r="J438" s="26" t="s">
        <v>3924</v>
      </c>
      <c r="K438" s="26" t="s">
        <v>4087</v>
      </c>
      <c r="L438" s="26" t="s">
        <v>3924</v>
      </c>
      <c r="M438" s="55" t="s">
        <v>4756</v>
      </c>
      <c r="N438" s="26" t="s">
        <v>3924</v>
      </c>
    </row>
    <row r="439" spans="1:14" ht="75" customHeight="1" thickTop="1" thickBot="1">
      <c r="A439" s="26">
        <v>437</v>
      </c>
      <c r="B439" s="34">
        <v>441</v>
      </c>
      <c r="C439" s="55" t="s">
        <v>4757</v>
      </c>
      <c r="D439" s="56" t="s">
        <v>394</v>
      </c>
      <c r="E439" s="56" t="s">
        <v>3931</v>
      </c>
      <c r="F439" s="26" t="s">
        <v>3923</v>
      </c>
      <c r="G439" s="26" t="s">
        <v>3932</v>
      </c>
      <c r="H439" s="26" t="s">
        <v>13</v>
      </c>
      <c r="I439" s="26" t="s">
        <v>3924</v>
      </c>
      <c r="J439" s="26" t="s">
        <v>3924</v>
      </c>
      <c r="K439" s="26" t="s">
        <v>3926</v>
      </c>
      <c r="L439" s="26" t="s">
        <v>3986</v>
      </c>
      <c r="M439" s="55" t="s">
        <v>4758</v>
      </c>
      <c r="N439" s="26" t="s">
        <v>3924</v>
      </c>
    </row>
    <row r="440" spans="1:14" ht="75" customHeight="1" thickTop="1" thickBot="1">
      <c r="A440" s="34">
        <v>438</v>
      </c>
      <c r="B440" s="26">
        <v>442</v>
      </c>
      <c r="C440" s="55" t="s">
        <v>4757</v>
      </c>
      <c r="D440" s="56" t="s">
        <v>394</v>
      </c>
      <c r="E440" s="56" t="s">
        <v>3931</v>
      </c>
      <c r="F440" s="26" t="s">
        <v>3923</v>
      </c>
      <c r="G440" s="26" t="s">
        <v>3932</v>
      </c>
      <c r="H440" s="26" t="s">
        <v>13</v>
      </c>
      <c r="I440" s="26" t="s">
        <v>3924</v>
      </c>
      <c r="J440" s="26" t="s">
        <v>3924</v>
      </c>
      <c r="K440" s="26" t="s">
        <v>3926</v>
      </c>
      <c r="L440" s="26" t="s">
        <v>3986</v>
      </c>
      <c r="M440" s="55" t="s">
        <v>1220</v>
      </c>
      <c r="N440" s="26" t="s">
        <v>3924</v>
      </c>
    </row>
    <row r="441" spans="1:14" ht="75" customHeight="1" thickTop="1" thickBot="1">
      <c r="A441" s="34">
        <v>439</v>
      </c>
      <c r="B441" s="34">
        <v>443</v>
      </c>
      <c r="C441" s="55" t="s">
        <v>4759</v>
      </c>
      <c r="D441" s="56" t="s">
        <v>394</v>
      </c>
      <c r="E441" s="56" t="s">
        <v>3931</v>
      </c>
      <c r="F441" s="26" t="s">
        <v>3923</v>
      </c>
      <c r="G441" s="26" t="s">
        <v>3932</v>
      </c>
      <c r="H441" s="26" t="s">
        <v>13</v>
      </c>
      <c r="I441" s="26" t="s">
        <v>3924</v>
      </c>
      <c r="J441" s="26" t="s">
        <v>3924</v>
      </c>
      <c r="K441" s="26" t="s">
        <v>4341</v>
      </c>
      <c r="L441" s="26" t="s">
        <v>3924</v>
      </c>
      <c r="M441" s="55" t="s">
        <v>4760</v>
      </c>
      <c r="N441" s="26" t="s">
        <v>3924</v>
      </c>
    </row>
    <row r="442" spans="1:14" ht="75" customHeight="1" thickTop="1" thickBot="1">
      <c r="A442" s="26">
        <v>440</v>
      </c>
      <c r="B442" s="26">
        <v>444</v>
      </c>
      <c r="C442" s="55" t="s">
        <v>4761</v>
      </c>
      <c r="D442" s="56" t="s">
        <v>394</v>
      </c>
      <c r="E442" s="56" t="s">
        <v>3931</v>
      </c>
      <c r="F442" s="26" t="s">
        <v>3923</v>
      </c>
      <c r="G442" s="26" t="s">
        <v>3932</v>
      </c>
      <c r="H442" s="26" t="s">
        <v>13</v>
      </c>
      <c r="I442" s="26" t="s">
        <v>3924</v>
      </c>
      <c r="J442" s="26" t="s">
        <v>3924</v>
      </c>
      <c r="K442" s="26" t="s">
        <v>3926</v>
      </c>
      <c r="L442" s="26" t="s">
        <v>4762</v>
      </c>
      <c r="M442" s="55" t="s">
        <v>4691</v>
      </c>
      <c r="N442" s="26" t="s">
        <v>3924</v>
      </c>
    </row>
    <row r="443" spans="1:14" ht="75" customHeight="1" thickTop="1" thickBot="1">
      <c r="A443" s="34">
        <v>441</v>
      </c>
      <c r="B443" s="34">
        <v>445</v>
      </c>
      <c r="C443" s="55" t="s">
        <v>4763</v>
      </c>
      <c r="D443" s="56" t="s">
        <v>394</v>
      </c>
      <c r="E443" s="56" t="s">
        <v>3931</v>
      </c>
      <c r="F443" s="26" t="s">
        <v>3923</v>
      </c>
      <c r="G443" s="26" t="s">
        <v>3932</v>
      </c>
      <c r="H443" s="26" t="s">
        <v>13</v>
      </c>
      <c r="I443" s="26" t="s">
        <v>3924</v>
      </c>
      <c r="J443" s="26" t="s">
        <v>3924</v>
      </c>
      <c r="K443" s="26" t="s">
        <v>3926</v>
      </c>
      <c r="L443" s="26" t="s">
        <v>3924</v>
      </c>
      <c r="M443" s="55" t="s">
        <v>4764</v>
      </c>
      <c r="N443" s="26" t="s">
        <v>3924</v>
      </c>
    </row>
    <row r="444" spans="1:14" ht="75" customHeight="1" thickTop="1" thickBot="1">
      <c r="A444" s="34">
        <v>442</v>
      </c>
      <c r="B444" s="26">
        <v>446</v>
      </c>
      <c r="C444" s="55" t="s">
        <v>4765</v>
      </c>
      <c r="D444" s="56" t="s">
        <v>394</v>
      </c>
      <c r="E444" s="56" t="s">
        <v>3931</v>
      </c>
      <c r="F444" s="26" t="s">
        <v>3923</v>
      </c>
      <c r="G444" s="26" t="s">
        <v>3932</v>
      </c>
      <c r="H444" s="26" t="s">
        <v>13</v>
      </c>
      <c r="I444" s="26" t="s">
        <v>3924</v>
      </c>
      <c r="J444" s="26" t="s">
        <v>3924</v>
      </c>
      <c r="K444" s="26" t="s">
        <v>3926</v>
      </c>
      <c r="L444" s="26" t="s">
        <v>3927</v>
      </c>
      <c r="M444" s="55" t="s">
        <v>4766</v>
      </c>
      <c r="N444" s="26" t="s">
        <v>3924</v>
      </c>
    </row>
    <row r="445" spans="1:14" ht="75" customHeight="1" thickTop="1" thickBot="1">
      <c r="A445" s="26">
        <v>443</v>
      </c>
      <c r="B445" s="34">
        <v>447</v>
      </c>
      <c r="C445" s="55" t="s">
        <v>4765</v>
      </c>
      <c r="D445" s="56" t="s">
        <v>394</v>
      </c>
      <c r="E445" s="56" t="s">
        <v>3931</v>
      </c>
      <c r="F445" s="26" t="s">
        <v>3923</v>
      </c>
      <c r="G445" s="26" t="s">
        <v>3932</v>
      </c>
      <c r="H445" s="26" t="s">
        <v>13</v>
      </c>
      <c r="I445" s="26" t="s">
        <v>3924</v>
      </c>
      <c r="J445" s="26" t="s">
        <v>3924</v>
      </c>
      <c r="K445" s="26" t="s">
        <v>3926</v>
      </c>
      <c r="L445" s="26" t="s">
        <v>3963</v>
      </c>
      <c r="M445" s="55" t="s">
        <v>4767</v>
      </c>
      <c r="N445" s="26" t="s">
        <v>3924</v>
      </c>
    </row>
    <row r="446" spans="1:14" ht="75" customHeight="1" thickTop="1" thickBot="1">
      <c r="A446" s="34">
        <v>444</v>
      </c>
      <c r="B446" s="26">
        <v>448</v>
      </c>
      <c r="C446" s="55" t="s">
        <v>4768</v>
      </c>
      <c r="D446" s="56" t="s">
        <v>394</v>
      </c>
      <c r="E446" s="56" t="s">
        <v>3931</v>
      </c>
      <c r="F446" s="26" t="s">
        <v>3923</v>
      </c>
      <c r="G446" s="26" t="s">
        <v>3932</v>
      </c>
      <c r="H446" s="26" t="s">
        <v>13</v>
      </c>
      <c r="I446" s="26" t="s">
        <v>3924</v>
      </c>
      <c r="J446" s="26" t="s">
        <v>3924</v>
      </c>
      <c r="K446" s="26" t="s">
        <v>3926</v>
      </c>
      <c r="L446" s="26" t="s">
        <v>4331</v>
      </c>
      <c r="M446" s="55" t="s">
        <v>4769</v>
      </c>
      <c r="N446" s="26" t="s">
        <v>3924</v>
      </c>
    </row>
    <row r="447" spans="1:14" ht="75" customHeight="1" thickTop="1" thickBot="1">
      <c r="A447" s="34">
        <v>445</v>
      </c>
      <c r="B447" s="34">
        <v>449</v>
      </c>
      <c r="C447" s="55" t="s">
        <v>4768</v>
      </c>
      <c r="D447" s="56" t="s">
        <v>394</v>
      </c>
      <c r="E447" s="56" t="s">
        <v>3931</v>
      </c>
      <c r="F447" s="26" t="s">
        <v>3923</v>
      </c>
      <c r="G447" s="26" t="s">
        <v>3932</v>
      </c>
      <c r="H447" s="26" t="s">
        <v>13</v>
      </c>
      <c r="I447" s="26" t="s">
        <v>3924</v>
      </c>
      <c r="J447" s="26" t="s">
        <v>3924</v>
      </c>
      <c r="K447" s="26" t="s">
        <v>3926</v>
      </c>
      <c r="L447" s="26" t="s">
        <v>3970</v>
      </c>
      <c r="M447" s="55" t="s">
        <v>4770</v>
      </c>
      <c r="N447" s="26" t="s">
        <v>3924</v>
      </c>
    </row>
    <row r="448" spans="1:14" ht="75" customHeight="1" thickTop="1" thickBot="1">
      <c r="A448" s="26">
        <v>446</v>
      </c>
      <c r="B448" s="26">
        <v>450</v>
      </c>
      <c r="C448" s="55" t="s">
        <v>4771</v>
      </c>
      <c r="D448" s="56" t="s">
        <v>394</v>
      </c>
      <c r="E448" s="56" t="s">
        <v>3931</v>
      </c>
      <c r="F448" s="26" t="s">
        <v>3923</v>
      </c>
      <c r="G448" s="26" t="s">
        <v>3932</v>
      </c>
      <c r="H448" s="26" t="s">
        <v>13</v>
      </c>
      <c r="I448" s="26" t="s">
        <v>3924</v>
      </c>
      <c r="J448" s="26" t="s">
        <v>3924</v>
      </c>
      <c r="K448" s="26" t="s">
        <v>4040</v>
      </c>
      <c r="L448" s="26" t="s">
        <v>3924</v>
      </c>
      <c r="M448" s="55" t="s">
        <v>4772</v>
      </c>
      <c r="N448" s="26" t="s">
        <v>3924</v>
      </c>
    </row>
    <row r="449" spans="1:14" ht="75" customHeight="1" thickTop="1" thickBot="1">
      <c r="A449" s="34">
        <v>447</v>
      </c>
      <c r="B449" s="34">
        <v>452</v>
      </c>
      <c r="C449" s="55" t="s">
        <v>4773</v>
      </c>
      <c r="D449" s="56" t="s">
        <v>394</v>
      </c>
      <c r="E449" s="56" t="s">
        <v>3931</v>
      </c>
      <c r="F449" s="26" t="s">
        <v>3923</v>
      </c>
      <c r="G449" s="26" t="s">
        <v>3932</v>
      </c>
      <c r="H449" s="26" t="s">
        <v>13</v>
      </c>
      <c r="I449" s="26" t="s">
        <v>3924</v>
      </c>
      <c r="J449" s="26" t="s">
        <v>3924</v>
      </c>
      <c r="K449" s="26" t="s">
        <v>4040</v>
      </c>
      <c r="L449" s="26" t="s">
        <v>4435</v>
      </c>
      <c r="M449" s="55" t="s">
        <v>4774</v>
      </c>
      <c r="N449" s="26" t="s">
        <v>3924</v>
      </c>
    </row>
    <row r="450" spans="1:14" ht="75" customHeight="1" thickTop="1" thickBot="1">
      <c r="A450" s="34">
        <v>448</v>
      </c>
      <c r="B450" s="26">
        <v>453</v>
      </c>
      <c r="C450" s="55" t="s">
        <v>4775</v>
      </c>
      <c r="D450" s="56" t="s">
        <v>394</v>
      </c>
      <c r="E450" s="56" t="s">
        <v>3931</v>
      </c>
      <c r="F450" s="26" t="s">
        <v>3923</v>
      </c>
      <c r="G450" s="26" t="s">
        <v>3932</v>
      </c>
      <c r="H450" s="26" t="s">
        <v>13</v>
      </c>
      <c r="I450" s="26" t="s">
        <v>3924</v>
      </c>
      <c r="J450" s="26" t="s">
        <v>3924</v>
      </c>
      <c r="K450" s="26" t="s">
        <v>4040</v>
      </c>
      <c r="L450" s="26" t="s">
        <v>3924</v>
      </c>
      <c r="M450" s="55" t="s">
        <v>4776</v>
      </c>
      <c r="N450" s="26" t="s">
        <v>3924</v>
      </c>
    </row>
    <row r="451" spans="1:14" ht="75" customHeight="1" thickTop="1" thickBot="1">
      <c r="A451" s="26">
        <v>449</v>
      </c>
      <c r="B451" s="34">
        <v>454</v>
      </c>
      <c r="C451" s="55" t="s">
        <v>4775</v>
      </c>
      <c r="D451" s="56" t="s">
        <v>394</v>
      </c>
      <c r="E451" s="56" t="s">
        <v>3931</v>
      </c>
      <c r="F451" s="26" t="s">
        <v>3923</v>
      </c>
      <c r="G451" s="26" t="s">
        <v>3932</v>
      </c>
      <c r="H451" s="26" t="s">
        <v>13</v>
      </c>
      <c r="I451" s="26" t="s">
        <v>3924</v>
      </c>
      <c r="J451" s="26" t="s">
        <v>3924</v>
      </c>
      <c r="K451" s="26" t="s">
        <v>3926</v>
      </c>
      <c r="L451" s="26" t="s">
        <v>4777</v>
      </c>
      <c r="M451" s="55" t="s">
        <v>4778</v>
      </c>
      <c r="N451" s="26" t="s">
        <v>3924</v>
      </c>
    </row>
    <row r="452" spans="1:14" ht="75" customHeight="1" thickTop="1" thickBot="1">
      <c r="A452" s="34">
        <v>450</v>
      </c>
      <c r="B452" s="26">
        <v>455</v>
      </c>
      <c r="C452" s="55" t="s">
        <v>4779</v>
      </c>
      <c r="D452" s="56" t="s">
        <v>394</v>
      </c>
      <c r="E452" s="56" t="s">
        <v>3931</v>
      </c>
      <c r="F452" s="26" t="s">
        <v>3923</v>
      </c>
      <c r="G452" s="26" t="s">
        <v>3932</v>
      </c>
      <c r="H452" s="26" t="s">
        <v>13</v>
      </c>
      <c r="I452" s="26" t="s">
        <v>3924</v>
      </c>
      <c r="J452" s="26" t="s">
        <v>3924</v>
      </c>
      <c r="K452" s="26" t="s">
        <v>4032</v>
      </c>
      <c r="L452" s="26" t="s">
        <v>4033</v>
      </c>
      <c r="M452" s="55" t="s">
        <v>4780</v>
      </c>
      <c r="N452" s="26" t="s">
        <v>3924</v>
      </c>
    </row>
    <row r="453" spans="1:14" ht="75" customHeight="1" thickTop="1" thickBot="1">
      <c r="A453" s="34">
        <v>451</v>
      </c>
      <c r="B453" s="34">
        <v>456</v>
      </c>
      <c r="C453" s="55" t="s">
        <v>4781</v>
      </c>
      <c r="D453" s="56" t="s">
        <v>394</v>
      </c>
      <c r="E453" s="56" t="s">
        <v>3931</v>
      </c>
      <c r="F453" s="26" t="s">
        <v>3923</v>
      </c>
      <c r="G453" s="26" t="s">
        <v>3932</v>
      </c>
      <c r="H453" s="26" t="s">
        <v>13</v>
      </c>
      <c r="I453" s="26" t="s">
        <v>3924</v>
      </c>
      <c r="J453" s="26" t="s">
        <v>3924</v>
      </c>
      <c r="K453" s="26" t="s">
        <v>3947</v>
      </c>
      <c r="L453" s="26" t="s">
        <v>3924</v>
      </c>
      <c r="M453" s="55" t="s">
        <v>793</v>
      </c>
      <c r="N453" s="26" t="s">
        <v>3924</v>
      </c>
    </row>
    <row r="454" spans="1:14" ht="75" customHeight="1" thickTop="1" thickBot="1">
      <c r="A454" s="26">
        <v>452</v>
      </c>
      <c r="B454" s="26">
        <v>457</v>
      </c>
      <c r="C454" s="55" t="s">
        <v>4781</v>
      </c>
      <c r="D454" s="56" t="s">
        <v>394</v>
      </c>
      <c r="E454" s="56" t="s">
        <v>3931</v>
      </c>
      <c r="F454" s="26" t="s">
        <v>3923</v>
      </c>
      <c r="G454" s="26" t="s">
        <v>3932</v>
      </c>
      <c r="H454" s="26" t="s">
        <v>13</v>
      </c>
      <c r="I454" s="26" t="s">
        <v>3924</v>
      </c>
      <c r="J454" s="26" t="s">
        <v>3924</v>
      </c>
      <c r="K454" s="26" t="s">
        <v>4010</v>
      </c>
      <c r="L454" s="26" t="s">
        <v>3924</v>
      </c>
      <c r="M454" s="55" t="s">
        <v>793</v>
      </c>
      <c r="N454" s="26" t="s">
        <v>3924</v>
      </c>
    </row>
    <row r="455" spans="1:14" ht="75" customHeight="1" thickTop="1" thickBot="1">
      <c r="A455" s="34">
        <v>453</v>
      </c>
      <c r="B455" s="34">
        <v>458</v>
      </c>
      <c r="C455" s="55" t="s">
        <v>4782</v>
      </c>
      <c r="D455" s="56" t="s">
        <v>394</v>
      </c>
      <c r="E455" s="56" t="s">
        <v>3931</v>
      </c>
      <c r="F455" s="26" t="s">
        <v>3923</v>
      </c>
      <c r="G455" s="26" t="s">
        <v>3932</v>
      </c>
      <c r="H455" s="26" t="s">
        <v>13</v>
      </c>
      <c r="I455" s="26" t="s">
        <v>3924</v>
      </c>
      <c r="J455" s="26" t="s">
        <v>4783</v>
      </c>
      <c r="K455" s="26" t="s">
        <v>4784</v>
      </c>
      <c r="L455" s="26" t="s">
        <v>4785</v>
      </c>
      <c r="M455" s="55" t="s">
        <v>4786</v>
      </c>
      <c r="N455" s="26" t="s">
        <v>3924</v>
      </c>
    </row>
    <row r="456" spans="1:14" ht="75" customHeight="1" thickTop="1" thickBot="1">
      <c r="A456" s="34">
        <v>454</v>
      </c>
      <c r="B456" s="26">
        <v>459</v>
      </c>
      <c r="C456" s="55" t="s">
        <v>4787</v>
      </c>
      <c r="D456" s="56" t="s">
        <v>394</v>
      </c>
      <c r="E456" s="56" t="s">
        <v>3931</v>
      </c>
      <c r="F456" s="26" t="s">
        <v>3923</v>
      </c>
      <c r="G456" s="26" t="s">
        <v>3932</v>
      </c>
      <c r="H456" s="26" t="s">
        <v>13</v>
      </c>
      <c r="I456" s="26" t="s">
        <v>3924</v>
      </c>
      <c r="J456" s="26" t="s">
        <v>4783</v>
      </c>
      <c r="K456" s="26" t="s">
        <v>4010</v>
      </c>
      <c r="L456" s="26" t="s">
        <v>4788</v>
      </c>
      <c r="M456" s="55" t="s">
        <v>4789</v>
      </c>
      <c r="N456" s="26" t="s">
        <v>3924</v>
      </c>
    </row>
    <row r="457" spans="1:14" ht="75" customHeight="1" thickTop="1" thickBot="1">
      <c r="A457" s="26">
        <v>455</v>
      </c>
      <c r="B457" s="34">
        <v>460</v>
      </c>
      <c r="C457" s="55" t="s">
        <v>4790</v>
      </c>
      <c r="D457" s="56" t="s">
        <v>394</v>
      </c>
      <c r="E457" s="56" t="s">
        <v>3931</v>
      </c>
      <c r="F457" s="26" t="s">
        <v>3923</v>
      </c>
      <c r="G457" s="26" t="s">
        <v>3932</v>
      </c>
      <c r="H457" s="26" t="s">
        <v>13</v>
      </c>
      <c r="I457" s="26" t="s">
        <v>3924</v>
      </c>
      <c r="J457" s="26" t="s">
        <v>4783</v>
      </c>
      <c r="K457" s="26" t="s">
        <v>4791</v>
      </c>
      <c r="L457" s="26" t="s">
        <v>4403</v>
      </c>
      <c r="M457" s="55" t="s">
        <v>4792</v>
      </c>
      <c r="N457" s="26" t="s">
        <v>3924</v>
      </c>
    </row>
    <row r="458" spans="1:14" ht="75" customHeight="1" thickTop="1" thickBot="1">
      <c r="A458" s="34">
        <v>456</v>
      </c>
      <c r="B458" s="26">
        <v>461</v>
      </c>
      <c r="C458" s="55" t="s">
        <v>4793</v>
      </c>
      <c r="D458" s="56" t="s">
        <v>394</v>
      </c>
      <c r="E458" s="56" t="s">
        <v>3931</v>
      </c>
      <c r="F458" s="26" t="s">
        <v>3923</v>
      </c>
      <c r="G458" s="26" t="s">
        <v>3932</v>
      </c>
      <c r="H458" s="26" t="s">
        <v>13</v>
      </c>
      <c r="I458" s="26" t="s">
        <v>3924</v>
      </c>
      <c r="J458" s="26" t="s">
        <v>4794</v>
      </c>
      <c r="K458" s="26" t="s">
        <v>4791</v>
      </c>
      <c r="L458" s="26" t="s">
        <v>4403</v>
      </c>
      <c r="M458" s="55" t="s">
        <v>4795</v>
      </c>
      <c r="N458" s="26" t="s">
        <v>3924</v>
      </c>
    </row>
    <row r="459" spans="1:14" ht="75" customHeight="1" thickTop="1" thickBot="1">
      <c r="A459" s="34">
        <v>457</v>
      </c>
      <c r="B459" s="34">
        <v>462</v>
      </c>
      <c r="C459" s="55" t="s">
        <v>4796</v>
      </c>
      <c r="D459" s="56" t="s">
        <v>394</v>
      </c>
      <c r="E459" s="56" t="s">
        <v>3922</v>
      </c>
      <c r="F459" s="26" t="s">
        <v>3923</v>
      </c>
      <c r="G459" s="26" t="s">
        <v>16</v>
      </c>
      <c r="H459" s="26" t="s">
        <v>13</v>
      </c>
      <c r="I459" s="26" t="s">
        <v>3924</v>
      </c>
      <c r="J459" s="26" t="s">
        <v>4797</v>
      </c>
      <c r="K459" s="26" t="s">
        <v>3929</v>
      </c>
      <c r="L459" s="26" t="s">
        <v>3927</v>
      </c>
      <c r="M459" s="55" t="s">
        <v>4798</v>
      </c>
      <c r="N459" s="26" t="s">
        <v>3924</v>
      </c>
    </row>
    <row r="460" spans="1:14" ht="75" customHeight="1" thickTop="1" thickBot="1">
      <c r="A460" s="26">
        <v>458</v>
      </c>
      <c r="B460" s="26">
        <v>463</v>
      </c>
      <c r="C460" s="55" t="s">
        <v>4799</v>
      </c>
      <c r="D460" s="56" t="s">
        <v>394</v>
      </c>
      <c r="E460" s="56" t="s">
        <v>3922</v>
      </c>
      <c r="F460" s="26" t="s">
        <v>3923</v>
      </c>
      <c r="G460" s="26" t="s">
        <v>16</v>
      </c>
      <c r="H460" s="26" t="s">
        <v>13</v>
      </c>
      <c r="I460" s="26" t="s">
        <v>3924</v>
      </c>
      <c r="J460" s="26" t="s">
        <v>4797</v>
      </c>
      <c r="K460" s="26" t="s">
        <v>3929</v>
      </c>
      <c r="L460" s="26" t="s">
        <v>3927</v>
      </c>
      <c r="M460" s="55" t="s">
        <v>4800</v>
      </c>
      <c r="N460" s="26" t="s">
        <v>3924</v>
      </c>
    </row>
    <row r="461" spans="1:14" ht="75" customHeight="1" thickTop="1" thickBot="1">
      <c r="A461" s="34">
        <v>459</v>
      </c>
      <c r="B461" s="34">
        <v>464</v>
      </c>
      <c r="C461" s="55" t="s">
        <v>4799</v>
      </c>
      <c r="D461" s="56" t="s">
        <v>394</v>
      </c>
      <c r="E461" s="56" t="s">
        <v>3922</v>
      </c>
      <c r="F461" s="26" t="s">
        <v>3923</v>
      </c>
      <c r="G461" s="26" t="s">
        <v>16</v>
      </c>
      <c r="H461" s="26" t="s">
        <v>13</v>
      </c>
      <c r="I461" s="26" t="s">
        <v>3924</v>
      </c>
      <c r="J461" s="26" t="s">
        <v>4797</v>
      </c>
      <c r="K461" s="26" t="s">
        <v>3929</v>
      </c>
      <c r="L461" s="26" t="s">
        <v>3963</v>
      </c>
      <c r="M461" s="55" t="s">
        <v>4801</v>
      </c>
      <c r="N461" s="26" t="s">
        <v>3924</v>
      </c>
    </row>
    <row r="462" spans="1:14" ht="75" customHeight="1" thickTop="1" thickBot="1">
      <c r="A462" s="34">
        <v>460</v>
      </c>
      <c r="B462" s="26">
        <v>465</v>
      </c>
      <c r="C462" s="55" t="s">
        <v>4802</v>
      </c>
      <c r="D462" s="56" t="s">
        <v>394</v>
      </c>
      <c r="E462" s="56" t="s">
        <v>3922</v>
      </c>
      <c r="F462" s="26" t="s">
        <v>3923</v>
      </c>
      <c r="G462" s="26" t="s">
        <v>16</v>
      </c>
      <c r="H462" s="26" t="s">
        <v>13</v>
      </c>
      <c r="I462" s="26" t="s">
        <v>3924</v>
      </c>
      <c r="J462" s="26" t="s">
        <v>4803</v>
      </c>
      <c r="K462" s="26" t="s">
        <v>3929</v>
      </c>
      <c r="L462" s="26" t="s">
        <v>3927</v>
      </c>
      <c r="M462" s="55" t="s">
        <v>4804</v>
      </c>
      <c r="N462" s="26" t="s">
        <v>3924</v>
      </c>
    </row>
    <row r="463" spans="1:14" ht="75" customHeight="1" thickTop="1" thickBot="1">
      <c r="A463" s="26">
        <v>461</v>
      </c>
      <c r="B463" s="34">
        <v>466</v>
      </c>
      <c r="C463" s="55" t="s">
        <v>4805</v>
      </c>
      <c r="D463" s="56" t="s">
        <v>394</v>
      </c>
      <c r="E463" s="56" t="s">
        <v>3922</v>
      </c>
      <c r="F463" s="26" t="s">
        <v>3923</v>
      </c>
      <c r="G463" s="26" t="s">
        <v>16</v>
      </c>
      <c r="H463" s="26" t="s">
        <v>13</v>
      </c>
      <c r="I463" s="26" t="s">
        <v>3924</v>
      </c>
      <c r="J463" s="26" t="s">
        <v>4803</v>
      </c>
      <c r="K463" s="26" t="s">
        <v>3929</v>
      </c>
      <c r="L463" s="26" t="s">
        <v>3927</v>
      </c>
      <c r="M463" s="55" t="s">
        <v>4806</v>
      </c>
      <c r="N463" s="26" t="s">
        <v>3924</v>
      </c>
    </row>
    <row r="464" spans="1:14" ht="75" customHeight="1" thickTop="1" thickBot="1">
      <c r="A464" s="34">
        <v>462</v>
      </c>
      <c r="B464" s="26">
        <v>467</v>
      </c>
      <c r="C464" s="55" t="s">
        <v>4805</v>
      </c>
      <c r="D464" s="56" t="s">
        <v>394</v>
      </c>
      <c r="E464" s="56" t="s">
        <v>3922</v>
      </c>
      <c r="F464" s="26" t="s">
        <v>3923</v>
      </c>
      <c r="G464" s="26" t="s">
        <v>16</v>
      </c>
      <c r="H464" s="26" t="s">
        <v>13</v>
      </c>
      <c r="I464" s="26" t="s">
        <v>3924</v>
      </c>
      <c r="J464" s="26" t="s">
        <v>4803</v>
      </c>
      <c r="K464" s="26" t="s">
        <v>3929</v>
      </c>
      <c r="L464" s="26" t="s">
        <v>3927</v>
      </c>
      <c r="M464" s="55" t="s">
        <v>4807</v>
      </c>
      <c r="N464" s="26" t="s">
        <v>3924</v>
      </c>
    </row>
    <row r="465" spans="1:14" ht="75" customHeight="1" thickTop="1" thickBot="1">
      <c r="A465" s="34">
        <v>463</v>
      </c>
      <c r="B465" s="34">
        <v>468</v>
      </c>
      <c r="C465" s="55" t="s">
        <v>4808</v>
      </c>
      <c r="D465" s="56" t="s">
        <v>394</v>
      </c>
      <c r="E465" s="56" t="s">
        <v>3922</v>
      </c>
      <c r="F465" s="26" t="s">
        <v>3923</v>
      </c>
      <c r="G465" s="26" t="s">
        <v>16</v>
      </c>
      <c r="H465" s="26" t="s">
        <v>13</v>
      </c>
      <c r="I465" s="26" t="s">
        <v>3924</v>
      </c>
      <c r="J465" s="26" t="s">
        <v>4803</v>
      </c>
      <c r="K465" s="26" t="s">
        <v>3929</v>
      </c>
      <c r="L465" s="26" t="s">
        <v>3927</v>
      </c>
      <c r="M465" s="55" t="s">
        <v>4809</v>
      </c>
      <c r="N465" s="26" t="s">
        <v>3924</v>
      </c>
    </row>
    <row r="466" spans="1:14" ht="75" customHeight="1" thickTop="1" thickBot="1">
      <c r="A466" s="26">
        <v>464</v>
      </c>
      <c r="B466" s="26">
        <v>469</v>
      </c>
      <c r="C466" s="55" t="s">
        <v>4810</v>
      </c>
      <c r="D466" s="56" t="s">
        <v>394</v>
      </c>
      <c r="E466" s="56" t="s">
        <v>3922</v>
      </c>
      <c r="F466" s="26" t="s">
        <v>3923</v>
      </c>
      <c r="G466" s="26" t="s">
        <v>16</v>
      </c>
      <c r="H466" s="26" t="s">
        <v>13</v>
      </c>
      <c r="I466" s="26" t="s">
        <v>3924</v>
      </c>
      <c r="J466" s="26" t="s">
        <v>4811</v>
      </c>
      <c r="K466" s="26" t="s">
        <v>3929</v>
      </c>
      <c r="L466" s="26" t="s">
        <v>3963</v>
      </c>
      <c r="M466" s="55" t="s">
        <v>4812</v>
      </c>
      <c r="N466" s="26" t="s">
        <v>3924</v>
      </c>
    </row>
    <row r="467" spans="1:14" ht="75" customHeight="1" thickTop="1" thickBot="1">
      <c r="A467" s="34">
        <v>465</v>
      </c>
      <c r="B467" s="34">
        <v>470</v>
      </c>
      <c r="C467" s="55" t="s">
        <v>4813</v>
      </c>
      <c r="D467" s="56" t="s">
        <v>394</v>
      </c>
      <c r="E467" s="56" t="s">
        <v>3922</v>
      </c>
      <c r="F467" s="26" t="s">
        <v>3923</v>
      </c>
      <c r="G467" s="26" t="s">
        <v>16</v>
      </c>
      <c r="H467" s="26" t="s">
        <v>13</v>
      </c>
      <c r="I467" s="26" t="s">
        <v>3924</v>
      </c>
      <c r="J467" s="26" t="s">
        <v>4811</v>
      </c>
      <c r="K467" s="26" t="s">
        <v>3929</v>
      </c>
      <c r="L467" s="26" t="s">
        <v>3963</v>
      </c>
      <c r="M467" s="55" t="s">
        <v>4814</v>
      </c>
      <c r="N467" s="26" t="s">
        <v>3924</v>
      </c>
    </row>
    <row r="468" spans="1:14" ht="75" customHeight="1" thickTop="1" thickBot="1">
      <c r="A468" s="34">
        <v>466</v>
      </c>
      <c r="B468" s="26">
        <v>471</v>
      </c>
      <c r="C468" s="55" t="s">
        <v>4813</v>
      </c>
      <c r="D468" s="56" t="s">
        <v>394</v>
      </c>
      <c r="E468" s="56" t="s">
        <v>3922</v>
      </c>
      <c r="F468" s="26" t="s">
        <v>3923</v>
      </c>
      <c r="G468" s="26" t="s">
        <v>16</v>
      </c>
      <c r="H468" s="26" t="s">
        <v>13</v>
      </c>
      <c r="I468" s="26" t="s">
        <v>3924</v>
      </c>
      <c r="J468" s="26" t="s">
        <v>4811</v>
      </c>
      <c r="K468" s="26" t="s">
        <v>3929</v>
      </c>
      <c r="L468" s="26" t="s">
        <v>3963</v>
      </c>
      <c r="M468" s="55" t="s">
        <v>4815</v>
      </c>
      <c r="N468" s="26" t="s">
        <v>3924</v>
      </c>
    </row>
    <row r="469" spans="1:14" ht="75" customHeight="1" thickTop="1" thickBot="1">
      <c r="A469" s="26">
        <v>467</v>
      </c>
      <c r="B469" s="34">
        <v>472</v>
      </c>
      <c r="C469" s="55" t="s">
        <v>4816</v>
      </c>
      <c r="D469" s="56" t="s">
        <v>394</v>
      </c>
      <c r="E469" s="56" t="s">
        <v>3922</v>
      </c>
      <c r="F469" s="26" t="s">
        <v>3923</v>
      </c>
      <c r="G469" s="26" t="s">
        <v>16</v>
      </c>
      <c r="H469" s="26" t="s">
        <v>13</v>
      </c>
      <c r="I469" s="26" t="s">
        <v>3924</v>
      </c>
      <c r="J469" s="26" t="s">
        <v>4811</v>
      </c>
      <c r="K469" s="26" t="s">
        <v>3929</v>
      </c>
      <c r="L469" s="26" t="s">
        <v>3963</v>
      </c>
      <c r="M469" s="55" t="s">
        <v>4817</v>
      </c>
      <c r="N469" s="26" t="s">
        <v>3924</v>
      </c>
    </row>
    <row r="470" spans="1:14" ht="75" customHeight="1" thickTop="1" thickBot="1">
      <c r="A470" s="34">
        <v>468</v>
      </c>
      <c r="B470" s="26">
        <v>473</v>
      </c>
      <c r="C470" s="55" t="s">
        <v>4816</v>
      </c>
      <c r="D470" s="56" t="s">
        <v>394</v>
      </c>
      <c r="E470" s="56" t="s">
        <v>3922</v>
      </c>
      <c r="F470" s="26" t="s">
        <v>3923</v>
      </c>
      <c r="G470" s="26" t="s">
        <v>16</v>
      </c>
      <c r="H470" s="26" t="s">
        <v>13</v>
      </c>
      <c r="I470" s="26" t="s">
        <v>3924</v>
      </c>
      <c r="J470" s="26" t="s">
        <v>4818</v>
      </c>
      <c r="K470" s="26" t="s">
        <v>3976</v>
      </c>
      <c r="L470" s="26" t="s">
        <v>3927</v>
      </c>
      <c r="M470" s="55" t="s">
        <v>4819</v>
      </c>
      <c r="N470" s="26" t="s">
        <v>3924</v>
      </c>
    </row>
    <row r="471" spans="1:14" ht="75" customHeight="1" thickTop="1" thickBot="1">
      <c r="A471" s="34">
        <v>469</v>
      </c>
      <c r="B471" s="34">
        <v>474</v>
      </c>
      <c r="C471" s="55" t="s">
        <v>4820</v>
      </c>
      <c r="D471" s="56" t="s">
        <v>394</v>
      </c>
      <c r="E471" s="56" t="s">
        <v>3922</v>
      </c>
      <c r="F471" s="26" t="s">
        <v>3923</v>
      </c>
      <c r="G471" s="26" t="s">
        <v>16</v>
      </c>
      <c r="H471" s="26" t="s">
        <v>13</v>
      </c>
      <c r="I471" s="26" t="s">
        <v>3924</v>
      </c>
      <c r="J471" s="26" t="s">
        <v>4818</v>
      </c>
      <c r="K471" s="26" t="s">
        <v>4821</v>
      </c>
      <c r="L471" s="26" t="s">
        <v>3927</v>
      </c>
      <c r="M471" s="55" t="s">
        <v>4822</v>
      </c>
      <c r="N471" s="26" t="s">
        <v>3924</v>
      </c>
    </row>
    <row r="472" spans="1:14" ht="75" customHeight="1" thickTop="1" thickBot="1">
      <c r="A472" s="26">
        <v>470</v>
      </c>
      <c r="B472" s="26">
        <v>475</v>
      </c>
      <c r="C472" s="55" t="s">
        <v>4823</v>
      </c>
      <c r="D472" s="56" t="s">
        <v>394</v>
      </c>
      <c r="E472" s="56" t="s">
        <v>3922</v>
      </c>
      <c r="F472" s="26" t="s">
        <v>3923</v>
      </c>
      <c r="G472" s="26" t="s">
        <v>16</v>
      </c>
      <c r="H472" s="26" t="s">
        <v>13</v>
      </c>
      <c r="I472" s="26" t="s">
        <v>3924</v>
      </c>
      <c r="J472" s="26" t="s">
        <v>4818</v>
      </c>
      <c r="K472" s="26" t="s">
        <v>3929</v>
      </c>
      <c r="L472" s="26" t="s">
        <v>3927</v>
      </c>
      <c r="M472" s="55" t="s">
        <v>4824</v>
      </c>
      <c r="N472" s="26" t="s">
        <v>3924</v>
      </c>
    </row>
    <row r="473" spans="1:14" ht="75" customHeight="1" thickTop="1" thickBot="1">
      <c r="A473" s="34">
        <v>471</v>
      </c>
      <c r="B473" s="34">
        <v>476</v>
      </c>
      <c r="C473" s="55" t="s">
        <v>4823</v>
      </c>
      <c r="D473" s="56" t="s">
        <v>394</v>
      </c>
      <c r="E473" s="56" t="s">
        <v>3922</v>
      </c>
      <c r="F473" s="26" t="s">
        <v>3923</v>
      </c>
      <c r="G473" s="26" t="s">
        <v>16</v>
      </c>
      <c r="H473" s="26" t="s">
        <v>13</v>
      </c>
      <c r="I473" s="26" t="s">
        <v>3924</v>
      </c>
      <c r="J473" s="26" t="s">
        <v>4818</v>
      </c>
      <c r="K473" s="26" t="s">
        <v>3929</v>
      </c>
      <c r="L473" s="26" t="s">
        <v>3927</v>
      </c>
      <c r="M473" s="55" t="s">
        <v>4570</v>
      </c>
      <c r="N473" s="26" t="s">
        <v>3924</v>
      </c>
    </row>
    <row r="474" spans="1:14" ht="75" customHeight="1" thickTop="1" thickBot="1">
      <c r="A474" s="34">
        <v>472</v>
      </c>
      <c r="B474" s="26">
        <v>477</v>
      </c>
      <c r="C474" s="55" t="s">
        <v>4825</v>
      </c>
      <c r="D474" s="56" t="s">
        <v>394</v>
      </c>
      <c r="E474" s="56" t="s">
        <v>3922</v>
      </c>
      <c r="F474" s="26" t="s">
        <v>3923</v>
      </c>
      <c r="G474" s="26" t="s">
        <v>16</v>
      </c>
      <c r="H474" s="26" t="s">
        <v>13</v>
      </c>
      <c r="I474" s="26" t="s">
        <v>3924</v>
      </c>
      <c r="J474" s="26" t="s">
        <v>4818</v>
      </c>
      <c r="K474" s="26" t="s">
        <v>3929</v>
      </c>
      <c r="L474" s="26" t="s">
        <v>3927</v>
      </c>
      <c r="M474" s="55" t="s">
        <v>4826</v>
      </c>
      <c r="N474" s="26" t="s">
        <v>3924</v>
      </c>
    </row>
    <row r="475" spans="1:14" ht="75" customHeight="1" thickTop="1" thickBot="1">
      <c r="A475" s="26">
        <v>473</v>
      </c>
      <c r="B475" s="34">
        <v>478</v>
      </c>
      <c r="C475" s="55" t="s">
        <v>4825</v>
      </c>
      <c r="D475" s="56" t="s">
        <v>394</v>
      </c>
      <c r="E475" s="56" t="s">
        <v>3922</v>
      </c>
      <c r="F475" s="26" t="s">
        <v>3923</v>
      </c>
      <c r="G475" s="26" t="s">
        <v>16</v>
      </c>
      <c r="H475" s="26" t="s">
        <v>13</v>
      </c>
      <c r="I475" s="26" t="s">
        <v>3924</v>
      </c>
      <c r="J475" s="26" t="s">
        <v>4827</v>
      </c>
      <c r="K475" s="26" t="s">
        <v>4040</v>
      </c>
      <c r="L475" s="26" t="s">
        <v>3963</v>
      </c>
      <c r="M475" s="55" t="s">
        <v>1105</v>
      </c>
      <c r="N475" s="26" t="s">
        <v>3924</v>
      </c>
    </row>
    <row r="476" spans="1:14" ht="75" customHeight="1" thickTop="1" thickBot="1">
      <c r="A476" s="34">
        <v>474</v>
      </c>
      <c r="B476" s="26">
        <v>479</v>
      </c>
      <c r="C476" s="55" t="s">
        <v>4828</v>
      </c>
      <c r="D476" s="56" t="s">
        <v>394</v>
      </c>
      <c r="E476" s="56" t="s">
        <v>3922</v>
      </c>
      <c r="F476" s="26" t="s">
        <v>3923</v>
      </c>
      <c r="G476" s="26" t="s">
        <v>16</v>
      </c>
      <c r="H476" s="26" t="s">
        <v>13</v>
      </c>
      <c r="I476" s="26" t="s">
        <v>3924</v>
      </c>
      <c r="J476" s="26" t="s">
        <v>4827</v>
      </c>
      <c r="K476" s="26" t="s">
        <v>4040</v>
      </c>
      <c r="L476" s="26" t="s">
        <v>3927</v>
      </c>
      <c r="M476" s="55" t="s">
        <v>4829</v>
      </c>
      <c r="N476" s="26" t="s">
        <v>3924</v>
      </c>
    </row>
    <row r="477" spans="1:14" ht="75" customHeight="1" thickTop="1" thickBot="1">
      <c r="A477" s="34">
        <v>475</v>
      </c>
      <c r="B477" s="34">
        <v>480</v>
      </c>
      <c r="C477" s="55" t="s">
        <v>4828</v>
      </c>
      <c r="D477" s="56" t="s">
        <v>394</v>
      </c>
      <c r="E477" s="56" t="s">
        <v>3922</v>
      </c>
      <c r="F477" s="26" t="s">
        <v>3923</v>
      </c>
      <c r="G477" s="26" t="s">
        <v>16</v>
      </c>
      <c r="H477" s="26" t="s">
        <v>13</v>
      </c>
      <c r="I477" s="26" t="s">
        <v>3924</v>
      </c>
      <c r="J477" s="26" t="s">
        <v>4827</v>
      </c>
      <c r="K477" s="26" t="s">
        <v>4040</v>
      </c>
      <c r="L477" s="26" t="s">
        <v>3924</v>
      </c>
      <c r="M477" s="55" t="s">
        <v>4830</v>
      </c>
      <c r="N477" s="26" t="s">
        <v>3924</v>
      </c>
    </row>
    <row r="478" spans="1:14" ht="75" customHeight="1" thickTop="1" thickBot="1">
      <c r="A478" s="26">
        <v>476</v>
      </c>
      <c r="B478" s="26">
        <v>481</v>
      </c>
      <c r="C478" s="55" t="s">
        <v>4831</v>
      </c>
      <c r="D478" s="56" t="s">
        <v>394</v>
      </c>
      <c r="E478" s="56" t="s">
        <v>3922</v>
      </c>
      <c r="F478" s="26" t="s">
        <v>3923</v>
      </c>
      <c r="G478" s="26" t="s">
        <v>16</v>
      </c>
      <c r="H478" s="26" t="s">
        <v>13</v>
      </c>
      <c r="I478" s="26" t="s">
        <v>3924</v>
      </c>
      <c r="J478" s="26" t="s">
        <v>4827</v>
      </c>
      <c r="K478" s="26" t="s">
        <v>3926</v>
      </c>
      <c r="L478" s="26" t="s">
        <v>3927</v>
      </c>
      <c r="M478" s="55" t="s">
        <v>4832</v>
      </c>
      <c r="N478" s="26" t="s">
        <v>3924</v>
      </c>
    </row>
    <row r="479" spans="1:14" ht="75" customHeight="1" thickTop="1" thickBot="1">
      <c r="A479" s="34">
        <v>477</v>
      </c>
      <c r="B479" s="34">
        <v>482</v>
      </c>
      <c r="C479" s="55" t="s">
        <v>4833</v>
      </c>
      <c r="D479" s="56" t="s">
        <v>394</v>
      </c>
      <c r="E479" s="56" t="s">
        <v>3922</v>
      </c>
      <c r="F479" s="26" t="s">
        <v>3923</v>
      </c>
      <c r="G479" s="26" t="s">
        <v>16</v>
      </c>
      <c r="H479" s="26" t="s">
        <v>13</v>
      </c>
      <c r="I479" s="26" t="s">
        <v>3924</v>
      </c>
      <c r="J479" s="26" t="s">
        <v>4834</v>
      </c>
      <c r="K479" s="26" t="s">
        <v>3926</v>
      </c>
      <c r="L479" s="26" t="s">
        <v>3927</v>
      </c>
      <c r="M479" s="55" t="s">
        <v>4835</v>
      </c>
      <c r="N479" s="26" t="s">
        <v>3924</v>
      </c>
    </row>
    <row r="480" spans="1:14" ht="75" customHeight="1" thickTop="1" thickBot="1">
      <c r="A480" s="34">
        <v>478</v>
      </c>
      <c r="B480" s="26">
        <v>483</v>
      </c>
      <c r="C480" s="55" t="s">
        <v>4836</v>
      </c>
      <c r="D480" s="56" t="s">
        <v>394</v>
      </c>
      <c r="E480" s="56" t="s">
        <v>3922</v>
      </c>
      <c r="F480" s="26" t="s">
        <v>3923</v>
      </c>
      <c r="G480" s="26" t="s">
        <v>16</v>
      </c>
      <c r="H480" s="26" t="s">
        <v>13</v>
      </c>
      <c r="I480" s="26" t="s">
        <v>3924</v>
      </c>
      <c r="J480" s="26" t="s">
        <v>4834</v>
      </c>
      <c r="K480" s="26" t="s">
        <v>3926</v>
      </c>
      <c r="L480" s="26" t="s">
        <v>3927</v>
      </c>
      <c r="M480" s="55" t="s">
        <v>4837</v>
      </c>
      <c r="N480" s="26" t="s">
        <v>3924</v>
      </c>
    </row>
    <row r="481" spans="1:14" ht="75" customHeight="1" thickTop="1" thickBot="1">
      <c r="A481" s="26">
        <v>479</v>
      </c>
      <c r="B481" s="34">
        <v>484</v>
      </c>
      <c r="C481" s="55" t="s">
        <v>4838</v>
      </c>
      <c r="D481" s="56" t="s">
        <v>394</v>
      </c>
      <c r="E481" s="56" t="s">
        <v>3922</v>
      </c>
      <c r="F481" s="26" t="s">
        <v>3923</v>
      </c>
      <c r="G481" s="26" t="s">
        <v>16</v>
      </c>
      <c r="H481" s="26" t="s">
        <v>13</v>
      </c>
      <c r="I481" s="26" t="s">
        <v>3924</v>
      </c>
      <c r="J481" s="26" t="s">
        <v>4834</v>
      </c>
      <c r="K481" s="26" t="s">
        <v>4040</v>
      </c>
      <c r="L481" s="26" t="s">
        <v>3927</v>
      </c>
      <c r="M481" s="55" t="s">
        <v>4839</v>
      </c>
      <c r="N481" s="26" t="s">
        <v>3924</v>
      </c>
    </row>
    <row r="482" spans="1:14" ht="75" customHeight="1" thickTop="1" thickBot="1">
      <c r="A482" s="34">
        <v>480</v>
      </c>
      <c r="B482" s="26">
        <v>485</v>
      </c>
      <c r="C482" s="55" t="s">
        <v>4838</v>
      </c>
      <c r="D482" s="56" t="s">
        <v>394</v>
      </c>
      <c r="E482" s="56" t="s">
        <v>3922</v>
      </c>
      <c r="F482" s="26" t="s">
        <v>3923</v>
      </c>
      <c r="G482" s="26" t="s">
        <v>16</v>
      </c>
      <c r="H482" s="26" t="s">
        <v>13</v>
      </c>
      <c r="I482" s="26" t="s">
        <v>3924</v>
      </c>
      <c r="J482" s="26" t="s">
        <v>4840</v>
      </c>
      <c r="K482" s="26" t="s">
        <v>4040</v>
      </c>
      <c r="L482" s="26" t="s">
        <v>3927</v>
      </c>
      <c r="M482" s="55" t="s">
        <v>4841</v>
      </c>
      <c r="N482" s="26" t="s">
        <v>3924</v>
      </c>
    </row>
    <row r="483" spans="1:14" ht="75" customHeight="1" thickTop="1" thickBot="1">
      <c r="A483" s="34">
        <v>481</v>
      </c>
      <c r="B483" s="34">
        <v>486</v>
      </c>
      <c r="C483" s="55" t="s">
        <v>4842</v>
      </c>
      <c r="D483" s="56" t="s">
        <v>394</v>
      </c>
      <c r="E483" s="56" t="s">
        <v>3922</v>
      </c>
      <c r="F483" s="26" t="s">
        <v>3923</v>
      </c>
      <c r="G483" s="26" t="s">
        <v>16</v>
      </c>
      <c r="H483" s="26" t="s">
        <v>13</v>
      </c>
      <c r="I483" s="26" t="s">
        <v>3924</v>
      </c>
      <c r="J483" s="26" t="s">
        <v>4840</v>
      </c>
      <c r="K483" s="26" t="s">
        <v>3947</v>
      </c>
      <c r="L483" s="26" t="s">
        <v>3927</v>
      </c>
      <c r="M483" s="55" t="s">
        <v>4843</v>
      </c>
      <c r="N483" s="26" t="s">
        <v>3924</v>
      </c>
    </row>
    <row r="484" spans="1:14" ht="75" customHeight="1" thickTop="1" thickBot="1">
      <c r="A484" s="26">
        <v>482</v>
      </c>
      <c r="B484" s="26">
        <v>487</v>
      </c>
      <c r="C484" s="55" t="s">
        <v>4844</v>
      </c>
      <c r="D484" s="56" t="s">
        <v>394</v>
      </c>
      <c r="E484" s="56" t="s">
        <v>3922</v>
      </c>
      <c r="F484" s="26" t="s">
        <v>3923</v>
      </c>
      <c r="G484" s="26" t="s">
        <v>16</v>
      </c>
      <c r="H484" s="26" t="s">
        <v>13</v>
      </c>
      <c r="I484" s="26" t="s">
        <v>3924</v>
      </c>
      <c r="J484" s="26" t="s">
        <v>4840</v>
      </c>
      <c r="K484" s="26" t="s">
        <v>3947</v>
      </c>
      <c r="L484" s="26" t="s">
        <v>3927</v>
      </c>
      <c r="M484" s="55" t="s">
        <v>4845</v>
      </c>
      <c r="N484" s="26" t="s">
        <v>3924</v>
      </c>
    </row>
    <row r="485" spans="1:14" ht="75" customHeight="1" thickTop="1" thickBot="1">
      <c r="A485" s="34">
        <v>483</v>
      </c>
      <c r="B485" s="34">
        <v>488</v>
      </c>
      <c r="C485" s="55" t="s">
        <v>4844</v>
      </c>
      <c r="D485" s="56" t="s">
        <v>394</v>
      </c>
      <c r="E485" s="56" t="s">
        <v>3922</v>
      </c>
      <c r="F485" s="26" t="s">
        <v>3923</v>
      </c>
      <c r="G485" s="26" t="s">
        <v>16</v>
      </c>
      <c r="H485" s="26" t="s">
        <v>13</v>
      </c>
      <c r="I485" s="26" t="s">
        <v>3924</v>
      </c>
      <c r="J485" s="26" t="s">
        <v>4840</v>
      </c>
      <c r="K485" s="26" t="s">
        <v>3947</v>
      </c>
      <c r="L485" s="26" t="s">
        <v>3986</v>
      </c>
      <c r="M485" s="55" t="s">
        <v>4846</v>
      </c>
      <c r="N485" s="26" t="s">
        <v>3924</v>
      </c>
    </row>
    <row r="486" spans="1:14" ht="75" customHeight="1" thickTop="1" thickBot="1">
      <c r="A486" s="34">
        <v>484</v>
      </c>
      <c r="B486" s="26">
        <v>500</v>
      </c>
      <c r="C486" s="55" t="s">
        <v>4847</v>
      </c>
      <c r="D486" s="56" t="s">
        <v>394</v>
      </c>
      <c r="E486" s="56" t="s">
        <v>3922</v>
      </c>
      <c r="F486" s="26" t="s">
        <v>3923</v>
      </c>
      <c r="G486" s="26" t="s">
        <v>15</v>
      </c>
      <c r="H486" s="26" t="s">
        <v>13</v>
      </c>
      <c r="I486" s="26" t="s">
        <v>3924</v>
      </c>
      <c r="J486" s="26" t="s">
        <v>4848</v>
      </c>
      <c r="K486" s="26" t="s">
        <v>3941</v>
      </c>
      <c r="L486" s="26" t="s">
        <v>4277</v>
      </c>
      <c r="M486" s="55" t="s">
        <v>4627</v>
      </c>
      <c r="N486" s="26" t="s">
        <v>3924</v>
      </c>
    </row>
    <row r="487" spans="1:14" ht="75" customHeight="1" thickTop="1" thickBot="1">
      <c r="A487" s="26">
        <v>485</v>
      </c>
      <c r="B487" s="34">
        <v>501</v>
      </c>
      <c r="C487" s="55" t="s">
        <v>4847</v>
      </c>
      <c r="D487" s="56" t="s">
        <v>394</v>
      </c>
      <c r="E487" s="56" t="s">
        <v>3922</v>
      </c>
      <c r="F487" s="26" t="s">
        <v>3923</v>
      </c>
      <c r="G487" s="26" t="s">
        <v>15</v>
      </c>
      <c r="H487" s="26" t="s">
        <v>13</v>
      </c>
      <c r="I487" s="26" t="s">
        <v>3924</v>
      </c>
      <c r="J487" s="26" t="s">
        <v>4848</v>
      </c>
      <c r="K487" s="26" t="s">
        <v>3941</v>
      </c>
      <c r="L487" s="26" t="s">
        <v>4284</v>
      </c>
      <c r="M487" s="55" t="s">
        <v>4627</v>
      </c>
      <c r="N487" s="26" t="s">
        <v>3924</v>
      </c>
    </row>
    <row r="488" spans="1:14" ht="75" customHeight="1" thickTop="1" thickBot="1">
      <c r="A488" s="34">
        <v>486</v>
      </c>
      <c r="B488" s="26">
        <v>502</v>
      </c>
      <c r="C488" s="55" t="s">
        <v>4849</v>
      </c>
      <c r="D488" s="56" t="s">
        <v>394</v>
      </c>
      <c r="E488" s="56" t="s">
        <v>3922</v>
      </c>
      <c r="F488" s="26" t="s">
        <v>3923</v>
      </c>
      <c r="G488" s="26" t="s">
        <v>15</v>
      </c>
      <c r="H488" s="26" t="s">
        <v>13</v>
      </c>
      <c r="I488" s="26" t="s">
        <v>3924</v>
      </c>
      <c r="J488" s="26" t="s">
        <v>4850</v>
      </c>
      <c r="K488" s="26" t="s">
        <v>3941</v>
      </c>
      <c r="L488" s="26" t="s">
        <v>4125</v>
      </c>
      <c r="M488" s="55" t="s">
        <v>4851</v>
      </c>
      <c r="N488" s="26" t="s">
        <v>3924</v>
      </c>
    </row>
    <row r="489" spans="1:14" ht="75" customHeight="1" thickTop="1" thickBot="1">
      <c r="A489" s="34">
        <v>487</v>
      </c>
      <c r="B489" s="34">
        <v>503</v>
      </c>
      <c r="C489" s="55" t="s">
        <v>4852</v>
      </c>
      <c r="D489" s="56" t="s">
        <v>394</v>
      </c>
      <c r="E489" s="56" t="s">
        <v>3922</v>
      </c>
      <c r="F489" s="26" t="s">
        <v>3923</v>
      </c>
      <c r="G489" s="26" t="s">
        <v>15</v>
      </c>
      <c r="H489" s="26" t="s">
        <v>13</v>
      </c>
      <c r="I489" s="26" t="s">
        <v>3924</v>
      </c>
      <c r="J489" s="26" t="s">
        <v>4848</v>
      </c>
      <c r="K489" s="26" t="s">
        <v>3941</v>
      </c>
      <c r="L489" s="26" t="s">
        <v>4011</v>
      </c>
      <c r="M489" s="55" t="s">
        <v>4634</v>
      </c>
      <c r="N489" s="26" t="s">
        <v>3924</v>
      </c>
    </row>
    <row r="490" spans="1:14" ht="75" customHeight="1" thickTop="1" thickBot="1">
      <c r="A490" s="26">
        <v>488</v>
      </c>
      <c r="B490" s="26">
        <v>504</v>
      </c>
      <c r="C490" s="55" t="s">
        <v>4853</v>
      </c>
      <c r="D490" s="56" t="s">
        <v>394</v>
      </c>
      <c r="E490" s="56" t="s">
        <v>3922</v>
      </c>
      <c r="F490" s="26" t="s">
        <v>3923</v>
      </c>
      <c r="G490" s="26" t="s">
        <v>15</v>
      </c>
      <c r="H490" s="26" t="s">
        <v>13</v>
      </c>
      <c r="I490" s="26" t="s">
        <v>3924</v>
      </c>
      <c r="J490" s="26" t="s">
        <v>4850</v>
      </c>
      <c r="K490" s="26" t="s">
        <v>3941</v>
      </c>
      <c r="L490" s="26" t="s">
        <v>4203</v>
      </c>
      <c r="M490" s="55" t="s">
        <v>4634</v>
      </c>
      <c r="N490" s="26" t="s">
        <v>3924</v>
      </c>
    </row>
    <row r="491" spans="1:14" ht="75" customHeight="1" thickTop="1" thickBot="1">
      <c r="A491" s="34">
        <v>489</v>
      </c>
      <c r="B491" s="34">
        <v>505</v>
      </c>
      <c r="C491" s="55" t="s">
        <v>4853</v>
      </c>
      <c r="D491" s="56" t="s">
        <v>394</v>
      </c>
      <c r="E491" s="56" t="s">
        <v>3922</v>
      </c>
      <c r="F491" s="26" t="s">
        <v>3923</v>
      </c>
      <c r="G491" s="26" t="s">
        <v>15</v>
      </c>
      <c r="H491" s="26" t="s">
        <v>13</v>
      </c>
      <c r="I491" s="26" t="s">
        <v>3924</v>
      </c>
      <c r="J491" s="26" t="s">
        <v>4850</v>
      </c>
      <c r="K491" s="26" t="s">
        <v>3941</v>
      </c>
      <c r="L491" s="26" t="s">
        <v>4239</v>
      </c>
      <c r="M491" s="55" t="s">
        <v>4634</v>
      </c>
      <c r="N491" s="26" t="s">
        <v>3924</v>
      </c>
    </row>
    <row r="492" spans="1:14" ht="75" customHeight="1" thickTop="1" thickBot="1">
      <c r="A492" s="34">
        <v>490</v>
      </c>
      <c r="B492" s="26">
        <v>506</v>
      </c>
      <c r="C492" s="55" t="s">
        <v>4854</v>
      </c>
      <c r="D492" s="56" t="s">
        <v>394</v>
      </c>
      <c r="E492" s="56" t="s">
        <v>3922</v>
      </c>
      <c r="F492" s="26" t="s">
        <v>3923</v>
      </c>
      <c r="G492" s="26" t="s">
        <v>15</v>
      </c>
      <c r="H492" s="26" t="s">
        <v>13</v>
      </c>
      <c r="I492" s="26" t="s">
        <v>3924</v>
      </c>
      <c r="J492" s="26" t="s">
        <v>4855</v>
      </c>
      <c r="K492" s="26" t="s">
        <v>3941</v>
      </c>
      <c r="L492" s="26" t="s">
        <v>4277</v>
      </c>
      <c r="M492" s="55" t="s">
        <v>4637</v>
      </c>
      <c r="N492" s="26" t="s">
        <v>3924</v>
      </c>
    </row>
    <row r="493" spans="1:14" ht="75" customHeight="1" thickTop="1" thickBot="1">
      <c r="A493" s="26">
        <v>491</v>
      </c>
      <c r="B493" s="34">
        <v>507</v>
      </c>
      <c r="C493" s="55" t="s">
        <v>4854</v>
      </c>
      <c r="D493" s="56" t="s">
        <v>394</v>
      </c>
      <c r="E493" s="56" t="s">
        <v>3922</v>
      </c>
      <c r="F493" s="26" t="s">
        <v>3923</v>
      </c>
      <c r="G493" s="26" t="s">
        <v>15</v>
      </c>
      <c r="H493" s="26" t="s">
        <v>13</v>
      </c>
      <c r="I493" s="26" t="s">
        <v>3924</v>
      </c>
      <c r="J493" s="26" t="s">
        <v>4856</v>
      </c>
      <c r="K493" s="26" t="s">
        <v>3941</v>
      </c>
      <c r="L493" s="26" t="s">
        <v>4284</v>
      </c>
      <c r="M493" s="55" t="s">
        <v>4637</v>
      </c>
      <c r="N493" s="26" t="s">
        <v>3924</v>
      </c>
    </row>
    <row r="494" spans="1:14" ht="75" customHeight="1" thickTop="1" thickBot="1">
      <c r="A494" s="34">
        <v>492</v>
      </c>
      <c r="B494" s="26">
        <v>508</v>
      </c>
      <c r="C494" s="55" t="s">
        <v>4854</v>
      </c>
      <c r="D494" s="56" t="s">
        <v>394</v>
      </c>
      <c r="E494" s="56" t="s">
        <v>3922</v>
      </c>
      <c r="F494" s="26" t="s">
        <v>3923</v>
      </c>
      <c r="G494" s="26" t="s">
        <v>15</v>
      </c>
      <c r="H494" s="26" t="s">
        <v>13</v>
      </c>
      <c r="I494" s="26" t="s">
        <v>3924</v>
      </c>
      <c r="J494" s="26" t="s">
        <v>4856</v>
      </c>
      <c r="K494" s="26" t="s">
        <v>3941</v>
      </c>
      <c r="L494" s="26" t="s">
        <v>4125</v>
      </c>
      <c r="M494" s="55" t="s">
        <v>4857</v>
      </c>
      <c r="N494" s="26" t="s">
        <v>3924</v>
      </c>
    </row>
    <row r="495" spans="1:14" ht="75" customHeight="1" thickTop="1" thickBot="1">
      <c r="A495" s="34">
        <v>493</v>
      </c>
      <c r="B495" s="34">
        <v>509</v>
      </c>
      <c r="C495" s="55" t="s">
        <v>4858</v>
      </c>
      <c r="D495" s="56" t="s">
        <v>394</v>
      </c>
      <c r="E495" s="56" t="s">
        <v>3922</v>
      </c>
      <c r="F495" s="26" t="s">
        <v>3923</v>
      </c>
      <c r="G495" s="26" t="s">
        <v>15</v>
      </c>
      <c r="H495" s="26" t="s">
        <v>13</v>
      </c>
      <c r="I495" s="26" t="s">
        <v>3924</v>
      </c>
      <c r="J495" s="26" t="s">
        <v>4859</v>
      </c>
      <c r="K495" s="26" t="s">
        <v>3941</v>
      </c>
      <c r="L495" s="26" t="s">
        <v>4011</v>
      </c>
      <c r="M495" s="55" t="s">
        <v>4263</v>
      </c>
      <c r="N495" s="26" t="s">
        <v>3924</v>
      </c>
    </row>
    <row r="496" spans="1:14" ht="75" customHeight="1" thickTop="1" thickBot="1">
      <c r="A496" s="26">
        <v>494</v>
      </c>
      <c r="B496" s="26">
        <v>510</v>
      </c>
      <c r="C496" s="55" t="s">
        <v>4858</v>
      </c>
      <c r="D496" s="56" t="s">
        <v>394</v>
      </c>
      <c r="E496" s="56" t="s">
        <v>3922</v>
      </c>
      <c r="F496" s="26" t="s">
        <v>3923</v>
      </c>
      <c r="G496" s="26" t="s">
        <v>15</v>
      </c>
      <c r="H496" s="26" t="s">
        <v>13</v>
      </c>
      <c r="I496" s="26" t="s">
        <v>3924</v>
      </c>
      <c r="J496" s="26" t="s">
        <v>4860</v>
      </c>
      <c r="K496" s="26" t="s">
        <v>3941</v>
      </c>
      <c r="L496" s="26" t="s">
        <v>4203</v>
      </c>
      <c r="M496" s="55" t="s">
        <v>4263</v>
      </c>
      <c r="N496" s="26" t="s">
        <v>3924</v>
      </c>
    </row>
    <row r="497" spans="1:14" ht="75" customHeight="1" thickTop="1" thickBot="1">
      <c r="A497" s="34">
        <v>495</v>
      </c>
      <c r="B497" s="34">
        <v>511</v>
      </c>
      <c r="C497" s="55" t="s">
        <v>4861</v>
      </c>
      <c r="D497" s="56" t="s">
        <v>394</v>
      </c>
      <c r="E497" s="56" t="s">
        <v>3922</v>
      </c>
      <c r="F497" s="26" t="s">
        <v>3923</v>
      </c>
      <c r="G497" s="26" t="s">
        <v>15</v>
      </c>
      <c r="H497" s="26" t="s">
        <v>13</v>
      </c>
      <c r="I497" s="26" t="s">
        <v>3924</v>
      </c>
      <c r="J497" s="26" t="s">
        <v>4860</v>
      </c>
      <c r="K497" s="26" t="s">
        <v>3941</v>
      </c>
      <c r="L497" s="26" t="s">
        <v>4239</v>
      </c>
      <c r="M497" s="55" t="s">
        <v>4263</v>
      </c>
      <c r="N497" s="26" t="s">
        <v>3924</v>
      </c>
    </row>
    <row r="498" spans="1:14" ht="75" customHeight="1" thickTop="1" thickBot="1">
      <c r="A498" s="34">
        <v>496</v>
      </c>
      <c r="B498" s="26">
        <v>512</v>
      </c>
      <c r="C498" s="55" t="s">
        <v>4862</v>
      </c>
      <c r="D498" s="56" t="s">
        <v>394</v>
      </c>
      <c r="E498" s="56" t="s">
        <v>3922</v>
      </c>
      <c r="F498" s="26" t="s">
        <v>3923</v>
      </c>
      <c r="G498" s="26" t="s">
        <v>15</v>
      </c>
      <c r="H498" s="26" t="s">
        <v>13</v>
      </c>
      <c r="I498" s="26" t="s">
        <v>3924</v>
      </c>
      <c r="J498" s="26" t="s">
        <v>4860</v>
      </c>
      <c r="K498" s="26" t="s">
        <v>3941</v>
      </c>
      <c r="L498" s="26" t="s">
        <v>4277</v>
      </c>
      <c r="M498" s="55" t="s">
        <v>4646</v>
      </c>
      <c r="N498" s="26" t="s">
        <v>3924</v>
      </c>
    </row>
    <row r="499" spans="1:14" ht="75" customHeight="1" thickTop="1" thickBot="1">
      <c r="A499" s="26">
        <v>497</v>
      </c>
      <c r="B499" s="34">
        <v>513</v>
      </c>
      <c r="C499" s="55" t="s">
        <v>4863</v>
      </c>
      <c r="D499" s="56" t="s">
        <v>394</v>
      </c>
      <c r="E499" s="56" t="s">
        <v>3922</v>
      </c>
      <c r="F499" s="26" t="s">
        <v>3923</v>
      </c>
      <c r="G499" s="26" t="s">
        <v>15</v>
      </c>
      <c r="H499" s="26" t="s">
        <v>13</v>
      </c>
      <c r="I499" s="26" t="s">
        <v>3924</v>
      </c>
      <c r="J499" s="26" t="s">
        <v>4860</v>
      </c>
      <c r="K499" s="26" t="s">
        <v>3941</v>
      </c>
      <c r="L499" s="26" t="s">
        <v>4284</v>
      </c>
      <c r="M499" s="55" t="s">
        <v>4646</v>
      </c>
      <c r="N499" s="26" t="s">
        <v>3924</v>
      </c>
    </row>
    <row r="500" spans="1:14" ht="75" customHeight="1" thickTop="1" thickBot="1">
      <c r="A500" s="34">
        <v>498</v>
      </c>
      <c r="B500" s="26">
        <v>514</v>
      </c>
      <c r="C500" s="55" t="s">
        <v>4864</v>
      </c>
      <c r="D500" s="56" t="s">
        <v>394</v>
      </c>
      <c r="E500" s="56" t="s">
        <v>3922</v>
      </c>
      <c r="F500" s="26" t="s">
        <v>3923</v>
      </c>
      <c r="G500" s="26" t="s">
        <v>15</v>
      </c>
      <c r="H500" s="26" t="s">
        <v>13</v>
      </c>
      <c r="I500" s="26" t="s">
        <v>3924</v>
      </c>
      <c r="J500" s="26" t="s">
        <v>4860</v>
      </c>
      <c r="K500" s="26" t="s">
        <v>3941</v>
      </c>
      <c r="L500" s="26" t="s">
        <v>4125</v>
      </c>
      <c r="M500" s="55" t="s">
        <v>4649</v>
      </c>
      <c r="N500" s="26" t="s">
        <v>3924</v>
      </c>
    </row>
    <row r="501" spans="1:14" ht="75" customHeight="1" thickTop="1" thickBot="1">
      <c r="A501" s="34">
        <v>499</v>
      </c>
      <c r="B501" s="34">
        <v>515</v>
      </c>
      <c r="C501" s="55" t="s">
        <v>4864</v>
      </c>
      <c r="D501" s="56" t="s">
        <v>394</v>
      </c>
      <c r="E501" s="56" t="s">
        <v>3922</v>
      </c>
      <c r="F501" s="26" t="s">
        <v>3923</v>
      </c>
      <c r="G501" s="26" t="s">
        <v>15</v>
      </c>
      <c r="H501" s="26" t="s">
        <v>13</v>
      </c>
      <c r="I501" s="26" t="s">
        <v>3924</v>
      </c>
      <c r="J501" s="26" t="s">
        <v>4865</v>
      </c>
      <c r="K501" s="26" t="s">
        <v>3941</v>
      </c>
      <c r="L501" s="26" t="s">
        <v>4011</v>
      </c>
      <c r="M501" s="55" t="s">
        <v>4866</v>
      </c>
      <c r="N501" s="26" t="s">
        <v>3924</v>
      </c>
    </row>
    <row r="502" spans="1:14" ht="75" customHeight="1" thickTop="1" thickBot="1">
      <c r="A502" s="26">
        <v>500</v>
      </c>
      <c r="B502" s="26">
        <v>516</v>
      </c>
      <c r="C502" s="55" t="s">
        <v>4864</v>
      </c>
      <c r="D502" s="56" t="s">
        <v>394</v>
      </c>
      <c r="E502" s="56" t="s">
        <v>3922</v>
      </c>
      <c r="F502" s="26" t="s">
        <v>3923</v>
      </c>
      <c r="G502" s="26" t="s">
        <v>15</v>
      </c>
      <c r="H502" s="26" t="s">
        <v>13</v>
      </c>
      <c r="I502" s="26" t="s">
        <v>3924</v>
      </c>
      <c r="J502" s="26" t="s">
        <v>4865</v>
      </c>
      <c r="K502" s="26" t="s">
        <v>3941</v>
      </c>
      <c r="L502" s="26" t="s">
        <v>4203</v>
      </c>
      <c r="M502" s="55" t="s">
        <v>4866</v>
      </c>
      <c r="N502" s="26" t="s">
        <v>3924</v>
      </c>
    </row>
    <row r="503" spans="1:14" ht="75" customHeight="1" thickTop="1" thickBot="1">
      <c r="A503" s="34">
        <v>501</v>
      </c>
      <c r="B503" s="34">
        <v>517</v>
      </c>
      <c r="C503" s="55" t="s">
        <v>4867</v>
      </c>
      <c r="D503" s="56" t="s">
        <v>394</v>
      </c>
      <c r="E503" s="56" t="s">
        <v>3922</v>
      </c>
      <c r="F503" s="26" t="s">
        <v>3923</v>
      </c>
      <c r="G503" s="26" t="s">
        <v>15</v>
      </c>
      <c r="H503" s="26" t="s">
        <v>13</v>
      </c>
      <c r="I503" s="26" t="s">
        <v>3924</v>
      </c>
      <c r="J503" s="26" t="s">
        <v>4865</v>
      </c>
      <c r="K503" s="26" t="s">
        <v>3941</v>
      </c>
      <c r="L503" s="26" t="s">
        <v>4239</v>
      </c>
      <c r="M503" s="55" t="s">
        <v>4866</v>
      </c>
      <c r="N503" s="26" t="s">
        <v>3924</v>
      </c>
    </row>
    <row r="504" spans="1:14" ht="75" customHeight="1" thickTop="1" thickBot="1">
      <c r="A504" s="34">
        <v>502</v>
      </c>
      <c r="B504" s="26">
        <v>518</v>
      </c>
      <c r="C504" s="55" t="s">
        <v>4868</v>
      </c>
      <c r="D504" s="56" t="s">
        <v>394</v>
      </c>
      <c r="E504" s="56" t="s">
        <v>3922</v>
      </c>
      <c r="F504" s="26" t="s">
        <v>3923</v>
      </c>
      <c r="G504" s="26" t="s">
        <v>15</v>
      </c>
      <c r="H504" s="26" t="s">
        <v>13</v>
      </c>
      <c r="I504" s="26" t="s">
        <v>3924</v>
      </c>
      <c r="J504" s="26" t="s">
        <v>4865</v>
      </c>
      <c r="K504" s="26" t="s">
        <v>4010</v>
      </c>
      <c r="L504" s="26" t="s">
        <v>4011</v>
      </c>
      <c r="M504" s="55" t="s">
        <v>4634</v>
      </c>
      <c r="N504" s="26" t="s">
        <v>3924</v>
      </c>
    </row>
    <row r="505" spans="1:14" ht="75" customHeight="1" thickTop="1" thickBot="1">
      <c r="A505" s="26">
        <v>503</v>
      </c>
      <c r="B505" s="34">
        <v>519</v>
      </c>
      <c r="C505" s="55" t="s">
        <v>4868</v>
      </c>
      <c r="D505" s="56" t="s">
        <v>394</v>
      </c>
      <c r="E505" s="56" t="s">
        <v>3922</v>
      </c>
      <c r="F505" s="26" t="s">
        <v>3923</v>
      </c>
      <c r="G505" s="26" t="s">
        <v>15</v>
      </c>
      <c r="H505" s="26" t="s">
        <v>13</v>
      </c>
      <c r="I505" s="26" t="s">
        <v>3924</v>
      </c>
      <c r="J505" s="26" t="s">
        <v>4865</v>
      </c>
      <c r="K505" s="26" t="s">
        <v>4010</v>
      </c>
      <c r="L505" s="26" t="s">
        <v>4203</v>
      </c>
      <c r="M505" s="55" t="s">
        <v>4634</v>
      </c>
      <c r="N505" s="26" t="s">
        <v>3924</v>
      </c>
    </row>
    <row r="506" spans="1:14" ht="75" customHeight="1" thickTop="1" thickBot="1">
      <c r="A506" s="34">
        <v>504</v>
      </c>
      <c r="B506" s="26">
        <v>520</v>
      </c>
      <c r="C506" s="55" t="s">
        <v>4869</v>
      </c>
      <c r="D506" s="56" t="s">
        <v>394</v>
      </c>
      <c r="E506" s="56" t="s">
        <v>3922</v>
      </c>
      <c r="F506" s="26" t="s">
        <v>3923</v>
      </c>
      <c r="G506" s="26" t="s">
        <v>15</v>
      </c>
      <c r="H506" s="26" t="s">
        <v>13</v>
      </c>
      <c r="I506" s="26" t="s">
        <v>3924</v>
      </c>
      <c r="J506" s="26" t="s">
        <v>4870</v>
      </c>
      <c r="K506" s="26" t="s">
        <v>4010</v>
      </c>
      <c r="L506" s="26" t="s">
        <v>4239</v>
      </c>
      <c r="M506" s="55" t="s">
        <v>4634</v>
      </c>
      <c r="N506" s="26" t="s">
        <v>3924</v>
      </c>
    </row>
    <row r="507" spans="1:14" ht="75" customHeight="1" thickTop="1" thickBot="1">
      <c r="A507" s="34">
        <v>505</v>
      </c>
      <c r="B507" s="34">
        <v>521</v>
      </c>
      <c r="C507" s="55" t="s">
        <v>4871</v>
      </c>
      <c r="D507" s="56" t="s">
        <v>394</v>
      </c>
      <c r="E507" s="56" t="s">
        <v>3922</v>
      </c>
      <c r="F507" s="26" t="s">
        <v>3923</v>
      </c>
      <c r="G507" s="26" t="s">
        <v>15</v>
      </c>
      <c r="H507" s="26" t="s">
        <v>13</v>
      </c>
      <c r="I507" s="26" t="s">
        <v>3924</v>
      </c>
      <c r="J507" s="26" t="s">
        <v>4870</v>
      </c>
      <c r="K507" s="26" t="s">
        <v>4010</v>
      </c>
      <c r="L507" s="26" t="s">
        <v>4277</v>
      </c>
      <c r="M507" s="55" t="s">
        <v>4627</v>
      </c>
      <c r="N507" s="26" t="s">
        <v>3924</v>
      </c>
    </row>
    <row r="508" spans="1:14" ht="75" customHeight="1" thickTop="1" thickBot="1">
      <c r="A508" s="26">
        <v>506</v>
      </c>
      <c r="B508" s="26">
        <v>522</v>
      </c>
      <c r="C508" s="55" t="s">
        <v>4871</v>
      </c>
      <c r="D508" s="56" t="s">
        <v>394</v>
      </c>
      <c r="E508" s="56" t="s">
        <v>3922</v>
      </c>
      <c r="F508" s="26" t="s">
        <v>3923</v>
      </c>
      <c r="G508" s="26" t="s">
        <v>15</v>
      </c>
      <c r="H508" s="26" t="s">
        <v>13</v>
      </c>
      <c r="I508" s="26" t="s">
        <v>3924</v>
      </c>
      <c r="J508" s="26" t="s">
        <v>4870</v>
      </c>
      <c r="K508" s="26" t="s">
        <v>4010</v>
      </c>
      <c r="L508" s="26" t="s">
        <v>4284</v>
      </c>
      <c r="M508" s="55" t="s">
        <v>4627</v>
      </c>
      <c r="N508" s="26" t="s">
        <v>3924</v>
      </c>
    </row>
    <row r="509" spans="1:14" ht="75" customHeight="1" thickTop="1" thickBot="1">
      <c r="A509" s="34">
        <v>507</v>
      </c>
      <c r="B509" s="34">
        <v>523</v>
      </c>
      <c r="C509" s="55" t="s">
        <v>4872</v>
      </c>
      <c r="D509" s="56" t="s">
        <v>394</v>
      </c>
      <c r="E509" s="56" t="s">
        <v>3922</v>
      </c>
      <c r="F509" s="26" t="s">
        <v>3923</v>
      </c>
      <c r="G509" s="26" t="s">
        <v>15</v>
      </c>
      <c r="H509" s="26" t="s">
        <v>13</v>
      </c>
      <c r="I509" s="26" t="s">
        <v>3924</v>
      </c>
      <c r="J509" s="26" t="s">
        <v>4870</v>
      </c>
      <c r="K509" s="26" t="s">
        <v>4010</v>
      </c>
      <c r="L509" s="26" t="s">
        <v>4125</v>
      </c>
      <c r="M509" s="55" t="s">
        <v>4631</v>
      </c>
      <c r="N509" s="26" t="s">
        <v>3924</v>
      </c>
    </row>
    <row r="510" spans="1:14" ht="75" customHeight="1" thickTop="1" thickBot="1">
      <c r="A510" s="34">
        <v>508</v>
      </c>
      <c r="B510" s="26">
        <v>524</v>
      </c>
      <c r="C510" s="55" t="s">
        <v>4872</v>
      </c>
      <c r="D510" s="56" t="s">
        <v>394</v>
      </c>
      <c r="E510" s="56" t="s">
        <v>3922</v>
      </c>
      <c r="F510" s="26" t="s">
        <v>3923</v>
      </c>
      <c r="G510" s="26" t="s">
        <v>15</v>
      </c>
      <c r="H510" s="26" t="s">
        <v>13</v>
      </c>
      <c r="I510" s="26" t="s">
        <v>3924</v>
      </c>
      <c r="J510" s="26" t="s">
        <v>4873</v>
      </c>
      <c r="K510" s="26" t="s">
        <v>4010</v>
      </c>
      <c r="L510" s="26" t="s">
        <v>4277</v>
      </c>
      <c r="M510" s="55" t="s">
        <v>4637</v>
      </c>
      <c r="N510" s="26" t="s">
        <v>3924</v>
      </c>
    </row>
    <row r="511" spans="1:14" ht="75" customHeight="1" thickTop="1" thickBot="1">
      <c r="A511" s="26">
        <v>509</v>
      </c>
      <c r="B511" s="34">
        <v>525</v>
      </c>
      <c r="C511" s="55" t="s">
        <v>4874</v>
      </c>
      <c r="D511" s="56" t="s">
        <v>394</v>
      </c>
      <c r="E511" s="56" t="s">
        <v>3922</v>
      </c>
      <c r="F511" s="26" t="s">
        <v>3923</v>
      </c>
      <c r="G511" s="26" t="s">
        <v>15</v>
      </c>
      <c r="H511" s="26" t="s">
        <v>13</v>
      </c>
      <c r="I511" s="26" t="s">
        <v>3924</v>
      </c>
      <c r="J511" s="26" t="s">
        <v>4873</v>
      </c>
      <c r="K511" s="26" t="s">
        <v>4010</v>
      </c>
      <c r="L511" s="26" t="s">
        <v>4284</v>
      </c>
      <c r="M511" s="55" t="s">
        <v>4875</v>
      </c>
      <c r="N511" s="26" t="s">
        <v>3924</v>
      </c>
    </row>
    <row r="512" spans="1:14" ht="75" customHeight="1" thickTop="1" thickBot="1">
      <c r="A512" s="34">
        <v>510</v>
      </c>
      <c r="B512" s="26">
        <v>526</v>
      </c>
      <c r="C512" s="55" t="s">
        <v>4874</v>
      </c>
      <c r="D512" s="56" t="s">
        <v>394</v>
      </c>
      <c r="E512" s="56" t="s">
        <v>3922</v>
      </c>
      <c r="F512" s="26" t="s">
        <v>3923</v>
      </c>
      <c r="G512" s="26" t="s">
        <v>15</v>
      </c>
      <c r="H512" s="26" t="s">
        <v>13</v>
      </c>
      <c r="I512" s="26" t="s">
        <v>3924</v>
      </c>
      <c r="J512" s="26" t="s">
        <v>4873</v>
      </c>
      <c r="K512" s="26" t="s">
        <v>4010</v>
      </c>
      <c r="L512" s="26" t="s">
        <v>4125</v>
      </c>
      <c r="M512" s="55" t="s">
        <v>4857</v>
      </c>
      <c r="N512" s="26" t="s">
        <v>3924</v>
      </c>
    </row>
    <row r="513" spans="1:14" ht="75" customHeight="1" thickTop="1" thickBot="1">
      <c r="A513" s="34">
        <v>511</v>
      </c>
      <c r="B513" s="34">
        <v>527</v>
      </c>
      <c r="C513" s="55" t="s">
        <v>4876</v>
      </c>
      <c r="D513" s="56" t="s">
        <v>394</v>
      </c>
      <c r="E513" s="56" t="s">
        <v>3922</v>
      </c>
      <c r="F513" s="26" t="s">
        <v>3923</v>
      </c>
      <c r="G513" s="26" t="s">
        <v>15</v>
      </c>
      <c r="H513" s="26" t="s">
        <v>13</v>
      </c>
      <c r="I513" s="26" t="s">
        <v>3924</v>
      </c>
      <c r="J513" s="26" t="s">
        <v>4873</v>
      </c>
      <c r="K513" s="26" t="s">
        <v>4010</v>
      </c>
      <c r="L513" s="26" t="s">
        <v>4011</v>
      </c>
      <c r="M513" s="55" t="s">
        <v>4640</v>
      </c>
      <c r="N513" s="26" t="s">
        <v>3924</v>
      </c>
    </row>
    <row r="514" spans="1:14" ht="75" customHeight="1" thickTop="1" thickBot="1">
      <c r="A514" s="26">
        <v>512</v>
      </c>
      <c r="B514" s="26">
        <v>528</v>
      </c>
      <c r="C514" s="55" t="s">
        <v>4877</v>
      </c>
      <c r="D514" s="56" t="s">
        <v>394</v>
      </c>
      <c r="E514" s="56" t="s">
        <v>3922</v>
      </c>
      <c r="F514" s="26" t="s">
        <v>3923</v>
      </c>
      <c r="G514" s="26" t="s">
        <v>15</v>
      </c>
      <c r="H514" s="26" t="s">
        <v>13</v>
      </c>
      <c r="I514" s="26" t="s">
        <v>3924</v>
      </c>
      <c r="J514" s="26" t="s">
        <v>4873</v>
      </c>
      <c r="K514" s="26" t="s">
        <v>4010</v>
      </c>
      <c r="L514" s="26" t="s">
        <v>4203</v>
      </c>
      <c r="M514" s="55" t="s">
        <v>4263</v>
      </c>
      <c r="N514" s="26" t="s">
        <v>3924</v>
      </c>
    </row>
    <row r="515" spans="1:14" ht="75" customHeight="1" thickTop="1" thickBot="1">
      <c r="A515" s="34">
        <v>513</v>
      </c>
      <c r="B515" s="34">
        <v>529</v>
      </c>
      <c r="C515" s="55" t="s">
        <v>4877</v>
      </c>
      <c r="D515" s="56" t="s">
        <v>394</v>
      </c>
      <c r="E515" s="56" t="s">
        <v>4878</v>
      </c>
      <c r="F515" s="26" t="s">
        <v>3923</v>
      </c>
      <c r="G515" s="26" t="s">
        <v>15</v>
      </c>
      <c r="H515" s="26" t="s">
        <v>13</v>
      </c>
      <c r="I515" s="26" t="s">
        <v>3924</v>
      </c>
      <c r="J515" s="26" t="s">
        <v>4879</v>
      </c>
      <c r="K515" s="26" t="s">
        <v>4880</v>
      </c>
      <c r="L515" s="26" t="s">
        <v>3927</v>
      </c>
      <c r="M515" s="55" t="s">
        <v>4881</v>
      </c>
      <c r="N515" s="26" t="s">
        <v>3924</v>
      </c>
    </row>
    <row r="516" spans="1:14" ht="75" customHeight="1" thickTop="1" thickBot="1">
      <c r="A516" s="34">
        <v>514</v>
      </c>
      <c r="B516" s="26">
        <v>530</v>
      </c>
      <c r="C516" s="55" t="s">
        <v>4877</v>
      </c>
      <c r="D516" s="56" t="s">
        <v>394</v>
      </c>
      <c r="E516" s="56" t="s">
        <v>3922</v>
      </c>
      <c r="F516" s="26" t="s">
        <v>3923</v>
      </c>
      <c r="G516" s="26" t="s">
        <v>15</v>
      </c>
      <c r="H516" s="26" t="s">
        <v>13</v>
      </c>
      <c r="I516" s="26" t="s">
        <v>3924</v>
      </c>
      <c r="J516" s="26" t="s">
        <v>4879</v>
      </c>
      <c r="K516" s="26" t="s">
        <v>4010</v>
      </c>
      <c r="L516" s="26" t="s">
        <v>4239</v>
      </c>
      <c r="M516" s="55" t="s">
        <v>4263</v>
      </c>
      <c r="N516" s="26" t="s">
        <v>3924</v>
      </c>
    </row>
    <row r="517" spans="1:14" ht="75" customHeight="1" thickTop="1" thickBot="1">
      <c r="A517" s="26">
        <v>515</v>
      </c>
      <c r="B517" s="34">
        <v>531</v>
      </c>
      <c r="C517" s="55" t="s">
        <v>4882</v>
      </c>
      <c r="D517" s="56" t="s">
        <v>394</v>
      </c>
      <c r="E517" s="56" t="s">
        <v>3922</v>
      </c>
      <c r="F517" s="26" t="s">
        <v>3923</v>
      </c>
      <c r="G517" s="26" t="s">
        <v>15</v>
      </c>
      <c r="H517" s="26" t="s">
        <v>13</v>
      </c>
      <c r="I517" s="26" t="s">
        <v>3924</v>
      </c>
      <c r="J517" s="26" t="s">
        <v>4879</v>
      </c>
      <c r="K517" s="26" t="s">
        <v>4010</v>
      </c>
      <c r="L517" s="26" t="s">
        <v>4011</v>
      </c>
      <c r="M517" s="55" t="s">
        <v>4866</v>
      </c>
      <c r="N517" s="26" t="s">
        <v>3924</v>
      </c>
    </row>
    <row r="518" spans="1:14" ht="75" customHeight="1" thickTop="1" thickBot="1">
      <c r="A518" s="34">
        <v>516</v>
      </c>
      <c r="B518" s="26">
        <v>532</v>
      </c>
      <c r="C518" s="55" t="s">
        <v>4882</v>
      </c>
      <c r="D518" s="56" t="s">
        <v>394</v>
      </c>
      <c r="E518" s="56" t="s">
        <v>3922</v>
      </c>
      <c r="F518" s="26" t="s">
        <v>3923</v>
      </c>
      <c r="G518" s="26" t="s">
        <v>15</v>
      </c>
      <c r="H518" s="26" t="s">
        <v>13</v>
      </c>
      <c r="I518" s="26" t="s">
        <v>3924</v>
      </c>
      <c r="J518" s="26" t="s">
        <v>4879</v>
      </c>
      <c r="K518" s="26" t="s">
        <v>4010</v>
      </c>
      <c r="L518" s="26" t="s">
        <v>4203</v>
      </c>
      <c r="M518" s="55" t="s">
        <v>4866</v>
      </c>
      <c r="N518" s="26" t="s">
        <v>3924</v>
      </c>
    </row>
    <row r="519" spans="1:14" ht="75" customHeight="1" thickTop="1" thickBot="1">
      <c r="A519" s="34">
        <v>517</v>
      </c>
      <c r="B519" s="34">
        <v>533</v>
      </c>
      <c r="C519" s="55" t="s">
        <v>4883</v>
      </c>
      <c r="D519" s="56" t="s">
        <v>394</v>
      </c>
      <c r="E519" s="56" t="s">
        <v>3922</v>
      </c>
      <c r="F519" s="26" t="s">
        <v>3923</v>
      </c>
      <c r="G519" s="26" t="s">
        <v>15</v>
      </c>
      <c r="H519" s="26" t="s">
        <v>13</v>
      </c>
      <c r="I519" s="26" t="s">
        <v>3924</v>
      </c>
      <c r="J519" s="26" t="s">
        <v>4884</v>
      </c>
      <c r="K519" s="26" t="s">
        <v>4010</v>
      </c>
      <c r="L519" s="26" t="s">
        <v>4239</v>
      </c>
      <c r="M519" s="55" t="s">
        <v>4866</v>
      </c>
      <c r="N519" s="26" t="s">
        <v>3924</v>
      </c>
    </row>
    <row r="520" spans="1:14" ht="75" customHeight="1" thickTop="1" thickBot="1">
      <c r="A520" s="26">
        <v>518</v>
      </c>
      <c r="B520" s="26">
        <v>534</v>
      </c>
      <c r="C520" s="55" t="s">
        <v>4885</v>
      </c>
      <c r="D520" s="56" t="s">
        <v>394</v>
      </c>
      <c r="E520" s="56" t="s">
        <v>4878</v>
      </c>
      <c r="F520" s="26" t="s">
        <v>3923</v>
      </c>
      <c r="G520" s="26" t="s">
        <v>15</v>
      </c>
      <c r="H520" s="26" t="s">
        <v>13</v>
      </c>
      <c r="I520" s="26" t="s">
        <v>3924</v>
      </c>
      <c r="J520" s="26" t="s">
        <v>4884</v>
      </c>
      <c r="K520" s="26" t="s">
        <v>4880</v>
      </c>
      <c r="L520" s="26" t="s">
        <v>3963</v>
      </c>
      <c r="M520" s="55" t="s">
        <v>4881</v>
      </c>
      <c r="N520" s="26" t="s">
        <v>3924</v>
      </c>
    </row>
    <row r="521" spans="1:14" ht="75" customHeight="1" thickTop="1" thickBot="1">
      <c r="A521" s="34">
        <v>519</v>
      </c>
      <c r="B521" s="34">
        <v>535</v>
      </c>
      <c r="C521" s="55" t="s">
        <v>4885</v>
      </c>
      <c r="D521" s="56" t="s">
        <v>394</v>
      </c>
      <c r="E521" s="56" t="s">
        <v>4878</v>
      </c>
      <c r="F521" s="26" t="s">
        <v>3923</v>
      </c>
      <c r="G521" s="26" t="s">
        <v>15</v>
      </c>
      <c r="H521" s="26" t="s">
        <v>13</v>
      </c>
      <c r="I521" s="26" t="s">
        <v>3924</v>
      </c>
      <c r="J521" s="26" t="s">
        <v>4884</v>
      </c>
      <c r="K521" s="26" t="s">
        <v>4886</v>
      </c>
      <c r="L521" s="26" t="s">
        <v>3927</v>
      </c>
      <c r="M521" s="55" t="s">
        <v>4887</v>
      </c>
      <c r="N521" s="26" t="s">
        <v>3924</v>
      </c>
    </row>
    <row r="522" spans="1:14" ht="75" customHeight="1" thickTop="1" thickBot="1">
      <c r="A522" s="34">
        <v>520</v>
      </c>
      <c r="B522" s="26">
        <v>536</v>
      </c>
      <c r="C522" s="55" t="s">
        <v>4885</v>
      </c>
      <c r="D522" s="56" t="s">
        <v>394</v>
      </c>
      <c r="E522" s="56" t="s">
        <v>3922</v>
      </c>
      <c r="F522" s="26" t="s">
        <v>3923</v>
      </c>
      <c r="G522" s="26" t="s">
        <v>15</v>
      </c>
      <c r="H522" s="26" t="s">
        <v>13</v>
      </c>
      <c r="I522" s="26" t="s">
        <v>3924</v>
      </c>
      <c r="J522" s="26" t="s">
        <v>4888</v>
      </c>
      <c r="K522" s="26" t="s">
        <v>4010</v>
      </c>
      <c r="L522" s="26" t="s">
        <v>4277</v>
      </c>
      <c r="M522" s="55" t="s">
        <v>4646</v>
      </c>
      <c r="N522" s="26" t="s">
        <v>3924</v>
      </c>
    </row>
    <row r="523" spans="1:14" ht="75" customHeight="1" thickTop="1" thickBot="1">
      <c r="A523" s="26">
        <v>521</v>
      </c>
      <c r="B523" s="34">
        <v>537</v>
      </c>
      <c r="C523" s="55" t="s">
        <v>4889</v>
      </c>
      <c r="D523" s="56" t="s">
        <v>394</v>
      </c>
      <c r="E523" s="56" t="s">
        <v>4878</v>
      </c>
      <c r="F523" s="26" t="s">
        <v>3923</v>
      </c>
      <c r="G523" s="26" t="s">
        <v>15</v>
      </c>
      <c r="H523" s="26" t="s">
        <v>13</v>
      </c>
      <c r="I523" s="26" t="s">
        <v>3924</v>
      </c>
      <c r="J523" s="26" t="s">
        <v>4888</v>
      </c>
      <c r="K523" s="26" t="s">
        <v>4886</v>
      </c>
      <c r="L523" s="26" t="s">
        <v>3963</v>
      </c>
      <c r="M523" s="55" t="s">
        <v>4887</v>
      </c>
      <c r="N523" s="26" t="s">
        <v>3924</v>
      </c>
    </row>
    <row r="524" spans="1:14" ht="75" customHeight="1" thickTop="1" thickBot="1">
      <c r="A524" s="34">
        <v>522</v>
      </c>
      <c r="B524" s="26">
        <v>538</v>
      </c>
      <c r="C524" s="55" t="s">
        <v>4889</v>
      </c>
      <c r="D524" s="56" t="s">
        <v>394</v>
      </c>
      <c r="E524" s="56" t="s">
        <v>3922</v>
      </c>
      <c r="F524" s="26" t="s">
        <v>3923</v>
      </c>
      <c r="G524" s="26" t="s">
        <v>15</v>
      </c>
      <c r="H524" s="26" t="s">
        <v>13</v>
      </c>
      <c r="I524" s="26" t="s">
        <v>3924</v>
      </c>
      <c r="J524" s="26" t="s">
        <v>4888</v>
      </c>
      <c r="K524" s="26" t="s">
        <v>4010</v>
      </c>
      <c r="L524" s="26" t="s">
        <v>4284</v>
      </c>
      <c r="M524" s="55" t="s">
        <v>4646</v>
      </c>
      <c r="N524" s="26" t="s">
        <v>3924</v>
      </c>
    </row>
    <row r="525" spans="1:14" ht="75" customHeight="1" thickTop="1" thickBot="1">
      <c r="A525" s="34">
        <v>523</v>
      </c>
      <c r="B525" s="34">
        <v>539</v>
      </c>
      <c r="C525" s="55" t="s">
        <v>4889</v>
      </c>
      <c r="D525" s="56" t="s">
        <v>394</v>
      </c>
      <c r="E525" s="56" t="s">
        <v>3922</v>
      </c>
      <c r="F525" s="26" t="s">
        <v>3923</v>
      </c>
      <c r="G525" s="26" t="s">
        <v>15</v>
      </c>
      <c r="H525" s="26" t="s">
        <v>13</v>
      </c>
      <c r="I525" s="26" t="s">
        <v>3924</v>
      </c>
      <c r="J525" s="26" t="s">
        <v>4888</v>
      </c>
      <c r="K525" s="26" t="s">
        <v>4010</v>
      </c>
      <c r="L525" s="26" t="s">
        <v>4125</v>
      </c>
      <c r="M525" s="55" t="s">
        <v>4649</v>
      </c>
      <c r="N525" s="26" t="s">
        <v>3924</v>
      </c>
    </row>
    <row r="526" spans="1:14" ht="75" customHeight="1" thickTop="1" thickBot="1">
      <c r="A526" s="26">
        <v>524</v>
      </c>
      <c r="B526" s="26">
        <v>540</v>
      </c>
      <c r="C526" s="55" t="s">
        <v>4889</v>
      </c>
      <c r="D526" s="56" t="s">
        <v>394</v>
      </c>
      <c r="E526" s="56" t="s">
        <v>4878</v>
      </c>
      <c r="F526" s="26" t="s">
        <v>3923</v>
      </c>
      <c r="G526" s="26" t="s">
        <v>15</v>
      </c>
      <c r="H526" s="26" t="s">
        <v>13</v>
      </c>
      <c r="I526" s="26" t="s">
        <v>3924</v>
      </c>
      <c r="J526" s="26" t="s">
        <v>4890</v>
      </c>
      <c r="K526" s="26" t="s">
        <v>4891</v>
      </c>
      <c r="L526" s="26" t="s">
        <v>3927</v>
      </c>
      <c r="M526" s="55" t="s">
        <v>4887</v>
      </c>
      <c r="N526" s="26" t="s">
        <v>3924</v>
      </c>
    </row>
    <row r="527" spans="1:14" ht="75" customHeight="1" thickTop="1" thickBot="1">
      <c r="A527" s="34">
        <v>525</v>
      </c>
      <c r="B527" s="34">
        <v>541</v>
      </c>
      <c r="C527" s="55" t="s">
        <v>4889</v>
      </c>
      <c r="D527" s="56" t="s">
        <v>394</v>
      </c>
      <c r="E527" s="56" t="s">
        <v>4878</v>
      </c>
      <c r="F527" s="26" t="s">
        <v>3923</v>
      </c>
      <c r="G527" s="26" t="s">
        <v>15</v>
      </c>
      <c r="H527" s="26" t="s">
        <v>13</v>
      </c>
      <c r="I527" s="26" t="s">
        <v>3924</v>
      </c>
      <c r="J527" s="26" t="s">
        <v>4890</v>
      </c>
      <c r="K527" s="26" t="s">
        <v>4891</v>
      </c>
      <c r="L527" s="26" t="s">
        <v>3963</v>
      </c>
      <c r="M527" s="55" t="s">
        <v>4887</v>
      </c>
      <c r="N527" s="26" t="s">
        <v>3924</v>
      </c>
    </row>
    <row r="528" spans="1:14" ht="75" customHeight="1" thickTop="1" thickBot="1">
      <c r="A528" s="34">
        <v>526</v>
      </c>
      <c r="B528" s="26">
        <v>542</v>
      </c>
      <c r="C528" s="55" t="s">
        <v>4892</v>
      </c>
      <c r="D528" s="56" t="s">
        <v>394</v>
      </c>
      <c r="E528" s="56" t="s">
        <v>4878</v>
      </c>
      <c r="F528" s="26" t="s">
        <v>3923</v>
      </c>
      <c r="G528" s="26" t="s">
        <v>15</v>
      </c>
      <c r="H528" s="26" t="s">
        <v>13</v>
      </c>
      <c r="I528" s="26" t="s">
        <v>3924</v>
      </c>
      <c r="J528" s="26" t="s">
        <v>4893</v>
      </c>
      <c r="K528" s="26" t="s">
        <v>4894</v>
      </c>
      <c r="L528" s="26" t="s">
        <v>4082</v>
      </c>
      <c r="M528" s="55" t="s">
        <v>4895</v>
      </c>
      <c r="N528" s="26" t="s">
        <v>3924</v>
      </c>
    </row>
    <row r="529" spans="1:14" ht="75" customHeight="1" thickTop="1" thickBot="1">
      <c r="A529" s="26">
        <v>527</v>
      </c>
      <c r="B529" s="34">
        <v>543</v>
      </c>
      <c r="C529" s="55" t="s">
        <v>4892</v>
      </c>
      <c r="D529" s="56" t="s">
        <v>394</v>
      </c>
      <c r="E529" s="56" t="s">
        <v>4878</v>
      </c>
      <c r="F529" s="26" t="s">
        <v>3923</v>
      </c>
      <c r="G529" s="26" t="s">
        <v>15</v>
      </c>
      <c r="H529" s="26" t="s">
        <v>13</v>
      </c>
      <c r="I529" s="26" t="s">
        <v>3924</v>
      </c>
      <c r="J529" s="26" t="s">
        <v>4890</v>
      </c>
      <c r="K529" s="26" t="s">
        <v>4896</v>
      </c>
      <c r="L529" s="26" t="s">
        <v>4082</v>
      </c>
      <c r="M529" s="55" t="s">
        <v>4895</v>
      </c>
      <c r="N529" s="26" t="s">
        <v>3924</v>
      </c>
    </row>
    <row r="530" spans="1:14" ht="75" customHeight="1" thickTop="1" thickBot="1">
      <c r="A530" s="34">
        <v>528</v>
      </c>
      <c r="B530" s="26">
        <v>544</v>
      </c>
      <c r="C530" s="55" t="s">
        <v>4892</v>
      </c>
      <c r="D530" s="56" t="s">
        <v>394</v>
      </c>
      <c r="E530" s="56" t="s">
        <v>3922</v>
      </c>
      <c r="F530" s="26" t="s">
        <v>3923</v>
      </c>
      <c r="G530" s="26" t="s">
        <v>15</v>
      </c>
      <c r="H530" s="26" t="s">
        <v>13</v>
      </c>
      <c r="I530" s="26" t="s">
        <v>3924</v>
      </c>
      <c r="J530" s="26" t="s">
        <v>4893</v>
      </c>
      <c r="K530" s="26" t="s">
        <v>3947</v>
      </c>
      <c r="L530" s="26" t="s">
        <v>4277</v>
      </c>
      <c r="M530" s="55" t="s">
        <v>4627</v>
      </c>
      <c r="N530" s="26" t="s">
        <v>3924</v>
      </c>
    </row>
    <row r="531" spans="1:14" ht="75" customHeight="1" thickTop="1" thickBot="1">
      <c r="A531" s="34">
        <v>529</v>
      </c>
      <c r="B531" s="34">
        <v>545</v>
      </c>
      <c r="C531" s="55" t="s">
        <v>4892</v>
      </c>
      <c r="D531" s="56" t="s">
        <v>394</v>
      </c>
      <c r="E531" s="56" t="s">
        <v>3922</v>
      </c>
      <c r="F531" s="26" t="s">
        <v>3923</v>
      </c>
      <c r="G531" s="26" t="s">
        <v>15</v>
      </c>
      <c r="H531" s="26" t="s">
        <v>13</v>
      </c>
      <c r="I531" s="26" t="s">
        <v>3924</v>
      </c>
      <c r="J531" s="26" t="s">
        <v>4893</v>
      </c>
      <c r="K531" s="26" t="s">
        <v>3947</v>
      </c>
      <c r="L531" s="26" t="s">
        <v>4284</v>
      </c>
      <c r="M531" s="55" t="s">
        <v>4627</v>
      </c>
      <c r="N531" s="26" t="s">
        <v>3924</v>
      </c>
    </row>
    <row r="532" spans="1:14" ht="75" customHeight="1" thickTop="1" thickBot="1">
      <c r="A532" s="26">
        <v>530</v>
      </c>
      <c r="B532" s="26">
        <v>546</v>
      </c>
      <c r="C532" s="55" t="s">
        <v>4897</v>
      </c>
      <c r="D532" s="56" t="s">
        <v>394</v>
      </c>
      <c r="E532" s="56" t="s">
        <v>4878</v>
      </c>
      <c r="F532" s="26" t="s">
        <v>3923</v>
      </c>
      <c r="G532" s="26" t="s">
        <v>15</v>
      </c>
      <c r="H532" s="26" t="s">
        <v>13</v>
      </c>
      <c r="I532" s="26" t="s">
        <v>3924</v>
      </c>
      <c r="J532" s="26" t="s">
        <v>4898</v>
      </c>
      <c r="K532" s="26" t="s">
        <v>4899</v>
      </c>
      <c r="L532" s="26" t="s">
        <v>4082</v>
      </c>
      <c r="M532" s="55" t="s">
        <v>4895</v>
      </c>
      <c r="N532" s="26" t="s">
        <v>3924</v>
      </c>
    </row>
    <row r="533" spans="1:14" ht="75" customHeight="1" thickTop="1" thickBot="1">
      <c r="A533" s="34">
        <v>531</v>
      </c>
      <c r="B533" s="34">
        <v>547</v>
      </c>
      <c r="C533" s="55" t="s">
        <v>4900</v>
      </c>
      <c r="D533" s="56" t="s">
        <v>394</v>
      </c>
      <c r="E533" s="56" t="s">
        <v>3922</v>
      </c>
      <c r="F533" s="26" t="s">
        <v>3923</v>
      </c>
      <c r="G533" s="26" t="s">
        <v>15</v>
      </c>
      <c r="H533" s="26" t="s">
        <v>13</v>
      </c>
      <c r="I533" s="26" t="s">
        <v>3924</v>
      </c>
      <c r="J533" s="26" t="s">
        <v>4898</v>
      </c>
      <c r="K533" s="26" t="s">
        <v>3947</v>
      </c>
      <c r="L533" s="26" t="s">
        <v>4125</v>
      </c>
      <c r="M533" s="55" t="s">
        <v>4631</v>
      </c>
      <c r="N533" s="26" t="s">
        <v>3924</v>
      </c>
    </row>
    <row r="534" spans="1:14" ht="75" customHeight="1" thickTop="1" thickBot="1">
      <c r="A534" s="34">
        <v>532</v>
      </c>
      <c r="B534" s="26">
        <v>548</v>
      </c>
      <c r="C534" s="55" t="s">
        <v>4900</v>
      </c>
      <c r="D534" s="56" t="s">
        <v>394</v>
      </c>
      <c r="E534" s="56" t="s">
        <v>4878</v>
      </c>
      <c r="F534" s="26" t="s">
        <v>3923</v>
      </c>
      <c r="G534" s="26" t="s">
        <v>15</v>
      </c>
      <c r="H534" s="26" t="s">
        <v>13</v>
      </c>
      <c r="I534" s="26" t="s">
        <v>3924</v>
      </c>
      <c r="J534" s="26" t="s">
        <v>4898</v>
      </c>
      <c r="K534" s="26" t="s">
        <v>4901</v>
      </c>
      <c r="L534" s="26" t="s">
        <v>4082</v>
      </c>
      <c r="M534" s="55" t="s">
        <v>4895</v>
      </c>
      <c r="N534" s="26" t="s">
        <v>3924</v>
      </c>
    </row>
    <row r="535" spans="1:14" ht="75" customHeight="1" thickTop="1" thickBot="1">
      <c r="A535" s="26">
        <v>533</v>
      </c>
      <c r="B535" s="34">
        <v>549</v>
      </c>
      <c r="C535" s="55" t="s">
        <v>4900</v>
      </c>
      <c r="D535" s="56" t="s">
        <v>394</v>
      </c>
      <c r="E535" s="56" t="s">
        <v>3922</v>
      </c>
      <c r="F535" s="26" t="s">
        <v>3923</v>
      </c>
      <c r="G535" s="26" t="s">
        <v>15</v>
      </c>
      <c r="H535" s="26" t="s">
        <v>13</v>
      </c>
      <c r="I535" s="26" t="s">
        <v>3924</v>
      </c>
      <c r="J535" s="26" t="s">
        <v>4898</v>
      </c>
      <c r="K535" s="26" t="s">
        <v>3947</v>
      </c>
      <c r="L535" s="26" t="s">
        <v>4011</v>
      </c>
      <c r="M535" s="55" t="s">
        <v>4634</v>
      </c>
      <c r="N535" s="26" t="s">
        <v>3924</v>
      </c>
    </row>
    <row r="536" spans="1:14" ht="75" customHeight="1" thickTop="1" thickBot="1">
      <c r="A536" s="34">
        <v>534</v>
      </c>
      <c r="B536" s="26">
        <v>550</v>
      </c>
      <c r="C536" s="55" t="s">
        <v>4900</v>
      </c>
      <c r="D536" s="56" t="s">
        <v>394</v>
      </c>
      <c r="E536" s="56" t="s">
        <v>4878</v>
      </c>
      <c r="F536" s="26" t="s">
        <v>3923</v>
      </c>
      <c r="G536" s="26" t="s">
        <v>15</v>
      </c>
      <c r="H536" s="26" t="s">
        <v>13</v>
      </c>
      <c r="I536" s="26" t="s">
        <v>3924</v>
      </c>
      <c r="J536" s="26" t="s">
        <v>4902</v>
      </c>
      <c r="K536" s="26" t="s">
        <v>4903</v>
      </c>
      <c r="L536" s="26" t="s">
        <v>4082</v>
      </c>
      <c r="M536" s="55" t="s">
        <v>4904</v>
      </c>
      <c r="N536" s="26" t="s">
        <v>3924</v>
      </c>
    </row>
    <row r="537" spans="1:14" ht="75" customHeight="1" thickTop="1" thickBot="1">
      <c r="A537" s="34">
        <v>535</v>
      </c>
      <c r="B537" s="34">
        <v>551</v>
      </c>
      <c r="C537" s="55" t="s">
        <v>4905</v>
      </c>
      <c r="D537" s="56" t="s">
        <v>394</v>
      </c>
      <c r="E537" s="56" t="s">
        <v>3922</v>
      </c>
      <c r="F537" s="26" t="s">
        <v>3923</v>
      </c>
      <c r="G537" s="26" t="s">
        <v>15</v>
      </c>
      <c r="H537" s="26" t="s">
        <v>13</v>
      </c>
      <c r="I537" s="26" t="s">
        <v>3924</v>
      </c>
      <c r="J537" s="26" t="s">
        <v>4902</v>
      </c>
      <c r="K537" s="26" t="s">
        <v>3947</v>
      </c>
      <c r="L537" s="26" t="s">
        <v>4203</v>
      </c>
      <c r="M537" s="55" t="s">
        <v>4634</v>
      </c>
      <c r="N537" s="26" t="s">
        <v>3924</v>
      </c>
    </row>
    <row r="538" spans="1:14" ht="75" customHeight="1" thickTop="1" thickBot="1">
      <c r="A538" s="26">
        <v>536</v>
      </c>
      <c r="B538" s="26">
        <v>552</v>
      </c>
      <c r="C538" s="55" t="s">
        <v>4905</v>
      </c>
      <c r="D538" s="56" t="s">
        <v>394</v>
      </c>
      <c r="E538" s="56" t="s">
        <v>3922</v>
      </c>
      <c r="F538" s="26" t="s">
        <v>3923</v>
      </c>
      <c r="G538" s="26" t="s">
        <v>15</v>
      </c>
      <c r="H538" s="26" t="s">
        <v>13</v>
      </c>
      <c r="I538" s="26" t="s">
        <v>3924</v>
      </c>
      <c r="J538" s="26" t="s">
        <v>4902</v>
      </c>
      <c r="K538" s="26" t="s">
        <v>3947</v>
      </c>
      <c r="L538" s="26" t="s">
        <v>4239</v>
      </c>
      <c r="M538" s="55" t="s">
        <v>4634</v>
      </c>
      <c r="N538" s="26" t="s">
        <v>3924</v>
      </c>
    </row>
    <row r="539" spans="1:14" ht="75" customHeight="1" thickTop="1" thickBot="1">
      <c r="A539" s="34">
        <v>537</v>
      </c>
      <c r="B539" s="34">
        <v>553</v>
      </c>
      <c r="C539" s="55" t="s">
        <v>4906</v>
      </c>
      <c r="D539" s="56" t="s">
        <v>394</v>
      </c>
      <c r="E539" s="56" t="s">
        <v>4878</v>
      </c>
      <c r="F539" s="26" t="s">
        <v>3923</v>
      </c>
      <c r="G539" s="26" t="s">
        <v>15</v>
      </c>
      <c r="H539" s="26" t="s">
        <v>13</v>
      </c>
      <c r="I539" s="26" t="s">
        <v>3924</v>
      </c>
      <c r="J539" s="26" t="s">
        <v>4907</v>
      </c>
      <c r="K539" s="26" t="s">
        <v>4908</v>
      </c>
      <c r="L539" s="26" t="s">
        <v>4082</v>
      </c>
      <c r="M539" s="55" t="s">
        <v>4904</v>
      </c>
      <c r="N539" s="26" t="s">
        <v>3924</v>
      </c>
    </row>
    <row r="540" spans="1:14" ht="75" customHeight="1" thickTop="1" thickBot="1">
      <c r="A540" s="34">
        <v>538</v>
      </c>
      <c r="B540" s="26">
        <v>554</v>
      </c>
      <c r="C540" s="55" t="s">
        <v>4906</v>
      </c>
      <c r="D540" s="56" t="s">
        <v>394</v>
      </c>
      <c r="E540" s="56" t="s">
        <v>3922</v>
      </c>
      <c r="F540" s="26" t="s">
        <v>3923</v>
      </c>
      <c r="G540" s="26" t="s">
        <v>15</v>
      </c>
      <c r="H540" s="26" t="s">
        <v>13</v>
      </c>
      <c r="I540" s="26" t="s">
        <v>3924</v>
      </c>
      <c r="J540" s="26" t="s">
        <v>4907</v>
      </c>
      <c r="K540" s="26" t="s">
        <v>3947</v>
      </c>
      <c r="L540" s="26" t="s">
        <v>4011</v>
      </c>
      <c r="M540" s="55" t="s">
        <v>4263</v>
      </c>
      <c r="N540" s="26" t="s">
        <v>3924</v>
      </c>
    </row>
    <row r="541" spans="1:14" ht="75" customHeight="1" thickTop="1" thickBot="1">
      <c r="A541" s="26">
        <v>539</v>
      </c>
      <c r="B541" s="34">
        <v>555</v>
      </c>
      <c r="C541" s="55" t="s">
        <v>4909</v>
      </c>
      <c r="D541" s="56" t="s">
        <v>394</v>
      </c>
      <c r="E541" s="56" t="s">
        <v>3922</v>
      </c>
      <c r="F541" s="26" t="s">
        <v>3923</v>
      </c>
      <c r="G541" s="26" t="s">
        <v>15</v>
      </c>
      <c r="H541" s="26" t="s">
        <v>13</v>
      </c>
      <c r="I541" s="26" t="s">
        <v>3924</v>
      </c>
      <c r="J541" s="26" t="s">
        <v>4907</v>
      </c>
      <c r="K541" s="26" t="s">
        <v>3947</v>
      </c>
      <c r="L541" s="26" t="s">
        <v>4203</v>
      </c>
      <c r="M541" s="55" t="s">
        <v>4263</v>
      </c>
      <c r="N541" s="26" t="s">
        <v>3924</v>
      </c>
    </row>
    <row r="542" spans="1:14" ht="75" customHeight="1" thickTop="1" thickBot="1">
      <c r="A542" s="34">
        <v>540</v>
      </c>
      <c r="B542" s="26">
        <v>556</v>
      </c>
      <c r="C542" s="55" t="s">
        <v>4909</v>
      </c>
      <c r="D542" s="56" t="s">
        <v>394</v>
      </c>
      <c r="E542" s="56" t="s">
        <v>4878</v>
      </c>
      <c r="F542" s="26" t="s">
        <v>3923</v>
      </c>
      <c r="G542" s="26" t="s">
        <v>15</v>
      </c>
      <c r="H542" s="26" t="s">
        <v>13</v>
      </c>
      <c r="I542" s="26" t="s">
        <v>3924</v>
      </c>
      <c r="J542" s="26" t="s">
        <v>4907</v>
      </c>
      <c r="K542" s="26" t="s">
        <v>4910</v>
      </c>
      <c r="L542" s="26" t="s">
        <v>4082</v>
      </c>
      <c r="M542" s="55" t="s">
        <v>4904</v>
      </c>
      <c r="N542" s="26" t="s">
        <v>3924</v>
      </c>
    </row>
    <row r="543" spans="1:14" ht="75" customHeight="1" thickTop="1" thickBot="1">
      <c r="A543" s="34">
        <v>541</v>
      </c>
      <c r="B543" s="34">
        <v>557</v>
      </c>
      <c r="C543" s="55" t="s">
        <v>4909</v>
      </c>
      <c r="D543" s="56" t="s">
        <v>394</v>
      </c>
      <c r="E543" s="56" t="s">
        <v>3922</v>
      </c>
      <c r="F543" s="26" t="s">
        <v>3923</v>
      </c>
      <c r="G543" s="26" t="s">
        <v>15</v>
      </c>
      <c r="H543" s="26" t="s">
        <v>13</v>
      </c>
      <c r="I543" s="26" t="s">
        <v>3924</v>
      </c>
      <c r="J543" s="26" t="s">
        <v>4911</v>
      </c>
      <c r="K543" s="26" t="s">
        <v>3947</v>
      </c>
      <c r="L543" s="26" t="s">
        <v>4239</v>
      </c>
      <c r="M543" s="55" t="s">
        <v>4263</v>
      </c>
      <c r="N543" s="26" t="s">
        <v>3924</v>
      </c>
    </row>
    <row r="544" spans="1:14" ht="75" customHeight="1" thickTop="1" thickBot="1">
      <c r="A544" s="26">
        <v>542</v>
      </c>
      <c r="B544" s="26">
        <v>558</v>
      </c>
      <c r="C544" s="55" t="s">
        <v>4909</v>
      </c>
      <c r="D544" s="56" t="s">
        <v>394</v>
      </c>
      <c r="E544" s="56" t="s">
        <v>3922</v>
      </c>
      <c r="F544" s="26" t="s">
        <v>3923</v>
      </c>
      <c r="G544" s="26" t="s">
        <v>15</v>
      </c>
      <c r="H544" s="26" t="s">
        <v>13</v>
      </c>
      <c r="I544" s="26" t="s">
        <v>3924</v>
      </c>
      <c r="J544" s="26" t="s">
        <v>4911</v>
      </c>
      <c r="K544" s="26" t="s">
        <v>3947</v>
      </c>
      <c r="L544" s="26" t="s">
        <v>4277</v>
      </c>
      <c r="M544" s="55" t="s">
        <v>4637</v>
      </c>
      <c r="N544" s="26" t="s">
        <v>3924</v>
      </c>
    </row>
    <row r="545" spans="1:14" ht="75" customHeight="1" thickTop="1" thickBot="1">
      <c r="A545" s="34">
        <v>543</v>
      </c>
      <c r="B545" s="34">
        <v>559</v>
      </c>
      <c r="C545" s="55" t="s">
        <v>4912</v>
      </c>
      <c r="D545" s="56" t="s">
        <v>394</v>
      </c>
      <c r="E545" s="56" t="s">
        <v>3922</v>
      </c>
      <c r="F545" s="26" t="s">
        <v>3923</v>
      </c>
      <c r="G545" s="26" t="s">
        <v>15</v>
      </c>
      <c r="H545" s="26" t="s">
        <v>13</v>
      </c>
      <c r="I545" s="26" t="s">
        <v>3924</v>
      </c>
      <c r="J545" s="26" t="s">
        <v>4911</v>
      </c>
      <c r="K545" s="26" t="s">
        <v>3947</v>
      </c>
      <c r="L545" s="26" t="s">
        <v>4284</v>
      </c>
      <c r="M545" s="55" t="s">
        <v>4637</v>
      </c>
      <c r="N545" s="26" t="s">
        <v>3924</v>
      </c>
    </row>
    <row r="546" spans="1:14" ht="75" customHeight="1" thickTop="1" thickBot="1">
      <c r="A546" s="34">
        <v>544</v>
      </c>
      <c r="B546" s="26">
        <v>560</v>
      </c>
      <c r="C546" s="55" t="s">
        <v>4912</v>
      </c>
      <c r="D546" s="56" t="s">
        <v>394</v>
      </c>
      <c r="E546" s="56" t="s">
        <v>3922</v>
      </c>
      <c r="F546" s="26" t="s">
        <v>3923</v>
      </c>
      <c r="G546" s="26" t="s">
        <v>15</v>
      </c>
      <c r="H546" s="26" t="s">
        <v>13</v>
      </c>
      <c r="I546" s="26" t="s">
        <v>3924</v>
      </c>
      <c r="J546" s="26" t="s">
        <v>4913</v>
      </c>
      <c r="K546" s="26" t="s">
        <v>3947</v>
      </c>
      <c r="L546" s="26" t="s">
        <v>4125</v>
      </c>
      <c r="M546" s="55" t="s">
        <v>4857</v>
      </c>
      <c r="N546" s="26" t="s">
        <v>3924</v>
      </c>
    </row>
    <row r="547" spans="1:14" ht="75" customHeight="1" thickTop="1" thickBot="1">
      <c r="A547" s="26">
        <v>545</v>
      </c>
      <c r="B547" s="34">
        <v>561</v>
      </c>
      <c r="C547" s="55" t="s">
        <v>4914</v>
      </c>
      <c r="D547" s="56" t="s">
        <v>394</v>
      </c>
      <c r="E547" s="56" t="s">
        <v>4878</v>
      </c>
      <c r="F547" s="26" t="s">
        <v>3923</v>
      </c>
      <c r="G547" s="26" t="s">
        <v>15</v>
      </c>
      <c r="H547" s="26" t="s">
        <v>13</v>
      </c>
      <c r="I547" s="26" t="s">
        <v>3924</v>
      </c>
      <c r="J547" s="26" t="s">
        <v>4913</v>
      </c>
      <c r="K547" s="26" t="s">
        <v>4915</v>
      </c>
      <c r="L547" s="26" t="s">
        <v>4082</v>
      </c>
      <c r="M547" s="55" t="s">
        <v>4904</v>
      </c>
      <c r="N547" s="26" t="s">
        <v>3924</v>
      </c>
    </row>
    <row r="548" spans="1:14" ht="75" customHeight="1" thickTop="1" thickBot="1">
      <c r="A548" s="34">
        <v>546</v>
      </c>
      <c r="B548" s="26">
        <v>562</v>
      </c>
      <c r="C548" s="55" t="s">
        <v>4914</v>
      </c>
      <c r="D548" s="56" t="s">
        <v>394</v>
      </c>
      <c r="E548" s="56" t="s">
        <v>3922</v>
      </c>
      <c r="F548" s="26" t="s">
        <v>3923</v>
      </c>
      <c r="G548" s="26" t="s">
        <v>15</v>
      </c>
      <c r="H548" s="26" t="s">
        <v>13</v>
      </c>
      <c r="I548" s="26" t="s">
        <v>3924</v>
      </c>
      <c r="J548" s="26" t="s">
        <v>4913</v>
      </c>
      <c r="K548" s="26" t="s">
        <v>3947</v>
      </c>
      <c r="L548" s="26" t="s">
        <v>4011</v>
      </c>
      <c r="M548" s="55" t="s">
        <v>4866</v>
      </c>
      <c r="N548" s="26" t="s">
        <v>3924</v>
      </c>
    </row>
    <row r="549" spans="1:14" ht="75" customHeight="1" thickTop="1" thickBot="1">
      <c r="A549" s="34">
        <v>547</v>
      </c>
      <c r="B549" s="34">
        <v>563</v>
      </c>
      <c r="C549" s="55" t="s">
        <v>4916</v>
      </c>
      <c r="D549" s="56" t="s">
        <v>394</v>
      </c>
      <c r="E549" s="56" t="s">
        <v>3922</v>
      </c>
      <c r="F549" s="26" t="s">
        <v>3923</v>
      </c>
      <c r="G549" s="26" t="s">
        <v>15</v>
      </c>
      <c r="H549" s="26" t="s">
        <v>13</v>
      </c>
      <c r="I549" s="26" t="s">
        <v>3924</v>
      </c>
      <c r="J549" s="26" t="s">
        <v>4913</v>
      </c>
      <c r="K549" s="26" t="s">
        <v>3947</v>
      </c>
      <c r="L549" s="26" t="s">
        <v>4203</v>
      </c>
      <c r="M549" s="55" t="s">
        <v>4866</v>
      </c>
      <c r="N549" s="26" t="s">
        <v>3924</v>
      </c>
    </row>
    <row r="550" spans="1:14" ht="75" customHeight="1" thickTop="1" thickBot="1">
      <c r="A550" s="26">
        <v>548</v>
      </c>
      <c r="B550" s="26">
        <v>564</v>
      </c>
      <c r="C550" s="55" t="s">
        <v>4916</v>
      </c>
      <c r="D550" s="56" t="s">
        <v>394</v>
      </c>
      <c r="E550" s="56" t="s">
        <v>4878</v>
      </c>
      <c r="F550" s="26" t="s">
        <v>3923</v>
      </c>
      <c r="G550" s="26" t="s">
        <v>15</v>
      </c>
      <c r="H550" s="26" t="s">
        <v>13</v>
      </c>
      <c r="I550" s="26" t="s">
        <v>3924</v>
      </c>
      <c r="J550" s="26" t="s">
        <v>4917</v>
      </c>
      <c r="K550" s="26" t="s">
        <v>4918</v>
      </c>
      <c r="L550" s="26" t="s">
        <v>4082</v>
      </c>
      <c r="M550" s="55" t="s">
        <v>4904</v>
      </c>
      <c r="N550" s="26" t="s">
        <v>3924</v>
      </c>
    </row>
    <row r="551" spans="1:14" ht="75" customHeight="1" thickTop="1" thickBot="1">
      <c r="A551" s="34">
        <v>549</v>
      </c>
      <c r="B551" s="34">
        <v>565</v>
      </c>
      <c r="C551" s="55" t="s">
        <v>4916</v>
      </c>
      <c r="D551" s="56" t="s">
        <v>394</v>
      </c>
      <c r="E551" s="56" t="s">
        <v>4878</v>
      </c>
      <c r="F551" s="26" t="s">
        <v>3923</v>
      </c>
      <c r="G551" s="26" t="s">
        <v>15</v>
      </c>
      <c r="H551" s="26" t="s">
        <v>13</v>
      </c>
      <c r="I551" s="26" t="s">
        <v>3924</v>
      </c>
      <c r="J551" s="26" t="s">
        <v>4917</v>
      </c>
      <c r="K551" s="26" t="s">
        <v>4919</v>
      </c>
      <c r="L551" s="26" t="s">
        <v>4082</v>
      </c>
      <c r="M551" s="55" t="s">
        <v>4904</v>
      </c>
      <c r="N551" s="26" t="s">
        <v>3924</v>
      </c>
    </row>
    <row r="552" spans="1:14" ht="75" customHeight="1" thickTop="1" thickBot="1">
      <c r="A552" s="34">
        <v>550</v>
      </c>
      <c r="B552" s="26">
        <v>566</v>
      </c>
      <c r="C552" s="55" t="s">
        <v>4916</v>
      </c>
      <c r="D552" s="56" t="s">
        <v>394</v>
      </c>
      <c r="E552" s="56" t="s">
        <v>3922</v>
      </c>
      <c r="F552" s="26" t="s">
        <v>3923</v>
      </c>
      <c r="G552" s="26" t="s">
        <v>15</v>
      </c>
      <c r="H552" s="26" t="s">
        <v>13</v>
      </c>
      <c r="I552" s="26" t="s">
        <v>3924</v>
      </c>
      <c r="J552" s="26" t="s">
        <v>4920</v>
      </c>
      <c r="K552" s="26" t="s">
        <v>3947</v>
      </c>
      <c r="L552" s="26" t="s">
        <v>4239</v>
      </c>
      <c r="M552" s="55" t="s">
        <v>4866</v>
      </c>
      <c r="N552" s="26" t="s">
        <v>3924</v>
      </c>
    </row>
    <row r="553" spans="1:14" ht="75" customHeight="1" thickTop="1" thickBot="1">
      <c r="A553" s="26">
        <v>551</v>
      </c>
      <c r="B553" s="34">
        <v>567</v>
      </c>
      <c r="C553" s="55" t="s">
        <v>4916</v>
      </c>
      <c r="D553" s="56" t="s">
        <v>394</v>
      </c>
      <c r="E553" s="56" t="s">
        <v>4878</v>
      </c>
      <c r="F553" s="26" t="s">
        <v>3923</v>
      </c>
      <c r="G553" s="26" t="s">
        <v>15</v>
      </c>
      <c r="H553" s="26" t="s">
        <v>13</v>
      </c>
      <c r="I553" s="26" t="s">
        <v>3924</v>
      </c>
      <c r="J553" s="26" t="s">
        <v>4917</v>
      </c>
      <c r="K553" s="26" t="s">
        <v>4921</v>
      </c>
      <c r="L553" s="26" t="s">
        <v>4082</v>
      </c>
      <c r="M553" s="55" t="s">
        <v>4904</v>
      </c>
      <c r="N553" s="26" t="s">
        <v>3924</v>
      </c>
    </row>
    <row r="554" spans="1:14" ht="75" customHeight="1" thickTop="1" thickBot="1">
      <c r="A554" s="34">
        <v>552</v>
      </c>
      <c r="B554" s="26">
        <v>568</v>
      </c>
      <c r="C554" s="55" t="s">
        <v>4922</v>
      </c>
      <c r="D554" s="56" t="s">
        <v>394</v>
      </c>
      <c r="E554" s="56" t="s">
        <v>3922</v>
      </c>
      <c r="F554" s="26" t="s">
        <v>3923</v>
      </c>
      <c r="G554" s="26" t="s">
        <v>15</v>
      </c>
      <c r="H554" s="26" t="s">
        <v>13</v>
      </c>
      <c r="I554" s="26" t="s">
        <v>3924</v>
      </c>
      <c r="J554" s="26" t="s">
        <v>4920</v>
      </c>
      <c r="K554" s="26" t="s">
        <v>3947</v>
      </c>
      <c r="L554" s="26" t="s">
        <v>4277</v>
      </c>
      <c r="M554" s="55" t="s">
        <v>4646</v>
      </c>
      <c r="N554" s="26" t="s">
        <v>3924</v>
      </c>
    </row>
    <row r="555" spans="1:14" ht="75" customHeight="1" thickTop="1" thickBot="1">
      <c r="A555" s="34">
        <v>553</v>
      </c>
      <c r="B555" s="34">
        <v>569</v>
      </c>
      <c r="C555" s="55" t="s">
        <v>4922</v>
      </c>
      <c r="D555" s="56" t="s">
        <v>394</v>
      </c>
      <c r="E555" s="56" t="s">
        <v>4878</v>
      </c>
      <c r="F555" s="26" t="s">
        <v>3923</v>
      </c>
      <c r="G555" s="26" t="s">
        <v>15</v>
      </c>
      <c r="H555" s="26" t="s">
        <v>13</v>
      </c>
      <c r="I555" s="26" t="s">
        <v>3924</v>
      </c>
      <c r="J555" s="26" t="s">
        <v>4920</v>
      </c>
      <c r="K555" s="26" t="s">
        <v>4923</v>
      </c>
      <c r="L555" s="26" t="s">
        <v>4082</v>
      </c>
      <c r="M555" s="55" t="s">
        <v>4904</v>
      </c>
      <c r="N555" s="26" t="s">
        <v>3924</v>
      </c>
    </row>
    <row r="556" spans="1:14" ht="75" customHeight="1" thickTop="1" thickBot="1">
      <c r="A556" s="26">
        <v>554</v>
      </c>
      <c r="B556" s="26">
        <v>570</v>
      </c>
      <c r="C556" s="55" t="s">
        <v>4922</v>
      </c>
      <c r="D556" s="56" t="s">
        <v>394</v>
      </c>
      <c r="E556" s="56" t="s">
        <v>3922</v>
      </c>
      <c r="F556" s="26" t="s">
        <v>3923</v>
      </c>
      <c r="G556" s="26" t="s">
        <v>15</v>
      </c>
      <c r="H556" s="26" t="s">
        <v>13</v>
      </c>
      <c r="I556" s="26" t="s">
        <v>3924</v>
      </c>
      <c r="J556" s="26" t="s">
        <v>4924</v>
      </c>
      <c r="K556" s="26" t="s">
        <v>3947</v>
      </c>
      <c r="L556" s="26" t="s">
        <v>4284</v>
      </c>
      <c r="M556" s="55" t="s">
        <v>4646</v>
      </c>
      <c r="N556" s="26" t="s">
        <v>3924</v>
      </c>
    </row>
    <row r="557" spans="1:14" ht="75" customHeight="1" thickTop="1" thickBot="1">
      <c r="A557" s="34">
        <v>555</v>
      </c>
      <c r="B557" s="34">
        <v>571</v>
      </c>
      <c r="C557" s="55" t="s">
        <v>4922</v>
      </c>
      <c r="D557" s="56" t="s">
        <v>394</v>
      </c>
      <c r="E557" s="56" t="s">
        <v>4878</v>
      </c>
      <c r="F557" s="26" t="s">
        <v>3923</v>
      </c>
      <c r="G557" s="26" t="s">
        <v>15</v>
      </c>
      <c r="H557" s="26" t="s">
        <v>13</v>
      </c>
      <c r="I557" s="26" t="s">
        <v>3924</v>
      </c>
      <c r="J557" s="26" t="s">
        <v>4924</v>
      </c>
      <c r="K557" s="26" t="s">
        <v>4925</v>
      </c>
      <c r="L557" s="26" t="s">
        <v>4082</v>
      </c>
      <c r="M557" s="55" t="s">
        <v>4904</v>
      </c>
      <c r="N557" s="26" t="s">
        <v>3924</v>
      </c>
    </row>
    <row r="558" spans="1:14" ht="75" customHeight="1" thickTop="1" thickBot="1">
      <c r="A558" s="34">
        <v>556</v>
      </c>
      <c r="B558" s="26">
        <v>572</v>
      </c>
      <c r="C558" s="55" t="s">
        <v>4922</v>
      </c>
      <c r="D558" s="56" t="s">
        <v>394</v>
      </c>
      <c r="E558" s="56" t="s">
        <v>4878</v>
      </c>
      <c r="F558" s="26" t="s">
        <v>3923</v>
      </c>
      <c r="G558" s="26" t="s">
        <v>15</v>
      </c>
      <c r="H558" s="26" t="s">
        <v>13</v>
      </c>
      <c r="I558" s="26" t="s">
        <v>3924</v>
      </c>
      <c r="J558" s="26" t="s">
        <v>4924</v>
      </c>
      <c r="K558" s="26" t="s">
        <v>4926</v>
      </c>
      <c r="L558" s="26" t="s">
        <v>4082</v>
      </c>
      <c r="M558" s="55" t="s">
        <v>4904</v>
      </c>
      <c r="N558" s="26" t="s">
        <v>3924</v>
      </c>
    </row>
    <row r="559" spans="1:14" ht="75" customHeight="1" thickTop="1" thickBot="1">
      <c r="A559" s="26">
        <v>557</v>
      </c>
      <c r="B559" s="34">
        <v>573</v>
      </c>
      <c r="C559" s="55" t="s">
        <v>4922</v>
      </c>
      <c r="D559" s="56" t="s">
        <v>394</v>
      </c>
      <c r="E559" s="56" t="s">
        <v>3922</v>
      </c>
      <c r="F559" s="26" t="s">
        <v>3923</v>
      </c>
      <c r="G559" s="26" t="s">
        <v>15</v>
      </c>
      <c r="H559" s="26" t="s">
        <v>13</v>
      </c>
      <c r="I559" s="26" t="s">
        <v>3924</v>
      </c>
      <c r="J559" s="26" t="s">
        <v>4924</v>
      </c>
      <c r="K559" s="26" t="s">
        <v>3947</v>
      </c>
      <c r="L559" s="26" t="s">
        <v>4125</v>
      </c>
      <c r="M559" s="55" t="s">
        <v>4649</v>
      </c>
      <c r="N559" s="26" t="s">
        <v>3924</v>
      </c>
    </row>
    <row r="560" spans="1:14" ht="75" customHeight="1" thickTop="1" thickBot="1">
      <c r="A560" s="34">
        <v>558</v>
      </c>
      <c r="B560" s="26">
        <v>574</v>
      </c>
      <c r="C560" s="55" t="s">
        <v>4927</v>
      </c>
      <c r="D560" s="56" t="s">
        <v>394</v>
      </c>
      <c r="E560" s="56" t="s">
        <v>4878</v>
      </c>
      <c r="F560" s="26" t="s">
        <v>3923</v>
      </c>
      <c r="G560" s="26" t="s">
        <v>15</v>
      </c>
      <c r="H560" s="26" t="s">
        <v>13</v>
      </c>
      <c r="I560" s="26" t="s">
        <v>3924</v>
      </c>
      <c r="J560" s="26" t="s">
        <v>4924</v>
      </c>
      <c r="K560" s="26" t="s">
        <v>4903</v>
      </c>
      <c r="L560" s="26" t="s">
        <v>4082</v>
      </c>
      <c r="M560" s="55" t="s">
        <v>4928</v>
      </c>
      <c r="N560" s="26" t="s">
        <v>3924</v>
      </c>
    </row>
    <row r="561" spans="1:14" ht="75" customHeight="1" thickTop="1" thickBot="1">
      <c r="A561" s="34">
        <v>559</v>
      </c>
      <c r="B561" s="34">
        <v>575</v>
      </c>
      <c r="C561" s="55" t="s">
        <v>4927</v>
      </c>
      <c r="D561" s="56" t="s">
        <v>394</v>
      </c>
      <c r="E561" s="56" t="s">
        <v>4878</v>
      </c>
      <c r="F561" s="26" t="s">
        <v>3923</v>
      </c>
      <c r="G561" s="26" t="s">
        <v>15</v>
      </c>
      <c r="H561" s="26" t="s">
        <v>13</v>
      </c>
      <c r="I561" s="26" t="s">
        <v>3924</v>
      </c>
      <c r="J561" s="26" t="s">
        <v>4929</v>
      </c>
      <c r="K561" s="26" t="s">
        <v>4908</v>
      </c>
      <c r="L561" s="26" t="s">
        <v>4082</v>
      </c>
      <c r="M561" s="55" t="s">
        <v>4928</v>
      </c>
      <c r="N561" s="26" t="s">
        <v>3924</v>
      </c>
    </row>
    <row r="562" spans="1:14" ht="75" customHeight="1" thickTop="1" thickBot="1">
      <c r="A562" s="26">
        <v>560</v>
      </c>
      <c r="B562" s="26">
        <v>576</v>
      </c>
      <c r="C562" s="55" t="s">
        <v>4930</v>
      </c>
      <c r="D562" s="56" t="s">
        <v>394</v>
      </c>
      <c r="E562" s="56" t="s">
        <v>4878</v>
      </c>
      <c r="F562" s="26" t="s">
        <v>3923</v>
      </c>
      <c r="G562" s="26" t="s">
        <v>15</v>
      </c>
      <c r="H562" s="26" t="s">
        <v>13</v>
      </c>
      <c r="I562" s="26" t="s">
        <v>3924</v>
      </c>
      <c r="J562" s="26" t="s">
        <v>4929</v>
      </c>
      <c r="K562" s="26" t="s">
        <v>4910</v>
      </c>
      <c r="L562" s="26" t="s">
        <v>4082</v>
      </c>
      <c r="M562" s="55" t="s">
        <v>4928</v>
      </c>
      <c r="N562" s="26" t="s">
        <v>3924</v>
      </c>
    </row>
    <row r="563" spans="1:14" ht="75" customHeight="1" thickTop="1" thickBot="1">
      <c r="A563" s="34">
        <v>561</v>
      </c>
      <c r="B563" s="34">
        <v>577</v>
      </c>
      <c r="C563" s="55" t="s">
        <v>4930</v>
      </c>
      <c r="D563" s="56" t="s">
        <v>394</v>
      </c>
      <c r="E563" s="56" t="s">
        <v>4878</v>
      </c>
      <c r="F563" s="26" t="s">
        <v>3923</v>
      </c>
      <c r="G563" s="26" t="s">
        <v>15</v>
      </c>
      <c r="H563" s="26" t="s">
        <v>13</v>
      </c>
      <c r="I563" s="26" t="s">
        <v>3924</v>
      </c>
      <c r="J563" s="26" t="s">
        <v>4929</v>
      </c>
      <c r="K563" s="26" t="s">
        <v>4915</v>
      </c>
      <c r="L563" s="26" t="s">
        <v>4082</v>
      </c>
      <c r="M563" s="55" t="s">
        <v>4928</v>
      </c>
      <c r="N563" s="26" t="s">
        <v>3924</v>
      </c>
    </row>
    <row r="564" spans="1:14" ht="75" customHeight="1" thickTop="1" thickBot="1">
      <c r="A564" s="34">
        <v>562</v>
      </c>
      <c r="B564" s="26">
        <v>578</v>
      </c>
      <c r="C564" s="55" t="s">
        <v>4848</v>
      </c>
      <c r="D564" s="56" t="s">
        <v>394</v>
      </c>
      <c r="E564" s="56" t="s">
        <v>4878</v>
      </c>
      <c r="F564" s="26" t="s">
        <v>3923</v>
      </c>
      <c r="G564" s="26" t="s">
        <v>15</v>
      </c>
      <c r="H564" s="26" t="s">
        <v>13</v>
      </c>
      <c r="I564" s="26" t="s">
        <v>3924</v>
      </c>
      <c r="J564" s="26" t="s">
        <v>4929</v>
      </c>
      <c r="K564" s="26" t="s">
        <v>4918</v>
      </c>
      <c r="L564" s="26" t="s">
        <v>4082</v>
      </c>
      <c r="M564" s="55" t="s">
        <v>4928</v>
      </c>
      <c r="N564" s="26" t="s">
        <v>3924</v>
      </c>
    </row>
    <row r="565" spans="1:14" ht="75" customHeight="1" thickTop="1" thickBot="1">
      <c r="A565" s="26">
        <v>563</v>
      </c>
      <c r="B565" s="34">
        <v>579</v>
      </c>
      <c r="C565" s="55" t="s">
        <v>4848</v>
      </c>
      <c r="D565" s="56" t="s">
        <v>394</v>
      </c>
      <c r="E565" s="56" t="s">
        <v>4878</v>
      </c>
      <c r="F565" s="26" t="s">
        <v>3923</v>
      </c>
      <c r="G565" s="26" t="s">
        <v>15</v>
      </c>
      <c r="H565" s="26" t="s">
        <v>13</v>
      </c>
      <c r="I565" s="26" t="s">
        <v>3924</v>
      </c>
      <c r="J565" s="26" t="s">
        <v>4929</v>
      </c>
      <c r="K565" s="26" t="s">
        <v>4919</v>
      </c>
      <c r="L565" s="26" t="s">
        <v>4082</v>
      </c>
      <c r="M565" s="55" t="s">
        <v>4928</v>
      </c>
      <c r="N565" s="26" t="s">
        <v>3924</v>
      </c>
    </row>
    <row r="566" spans="1:14" ht="75" customHeight="1" thickTop="1" thickBot="1">
      <c r="A566" s="34">
        <v>564</v>
      </c>
      <c r="B566" s="26">
        <v>580</v>
      </c>
      <c r="C566" s="55" t="s">
        <v>4848</v>
      </c>
      <c r="D566" s="56" t="s">
        <v>394</v>
      </c>
      <c r="E566" s="56" t="s">
        <v>4878</v>
      </c>
      <c r="F566" s="26" t="s">
        <v>3923</v>
      </c>
      <c r="G566" s="26" t="s">
        <v>15</v>
      </c>
      <c r="H566" s="26" t="s">
        <v>13</v>
      </c>
      <c r="I566" s="26" t="s">
        <v>3924</v>
      </c>
      <c r="J566" s="26" t="s">
        <v>4931</v>
      </c>
      <c r="K566" s="26" t="s">
        <v>4921</v>
      </c>
      <c r="L566" s="26" t="s">
        <v>4082</v>
      </c>
      <c r="M566" s="55" t="s">
        <v>4928</v>
      </c>
      <c r="N566" s="26" t="s">
        <v>3924</v>
      </c>
    </row>
    <row r="567" spans="1:14" ht="75" customHeight="1" thickTop="1" thickBot="1">
      <c r="A567" s="34">
        <v>565</v>
      </c>
      <c r="B567" s="34">
        <v>581</v>
      </c>
      <c r="C567" s="55" t="s">
        <v>4850</v>
      </c>
      <c r="D567" s="56" t="s">
        <v>394</v>
      </c>
      <c r="E567" s="56" t="s">
        <v>4878</v>
      </c>
      <c r="F567" s="26" t="s">
        <v>3923</v>
      </c>
      <c r="G567" s="26" t="s">
        <v>15</v>
      </c>
      <c r="H567" s="26" t="s">
        <v>13</v>
      </c>
      <c r="I567" s="26" t="s">
        <v>3924</v>
      </c>
      <c r="J567" s="26" t="s">
        <v>4931</v>
      </c>
      <c r="K567" s="26" t="s">
        <v>4923</v>
      </c>
      <c r="L567" s="26" t="s">
        <v>4082</v>
      </c>
      <c r="M567" s="55" t="s">
        <v>4928</v>
      </c>
      <c r="N567" s="26" t="s">
        <v>3924</v>
      </c>
    </row>
    <row r="568" spans="1:14" ht="75" customHeight="1" thickTop="1" thickBot="1">
      <c r="A568" s="26">
        <v>566</v>
      </c>
      <c r="B568" s="26">
        <v>582</v>
      </c>
      <c r="C568" s="55" t="s">
        <v>4850</v>
      </c>
      <c r="D568" s="56" t="s">
        <v>394</v>
      </c>
      <c r="E568" s="56" t="s">
        <v>4878</v>
      </c>
      <c r="F568" s="26" t="s">
        <v>3923</v>
      </c>
      <c r="G568" s="26" t="s">
        <v>15</v>
      </c>
      <c r="H568" s="26" t="s">
        <v>13</v>
      </c>
      <c r="I568" s="26" t="s">
        <v>3924</v>
      </c>
      <c r="J568" s="26" t="s">
        <v>4931</v>
      </c>
      <c r="K568" s="26" t="s">
        <v>4925</v>
      </c>
      <c r="L568" s="26" t="s">
        <v>4082</v>
      </c>
      <c r="M568" s="55" t="s">
        <v>4928</v>
      </c>
      <c r="N568" s="26" t="s">
        <v>3924</v>
      </c>
    </row>
    <row r="569" spans="1:14" ht="75" customHeight="1" thickTop="1" thickBot="1">
      <c r="A569" s="34">
        <v>567</v>
      </c>
      <c r="B569" s="34">
        <v>583</v>
      </c>
      <c r="C569" s="55" t="s">
        <v>4855</v>
      </c>
      <c r="D569" s="56" t="s">
        <v>394</v>
      </c>
      <c r="E569" s="56" t="s">
        <v>4878</v>
      </c>
      <c r="F569" s="26" t="s">
        <v>3923</v>
      </c>
      <c r="G569" s="26" t="s">
        <v>15</v>
      </c>
      <c r="H569" s="26" t="s">
        <v>13</v>
      </c>
      <c r="I569" s="26" t="s">
        <v>3924</v>
      </c>
      <c r="J569" s="26" t="s">
        <v>4931</v>
      </c>
      <c r="K569" s="26" t="s">
        <v>4926</v>
      </c>
      <c r="L569" s="26" t="s">
        <v>4287</v>
      </c>
      <c r="M569" s="55" t="s">
        <v>4928</v>
      </c>
      <c r="N569" s="26" t="s">
        <v>3924</v>
      </c>
    </row>
    <row r="570" spans="1:14" ht="75" customHeight="1" thickTop="1" thickBot="1">
      <c r="A570" s="34">
        <v>568</v>
      </c>
      <c r="B570" s="26">
        <v>584</v>
      </c>
      <c r="C570" s="55" t="s">
        <v>4855</v>
      </c>
      <c r="D570" s="56" t="s">
        <v>394</v>
      </c>
      <c r="E570" s="56" t="s">
        <v>4878</v>
      </c>
      <c r="F570" s="26" t="s">
        <v>3923</v>
      </c>
      <c r="G570" s="26" t="s">
        <v>15</v>
      </c>
      <c r="H570" s="26" t="s">
        <v>13</v>
      </c>
      <c r="I570" s="26" t="s">
        <v>3924</v>
      </c>
      <c r="J570" s="26" t="s">
        <v>4932</v>
      </c>
      <c r="K570" s="26" t="s">
        <v>4926</v>
      </c>
      <c r="L570" s="26" t="s">
        <v>4933</v>
      </c>
      <c r="M570" s="55" t="s">
        <v>4928</v>
      </c>
      <c r="N570" s="26" t="s">
        <v>3924</v>
      </c>
    </row>
    <row r="571" spans="1:14" ht="75" customHeight="1" thickTop="1" thickBot="1">
      <c r="A571" s="26">
        <v>569</v>
      </c>
      <c r="B571" s="34">
        <v>585</v>
      </c>
      <c r="C571" s="55" t="s">
        <v>4856</v>
      </c>
      <c r="D571" s="56" t="s">
        <v>394</v>
      </c>
      <c r="E571" s="56" t="s">
        <v>4878</v>
      </c>
      <c r="F571" s="26" t="s">
        <v>3923</v>
      </c>
      <c r="G571" s="26" t="s">
        <v>15</v>
      </c>
      <c r="H571" s="26" t="s">
        <v>13</v>
      </c>
      <c r="I571" s="26" t="s">
        <v>3924</v>
      </c>
      <c r="J571" s="26" t="s">
        <v>4932</v>
      </c>
      <c r="K571" s="26" t="s">
        <v>4910</v>
      </c>
      <c r="L571" s="26" t="s">
        <v>4934</v>
      </c>
      <c r="M571" s="55" t="s">
        <v>4935</v>
      </c>
      <c r="N571" s="26" t="s">
        <v>3924</v>
      </c>
    </row>
    <row r="572" spans="1:14" ht="75" customHeight="1" thickTop="1" thickBot="1">
      <c r="A572" s="34">
        <v>570</v>
      </c>
      <c r="B572" s="26">
        <v>586</v>
      </c>
      <c r="C572" s="55" t="s">
        <v>4936</v>
      </c>
      <c r="D572" s="56" t="s">
        <v>394</v>
      </c>
      <c r="E572" s="56" t="s">
        <v>4878</v>
      </c>
      <c r="F572" s="26" t="s">
        <v>3923</v>
      </c>
      <c r="G572" s="26" t="s">
        <v>15</v>
      </c>
      <c r="H572" s="26" t="s">
        <v>13</v>
      </c>
      <c r="I572" s="26" t="s">
        <v>3924</v>
      </c>
      <c r="J572" s="26" t="s">
        <v>4932</v>
      </c>
      <c r="K572" s="26" t="s">
        <v>4915</v>
      </c>
      <c r="L572" s="26" t="s">
        <v>4934</v>
      </c>
      <c r="M572" s="55" t="s">
        <v>4935</v>
      </c>
      <c r="N572" s="26" t="s">
        <v>3924</v>
      </c>
    </row>
    <row r="573" spans="1:14" ht="75" customHeight="1" thickTop="1" thickBot="1">
      <c r="A573" s="34">
        <v>571</v>
      </c>
      <c r="B573" s="34">
        <v>587</v>
      </c>
      <c r="C573" s="55" t="s">
        <v>4936</v>
      </c>
      <c r="D573" s="56" t="s">
        <v>394</v>
      </c>
      <c r="E573" s="56" t="s">
        <v>4878</v>
      </c>
      <c r="F573" s="26" t="s">
        <v>3923</v>
      </c>
      <c r="G573" s="26" t="s">
        <v>15</v>
      </c>
      <c r="H573" s="26" t="s">
        <v>13</v>
      </c>
      <c r="I573" s="26" t="s">
        <v>3924</v>
      </c>
      <c r="J573" s="26" t="s">
        <v>4932</v>
      </c>
      <c r="K573" s="26" t="s">
        <v>4918</v>
      </c>
      <c r="L573" s="26" t="s">
        <v>4934</v>
      </c>
      <c r="M573" s="55" t="s">
        <v>4935</v>
      </c>
      <c r="N573" s="26" t="s">
        <v>3924</v>
      </c>
    </row>
    <row r="574" spans="1:14" ht="75" customHeight="1" thickTop="1" thickBot="1">
      <c r="A574" s="26">
        <v>572</v>
      </c>
      <c r="B574" s="26">
        <v>588</v>
      </c>
      <c r="C574" s="55" t="s">
        <v>4937</v>
      </c>
      <c r="D574" s="56" t="s">
        <v>394</v>
      </c>
      <c r="E574" s="56" t="s">
        <v>4878</v>
      </c>
      <c r="F574" s="26" t="s">
        <v>3923</v>
      </c>
      <c r="G574" s="26" t="s">
        <v>15</v>
      </c>
      <c r="H574" s="26" t="s">
        <v>13</v>
      </c>
      <c r="I574" s="26" t="s">
        <v>3924</v>
      </c>
      <c r="J574" s="26" t="s">
        <v>4932</v>
      </c>
      <c r="K574" s="26" t="s">
        <v>4919</v>
      </c>
      <c r="L574" s="26" t="s">
        <v>4934</v>
      </c>
      <c r="M574" s="55" t="s">
        <v>4935</v>
      </c>
      <c r="N574" s="26" t="s">
        <v>3924</v>
      </c>
    </row>
    <row r="575" spans="1:14" ht="75" customHeight="1" thickTop="1" thickBot="1">
      <c r="A575" s="34">
        <v>573</v>
      </c>
      <c r="B575" s="34">
        <v>589</v>
      </c>
      <c r="C575" s="55" t="s">
        <v>4937</v>
      </c>
      <c r="D575" s="56" t="s">
        <v>394</v>
      </c>
      <c r="E575" s="56" t="s">
        <v>4878</v>
      </c>
      <c r="F575" s="26" t="s">
        <v>3923</v>
      </c>
      <c r="G575" s="26" t="s">
        <v>15</v>
      </c>
      <c r="H575" s="26" t="s">
        <v>13</v>
      </c>
      <c r="I575" s="26" t="s">
        <v>3924</v>
      </c>
      <c r="J575" s="26" t="s">
        <v>4938</v>
      </c>
      <c r="K575" s="26" t="s">
        <v>4921</v>
      </c>
      <c r="L575" s="26" t="s">
        <v>4934</v>
      </c>
      <c r="M575" s="55" t="s">
        <v>4935</v>
      </c>
      <c r="N575" s="26" t="s">
        <v>3924</v>
      </c>
    </row>
    <row r="576" spans="1:14" ht="75" customHeight="1" thickTop="1" thickBot="1">
      <c r="A576" s="34">
        <v>574</v>
      </c>
      <c r="B576" s="26">
        <v>590</v>
      </c>
      <c r="C576" s="55" t="s">
        <v>4939</v>
      </c>
      <c r="D576" s="56" t="s">
        <v>394</v>
      </c>
      <c r="E576" s="56" t="s">
        <v>4878</v>
      </c>
      <c r="F576" s="26" t="s">
        <v>3923</v>
      </c>
      <c r="G576" s="26" t="s">
        <v>15</v>
      </c>
      <c r="H576" s="26" t="s">
        <v>13</v>
      </c>
      <c r="I576" s="26" t="s">
        <v>3924</v>
      </c>
      <c r="J576" s="26" t="s">
        <v>4938</v>
      </c>
      <c r="K576" s="26" t="s">
        <v>4923</v>
      </c>
      <c r="L576" s="26" t="s">
        <v>4934</v>
      </c>
      <c r="M576" s="55" t="s">
        <v>4935</v>
      </c>
      <c r="N576" s="26" t="s">
        <v>3924</v>
      </c>
    </row>
    <row r="577" spans="1:14" ht="75" customHeight="1" thickTop="1" thickBot="1">
      <c r="A577" s="26">
        <v>575</v>
      </c>
      <c r="B577" s="34">
        <v>591</v>
      </c>
      <c r="C577" s="55" t="s">
        <v>4939</v>
      </c>
      <c r="D577" s="56" t="s">
        <v>394</v>
      </c>
      <c r="E577" s="56" t="s">
        <v>4878</v>
      </c>
      <c r="F577" s="26" t="s">
        <v>3923</v>
      </c>
      <c r="G577" s="26" t="s">
        <v>15</v>
      </c>
      <c r="H577" s="26" t="s">
        <v>13</v>
      </c>
      <c r="I577" s="26" t="s">
        <v>3924</v>
      </c>
      <c r="J577" s="26" t="s">
        <v>4938</v>
      </c>
      <c r="K577" s="26" t="s">
        <v>4925</v>
      </c>
      <c r="L577" s="26" t="s">
        <v>4934</v>
      </c>
      <c r="M577" s="55" t="s">
        <v>4935</v>
      </c>
      <c r="N577" s="26" t="s">
        <v>3924</v>
      </c>
    </row>
    <row r="578" spans="1:14" ht="75" customHeight="1" thickTop="1" thickBot="1">
      <c r="A578" s="34">
        <v>576</v>
      </c>
      <c r="B578" s="26">
        <v>592</v>
      </c>
      <c r="C578" s="55" t="s">
        <v>4940</v>
      </c>
      <c r="D578" s="56" t="s">
        <v>394</v>
      </c>
      <c r="E578" s="56" t="s">
        <v>4878</v>
      </c>
      <c r="F578" s="26" t="s">
        <v>3923</v>
      </c>
      <c r="G578" s="26" t="s">
        <v>15</v>
      </c>
      <c r="H578" s="26" t="s">
        <v>13</v>
      </c>
      <c r="I578" s="26" t="s">
        <v>3924</v>
      </c>
      <c r="J578" s="26" t="s">
        <v>4941</v>
      </c>
      <c r="K578" s="26" t="s">
        <v>4926</v>
      </c>
      <c r="L578" s="26" t="s">
        <v>4934</v>
      </c>
      <c r="M578" s="55" t="s">
        <v>4935</v>
      </c>
      <c r="N578" s="26" t="s">
        <v>3924</v>
      </c>
    </row>
    <row r="579" spans="1:14" ht="75" customHeight="1" thickTop="1" thickBot="1">
      <c r="A579" s="34">
        <v>577</v>
      </c>
      <c r="B579" s="34">
        <v>593</v>
      </c>
      <c r="C579" s="55" t="s">
        <v>4940</v>
      </c>
      <c r="D579" s="56" t="s">
        <v>394</v>
      </c>
      <c r="E579" s="56" t="s">
        <v>4878</v>
      </c>
      <c r="F579" s="26" t="s">
        <v>3923</v>
      </c>
      <c r="G579" s="26" t="s">
        <v>15</v>
      </c>
      <c r="H579" s="26" t="s">
        <v>13</v>
      </c>
      <c r="I579" s="26" t="s">
        <v>3924</v>
      </c>
      <c r="J579" s="26" t="s">
        <v>4941</v>
      </c>
      <c r="K579" s="26" t="s">
        <v>4903</v>
      </c>
      <c r="L579" s="26" t="s">
        <v>4942</v>
      </c>
      <c r="M579" s="55" t="s">
        <v>4943</v>
      </c>
      <c r="N579" s="26" t="s">
        <v>3924</v>
      </c>
    </row>
    <row r="580" spans="1:14" ht="75" customHeight="1" thickTop="1" thickBot="1">
      <c r="A580" s="26">
        <v>578</v>
      </c>
      <c r="B580" s="26">
        <v>594</v>
      </c>
      <c r="C580" s="55" t="s">
        <v>4940</v>
      </c>
      <c r="D580" s="56" t="s">
        <v>394</v>
      </c>
      <c r="E580" s="56" t="s">
        <v>4878</v>
      </c>
      <c r="F580" s="26" t="s">
        <v>3923</v>
      </c>
      <c r="G580" s="26" t="s">
        <v>15</v>
      </c>
      <c r="H580" s="26" t="s">
        <v>13</v>
      </c>
      <c r="I580" s="26" t="s">
        <v>3924</v>
      </c>
      <c r="J580" s="26" t="s">
        <v>4941</v>
      </c>
      <c r="K580" s="26" t="s">
        <v>4908</v>
      </c>
      <c r="L580" s="26" t="s">
        <v>4942</v>
      </c>
      <c r="M580" s="55" t="s">
        <v>4943</v>
      </c>
      <c r="N580" s="26" t="s">
        <v>3924</v>
      </c>
    </row>
    <row r="581" spans="1:14" ht="75" customHeight="1" thickTop="1" thickBot="1">
      <c r="A581" s="34">
        <v>579</v>
      </c>
      <c r="B581" s="34">
        <v>595</v>
      </c>
      <c r="C581" s="55" t="s">
        <v>4944</v>
      </c>
      <c r="D581" s="56" t="s">
        <v>394</v>
      </c>
      <c r="E581" s="56" t="s">
        <v>4878</v>
      </c>
      <c r="F581" s="26" t="s">
        <v>3923</v>
      </c>
      <c r="G581" s="26" t="s">
        <v>15</v>
      </c>
      <c r="H581" s="26" t="s">
        <v>13</v>
      </c>
      <c r="I581" s="26" t="s">
        <v>3924</v>
      </c>
      <c r="J581" s="26" t="s">
        <v>4941</v>
      </c>
      <c r="K581" s="26" t="s">
        <v>4910</v>
      </c>
      <c r="L581" s="26" t="s">
        <v>4942</v>
      </c>
      <c r="M581" s="55" t="s">
        <v>4943</v>
      </c>
      <c r="N581" s="26" t="s">
        <v>3924</v>
      </c>
    </row>
    <row r="582" spans="1:14" ht="75" customHeight="1" thickTop="1" thickBot="1">
      <c r="A582" s="34">
        <v>580</v>
      </c>
      <c r="B582" s="26">
        <v>596</v>
      </c>
      <c r="C582" s="55" t="s">
        <v>4945</v>
      </c>
      <c r="D582" s="56" t="s">
        <v>394</v>
      </c>
      <c r="E582" s="56" t="s">
        <v>4878</v>
      </c>
      <c r="F582" s="26" t="s">
        <v>3923</v>
      </c>
      <c r="G582" s="26" t="s">
        <v>15</v>
      </c>
      <c r="H582" s="26" t="s">
        <v>13</v>
      </c>
      <c r="I582" s="26" t="s">
        <v>3924</v>
      </c>
      <c r="J582" s="26" t="s">
        <v>4946</v>
      </c>
      <c r="K582" s="26" t="s">
        <v>4915</v>
      </c>
      <c r="L582" s="26" t="s">
        <v>4942</v>
      </c>
      <c r="M582" s="55" t="s">
        <v>4943</v>
      </c>
      <c r="N582" s="26" t="s">
        <v>3924</v>
      </c>
    </row>
    <row r="583" spans="1:14" ht="75" customHeight="1" thickTop="1" thickBot="1">
      <c r="A583" s="26">
        <v>581</v>
      </c>
      <c r="B583" s="34">
        <v>597</v>
      </c>
      <c r="C583" s="55" t="s">
        <v>4945</v>
      </c>
      <c r="D583" s="56" t="s">
        <v>394</v>
      </c>
      <c r="E583" s="56" t="s">
        <v>4878</v>
      </c>
      <c r="F583" s="26" t="s">
        <v>3923</v>
      </c>
      <c r="G583" s="26" t="s">
        <v>15</v>
      </c>
      <c r="H583" s="26" t="s">
        <v>13</v>
      </c>
      <c r="I583" s="26" t="s">
        <v>3924</v>
      </c>
      <c r="J583" s="26" t="s">
        <v>4946</v>
      </c>
      <c r="K583" s="26" t="s">
        <v>4918</v>
      </c>
      <c r="L583" s="26" t="s">
        <v>4942</v>
      </c>
      <c r="M583" s="55" t="s">
        <v>4943</v>
      </c>
      <c r="N583" s="26" t="s">
        <v>3924</v>
      </c>
    </row>
    <row r="584" spans="1:14" ht="75" customHeight="1" thickTop="1" thickBot="1">
      <c r="A584" s="34">
        <v>582</v>
      </c>
      <c r="B584" s="26">
        <v>598</v>
      </c>
      <c r="C584" s="55" t="s">
        <v>4945</v>
      </c>
      <c r="D584" s="56" t="s">
        <v>394</v>
      </c>
      <c r="E584" s="56" t="s">
        <v>4878</v>
      </c>
      <c r="F584" s="26" t="s">
        <v>3923</v>
      </c>
      <c r="G584" s="26" t="s">
        <v>15</v>
      </c>
      <c r="H584" s="26" t="s">
        <v>13</v>
      </c>
      <c r="I584" s="26" t="s">
        <v>3924</v>
      </c>
      <c r="J584" s="26" t="s">
        <v>4946</v>
      </c>
      <c r="K584" s="26" t="s">
        <v>4919</v>
      </c>
      <c r="L584" s="26" t="s">
        <v>4942</v>
      </c>
      <c r="M584" s="55" t="s">
        <v>4943</v>
      </c>
      <c r="N584" s="26" t="s">
        <v>3924</v>
      </c>
    </row>
    <row r="585" spans="1:14" ht="75" customHeight="1" thickTop="1" thickBot="1">
      <c r="A585" s="34">
        <v>583</v>
      </c>
      <c r="B585" s="34">
        <v>599</v>
      </c>
      <c r="C585" s="55" t="s">
        <v>4947</v>
      </c>
      <c r="D585" s="56" t="s">
        <v>394</v>
      </c>
      <c r="E585" s="56" t="s">
        <v>4878</v>
      </c>
      <c r="F585" s="26" t="s">
        <v>3923</v>
      </c>
      <c r="G585" s="26" t="s">
        <v>15</v>
      </c>
      <c r="H585" s="26" t="s">
        <v>13</v>
      </c>
      <c r="I585" s="26" t="s">
        <v>3924</v>
      </c>
      <c r="J585" s="26" t="s">
        <v>4946</v>
      </c>
      <c r="K585" s="26" t="s">
        <v>4921</v>
      </c>
      <c r="L585" s="26" t="s">
        <v>4942</v>
      </c>
      <c r="M585" s="55" t="s">
        <v>4943</v>
      </c>
      <c r="N585" s="26" t="s">
        <v>3924</v>
      </c>
    </row>
    <row r="586" spans="1:14" ht="75" customHeight="1" thickTop="1" thickBot="1">
      <c r="A586" s="26">
        <v>584</v>
      </c>
      <c r="B586" s="26">
        <v>600</v>
      </c>
      <c r="C586" s="55" t="s">
        <v>4947</v>
      </c>
      <c r="D586" s="56" t="s">
        <v>394</v>
      </c>
      <c r="E586" s="56" t="s">
        <v>4878</v>
      </c>
      <c r="F586" s="26" t="s">
        <v>3923</v>
      </c>
      <c r="G586" s="26" t="s">
        <v>15</v>
      </c>
      <c r="H586" s="26" t="s">
        <v>13</v>
      </c>
      <c r="I586" s="26" t="s">
        <v>3924</v>
      </c>
      <c r="J586" s="26" t="s">
        <v>4948</v>
      </c>
      <c r="K586" s="26" t="s">
        <v>4923</v>
      </c>
      <c r="L586" s="26" t="s">
        <v>4942</v>
      </c>
      <c r="M586" s="55" t="s">
        <v>4943</v>
      </c>
      <c r="N586" s="26" t="s">
        <v>3924</v>
      </c>
    </row>
    <row r="587" spans="1:14" ht="75" customHeight="1" thickTop="1" thickBot="1">
      <c r="A587" s="34">
        <v>585</v>
      </c>
      <c r="B587" s="34">
        <v>601</v>
      </c>
      <c r="C587" s="55" t="s">
        <v>4949</v>
      </c>
      <c r="D587" s="56" t="s">
        <v>394</v>
      </c>
      <c r="E587" s="56" t="s">
        <v>4878</v>
      </c>
      <c r="F587" s="26" t="s">
        <v>3923</v>
      </c>
      <c r="G587" s="26" t="s">
        <v>15</v>
      </c>
      <c r="H587" s="26" t="s">
        <v>13</v>
      </c>
      <c r="I587" s="26" t="s">
        <v>3924</v>
      </c>
      <c r="J587" s="26" t="s">
        <v>4948</v>
      </c>
      <c r="K587" s="26" t="s">
        <v>4925</v>
      </c>
      <c r="L587" s="26" t="s">
        <v>4942</v>
      </c>
      <c r="M587" s="55" t="s">
        <v>4943</v>
      </c>
      <c r="N587" s="26" t="s">
        <v>3924</v>
      </c>
    </row>
    <row r="588" spans="1:14" ht="75" customHeight="1" thickTop="1" thickBot="1">
      <c r="A588" s="34">
        <v>586</v>
      </c>
      <c r="B588" s="26">
        <v>602</v>
      </c>
      <c r="C588" s="55" t="s">
        <v>4950</v>
      </c>
      <c r="D588" s="56" t="s">
        <v>394</v>
      </c>
      <c r="E588" s="56" t="s">
        <v>4878</v>
      </c>
      <c r="F588" s="26" t="s">
        <v>3923</v>
      </c>
      <c r="G588" s="26" t="s">
        <v>15</v>
      </c>
      <c r="H588" s="26" t="s">
        <v>13</v>
      </c>
      <c r="I588" s="26" t="s">
        <v>3924</v>
      </c>
      <c r="J588" s="26" t="s">
        <v>4948</v>
      </c>
      <c r="K588" s="26" t="s">
        <v>4926</v>
      </c>
      <c r="L588" s="26" t="s">
        <v>4942</v>
      </c>
      <c r="M588" s="55" t="s">
        <v>4943</v>
      </c>
      <c r="N588" s="26" t="s">
        <v>3924</v>
      </c>
    </row>
    <row r="589" spans="1:14" ht="75" customHeight="1" thickTop="1" thickBot="1">
      <c r="A589" s="26">
        <v>587</v>
      </c>
      <c r="B589" s="34">
        <v>603</v>
      </c>
      <c r="C589" s="55" t="s">
        <v>4951</v>
      </c>
      <c r="D589" s="56" t="s">
        <v>394</v>
      </c>
      <c r="E589" s="56" t="s">
        <v>4878</v>
      </c>
      <c r="F589" s="26" t="s">
        <v>3923</v>
      </c>
      <c r="G589" s="26" t="s">
        <v>15</v>
      </c>
      <c r="H589" s="26" t="s">
        <v>13</v>
      </c>
      <c r="I589" s="26" t="s">
        <v>3924</v>
      </c>
      <c r="J589" s="26" t="s">
        <v>4952</v>
      </c>
      <c r="K589" s="26" t="s">
        <v>4926</v>
      </c>
      <c r="L589" s="26" t="s">
        <v>3927</v>
      </c>
      <c r="M589" s="55" t="s">
        <v>4881</v>
      </c>
      <c r="N589" s="26" t="s">
        <v>3924</v>
      </c>
    </row>
    <row r="590" spans="1:14" ht="75" customHeight="1" thickTop="1" thickBot="1">
      <c r="A590" s="34">
        <v>588</v>
      </c>
      <c r="B590" s="26">
        <v>604</v>
      </c>
      <c r="C590" s="55" t="s">
        <v>4953</v>
      </c>
      <c r="D590" s="56" t="s">
        <v>394</v>
      </c>
      <c r="E590" s="56" t="s">
        <v>4878</v>
      </c>
      <c r="F590" s="26" t="s">
        <v>3923</v>
      </c>
      <c r="G590" s="26" t="s">
        <v>15</v>
      </c>
      <c r="H590" s="26" t="s">
        <v>13</v>
      </c>
      <c r="I590" s="26" t="s">
        <v>3924</v>
      </c>
      <c r="J590" s="26" t="s">
        <v>4952</v>
      </c>
      <c r="K590" s="26" t="s">
        <v>4926</v>
      </c>
      <c r="L590" s="26" t="s">
        <v>3963</v>
      </c>
      <c r="M590" s="55" t="s">
        <v>4881</v>
      </c>
      <c r="N590" s="26" t="s">
        <v>3924</v>
      </c>
    </row>
    <row r="591" spans="1:14" ht="75" customHeight="1" thickTop="1" thickBot="1">
      <c r="A591" s="34">
        <v>589</v>
      </c>
      <c r="B591" s="34">
        <v>605</v>
      </c>
      <c r="C591" s="55" t="s">
        <v>4953</v>
      </c>
      <c r="D591" s="56" t="s">
        <v>394</v>
      </c>
      <c r="E591" s="56" t="s">
        <v>4878</v>
      </c>
      <c r="F591" s="26" t="s">
        <v>3923</v>
      </c>
      <c r="G591" s="26" t="s">
        <v>15</v>
      </c>
      <c r="H591" s="26" t="s">
        <v>13</v>
      </c>
      <c r="I591" s="26" t="s">
        <v>3924</v>
      </c>
      <c r="J591" s="26" t="s">
        <v>4952</v>
      </c>
      <c r="K591" s="26" t="s">
        <v>4926</v>
      </c>
      <c r="L591" s="26" t="s">
        <v>3986</v>
      </c>
      <c r="M591" s="55" t="s">
        <v>4881</v>
      </c>
      <c r="N591" s="26" t="s">
        <v>3924</v>
      </c>
    </row>
    <row r="592" spans="1:14" ht="75" customHeight="1" thickTop="1" thickBot="1">
      <c r="A592" s="26">
        <v>590</v>
      </c>
      <c r="B592" s="26">
        <v>606</v>
      </c>
      <c r="C592" s="55" t="s">
        <v>4953</v>
      </c>
      <c r="D592" s="56" t="s">
        <v>394</v>
      </c>
      <c r="E592" s="56" t="s">
        <v>4878</v>
      </c>
      <c r="F592" s="26" t="s">
        <v>3923</v>
      </c>
      <c r="G592" s="26" t="s">
        <v>15</v>
      </c>
      <c r="H592" s="26" t="s">
        <v>13</v>
      </c>
      <c r="I592" s="26" t="s">
        <v>3924</v>
      </c>
      <c r="J592" s="26" t="s">
        <v>4952</v>
      </c>
      <c r="K592" s="26" t="s">
        <v>4926</v>
      </c>
      <c r="L592" s="26" t="s">
        <v>4331</v>
      </c>
      <c r="M592" s="55" t="s">
        <v>4881</v>
      </c>
      <c r="N592" s="26" t="s">
        <v>3924</v>
      </c>
    </row>
    <row r="593" spans="1:14" ht="75" customHeight="1" thickTop="1" thickBot="1">
      <c r="A593" s="34">
        <v>591</v>
      </c>
      <c r="B593" s="34">
        <v>607</v>
      </c>
      <c r="C593" s="55" t="s">
        <v>4953</v>
      </c>
      <c r="D593" s="56" t="s">
        <v>394</v>
      </c>
      <c r="E593" s="56" t="s">
        <v>4878</v>
      </c>
      <c r="F593" s="26" t="s">
        <v>3923</v>
      </c>
      <c r="G593" s="26" t="s">
        <v>15</v>
      </c>
      <c r="H593" s="26" t="s">
        <v>13</v>
      </c>
      <c r="I593" s="26" t="s">
        <v>3924</v>
      </c>
      <c r="J593" s="26" t="s">
        <v>4952</v>
      </c>
      <c r="K593" s="26" t="s">
        <v>4926</v>
      </c>
      <c r="L593" s="26" t="s">
        <v>3970</v>
      </c>
      <c r="M593" s="55" t="s">
        <v>4881</v>
      </c>
      <c r="N593" s="26" t="s">
        <v>3924</v>
      </c>
    </row>
    <row r="594" spans="1:14" ht="75" customHeight="1" thickTop="1" thickBot="1">
      <c r="A594" s="34">
        <v>592</v>
      </c>
      <c r="B594" s="26">
        <v>608</v>
      </c>
      <c r="C594" s="55" t="s">
        <v>4954</v>
      </c>
      <c r="D594" s="56" t="s">
        <v>394</v>
      </c>
      <c r="E594" s="56" t="s">
        <v>4878</v>
      </c>
      <c r="F594" s="26" t="s">
        <v>3923</v>
      </c>
      <c r="G594" s="26" t="s">
        <v>15</v>
      </c>
      <c r="H594" s="26" t="s">
        <v>13</v>
      </c>
      <c r="I594" s="26" t="s">
        <v>3924</v>
      </c>
      <c r="J594" s="26" t="s">
        <v>4955</v>
      </c>
      <c r="K594" s="26" t="s">
        <v>4903</v>
      </c>
      <c r="L594" s="26" t="s">
        <v>3927</v>
      </c>
      <c r="M594" s="55" t="s">
        <v>4881</v>
      </c>
      <c r="N594" s="26" t="s">
        <v>3924</v>
      </c>
    </row>
    <row r="595" spans="1:14" ht="75" customHeight="1" thickTop="1" thickBot="1">
      <c r="A595" s="26">
        <v>593</v>
      </c>
      <c r="B595" s="34">
        <v>609</v>
      </c>
      <c r="C595" s="55" t="s">
        <v>4954</v>
      </c>
      <c r="D595" s="56" t="s">
        <v>394</v>
      </c>
      <c r="E595" s="56" t="s">
        <v>4878</v>
      </c>
      <c r="F595" s="26" t="s">
        <v>3923</v>
      </c>
      <c r="G595" s="26" t="s">
        <v>15</v>
      </c>
      <c r="H595" s="26" t="s">
        <v>13</v>
      </c>
      <c r="I595" s="26" t="s">
        <v>3924</v>
      </c>
      <c r="J595" s="26" t="s">
        <v>4955</v>
      </c>
      <c r="K595" s="26" t="s">
        <v>4903</v>
      </c>
      <c r="L595" s="26" t="s">
        <v>3963</v>
      </c>
      <c r="M595" s="55" t="s">
        <v>4881</v>
      </c>
      <c r="N595" s="26" t="s">
        <v>3924</v>
      </c>
    </row>
    <row r="596" spans="1:14" ht="75" customHeight="1" thickTop="1" thickBot="1">
      <c r="A596" s="34">
        <v>594</v>
      </c>
      <c r="B596" s="26">
        <v>610</v>
      </c>
      <c r="C596" s="55" t="s">
        <v>4954</v>
      </c>
      <c r="D596" s="56" t="s">
        <v>394</v>
      </c>
      <c r="E596" s="56" t="s">
        <v>4878</v>
      </c>
      <c r="F596" s="26" t="s">
        <v>3923</v>
      </c>
      <c r="G596" s="26" t="s">
        <v>15</v>
      </c>
      <c r="H596" s="26" t="s">
        <v>13</v>
      </c>
      <c r="I596" s="26" t="s">
        <v>3924</v>
      </c>
      <c r="J596" s="26" t="s">
        <v>4955</v>
      </c>
      <c r="K596" s="26" t="s">
        <v>4903</v>
      </c>
      <c r="L596" s="26" t="s">
        <v>3986</v>
      </c>
      <c r="M596" s="55" t="s">
        <v>4881</v>
      </c>
      <c r="N596" s="26" t="s">
        <v>3924</v>
      </c>
    </row>
    <row r="597" spans="1:14" ht="75" customHeight="1" thickTop="1" thickBot="1">
      <c r="A597" s="34">
        <v>595</v>
      </c>
      <c r="B597" s="34">
        <v>611</v>
      </c>
      <c r="C597" s="55" t="s">
        <v>4956</v>
      </c>
      <c r="D597" s="56" t="s">
        <v>394</v>
      </c>
      <c r="E597" s="56" t="s">
        <v>4878</v>
      </c>
      <c r="F597" s="26" t="s">
        <v>3923</v>
      </c>
      <c r="G597" s="26" t="s">
        <v>15</v>
      </c>
      <c r="H597" s="26" t="s">
        <v>13</v>
      </c>
      <c r="I597" s="26" t="s">
        <v>3924</v>
      </c>
      <c r="J597" s="26" t="s">
        <v>4955</v>
      </c>
      <c r="K597" s="26" t="s">
        <v>4908</v>
      </c>
      <c r="L597" s="26" t="s">
        <v>3927</v>
      </c>
      <c r="M597" s="55" t="s">
        <v>4881</v>
      </c>
      <c r="N597" s="26" t="s">
        <v>3924</v>
      </c>
    </row>
    <row r="598" spans="1:14" ht="75" customHeight="1" thickTop="1" thickBot="1">
      <c r="A598" s="26">
        <v>596</v>
      </c>
      <c r="B598" s="26">
        <v>612</v>
      </c>
      <c r="C598" s="55" t="s">
        <v>4956</v>
      </c>
      <c r="D598" s="56" t="s">
        <v>394</v>
      </c>
      <c r="E598" s="56" t="s">
        <v>4878</v>
      </c>
      <c r="F598" s="26" t="s">
        <v>3923</v>
      </c>
      <c r="G598" s="26" t="s">
        <v>15</v>
      </c>
      <c r="H598" s="26" t="s">
        <v>13</v>
      </c>
      <c r="I598" s="26" t="s">
        <v>3924</v>
      </c>
      <c r="J598" s="26" t="s">
        <v>4955</v>
      </c>
      <c r="K598" s="26" t="s">
        <v>4908</v>
      </c>
      <c r="L598" s="26" t="s">
        <v>3963</v>
      </c>
      <c r="M598" s="55" t="s">
        <v>4881</v>
      </c>
      <c r="N598" s="26" t="s">
        <v>3924</v>
      </c>
    </row>
    <row r="599" spans="1:14" ht="75" customHeight="1" thickTop="1" thickBot="1">
      <c r="A599" s="34">
        <v>597</v>
      </c>
      <c r="B599" s="34">
        <v>613</v>
      </c>
      <c r="C599" s="55" t="s">
        <v>4956</v>
      </c>
      <c r="D599" s="56" t="s">
        <v>394</v>
      </c>
      <c r="E599" s="56" t="s">
        <v>4878</v>
      </c>
      <c r="F599" s="26" t="s">
        <v>3923</v>
      </c>
      <c r="G599" s="26" t="s">
        <v>15</v>
      </c>
      <c r="H599" s="26" t="s">
        <v>13</v>
      </c>
      <c r="I599" s="26" t="s">
        <v>3924</v>
      </c>
      <c r="J599" s="26" t="s">
        <v>4957</v>
      </c>
      <c r="K599" s="26" t="s">
        <v>4908</v>
      </c>
      <c r="L599" s="26" t="s">
        <v>3986</v>
      </c>
      <c r="M599" s="55" t="s">
        <v>4881</v>
      </c>
      <c r="N599" s="26" t="s">
        <v>3924</v>
      </c>
    </row>
    <row r="600" spans="1:14" ht="75" customHeight="1" thickTop="1" thickBot="1">
      <c r="A600" s="34">
        <v>598</v>
      </c>
      <c r="B600" s="26">
        <v>614</v>
      </c>
      <c r="C600" s="55" t="s">
        <v>4958</v>
      </c>
      <c r="D600" s="56" t="s">
        <v>394</v>
      </c>
      <c r="E600" s="56" t="s">
        <v>4878</v>
      </c>
      <c r="F600" s="26" t="s">
        <v>3923</v>
      </c>
      <c r="G600" s="26" t="s">
        <v>15</v>
      </c>
      <c r="H600" s="26" t="s">
        <v>13</v>
      </c>
      <c r="I600" s="26" t="s">
        <v>3924</v>
      </c>
      <c r="J600" s="26" t="s">
        <v>4957</v>
      </c>
      <c r="K600" s="26" t="s">
        <v>4910</v>
      </c>
      <c r="L600" s="26" t="s">
        <v>4277</v>
      </c>
      <c r="M600" s="55" t="s">
        <v>4881</v>
      </c>
      <c r="N600" s="26" t="s">
        <v>3924</v>
      </c>
    </row>
    <row r="601" spans="1:14" ht="75" customHeight="1" thickTop="1" thickBot="1">
      <c r="A601" s="26">
        <v>599</v>
      </c>
      <c r="B601" s="34">
        <v>615</v>
      </c>
      <c r="C601" s="55" t="s">
        <v>4958</v>
      </c>
      <c r="D601" s="56" t="s">
        <v>394</v>
      </c>
      <c r="E601" s="56" t="s">
        <v>4878</v>
      </c>
      <c r="F601" s="26" t="s">
        <v>3923</v>
      </c>
      <c r="G601" s="26" t="s">
        <v>15</v>
      </c>
      <c r="H601" s="26" t="s">
        <v>13</v>
      </c>
      <c r="I601" s="26" t="s">
        <v>3924</v>
      </c>
      <c r="J601" s="26" t="s">
        <v>4957</v>
      </c>
      <c r="K601" s="26" t="s">
        <v>4910</v>
      </c>
      <c r="L601" s="26" t="s">
        <v>4284</v>
      </c>
      <c r="M601" s="55" t="s">
        <v>4881</v>
      </c>
      <c r="N601" s="26" t="s">
        <v>3924</v>
      </c>
    </row>
    <row r="602" spans="1:14" ht="75" customHeight="1" thickTop="1" thickBot="1">
      <c r="A602" s="34">
        <v>600</v>
      </c>
      <c r="B602" s="26">
        <v>616</v>
      </c>
      <c r="C602" s="55" t="s">
        <v>4959</v>
      </c>
      <c r="D602" s="56" t="s">
        <v>394</v>
      </c>
      <c r="E602" s="56" t="s">
        <v>4878</v>
      </c>
      <c r="F602" s="26" t="s">
        <v>3923</v>
      </c>
      <c r="G602" s="26" t="s">
        <v>15</v>
      </c>
      <c r="H602" s="26" t="s">
        <v>13</v>
      </c>
      <c r="I602" s="26" t="s">
        <v>3924</v>
      </c>
      <c r="J602" s="26" t="s">
        <v>4957</v>
      </c>
      <c r="K602" s="26" t="s">
        <v>4910</v>
      </c>
      <c r="L602" s="26" t="s">
        <v>4125</v>
      </c>
      <c r="M602" s="55" t="s">
        <v>4881</v>
      </c>
      <c r="N602" s="26" t="s">
        <v>3924</v>
      </c>
    </row>
    <row r="603" spans="1:14" ht="75" customHeight="1" thickTop="1" thickBot="1">
      <c r="A603" s="34">
        <v>601</v>
      </c>
      <c r="B603" s="34">
        <v>617</v>
      </c>
      <c r="C603" s="55" t="s">
        <v>4959</v>
      </c>
      <c r="D603" s="56" t="s">
        <v>394</v>
      </c>
      <c r="E603" s="56" t="s">
        <v>4878</v>
      </c>
      <c r="F603" s="26" t="s">
        <v>3923</v>
      </c>
      <c r="G603" s="26" t="s">
        <v>15</v>
      </c>
      <c r="H603" s="26" t="s">
        <v>13</v>
      </c>
      <c r="I603" s="26" t="s">
        <v>3924</v>
      </c>
      <c r="J603" s="26" t="s">
        <v>4957</v>
      </c>
      <c r="K603" s="26" t="s">
        <v>4910</v>
      </c>
      <c r="L603" s="26" t="s">
        <v>4011</v>
      </c>
      <c r="M603" s="55" t="s">
        <v>4881</v>
      </c>
      <c r="N603" s="26" t="s">
        <v>3924</v>
      </c>
    </row>
    <row r="604" spans="1:14" ht="75" customHeight="1" thickTop="1" thickBot="1">
      <c r="A604" s="26">
        <v>602</v>
      </c>
      <c r="B604" s="26">
        <v>618</v>
      </c>
      <c r="C604" s="55" t="s">
        <v>4960</v>
      </c>
      <c r="D604" s="56" t="s">
        <v>394</v>
      </c>
      <c r="E604" s="56" t="s">
        <v>4878</v>
      </c>
      <c r="F604" s="26" t="s">
        <v>3923</v>
      </c>
      <c r="G604" s="26" t="s">
        <v>15</v>
      </c>
      <c r="H604" s="26" t="s">
        <v>13</v>
      </c>
      <c r="I604" s="26" t="s">
        <v>3924</v>
      </c>
      <c r="J604" s="26" t="s">
        <v>4957</v>
      </c>
      <c r="K604" s="26" t="s">
        <v>4910</v>
      </c>
      <c r="L604" s="26" t="s">
        <v>4203</v>
      </c>
      <c r="M604" s="55" t="s">
        <v>4881</v>
      </c>
      <c r="N604" s="26" t="s">
        <v>3924</v>
      </c>
    </row>
    <row r="605" spans="1:14" ht="75" customHeight="1" thickTop="1" thickBot="1">
      <c r="A605" s="34">
        <v>603</v>
      </c>
      <c r="B605" s="34">
        <v>619</v>
      </c>
      <c r="C605" s="55" t="s">
        <v>4960</v>
      </c>
      <c r="D605" s="56" t="s">
        <v>394</v>
      </c>
      <c r="E605" s="56" t="s">
        <v>4878</v>
      </c>
      <c r="F605" s="26" t="s">
        <v>3923</v>
      </c>
      <c r="G605" s="26" t="s">
        <v>15</v>
      </c>
      <c r="H605" s="26" t="s">
        <v>13</v>
      </c>
      <c r="I605" s="26" t="s">
        <v>3924</v>
      </c>
      <c r="J605" s="26" t="s">
        <v>4961</v>
      </c>
      <c r="K605" s="26" t="s">
        <v>4910</v>
      </c>
      <c r="L605" s="26" t="s">
        <v>4239</v>
      </c>
      <c r="M605" s="55" t="s">
        <v>4881</v>
      </c>
      <c r="N605" s="26" t="s">
        <v>3924</v>
      </c>
    </row>
    <row r="606" spans="1:14" ht="75" customHeight="1" thickTop="1" thickBot="1">
      <c r="A606" s="34">
        <v>604</v>
      </c>
      <c r="B606" s="26">
        <v>620</v>
      </c>
      <c r="C606" s="55" t="s">
        <v>4962</v>
      </c>
      <c r="D606" s="56" t="s">
        <v>394</v>
      </c>
      <c r="E606" s="56" t="s">
        <v>4878</v>
      </c>
      <c r="F606" s="26" t="s">
        <v>3923</v>
      </c>
      <c r="G606" s="26" t="s">
        <v>15</v>
      </c>
      <c r="H606" s="26" t="s">
        <v>13</v>
      </c>
      <c r="I606" s="26" t="s">
        <v>3924</v>
      </c>
      <c r="J606" s="26" t="s">
        <v>4961</v>
      </c>
      <c r="K606" s="26" t="s">
        <v>4915</v>
      </c>
      <c r="L606" s="26" t="s">
        <v>4277</v>
      </c>
      <c r="M606" s="55" t="s">
        <v>4881</v>
      </c>
      <c r="N606" s="26" t="s">
        <v>3924</v>
      </c>
    </row>
    <row r="607" spans="1:14" ht="75" customHeight="1" thickTop="1" thickBot="1">
      <c r="A607" s="26">
        <v>605</v>
      </c>
      <c r="B607" s="34">
        <v>621</v>
      </c>
      <c r="C607" s="55" t="s">
        <v>4962</v>
      </c>
      <c r="D607" s="56" t="s">
        <v>394</v>
      </c>
      <c r="E607" s="56" t="s">
        <v>4878</v>
      </c>
      <c r="F607" s="26" t="s">
        <v>3923</v>
      </c>
      <c r="G607" s="26" t="s">
        <v>15</v>
      </c>
      <c r="H607" s="26" t="s">
        <v>13</v>
      </c>
      <c r="I607" s="26" t="s">
        <v>3924</v>
      </c>
      <c r="J607" s="26" t="s">
        <v>4961</v>
      </c>
      <c r="K607" s="26" t="s">
        <v>4915</v>
      </c>
      <c r="L607" s="26" t="s">
        <v>4284</v>
      </c>
      <c r="M607" s="55" t="s">
        <v>4881</v>
      </c>
      <c r="N607" s="26" t="s">
        <v>3924</v>
      </c>
    </row>
    <row r="608" spans="1:14" ht="75" customHeight="1" thickTop="1" thickBot="1">
      <c r="A608" s="34">
        <v>606</v>
      </c>
      <c r="B608" s="26">
        <v>622</v>
      </c>
      <c r="C608" s="55" t="s">
        <v>4962</v>
      </c>
      <c r="D608" s="56" t="s">
        <v>394</v>
      </c>
      <c r="E608" s="56" t="s">
        <v>4878</v>
      </c>
      <c r="F608" s="26" t="s">
        <v>3923</v>
      </c>
      <c r="G608" s="26" t="s">
        <v>15</v>
      </c>
      <c r="H608" s="26" t="s">
        <v>13</v>
      </c>
      <c r="I608" s="26" t="s">
        <v>3924</v>
      </c>
      <c r="J608" s="26" t="s">
        <v>4961</v>
      </c>
      <c r="K608" s="26" t="s">
        <v>4915</v>
      </c>
      <c r="L608" s="26" t="s">
        <v>4125</v>
      </c>
      <c r="M608" s="55" t="s">
        <v>4881</v>
      </c>
      <c r="N608" s="26" t="s">
        <v>3924</v>
      </c>
    </row>
    <row r="609" spans="1:14" ht="75" customHeight="1" thickTop="1" thickBot="1">
      <c r="A609" s="34">
        <v>607</v>
      </c>
      <c r="B609" s="34">
        <v>623</v>
      </c>
      <c r="C609" s="55" t="s">
        <v>4962</v>
      </c>
      <c r="D609" s="56" t="s">
        <v>394</v>
      </c>
      <c r="E609" s="56" t="s">
        <v>4878</v>
      </c>
      <c r="F609" s="26" t="s">
        <v>3923</v>
      </c>
      <c r="G609" s="26" t="s">
        <v>15</v>
      </c>
      <c r="H609" s="26" t="s">
        <v>13</v>
      </c>
      <c r="I609" s="26" t="s">
        <v>3924</v>
      </c>
      <c r="J609" s="26" t="s">
        <v>4961</v>
      </c>
      <c r="K609" s="26" t="s">
        <v>4915</v>
      </c>
      <c r="L609" s="26" t="s">
        <v>4011</v>
      </c>
      <c r="M609" s="55" t="s">
        <v>4881</v>
      </c>
      <c r="N609" s="26" t="s">
        <v>3924</v>
      </c>
    </row>
    <row r="610" spans="1:14" ht="75" customHeight="1" thickTop="1" thickBot="1">
      <c r="A610" s="26">
        <v>608</v>
      </c>
      <c r="B610" s="26">
        <v>624</v>
      </c>
      <c r="C610" s="55" t="s">
        <v>4962</v>
      </c>
      <c r="D610" s="56" t="s">
        <v>394</v>
      </c>
      <c r="E610" s="56" t="s">
        <v>4878</v>
      </c>
      <c r="F610" s="26" t="s">
        <v>3923</v>
      </c>
      <c r="G610" s="26" t="s">
        <v>15</v>
      </c>
      <c r="H610" s="26" t="s">
        <v>13</v>
      </c>
      <c r="I610" s="26" t="s">
        <v>3924</v>
      </c>
      <c r="J610" s="26" t="s">
        <v>4963</v>
      </c>
      <c r="K610" s="26" t="s">
        <v>4915</v>
      </c>
      <c r="L610" s="26" t="s">
        <v>4203</v>
      </c>
      <c r="M610" s="55" t="s">
        <v>4881</v>
      </c>
      <c r="N610" s="26" t="s">
        <v>3924</v>
      </c>
    </row>
    <row r="611" spans="1:14" ht="75" customHeight="1" thickTop="1" thickBot="1">
      <c r="A611" s="34">
        <v>609</v>
      </c>
      <c r="B611" s="34">
        <v>625</v>
      </c>
      <c r="C611" s="55" t="s">
        <v>4962</v>
      </c>
      <c r="D611" s="56" t="s">
        <v>394</v>
      </c>
      <c r="E611" s="56" t="s">
        <v>4878</v>
      </c>
      <c r="F611" s="26" t="s">
        <v>3923</v>
      </c>
      <c r="G611" s="26" t="s">
        <v>15</v>
      </c>
      <c r="H611" s="26" t="s">
        <v>13</v>
      </c>
      <c r="I611" s="26" t="s">
        <v>3924</v>
      </c>
      <c r="J611" s="26" t="s">
        <v>4963</v>
      </c>
      <c r="K611" s="26" t="s">
        <v>4915</v>
      </c>
      <c r="L611" s="26" t="s">
        <v>4239</v>
      </c>
      <c r="M611" s="55" t="s">
        <v>4881</v>
      </c>
      <c r="N611" s="26" t="s">
        <v>3924</v>
      </c>
    </row>
    <row r="612" spans="1:14" ht="75" customHeight="1" thickTop="1" thickBot="1">
      <c r="A612" s="34">
        <v>610</v>
      </c>
      <c r="B612" s="26">
        <v>626</v>
      </c>
      <c r="C612" s="55" t="s">
        <v>4964</v>
      </c>
      <c r="D612" s="56" t="s">
        <v>394</v>
      </c>
      <c r="E612" s="56" t="s">
        <v>4878</v>
      </c>
      <c r="F612" s="26" t="s">
        <v>3923</v>
      </c>
      <c r="G612" s="26" t="s">
        <v>15</v>
      </c>
      <c r="H612" s="26" t="s">
        <v>13</v>
      </c>
      <c r="I612" s="26" t="s">
        <v>3924</v>
      </c>
      <c r="J612" s="26" t="s">
        <v>4965</v>
      </c>
      <c r="K612" s="26" t="s">
        <v>4918</v>
      </c>
      <c r="L612" s="26" t="s">
        <v>4277</v>
      </c>
      <c r="M612" s="55" t="s">
        <v>4881</v>
      </c>
      <c r="N612" s="26" t="s">
        <v>3924</v>
      </c>
    </row>
    <row r="613" spans="1:14" ht="75" customHeight="1" thickTop="1" thickBot="1">
      <c r="A613" s="26">
        <v>611</v>
      </c>
      <c r="B613" s="34">
        <v>627</v>
      </c>
      <c r="C613" s="55" t="s">
        <v>4964</v>
      </c>
      <c r="D613" s="56" t="s">
        <v>394</v>
      </c>
      <c r="E613" s="56" t="s">
        <v>4878</v>
      </c>
      <c r="F613" s="26" t="s">
        <v>3923</v>
      </c>
      <c r="G613" s="26" t="s">
        <v>15</v>
      </c>
      <c r="H613" s="26" t="s">
        <v>13</v>
      </c>
      <c r="I613" s="26" t="s">
        <v>3924</v>
      </c>
      <c r="J613" s="26" t="s">
        <v>4965</v>
      </c>
      <c r="K613" s="26" t="s">
        <v>4918</v>
      </c>
      <c r="L613" s="26" t="s">
        <v>4284</v>
      </c>
      <c r="M613" s="55" t="s">
        <v>4881</v>
      </c>
      <c r="N613" s="26" t="s">
        <v>3924</v>
      </c>
    </row>
    <row r="614" spans="1:14" ht="75" customHeight="1" thickTop="1" thickBot="1">
      <c r="A614" s="34">
        <v>612</v>
      </c>
      <c r="B614" s="26">
        <v>628</v>
      </c>
      <c r="C614" s="55" t="s">
        <v>4964</v>
      </c>
      <c r="D614" s="56" t="s">
        <v>394</v>
      </c>
      <c r="E614" s="56" t="s">
        <v>4878</v>
      </c>
      <c r="F614" s="26" t="s">
        <v>3923</v>
      </c>
      <c r="G614" s="26" t="s">
        <v>15</v>
      </c>
      <c r="H614" s="26" t="s">
        <v>13</v>
      </c>
      <c r="I614" s="26" t="s">
        <v>3924</v>
      </c>
      <c r="J614" s="26" t="s">
        <v>4965</v>
      </c>
      <c r="K614" s="26" t="s">
        <v>4918</v>
      </c>
      <c r="L614" s="26" t="s">
        <v>4125</v>
      </c>
      <c r="M614" s="55" t="s">
        <v>4881</v>
      </c>
      <c r="N614" s="26" t="s">
        <v>3924</v>
      </c>
    </row>
    <row r="615" spans="1:14" ht="75" customHeight="1" thickTop="1" thickBot="1">
      <c r="A615" s="34">
        <v>613</v>
      </c>
      <c r="B615" s="34">
        <v>629</v>
      </c>
      <c r="C615" s="55" t="s">
        <v>4964</v>
      </c>
      <c r="D615" s="56" t="s">
        <v>394</v>
      </c>
      <c r="E615" s="56" t="s">
        <v>4878</v>
      </c>
      <c r="F615" s="26" t="s">
        <v>3923</v>
      </c>
      <c r="G615" s="26" t="s">
        <v>15</v>
      </c>
      <c r="H615" s="26" t="s">
        <v>13</v>
      </c>
      <c r="I615" s="26" t="s">
        <v>3924</v>
      </c>
      <c r="J615" s="26" t="s">
        <v>4965</v>
      </c>
      <c r="K615" s="26" t="s">
        <v>4918</v>
      </c>
      <c r="L615" s="26" t="s">
        <v>4011</v>
      </c>
      <c r="M615" s="55" t="s">
        <v>4881</v>
      </c>
      <c r="N615" s="26" t="s">
        <v>3924</v>
      </c>
    </row>
    <row r="616" spans="1:14" ht="75" customHeight="1" thickTop="1" thickBot="1">
      <c r="A616" s="26">
        <v>614</v>
      </c>
      <c r="B616" s="26">
        <v>630</v>
      </c>
      <c r="C616" s="55" t="s">
        <v>4964</v>
      </c>
      <c r="D616" s="56" t="s">
        <v>394</v>
      </c>
      <c r="E616" s="56" t="s">
        <v>4878</v>
      </c>
      <c r="F616" s="26" t="s">
        <v>3923</v>
      </c>
      <c r="G616" s="26" t="s">
        <v>15</v>
      </c>
      <c r="H616" s="26" t="s">
        <v>13</v>
      </c>
      <c r="I616" s="26" t="s">
        <v>3924</v>
      </c>
      <c r="J616" s="26" t="s">
        <v>4965</v>
      </c>
      <c r="K616" s="26" t="s">
        <v>4918</v>
      </c>
      <c r="L616" s="26" t="s">
        <v>4203</v>
      </c>
      <c r="M616" s="55" t="s">
        <v>4881</v>
      </c>
      <c r="N616" s="26" t="s">
        <v>3924</v>
      </c>
    </row>
    <row r="617" spans="1:14" ht="75" customHeight="1" thickTop="1" thickBot="1">
      <c r="A617" s="34">
        <v>615</v>
      </c>
      <c r="B617" s="34">
        <v>631</v>
      </c>
      <c r="C617" s="55" t="s">
        <v>4966</v>
      </c>
      <c r="D617" s="56" t="s">
        <v>394</v>
      </c>
      <c r="E617" s="56" t="s">
        <v>4878</v>
      </c>
      <c r="F617" s="26" t="s">
        <v>3923</v>
      </c>
      <c r="G617" s="26" t="s">
        <v>15</v>
      </c>
      <c r="H617" s="26" t="s">
        <v>13</v>
      </c>
      <c r="I617" s="26" t="s">
        <v>3924</v>
      </c>
      <c r="J617" s="26" t="s">
        <v>4967</v>
      </c>
      <c r="K617" s="26" t="s">
        <v>4918</v>
      </c>
      <c r="L617" s="26" t="s">
        <v>4239</v>
      </c>
      <c r="M617" s="55" t="s">
        <v>4881</v>
      </c>
      <c r="N617" s="26" t="s">
        <v>3924</v>
      </c>
    </row>
    <row r="618" spans="1:14" ht="75" customHeight="1" thickTop="1" thickBot="1">
      <c r="A618" s="34">
        <v>616</v>
      </c>
      <c r="B618" s="26">
        <v>632</v>
      </c>
      <c r="C618" s="55" t="s">
        <v>4888</v>
      </c>
      <c r="D618" s="56" t="s">
        <v>394</v>
      </c>
      <c r="E618" s="56" t="s">
        <v>4878</v>
      </c>
      <c r="F618" s="26" t="s">
        <v>3923</v>
      </c>
      <c r="G618" s="26" t="s">
        <v>15</v>
      </c>
      <c r="H618" s="26" t="s">
        <v>13</v>
      </c>
      <c r="I618" s="26" t="s">
        <v>3924</v>
      </c>
      <c r="J618" s="26" t="s">
        <v>4967</v>
      </c>
      <c r="K618" s="26" t="s">
        <v>4919</v>
      </c>
      <c r="L618" s="26" t="s">
        <v>4277</v>
      </c>
      <c r="M618" s="55" t="s">
        <v>4881</v>
      </c>
      <c r="N618" s="26" t="s">
        <v>3924</v>
      </c>
    </row>
    <row r="619" spans="1:14" ht="75" customHeight="1" thickTop="1" thickBot="1">
      <c r="A619" s="26">
        <v>617</v>
      </c>
      <c r="B619" s="34">
        <v>633</v>
      </c>
      <c r="C619" s="55" t="s">
        <v>4890</v>
      </c>
      <c r="D619" s="56" t="s">
        <v>394</v>
      </c>
      <c r="E619" s="56" t="s">
        <v>4878</v>
      </c>
      <c r="F619" s="26" t="s">
        <v>3923</v>
      </c>
      <c r="G619" s="26" t="s">
        <v>15</v>
      </c>
      <c r="H619" s="26" t="s">
        <v>13</v>
      </c>
      <c r="I619" s="26" t="s">
        <v>3924</v>
      </c>
      <c r="J619" s="26" t="s">
        <v>4967</v>
      </c>
      <c r="K619" s="26" t="s">
        <v>4919</v>
      </c>
      <c r="L619" s="26" t="s">
        <v>4284</v>
      </c>
      <c r="M619" s="55" t="s">
        <v>4881</v>
      </c>
      <c r="N619" s="26" t="s">
        <v>3924</v>
      </c>
    </row>
    <row r="620" spans="1:14" ht="75" customHeight="1" thickTop="1" thickBot="1">
      <c r="A620" s="34">
        <v>618</v>
      </c>
      <c r="B620" s="26">
        <v>634</v>
      </c>
      <c r="C620" s="55" t="s">
        <v>4890</v>
      </c>
      <c r="D620" s="56" t="s">
        <v>394</v>
      </c>
      <c r="E620" s="56" t="s">
        <v>4878</v>
      </c>
      <c r="F620" s="26" t="s">
        <v>3923</v>
      </c>
      <c r="G620" s="26" t="s">
        <v>15</v>
      </c>
      <c r="H620" s="26" t="s">
        <v>13</v>
      </c>
      <c r="I620" s="26" t="s">
        <v>3924</v>
      </c>
      <c r="J620" s="26" t="s">
        <v>4968</v>
      </c>
      <c r="K620" s="26" t="s">
        <v>4919</v>
      </c>
      <c r="L620" s="26" t="s">
        <v>4125</v>
      </c>
      <c r="M620" s="55" t="s">
        <v>4881</v>
      </c>
      <c r="N620" s="26" t="s">
        <v>3924</v>
      </c>
    </row>
    <row r="621" spans="1:14" ht="75" customHeight="1" thickTop="1" thickBot="1">
      <c r="A621" s="34">
        <v>619</v>
      </c>
      <c r="B621" s="34">
        <v>635</v>
      </c>
      <c r="C621" s="55" t="s">
        <v>4890</v>
      </c>
      <c r="D621" s="56" t="s">
        <v>394</v>
      </c>
      <c r="E621" s="56" t="s">
        <v>4878</v>
      </c>
      <c r="F621" s="26" t="s">
        <v>3923</v>
      </c>
      <c r="G621" s="26" t="s">
        <v>15</v>
      </c>
      <c r="H621" s="26" t="s">
        <v>13</v>
      </c>
      <c r="I621" s="26" t="s">
        <v>3924</v>
      </c>
      <c r="J621" s="26" t="s">
        <v>4968</v>
      </c>
      <c r="K621" s="26" t="s">
        <v>4919</v>
      </c>
      <c r="L621" s="26" t="s">
        <v>4011</v>
      </c>
      <c r="M621" s="55" t="s">
        <v>4881</v>
      </c>
      <c r="N621" s="26" t="s">
        <v>3924</v>
      </c>
    </row>
    <row r="622" spans="1:14" ht="75" customHeight="1" thickTop="1" thickBot="1">
      <c r="A622" s="26">
        <v>620</v>
      </c>
      <c r="B622" s="26">
        <v>636</v>
      </c>
      <c r="C622" s="55" t="s">
        <v>4890</v>
      </c>
      <c r="D622" s="56" t="s">
        <v>394</v>
      </c>
      <c r="E622" s="56" t="s">
        <v>4878</v>
      </c>
      <c r="F622" s="26" t="s">
        <v>3923</v>
      </c>
      <c r="G622" s="26" t="s">
        <v>15</v>
      </c>
      <c r="H622" s="26" t="s">
        <v>13</v>
      </c>
      <c r="I622" s="26" t="s">
        <v>3924</v>
      </c>
      <c r="J622" s="26" t="s">
        <v>4968</v>
      </c>
      <c r="K622" s="26" t="s">
        <v>4919</v>
      </c>
      <c r="L622" s="26" t="s">
        <v>4203</v>
      </c>
      <c r="M622" s="55" t="s">
        <v>4881</v>
      </c>
      <c r="N622" s="26" t="s">
        <v>3924</v>
      </c>
    </row>
    <row r="623" spans="1:14" ht="75" customHeight="1" thickTop="1" thickBot="1">
      <c r="A623" s="34">
        <v>621</v>
      </c>
      <c r="B623" s="34">
        <v>637</v>
      </c>
      <c r="C623" s="55" t="s">
        <v>4890</v>
      </c>
      <c r="D623" s="56" t="s">
        <v>394</v>
      </c>
      <c r="E623" s="56" t="s">
        <v>4878</v>
      </c>
      <c r="F623" s="26" t="s">
        <v>3923</v>
      </c>
      <c r="G623" s="26" t="s">
        <v>15</v>
      </c>
      <c r="H623" s="26" t="s">
        <v>13</v>
      </c>
      <c r="I623" s="26" t="s">
        <v>3924</v>
      </c>
      <c r="J623" s="26" t="s">
        <v>4968</v>
      </c>
      <c r="K623" s="26" t="s">
        <v>4919</v>
      </c>
      <c r="L623" s="26" t="s">
        <v>4239</v>
      </c>
      <c r="M623" s="55" t="s">
        <v>4881</v>
      </c>
      <c r="N623" s="26" t="s">
        <v>3924</v>
      </c>
    </row>
    <row r="624" spans="1:14" ht="75" customHeight="1" thickTop="1" thickBot="1">
      <c r="A624" s="34">
        <v>622</v>
      </c>
      <c r="B624" s="26">
        <v>638</v>
      </c>
      <c r="C624" s="55" t="s">
        <v>4893</v>
      </c>
      <c r="D624" s="56" t="s">
        <v>394</v>
      </c>
      <c r="E624" s="56" t="s">
        <v>4878</v>
      </c>
      <c r="F624" s="26" t="s">
        <v>3923</v>
      </c>
      <c r="G624" s="26" t="s">
        <v>15</v>
      </c>
      <c r="H624" s="26" t="s">
        <v>13</v>
      </c>
      <c r="I624" s="26" t="s">
        <v>3924</v>
      </c>
      <c r="J624" s="26" t="s">
        <v>4968</v>
      </c>
      <c r="K624" s="26" t="s">
        <v>4921</v>
      </c>
      <c r="L624" s="26" t="s">
        <v>4277</v>
      </c>
      <c r="M624" s="55" t="s">
        <v>4881</v>
      </c>
      <c r="N624" s="26" t="s">
        <v>3924</v>
      </c>
    </row>
    <row r="625" spans="1:14" ht="75" customHeight="1" thickTop="1" thickBot="1">
      <c r="A625" s="26">
        <v>623</v>
      </c>
      <c r="B625" s="34">
        <v>639</v>
      </c>
      <c r="C625" s="55" t="s">
        <v>4893</v>
      </c>
      <c r="D625" s="56" t="s">
        <v>394</v>
      </c>
      <c r="E625" s="56" t="s">
        <v>4878</v>
      </c>
      <c r="F625" s="26" t="s">
        <v>3923</v>
      </c>
      <c r="G625" s="26" t="s">
        <v>15</v>
      </c>
      <c r="H625" s="26" t="s">
        <v>13</v>
      </c>
      <c r="I625" s="26" t="s">
        <v>3924</v>
      </c>
      <c r="J625" s="26" t="s">
        <v>4969</v>
      </c>
      <c r="K625" s="26" t="s">
        <v>4921</v>
      </c>
      <c r="L625" s="26" t="s">
        <v>4284</v>
      </c>
      <c r="M625" s="55" t="s">
        <v>4881</v>
      </c>
      <c r="N625" s="26" t="s">
        <v>3924</v>
      </c>
    </row>
    <row r="626" spans="1:14" ht="75" customHeight="1" thickTop="1" thickBot="1">
      <c r="A626" s="34">
        <v>624</v>
      </c>
      <c r="B626" s="26">
        <v>640</v>
      </c>
      <c r="C626" s="55" t="s">
        <v>4893</v>
      </c>
      <c r="D626" s="56" t="s">
        <v>394</v>
      </c>
      <c r="E626" s="56" t="s">
        <v>4878</v>
      </c>
      <c r="F626" s="26" t="s">
        <v>3923</v>
      </c>
      <c r="G626" s="26" t="s">
        <v>15</v>
      </c>
      <c r="H626" s="26" t="s">
        <v>13</v>
      </c>
      <c r="I626" s="26" t="s">
        <v>3924</v>
      </c>
      <c r="J626" s="26" t="s">
        <v>4969</v>
      </c>
      <c r="K626" s="26" t="s">
        <v>4921</v>
      </c>
      <c r="L626" s="26" t="s">
        <v>4125</v>
      </c>
      <c r="M626" s="55" t="s">
        <v>4881</v>
      </c>
      <c r="N626" s="26" t="s">
        <v>3924</v>
      </c>
    </row>
    <row r="627" spans="1:14" ht="75" customHeight="1" thickTop="1" thickBot="1">
      <c r="A627" s="34">
        <v>625</v>
      </c>
      <c r="B627" s="34">
        <v>641</v>
      </c>
      <c r="C627" s="55" t="s">
        <v>4898</v>
      </c>
      <c r="D627" s="56" t="s">
        <v>394</v>
      </c>
      <c r="E627" s="56" t="s">
        <v>4878</v>
      </c>
      <c r="F627" s="26" t="s">
        <v>3923</v>
      </c>
      <c r="G627" s="26" t="s">
        <v>15</v>
      </c>
      <c r="H627" s="26" t="s">
        <v>13</v>
      </c>
      <c r="I627" s="26" t="s">
        <v>3924</v>
      </c>
      <c r="J627" s="26" t="s">
        <v>4970</v>
      </c>
      <c r="K627" s="26" t="s">
        <v>4921</v>
      </c>
      <c r="L627" s="26" t="s">
        <v>4011</v>
      </c>
      <c r="M627" s="55" t="s">
        <v>4881</v>
      </c>
      <c r="N627" s="26" t="s">
        <v>3924</v>
      </c>
    </row>
    <row r="628" spans="1:14" ht="75" customHeight="1" thickTop="1" thickBot="1">
      <c r="A628" s="26">
        <v>626</v>
      </c>
      <c r="B628" s="26">
        <v>642</v>
      </c>
      <c r="C628" s="55" t="s">
        <v>4898</v>
      </c>
      <c r="D628" s="56" t="s">
        <v>394</v>
      </c>
      <c r="E628" s="56" t="s">
        <v>4878</v>
      </c>
      <c r="F628" s="26" t="s">
        <v>3923</v>
      </c>
      <c r="G628" s="26" t="s">
        <v>15</v>
      </c>
      <c r="H628" s="26" t="s">
        <v>13</v>
      </c>
      <c r="I628" s="26" t="s">
        <v>3924</v>
      </c>
      <c r="J628" s="26" t="s">
        <v>4970</v>
      </c>
      <c r="K628" s="26" t="s">
        <v>4921</v>
      </c>
      <c r="L628" s="26" t="s">
        <v>4203</v>
      </c>
      <c r="M628" s="55" t="s">
        <v>4881</v>
      </c>
      <c r="N628" s="26" t="s">
        <v>3924</v>
      </c>
    </row>
    <row r="629" spans="1:14" ht="75" customHeight="1" thickTop="1" thickBot="1">
      <c r="A629" s="34">
        <v>627</v>
      </c>
      <c r="B629" s="34">
        <v>643</v>
      </c>
      <c r="C629" s="55" t="s">
        <v>4898</v>
      </c>
      <c r="D629" s="56" t="s">
        <v>394</v>
      </c>
      <c r="E629" s="56" t="s">
        <v>4878</v>
      </c>
      <c r="F629" s="26" t="s">
        <v>3923</v>
      </c>
      <c r="G629" s="26" t="s">
        <v>15</v>
      </c>
      <c r="H629" s="26" t="s">
        <v>13</v>
      </c>
      <c r="I629" s="26" t="s">
        <v>3924</v>
      </c>
      <c r="J629" s="26" t="s">
        <v>4971</v>
      </c>
      <c r="K629" s="26" t="s">
        <v>4921</v>
      </c>
      <c r="L629" s="26" t="s">
        <v>4239</v>
      </c>
      <c r="M629" s="55" t="s">
        <v>4881</v>
      </c>
      <c r="N629" s="26" t="s">
        <v>3924</v>
      </c>
    </row>
    <row r="630" spans="1:14" ht="75" customHeight="1" thickTop="1" thickBot="1">
      <c r="A630" s="34">
        <v>628</v>
      </c>
      <c r="B630" s="26">
        <v>644</v>
      </c>
      <c r="C630" s="55" t="s">
        <v>4911</v>
      </c>
      <c r="D630" s="56" t="s">
        <v>394</v>
      </c>
      <c r="E630" s="56" t="s">
        <v>4878</v>
      </c>
      <c r="F630" s="26" t="s">
        <v>3923</v>
      </c>
      <c r="G630" s="26" t="s">
        <v>15</v>
      </c>
      <c r="H630" s="26" t="s">
        <v>13</v>
      </c>
      <c r="I630" s="26" t="s">
        <v>3924</v>
      </c>
      <c r="J630" s="26" t="s">
        <v>4971</v>
      </c>
      <c r="K630" s="26" t="s">
        <v>4923</v>
      </c>
      <c r="L630" s="26" t="s">
        <v>4277</v>
      </c>
      <c r="M630" s="55" t="s">
        <v>4881</v>
      </c>
      <c r="N630" s="26" t="s">
        <v>3924</v>
      </c>
    </row>
    <row r="631" spans="1:14" ht="75" customHeight="1" thickTop="1" thickBot="1">
      <c r="A631" s="26">
        <v>629</v>
      </c>
      <c r="B631" s="34">
        <v>645</v>
      </c>
      <c r="C631" s="55" t="s">
        <v>4911</v>
      </c>
      <c r="D631" s="56" t="s">
        <v>394</v>
      </c>
      <c r="E631" s="56" t="s">
        <v>4878</v>
      </c>
      <c r="F631" s="26" t="s">
        <v>3923</v>
      </c>
      <c r="G631" s="26" t="s">
        <v>15</v>
      </c>
      <c r="H631" s="26" t="s">
        <v>13</v>
      </c>
      <c r="I631" s="26" t="s">
        <v>3924</v>
      </c>
      <c r="J631" s="26" t="s">
        <v>4971</v>
      </c>
      <c r="K631" s="26" t="s">
        <v>4923</v>
      </c>
      <c r="L631" s="26" t="s">
        <v>4284</v>
      </c>
      <c r="M631" s="55" t="s">
        <v>4881</v>
      </c>
      <c r="N631" s="26" t="s">
        <v>3924</v>
      </c>
    </row>
    <row r="632" spans="1:14" ht="75" customHeight="1" thickTop="1" thickBot="1">
      <c r="A632" s="34">
        <v>630</v>
      </c>
      <c r="B632" s="26">
        <v>646</v>
      </c>
      <c r="C632" s="55" t="s">
        <v>4911</v>
      </c>
      <c r="D632" s="56" t="s">
        <v>394</v>
      </c>
      <c r="E632" s="56" t="s">
        <v>4878</v>
      </c>
      <c r="F632" s="26" t="s">
        <v>3923</v>
      </c>
      <c r="G632" s="26" t="s">
        <v>15</v>
      </c>
      <c r="H632" s="26" t="s">
        <v>13</v>
      </c>
      <c r="I632" s="26" t="s">
        <v>3924</v>
      </c>
      <c r="J632" s="26" t="s">
        <v>4971</v>
      </c>
      <c r="K632" s="26" t="s">
        <v>4923</v>
      </c>
      <c r="L632" s="26" t="s">
        <v>3986</v>
      </c>
      <c r="M632" s="55" t="s">
        <v>4881</v>
      </c>
      <c r="N632" s="26" t="s">
        <v>3924</v>
      </c>
    </row>
    <row r="633" spans="1:14" ht="75" customHeight="1" thickTop="1" thickBot="1">
      <c r="A633" s="34">
        <v>631</v>
      </c>
      <c r="B633" s="34">
        <v>647</v>
      </c>
      <c r="C633" s="55" t="s">
        <v>4911</v>
      </c>
      <c r="D633" s="56" t="s">
        <v>394</v>
      </c>
      <c r="E633" s="56" t="s">
        <v>4878</v>
      </c>
      <c r="F633" s="26" t="s">
        <v>3923</v>
      </c>
      <c r="G633" s="26" t="s">
        <v>15</v>
      </c>
      <c r="H633" s="26" t="s">
        <v>13</v>
      </c>
      <c r="I633" s="26" t="s">
        <v>3924</v>
      </c>
      <c r="J633" s="26" t="s">
        <v>4972</v>
      </c>
      <c r="K633" s="26" t="s">
        <v>4923</v>
      </c>
      <c r="L633" s="26" t="s">
        <v>4011</v>
      </c>
      <c r="M633" s="55" t="s">
        <v>4881</v>
      </c>
      <c r="N633" s="26" t="s">
        <v>3924</v>
      </c>
    </row>
    <row r="634" spans="1:14" ht="75" customHeight="1" thickTop="1" thickBot="1">
      <c r="A634" s="26">
        <v>632</v>
      </c>
      <c r="B634" s="26">
        <v>648</v>
      </c>
      <c r="C634" s="55" t="s">
        <v>4913</v>
      </c>
      <c r="D634" s="56" t="s">
        <v>394</v>
      </c>
      <c r="E634" s="56" t="s">
        <v>4878</v>
      </c>
      <c r="F634" s="26" t="s">
        <v>3923</v>
      </c>
      <c r="G634" s="26" t="s">
        <v>15</v>
      </c>
      <c r="H634" s="26" t="s">
        <v>13</v>
      </c>
      <c r="I634" s="26" t="s">
        <v>3924</v>
      </c>
      <c r="J634" s="26" t="s">
        <v>4972</v>
      </c>
      <c r="K634" s="26" t="s">
        <v>4923</v>
      </c>
      <c r="L634" s="26" t="s">
        <v>4203</v>
      </c>
      <c r="M634" s="55" t="s">
        <v>4881</v>
      </c>
      <c r="N634" s="26" t="s">
        <v>3924</v>
      </c>
    </row>
    <row r="635" spans="1:14" ht="75" customHeight="1" thickTop="1" thickBot="1">
      <c r="A635" s="34">
        <v>633</v>
      </c>
      <c r="B635" s="34">
        <v>649</v>
      </c>
      <c r="C635" s="55" t="s">
        <v>4913</v>
      </c>
      <c r="D635" s="56" t="s">
        <v>394</v>
      </c>
      <c r="E635" s="56" t="s">
        <v>4878</v>
      </c>
      <c r="F635" s="26" t="s">
        <v>3923</v>
      </c>
      <c r="G635" s="26" t="s">
        <v>15</v>
      </c>
      <c r="H635" s="26" t="s">
        <v>13</v>
      </c>
      <c r="I635" s="26" t="s">
        <v>3924</v>
      </c>
      <c r="J635" s="26" t="s">
        <v>4972</v>
      </c>
      <c r="K635" s="26" t="s">
        <v>4923</v>
      </c>
      <c r="L635" s="26" t="s">
        <v>4239</v>
      </c>
      <c r="M635" s="55" t="s">
        <v>4881</v>
      </c>
      <c r="N635" s="26" t="s">
        <v>3924</v>
      </c>
    </row>
    <row r="636" spans="1:14" ht="75" customHeight="1" thickTop="1" thickBot="1">
      <c r="A636" s="34">
        <v>634</v>
      </c>
      <c r="B636" s="26">
        <v>650</v>
      </c>
      <c r="C636" s="55" t="s">
        <v>4913</v>
      </c>
      <c r="D636" s="56" t="s">
        <v>394</v>
      </c>
      <c r="E636" s="56" t="s">
        <v>4878</v>
      </c>
      <c r="F636" s="26" t="s">
        <v>3923</v>
      </c>
      <c r="G636" s="26" t="s">
        <v>15</v>
      </c>
      <c r="H636" s="26" t="s">
        <v>13</v>
      </c>
      <c r="I636" s="26" t="s">
        <v>3924</v>
      </c>
      <c r="J636" s="26" t="s">
        <v>4972</v>
      </c>
      <c r="K636" s="26" t="s">
        <v>4925</v>
      </c>
      <c r="L636" s="26" t="s">
        <v>4277</v>
      </c>
      <c r="M636" s="55" t="s">
        <v>4881</v>
      </c>
      <c r="N636" s="26" t="s">
        <v>3924</v>
      </c>
    </row>
    <row r="637" spans="1:14" ht="75" customHeight="1" thickTop="1" thickBot="1">
      <c r="A637" s="26">
        <v>635</v>
      </c>
      <c r="B637" s="34">
        <v>651</v>
      </c>
      <c r="C637" s="55" t="s">
        <v>4917</v>
      </c>
      <c r="D637" s="56" t="s">
        <v>394</v>
      </c>
      <c r="E637" s="56" t="s">
        <v>4878</v>
      </c>
      <c r="F637" s="26" t="s">
        <v>3923</v>
      </c>
      <c r="G637" s="26" t="s">
        <v>15</v>
      </c>
      <c r="H637" s="26" t="s">
        <v>13</v>
      </c>
      <c r="I637" s="26" t="s">
        <v>3924</v>
      </c>
      <c r="J637" s="26" t="s">
        <v>4972</v>
      </c>
      <c r="K637" s="26" t="s">
        <v>4925</v>
      </c>
      <c r="L637" s="26" t="s">
        <v>4284</v>
      </c>
      <c r="M637" s="55" t="s">
        <v>4881</v>
      </c>
      <c r="N637" s="26" t="s">
        <v>3924</v>
      </c>
    </row>
    <row r="638" spans="1:14" ht="75" customHeight="1" thickTop="1" thickBot="1">
      <c r="A638" s="34">
        <v>636</v>
      </c>
      <c r="B638" s="26">
        <v>652</v>
      </c>
      <c r="C638" s="55" t="s">
        <v>4917</v>
      </c>
      <c r="D638" s="56" t="s">
        <v>394</v>
      </c>
      <c r="E638" s="56" t="s">
        <v>4878</v>
      </c>
      <c r="F638" s="26" t="s">
        <v>3923</v>
      </c>
      <c r="G638" s="26" t="s">
        <v>15</v>
      </c>
      <c r="H638" s="26" t="s">
        <v>13</v>
      </c>
      <c r="I638" s="26" t="s">
        <v>3924</v>
      </c>
      <c r="J638" s="26" t="s">
        <v>4972</v>
      </c>
      <c r="K638" s="26" t="s">
        <v>4925</v>
      </c>
      <c r="L638" s="26" t="s">
        <v>4125</v>
      </c>
      <c r="M638" s="55" t="s">
        <v>4881</v>
      </c>
      <c r="N638" s="26" t="s">
        <v>3924</v>
      </c>
    </row>
    <row r="639" spans="1:14" ht="75" customHeight="1" thickTop="1" thickBot="1">
      <c r="A639" s="34">
        <v>637</v>
      </c>
      <c r="B639" s="34">
        <v>653</v>
      </c>
      <c r="C639" s="55" t="s">
        <v>4917</v>
      </c>
      <c r="D639" s="56" t="s">
        <v>394</v>
      </c>
      <c r="E639" s="56" t="s">
        <v>4878</v>
      </c>
      <c r="F639" s="26" t="s">
        <v>3923</v>
      </c>
      <c r="G639" s="26" t="s">
        <v>15</v>
      </c>
      <c r="H639" s="26" t="s">
        <v>13</v>
      </c>
      <c r="I639" s="26" t="s">
        <v>3924</v>
      </c>
      <c r="J639" s="26" t="s">
        <v>4969</v>
      </c>
      <c r="K639" s="26" t="s">
        <v>4925</v>
      </c>
      <c r="L639" s="26" t="s">
        <v>4011</v>
      </c>
      <c r="M639" s="55" t="s">
        <v>4881</v>
      </c>
      <c r="N639" s="26" t="s">
        <v>3924</v>
      </c>
    </row>
    <row r="640" spans="1:14" ht="75" customHeight="1" thickTop="1" thickBot="1">
      <c r="A640" s="26">
        <v>638</v>
      </c>
      <c r="B640" s="26">
        <v>654</v>
      </c>
      <c r="C640" s="55" t="s">
        <v>4917</v>
      </c>
      <c r="D640" s="56" t="s">
        <v>394</v>
      </c>
      <c r="E640" s="56" t="s">
        <v>4878</v>
      </c>
      <c r="F640" s="26" t="s">
        <v>3923</v>
      </c>
      <c r="G640" s="26" t="s">
        <v>15</v>
      </c>
      <c r="H640" s="26" t="s">
        <v>13</v>
      </c>
      <c r="I640" s="26" t="s">
        <v>3924</v>
      </c>
      <c r="J640" s="26" t="s">
        <v>4969</v>
      </c>
      <c r="K640" s="26" t="s">
        <v>4925</v>
      </c>
      <c r="L640" s="26" t="s">
        <v>4203</v>
      </c>
      <c r="M640" s="55" t="s">
        <v>4881</v>
      </c>
      <c r="N640" s="26" t="s">
        <v>3924</v>
      </c>
    </row>
    <row r="641" spans="1:14" ht="75" customHeight="1" thickTop="1" thickBot="1">
      <c r="A641" s="34">
        <v>639</v>
      </c>
      <c r="B641" s="34">
        <v>655</v>
      </c>
      <c r="C641" s="55" t="s">
        <v>4917</v>
      </c>
      <c r="D641" s="56" t="s">
        <v>394</v>
      </c>
      <c r="E641" s="56" t="s">
        <v>4878</v>
      </c>
      <c r="F641" s="26" t="s">
        <v>3923</v>
      </c>
      <c r="G641" s="26" t="s">
        <v>15</v>
      </c>
      <c r="H641" s="26" t="s">
        <v>13</v>
      </c>
      <c r="I641" s="26" t="s">
        <v>3924</v>
      </c>
      <c r="J641" s="26" t="s">
        <v>4969</v>
      </c>
      <c r="K641" s="26" t="s">
        <v>4925</v>
      </c>
      <c r="L641" s="26" t="s">
        <v>4239</v>
      </c>
      <c r="M641" s="55" t="s">
        <v>4881</v>
      </c>
      <c r="N641" s="26" t="s">
        <v>3924</v>
      </c>
    </row>
    <row r="642" spans="1:14" ht="75" customHeight="1" thickTop="1" thickBot="1">
      <c r="A642" s="34">
        <v>640</v>
      </c>
      <c r="B642" s="26">
        <v>656</v>
      </c>
      <c r="C642" s="55" t="s">
        <v>4973</v>
      </c>
      <c r="D642" s="56" t="s">
        <v>394</v>
      </c>
      <c r="E642" s="56" t="s">
        <v>3922</v>
      </c>
      <c r="F642" s="26" t="s">
        <v>3923</v>
      </c>
      <c r="G642" s="26" t="s">
        <v>74</v>
      </c>
      <c r="H642" s="26" t="s">
        <v>13</v>
      </c>
      <c r="I642" s="26" t="s">
        <v>3924</v>
      </c>
      <c r="J642" s="26" t="s">
        <v>4974</v>
      </c>
      <c r="K642" s="26" t="s">
        <v>4975</v>
      </c>
      <c r="L642" s="26" t="s">
        <v>3927</v>
      </c>
      <c r="M642" s="55" t="s">
        <v>4976</v>
      </c>
      <c r="N642" s="26" t="s">
        <v>3924</v>
      </c>
    </row>
    <row r="643" spans="1:14" ht="75" customHeight="1" thickTop="1" thickBot="1">
      <c r="A643" s="26">
        <v>641</v>
      </c>
      <c r="B643" s="34">
        <v>657</v>
      </c>
      <c r="C643" s="55" t="s">
        <v>4977</v>
      </c>
      <c r="D643" s="56" t="s">
        <v>394</v>
      </c>
      <c r="E643" s="56" t="s">
        <v>3922</v>
      </c>
      <c r="F643" s="26" t="s">
        <v>3923</v>
      </c>
      <c r="G643" s="26" t="s">
        <v>74</v>
      </c>
      <c r="H643" s="26" t="s">
        <v>13</v>
      </c>
      <c r="I643" s="26" t="s">
        <v>3924</v>
      </c>
      <c r="J643" s="26" t="s">
        <v>4974</v>
      </c>
      <c r="K643" s="26" t="s">
        <v>3947</v>
      </c>
      <c r="L643" s="26" t="s">
        <v>3927</v>
      </c>
      <c r="M643" s="55" t="s">
        <v>4978</v>
      </c>
      <c r="N643" s="26" t="s">
        <v>3924</v>
      </c>
    </row>
    <row r="644" spans="1:14" ht="75" customHeight="1" thickTop="1" thickBot="1">
      <c r="A644" s="34">
        <v>642</v>
      </c>
      <c r="B644" s="26">
        <v>658</v>
      </c>
      <c r="C644" s="55" t="s">
        <v>4979</v>
      </c>
      <c r="D644" s="56" t="s">
        <v>394</v>
      </c>
      <c r="E644" s="56" t="s">
        <v>3922</v>
      </c>
      <c r="F644" s="26" t="s">
        <v>3923</v>
      </c>
      <c r="G644" s="26" t="s">
        <v>74</v>
      </c>
      <c r="H644" s="26" t="s">
        <v>13</v>
      </c>
      <c r="I644" s="26" t="s">
        <v>3924</v>
      </c>
      <c r="J644" s="26" t="s">
        <v>4974</v>
      </c>
      <c r="K644" s="26" t="s">
        <v>4010</v>
      </c>
      <c r="L644" s="26" t="s">
        <v>3927</v>
      </c>
      <c r="M644" s="55" t="s">
        <v>4980</v>
      </c>
      <c r="N644" s="26" t="s">
        <v>3924</v>
      </c>
    </row>
    <row r="645" spans="1:14" ht="75" customHeight="1" thickTop="1" thickBot="1">
      <c r="A645" s="34">
        <v>643</v>
      </c>
      <c r="B645" s="34">
        <v>659</v>
      </c>
      <c r="C645" s="55" t="s">
        <v>4981</v>
      </c>
      <c r="D645" s="56" t="s">
        <v>394</v>
      </c>
      <c r="E645" s="56" t="s">
        <v>3922</v>
      </c>
      <c r="F645" s="26" t="s">
        <v>3923</v>
      </c>
      <c r="G645" s="26" t="s">
        <v>74</v>
      </c>
      <c r="H645" s="26" t="s">
        <v>13</v>
      </c>
      <c r="I645" s="26" t="s">
        <v>3924</v>
      </c>
      <c r="J645" s="26" t="s">
        <v>4974</v>
      </c>
      <c r="K645" s="26" t="s">
        <v>4010</v>
      </c>
      <c r="L645" s="26" t="s">
        <v>3927</v>
      </c>
      <c r="M645" s="55" t="s">
        <v>4982</v>
      </c>
      <c r="N645" s="26" t="s">
        <v>3924</v>
      </c>
    </row>
    <row r="646" spans="1:14" ht="75" customHeight="1" thickTop="1" thickBot="1">
      <c r="A646" s="26">
        <v>644</v>
      </c>
      <c r="B646" s="26">
        <v>660</v>
      </c>
      <c r="C646" s="55" t="s">
        <v>4983</v>
      </c>
      <c r="D646" s="56" t="s">
        <v>394</v>
      </c>
      <c r="E646" s="56" t="s">
        <v>3922</v>
      </c>
      <c r="F646" s="26" t="s">
        <v>3923</v>
      </c>
      <c r="G646" s="26" t="s">
        <v>74</v>
      </c>
      <c r="H646" s="26" t="s">
        <v>13</v>
      </c>
      <c r="I646" s="26" t="s">
        <v>3924</v>
      </c>
      <c r="J646" s="26" t="s">
        <v>4974</v>
      </c>
      <c r="K646" s="26" t="s">
        <v>3947</v>
      </c>
      <c r="L646" s="26" t="s">
        <v>3927</v>
      </c>
      <c r="M646" s="55" t="s">
        <v>4984</v>
      </c>
      <c r="N646" s="26" t="s">
        <v>3924</v>
      </c>
    </row>
    <row r="647" spans="1:14" ht="75" customHeight="1" thickTop="1" thickBot="1">
      <c r="A647" s="34">
        <v>645</v>
      </c>
      <c r="B647" s="34">
        <v>661</v>
      </c>
      <c r="C647" s="55" t="s">
        <v>4983</v>
      </c>
      <c r="D647" s="56" t="s">
        <v>394</v>
      </c>
      <c r="E647" s="56" t="s">
        <v>3922</v>
      </c>
      <c r="F647" s="26" t="s">
        <v>3923</v>
      </c>
      <c r="G647" s="26" t="s">
        <v>74</v>
      </c>
      <c r="H647" s="26" t="s">
        <v>13</v>
      </c>
      <c r="I647" s="26" t="s">
        <v>3924</v>
      </c>
      <c r="J647" s="26" t="s">
        <v>4985</v>
      </c>
      <c r="K647" s="26" t="s">
        <v>3947</v>
      </c>
      <c r="L647" s="26" t="s">
        <v>3927</v>
      </c>
      <c r="M647" s="55" t="s">
        <v>4986</v>
      </c>
      <c r="N647" s="26" t="s">
        <v>3924</v>
      </c>
    </row>
    <row r="648" spans="1:14" ht="75" customHeight="1" thickTop="1" thickBot="1">
      <c r="A648" s="34">
        <v>646</v>
      </c>
      <c r="B648" s="26">
        <v>662</v>
      </c>
      <c r="C648" s="55" t="s">
        <v>4987</v>
      </c>
      <c r="D648" s="56" t="s">
        <v>394</v>
      </c>
      <c r="E648" s="56" t="s">
        <v>3922</v>
      </c>
      <c r="F648" s="26" t="s">
        <v>3923</v>
      </c>
      <c r="G648" s="26" t="s">
        <v>74</v>
      </c>
      <c r="H648" s="26" t="s">
        <v>13</v>
      </c>
      <c r="I648" s="26" t="s">
        <v>3924</v>
      </c>
      <c r="J648" s="26" t="s">
        <v>4985</v>
      </c>
      <c r="K648" s="26" t="s">
        <v>3941</v>
      </c>
      <c r="L648" s="26" t="s">
        <v>3927</v>
      </c>
      <c r="M648" s="55" t="s">
        <v>4988</v>
      </c>
      <c r="N648" s="26" t="s">
        <v>3924</v>
      </c>
    </row>
    <row r="649" spans="1:14" ht="75" customHeight="1" thickTop="1" thickBot="1">
      <c r="A649" s="26">
        <v>647</v>
      </c>
      <c r="B649" s="34">
        <v>663</v>
      </c>
      <c r="C649" s="55" t="s">
        <v>4987</v>
      </c>
      <c r="D649" s="56" t="s">
        <v>394</v>
      </c>
      <c r="E649" s="56" t="s">
        <v>3922</v>
      </c>
      <c r="F649" s="26" t="s">
        <v>3923</v>
      </c>
      <c r="G649" s="26" t="s">
        <v>74</v>
      </c>
      <c r="H649" s="26" t="s">
        <v>13</v>
      </c>
      <c r="I649" s="26" t="s">
        <v>3924</v>
      </c>
      <c r="J649" s="26" t="s">
        <v>4989</v>
      </c>
      <c r="K649" s="26" t="s">
        <v>4225</v>
      </c>
      <c r="L649" s="26" t="s">
        <v>3927</v>
      </c>
      <c r="M649" s="55" t="s">
        <v>4990</v>
      </c>
      <c r="N649" s="26" t="s">
        <v>3924</v>
      </c>
    </row>
    <row r="650" spans="1:14" ht="75" customHeight="1" thickTop="1" thickBot="1">
      <c r="A650" s="34">
        <v>648</v>
      </c>
      <c r="B650" s="26">
        <v>664</v>
      </c>
      <c r="C650" s="55" t="s">
        <v>4991</v>
      </c>
      <c r="D650" s="56" t="s">
        <v>394</v>
      </c>
      <c r="E650" s="56" t="s">
        <v>3922</v>
      </c>
      <c r="F650" s="26" t="s">
        <v>3923</v>
      </c>
      <c r="G650" s="26" t="s">
        <v>74</v>
      </c>
      <c r="H650" s="26" t="s">
        <v>13</v>
      </c>
      <c r="I650" s="26" t="s">
        <v>3924</v>
      </c>
      <c r="J650" s="26" t="s">
        <v>4989</v>
      </c>
      <c r="K650" s="26" t="s">
        <v>4225</v>
      </c>
      <c r="L650" s="26" t="s">
        <v>3927</v>
      </c>
      <c r="M650" s="55" t="s">
        <v>4992</v>
      </c>
      <c r="N650" s="26" t="s">
        <v>3924</v>
      </c>
    </row>
    <row r="651" spans="1:14" ht="75" customHeight="1" thickTop="1" thickBot="1">
      <c r="A651" s="34">
        <v>649</v>
      </c>
      <c r="B651" s="34">
        <v>665</v>
      </c>
      <c r="C651" s="55" t="s">
        <v>4993</v>
      </c>
      <c r="D651" s="56" t="s">
        <v>394</v>
      </c>
      <c r="E651" s="56" t="s">
        <v>3922</v>
      </c>
      <c r="F651" s="26" t="s">
        <v>3923</v>
      </c>
      <c r="G651" s="26" t="s">
        <v>74</v>
      </c>
      <c r="H651" s="26" t="s">
        <v>13</v>
      </c>
      <c r="I651" s="26" t="s">
        <v>3924</v>
      </c>
      <c r="J651" s="26" t="s">
        <v>4989</v>
      </c>
      <c r="K651" s="26" t="s">
        <v>3929</v>
      </c>
      <c r="L651" s="26" t="s">
        <v>3927</v>
      </c>
      <c r="M651" s="55" t="s">
        <v>4994</v>
      </c>
      <c r="N651" s="26" t="s">
        <v>3924</v>
      </c>
    </row>
    <row r="652" spans="1:14" ht="75" customHeight="1" thickTop="1" thickBot="1">
      <c r="A652" s="26">
        <v>650</v>
      </c>
      <c r="B652" s="26">
        <v>666</v>
      </c>
      <c r="C652" s="55" t="s">
        <v>4993</v>
      </c>
      <c r="D652" s="56" t="s">
        <v>394</v>
      </c>
      <c r="E652" s="56" t="s">
        <v>3922</v>
      </c>
      <c r="F652" s="26" t="s">
        <v>3923</v>
      </c>
      <c r="G652" s="26" t="s">
        <v>74</v>
      </c>
      <c r="H652" s="26" t="s">
        <v>13</v>
      </c>
      <c r="I652" s="26" t="s">
        <v>3924</v>
      </c>
      <c r="J652" s="26" t="s">
        <v>4989</v>
      </c>
      <c r="K652" s="26" t="s">
        <v>4010</v>
      </c>
      <c r="L652" s="26" t="s">
        <v>3927</v>
      </c>
      <c r="M652" s="55" t="s">
        <v>4995</v>
      </c>
      <c r="N652" s="26" t="s">
        <v>3924</v>
      </c>
    </row>
    <row r="653" spans="1:14" ht="75" customHeight="1" thickTop="1" thickBot="1">
      <c r="A653" s="34">
        <v>651</v>
      </c>
      <c r="B653" s="34">
        <v>667</v>
      </c>
      <c r="C653" s="55" t="s">
        <v>4996</v>
      </c>
      <c r="D653" s="56" t="s">
        <v>394</v>
      </c>
      <c r="E653" s="56" t="s">
        <v>3922</v>
      </c>
      <c r="F653" s="26" t="s">
        <v>3923</v>
      </c>
      <c r="G653" s="26" t="s">
        <v>74</v>
      </c>
      <c r="H653" s="26" t="s">
        <v>13</v>
      </c>
      <c r="I653" s="26" t="s">
        <v>3924</v>
      </c>
      <c r="J653" s="26" t="s">
        <v>4997</v>
      </c>
      <c r="K653" s="26" t="s">
        <v>3947</v>
      </c>
      <c r="L653" s="26" t="s">
        <v>3927</v>
      </c>
      <c r="M653" s="55" t="s">
        <v>4998</v>
      </c>
      <c r="N653" s="26" t="s">
        <v>3924</v>
      </c>
    </row>
    <row r="654" spans="1:14" ht="75" customHeight="1" thickTop="1" thickBot="1">
      <c r="A654" s="34">
        <v>652</v>
      </c>
      <c r="B654" s="26">
        <v>668</v>
      </c>
      <c r="C654" s="55" t="s">
        <v>4999</v>
      </c>
      <c r="D654" s="56" t="s">
        <v>394</v>
      </c>
      <c r="E654" s="56" t="s">
        <v>3922</v>
      </c>
      <c r="F654" s="26" t="s">
        <v>3923</v>
      </c>
      <c r="G654" s="26" t="s">
        <v>74</v>
      </c>
      <c r="H654" s="26" t="s">
        <v>13</v>
      </c>
      <c r="I654" s="26" t="s">
        <v>3924</v>
      </c>
      <c r="J654" s="26" t="s">
        <v>4997</v>
      </c>
      <c r="K654" s="26" t="s">
        <v>3947</v>
      </c>
      <c r="L654" s="26" t="s">
        <v>3927</v>
      </c>
      <c r="M654" s="55" t="s">
        <v>5000</v>
      </c>
      <c r="N654" s="26" t="s">
        <v>3924</v>
      </c>
    </row>
    <row r="655" spans="1:14" ht="75" customHeight="1" thickTop="1" thickBot="1">
      <c r="A655" s="26">
        <v>653</v>
      </c>
      <c r="B655" s="34">
        <v>669</v>
      </c>
      <c r="C655" s="55" t="s">
        <v>5001</v>
      </c>
      <c r="D655" s="56" t="s">
        <v>394</v>
      </c>
      <c r="E655" s="56" t="s">
        <v>3922</v>
      </c>
      <c r="F655" s="26" t="s">
        <v>3923</v>
      </c>
      <c r="G655" s="26" t="s">
        <v>74</v>
      </c>
      <c r="H655" s="26" t="s">
        <v>13</v>
      </c>
      <c r="I655" s="26" t="s">
        <v>3924</v>
      </c>
      <c r="J655" s="26" t="s">
        <v>4997</v>
      </c>
      <c r="K655" s="26" t="s">
        <v>3926</v>
      </c>
      <c r="L655" s="26" t="s">
        <v>3927</v>
      </c>
      <c r="M655" s="55" t="s">
        <v>5002</v>
      </c>
      <c r="N655" s="26" t="s">
        <v>3924</v>
      </c>
    </row>
    <row r="656" spans="1:14" ht="75" customHeight="1" thickTop="1" thickBot="1">
      <c r="A656" s="34">
        <v>654</v>
      </c>
      <c r="B656" s="26">
        <v>670</v>
      </c>
      <c r="C656" s="55" t="s">
        <v>5003</v>
      </c>
      <c r="D656" s="56" t="s">
        <v>394</v>
      </c>
      <c r="E656" s="56" t="s">
        <v>3922</v>
      </c>
      <c r="F656" s="26" t="s">
        <v>3923</v>
      </c>
      <c r="G656" s="26" t="s">
        <v>74</v>
      </c>
      <c r="H656" s="26" t="s">
        <v>13</v>
      </c>
      <c r="I656" s="26" t="s">
        <v>3924</v>
      </c>
      <c r="J656" s="26" t="s">
        <v>4997</v>
      </c>
      <c r="K656" s="26" t="s">
        <v>3926</v>
      </c>
      <c r="L656" s="26" t="s">
        <v>3927</v>
      </c>
      <c r="M656" s="55" t="s">
        <v>5004</v>
      </c>
      <c r="N656" s="26" t="s">
        <v>3924</v>
      </c>
    </row>
    <row r="657" spans="1:14" ht="75" customHeight="1" thickTop="1" thickBot="1">
      <c r="A657" s="34">
        <v>655</v>
      </c>
      <c r="B657" s="34">
        <v>671</v>
      </c>
      <c r="C657" s="55" t="s">
        <v>5005</v>
      </c>
      <c r="D657" s="56" t="s">
        <v>394</v>
      </c>
      <c r="E657" s="56" t="s">
        <v>3922</v>
      </c>
      <c r="F657" s="26" t="s">
        <v>3923</v>
      </c>
      <c r="G657" s="26" t="s">
        <v>74</v>
      </c>
      <c r="H657" s="26" t="s">
        <v>13</v>
      </c>
      <c r="I657" s="26" t="s">
        <v>3924</v>
      </c>
      <c r="J657" s="26" t="s">
        <v>5006</v>
      </c>
      <c r="K657" s="26" t="s">
        <v>3926</v>
      </c>
      <c r="L657" s="26" t="s">
        <v>3927</v>
      </c>
      <c r="M657" s="55" t="s">
        <v>5007</v>
      </c>
      <c r="N657" s="26" t="s">
        <v>3924</v>
      </c>
    </row>
    <row r="658" spans="1:14" ht="75" customHeight="1" thickTop="1" thickBot="1">
      <c r="A658" s="26">
        <v>656</v>
      </c>
      <c r="B658" s="26">
        <v>672</v>
      </c>
      <c r="C658" s="55" t="s">
        <v>5008</v>
      </c>
      <c r="D658" s="56" t="s">
        <v>394</v>
      </c>
      <c r="E658" s="56" t="s">
        <v>3922</v>
      </c>
      <c r="F658" s="26" t="s">
        <v>3923</v>
      </c>
      <c r="G658" s="26" t="s">
        <v>74</v>
      </c>
      <c r="H658" s="26" t="s">
        <v>13</v>
      </c>
      <c r="I658" s="26" t="s">
        <v>3924</v>
      </c>
      <c r="J658" s="26" t="s">
        <v>5006</v>
      </c>
      <c r="K658" s="26" t="s">
        <v>4046</v>
      </c>
      <c r="L658" s="26" t="s">
        <v>3927</v>
      </c>
      <c r="M658" s="55" t="s">
        <v>5009</v>
      </c>
      <c r="N658" s="26" t="s">
        <v>3924</v>
      </c>
    </row>
    <row r="659" spans="1:14" ht="75" customHeight="1" thickTop="1" thickBot="1">
      <c r="A659" s="34">
        <v>657</v>
      </c>
      <c r="B659" s="34">
        <v>673</v>
      </c>
      <c r="C659" s="55" t="s">
        <v>5008</v>
      </c>
      <c r="D659" s="56" t="s">
        <v>394</v>
      </c>
      <c r="E659" s="56" t="s">
        <v>3922</v>
      </c>
      <c r="F659" s="26" t="s">
        <v>3923</v>
      </c>
      <c r="G659" s="26" t="s">
        <v>74</v>
      </c>
      <c r="H659" s="26" t="s">
        <v>13</v>
      </c>
      <c r="I659" s="26" t="s">
        <v>3924</v>
      </c>
      <c r="J659" s="26" t="s">
        <v>5006</v>
      </c>
      <c r="K659" s="26" t="s">
        <v>3929</v>
      </c>
      <c r="L659" s="26" t="s">
        <v>3927</v>
      </c>
      <c r="M659" s="55" t="s">
        <v>5010</v>
      </c>
      <c r="N659" s="26" t="s">
        <v>3924</v>
      </c>
    </row>
    <row r="660" spans="1:14" ht="75" customHeight="1" thickTop="1" thickBot="1">
      <c r="A660" s="34">
        <v>658</v>
      </c>
      <c r="B660" s="26">
        <v>674</v>
      </c>
      <c r="C660" s="55" t="s">
        <v>5011</v>
      </c>
      <c r="D660" s="56" t="s">
        <v>394</v>
      </c>
      <c r="E660" s="56" t="s">
        <v>3922</v>
      </c>
      <c r="F660" s="26" t="s">
        <v>3923</v>
      </c>
      <c r="G660" s="26" t="s">
        <v>74</v>
      </c>
      <c r="H660" s="26" t="s">
        <v>13</v>
      </c>
      <c r="I660" s="26" t="s">
        <v>3924</v>
      </c>
      <c r="J660" s="26" t="s">
        <v>5006</v>
      </c>
      <c r="K660" s="26" t="s">
        <v>3947</v>
      </c>
      <c r="L660" s="26" t="s">
        <v>3927</v>
      </c>
      <c r="M660" s="55" t="s">
        <v>5012</v>
      </c>
      <c r="N660" s="26" t="s">
        <v>3924</v>
      </c>
    </row>
    <row r="661" spans="1:14" ht="75" customHeight="1" thickTop="1" thickBot="1">
      <c r="A661" s="26">
        <v>659</v>
      </c>
      <c r="B661" s="34">
        <v>675</v>
      </c>
      <c r="C661" s="55" t="s">
        <v>5013</v>
      </c>
      <c r="D661" s="56" t="s">
        <v>394</v>
      </c>
      <c r="E661" s="56" t="s">
        <v>3922</v>
      </c>
      <c r="F661" s="26" t="s">
        <v>3923</v>
      </c>
      <c r="G661" s="26" t="s">
        <v>74</v>
      </c>
      <c r="H661" s="26" t="s">
        <v>13</v>
      </c>
      <c r="I661" s="26" t="s">
        <v>3924</v>
      </c>
      <c r="J661" s="26" t="s">
        <v>5006</v>
      </c>
      <c r="K661" s="26" t="s">
        <v>3947</v>
      </c>
      <c r="L661" s="26" t="s">
        <v>3927</v>
      </c>
      <c r="M661" s="55" t="s">
        <v>5014</v>
      </c>
      <c r="N661" s="26" t="s">
        <v>3924</v>
      </c>
    </row>
    <row r="662" spans="1:14" ht="75" customHeight="1" thickTop="1" thickBot="1">
      <c r="A662" s="34">
        <v>660</v>
      </c>
      <c r="B662" s="26">
        <v>676</v>
      </c>
      <c r="C662" s="55" t="s">
        <v>5015</v>
      </c>
      <c r="D662" s="56" t="s">
        <v>394</v>
      </c>
      <c r="E662" s="56" t="s">
        <v>3922</v>
      </c>
      <c r="F662" s="26" t="s">
        <v>3923</v>
      </c>
      <c r="G662" s="26" t="s">
        <v>74</v>
      </c>
      <c r="H662" s="26" t="s">
        <v>13</v>
      </c>
      <c r="I662" s="26" t="s">
        <v>3924</v>
      </c>
      <c r="J662" s="26" t="s">
        <v>5016</v>
      </c>
      <c r="K662" s="26" t="s">
        <v>4010</v>
      </c>
      <c r="L662" s="26" t="s">
        <v>3927</v>
      </c>
      <c r="M662" s="55" t="s">
        <v>5017</v>
      </c>
      <c r="N662" s="26" t="s">
        <v>3924</v>
      </c>
    </row>
    <row r="663" spans="1:14" ht="75" customHeight="1" thickTop="1" thickBot="1">
      <c r="A663" s="34">
        <v>661</v>
      </c>
      <c r="B663" s="34">
        <v>677</v>
      </c>
      <c r="C663" s="55" t="s">
        <v>5015</v>
      </c>
      <c r="D663" s="56" t="s">
        <v>394</v>
      </c>
      <c r="E663" s="56" t="s">
        <v>3922</v>
      </c>
      <c r="F663" s="26" t="s">
        <v>3923</v>
      </c>
      <c r="G663" s="26" t="s">
        <v>74</v>
      </c>
      <c r="H663" s="26" t="s">
        <v>13</v>
      </c>
      <c r="I663" s="26" t="s">
        <v>3924</v>
      </c>
      <c r="J663" s="26" t="s">
        <v>5016</v>
      </c>
      <c r="K663" s="26" t="s">
        <v>4010</v>
      </c>
      <c r="L663" s="26" t="s">
        <v>3927</v>
      </c>
      <c r="M663" s="55" t="s">
        <v>5018</v>
      </c>
      <c r="N663" s="26" t="s">
        <v>3924</v>
      </c>
    </row>
    <row r="664" spans="1:14" ht="75" customHeight="1" thickTop="1" thickBot="1">
      <c r="A664" s="26">
        <v>662</v>
      </c>
      <c r="B664" s="26">
        <v>678</v>
      </c>
      <c r="C664" s="55" t="s">
        <v>5019</v>
      </c>
      <c r="D664" s="56" t="s">
        <v>394</v>
      </c>
      <c r="E664" s="56" t="s">
        <v>3922</v>
      </c>
      <c r="F664" s="26" t="s">
        <v>3923</v>
      </c>
      <c r="G664" s="26" t="s">
        <v>74</v>
      </c>
      <c r="H664" s="26" t="s">
        <v>13</v>
      </c>
      <c r="I664" s="26" t="s">
        <v>3924</v>
      </c>
      <c r="J664" s="26" t="s">
        <v>5016</v>
      </c>
      <c r="K664" s="26" t="s">
        <v>3947</v>
      </c>
      <c r="L664" s="26" t="s">
        <v>3927</v>
      </c>
      <c r="M664" s="55" t="s">
        <v>5020</v>
      </c>
      <c r="N664" s="26" t="s">
        <v>3924</v>
      </c>
    </row>
    <row r="665" spans="1:14" ht="75" customHeight="1" thickTop="1" thickBot="1">
      <c r="A665" s="34">
        <v>663</v>
      </c>
      <c r="B665" s="34">
        <v>679</v>
      </c>
      <c r="C665" s="55" t="s">
        <v>5021</v>
      </c>
      <c r="D665" s="56" t="s">
        <v>394</v>
      </c>
      <c r="E665" s="56" t="s">
        <v>3922</v>
      </c>
      <c r="F665" s="26" t="s">
        <v>3923</v>
      </c>
      <c r="G665" s="26" t="s">
        <v>74</v>
      </c>
      <c r="H665" s="26" t="s">
        <v>13</v>
      </c>
      <c r="I665" s="26" t="s">
        <v>3924</v>
      </c>
      <c r="J665" s="26" t="s">
        <v>5016</v>
      </c>
      <c r="K665" s="26" t="s">
        <v>3947</v>
      </c>
      <c r="L665" s="26" t="s">
        <v>3927</v>
      </c>
      <c r="M665" s="55" t="s">
        <v>5022</v>
      </c>
      <c r="N665" s="26" t="s">
        <v>3924</v>
      </c>
    </row>
    <row r="666" spans="1:14" ht="75" customHeight="1" thickTop="1" thickBot="1">
      <c r="A666" s="34">
        <v>664</v>
      </c>
      <c r="B666" s="26">
        <v>680</v>
      </c>
      <c r="C666" s="55" t="s">
        <v>5023</v>
      </c>
      <c r="D666" s="56" t="s">
        <v>394</v>
      </c>
      <c r="E666" s="56" t="s">
        <v>3922</v>
      </c>
      <c r="F666" s="26" t="s">
        <v>3923</v>
      </c>
      <c r="G666" s="26" t="s">
        <v>74</v>
      </c>
      <c r="H666" s="26" t="s">
        <v>13</v>
      </c>
      <c r="I666" s="26" t="s">
        <v>3924</v>
      </c>
      <c r="J666" s="26" t="s">
        <v>5016</v>
      </c>
      <c r="K666" s="26" t="s">
        <v>5024</v>
      </c>
      <c r="L666" s="26" t="s">
        <v>3927</v>
      </c>
      <c r="M666" s="55" t="s">
        <v>5025</v>
      </c>
      <c r="N666" s="26" t="s">
        <v>3924</v>
      </c>
    </row>
    <row r="667" spans="1:14" ht="75" customHeight="1" thickTop="1" thickBot="1">
      <c r="A667" s="26">
        <v>665</v>
      </c>
      <c r="B667" s="34">
        <v>681</v>
      </c>
      <c r="C667" s="55" t="s">
        <v>5026</v>
      </c>
      <c r="D667" s="56" t="s">
        <v>394</v>
      </c>
      <c r="E667" s="56" t="s">
        <v>3922</v>
      </c>
      <c r="F667" s="26" t="s">
        <v>3923</v>
      </c>
      <c r="G667" s="26" t="s">
        <v>74</v>
      </c>
      <c r="H667" s="26" t="s">
        <v>13</v>
      </c>
      <c r="I667" s="26" t="s">
        <v>3924</v>
      </c>
      <c r="J667" s="26" t="s">
        <v>5027</v>
      </c>
      <c r="K667" s="26" t="s">
        <v>4010</v>
      </c>
      <c r="L667" s="26" t="s">
        <v>3927</v>
      </c>
      <c r="M667" s="55" t="s">
        <v>5018</v>
      </c>
      <c r="N667" s="26" t="s">
        <v>3924</v>
      </c>
    </row>
    <row r="668" spans="1:14" ht="75" customHeight="1" thickTop="1" thickBot="1">
      <c r="A668" s="34">
        <v>666</v>
      </c>
      <c r="B668" s="26">
        <v>682</v>
      </c>
      <c r="C668" s="55" t="s">
        <v>5028</v>
      </c>
      <c r="D668" s="56" t="s">
        <v>394</v>
      </c>
      <c r="E668" s="56" t="s">
        <v>3922</v>
      </c>
      <c r="F668" s="26" t="s">
        <v>3923</v>
      </c>
      <c r="G668" s="26" t="s">
        <v>74</v>
      </c>
      <c r="H668" s="26" t="s">
        <v>13</v>
      </c>
      <c r="I668" s="26" t="s">
        <v>3924</v>
      </c>
      <c r="J668" s="26" t="s">
        <v>5027</v>
      </c>
      <c r="K668" s="26" t="s">
        <v>3926</v>
      </c>
      <c r="L668" s="26" t="s">
        <v>3927</v>
      </c>
      <c r="M668" s="55" t="s">
        <v>5029</v>
      </c>
      <c r="N668" s="26" t="s">
        <v>3924</v>
      </c>
    </row>
    <row r="669" spans="1:14" ht="75" customHeight="1" thickTop="1" thickBot="1">
      <c r="A669" s="34">
        <v>667</v>
      </c>
      <c r="B669" s="34">
        <v>683</v>
      </c>
      <c r="C669" s="55" t="s">
        <v>5030</v>
      </c>
      <c r="D669" s="56" t="s">
        <v>394</v>
      </c>
      <c r="E669" s="56" t="s">
        <v>3922</v>
      </c>
      <c r="F669" s="26" t="s">
        <v>3923</v>
      </c>
      <c r="G669" s="26" t="s">
        <v>74</v>
      </c>
      <c r="H669" s="26" t="s">
        <v>13</v>
      </c>
      <c r="I669" s="26" t="s">
        <v>3924</v>
      </c>
      <c r="J669" s="26" t="s">
        <v>5027</v>
      </c>
      <c r="K669" s="26" t="s">
        <v>3947</v>
      </c>
      <c r="L669" s="26" t="s">
        <v>3927</v>
      </c>
      <c r="M669" s="55" t="s">
        <v>5031</v>
      </c>
      <c r="N669" s="26" t="s">
        <v>3924</v>
      </c>
    </row>
    <row r="670" spans="1:14" ht="75" customHeight="1" thickTop="1" thickBot="1">
      <c r="A670" s="26">
        <v>668</v>
      </c>
      <c r="B670" s="26">
        <v>684</v>
      </c>
      <c r="C670" s="55" t="s">
        <v>5032</v>
      </c>
      <c r="D670" s="56" t="s">
        <v>394</v>
      </c>
      <c r="E670" s="56" t="s">
        <v>3922</v>
      </c>
      <c r="F670" s="26" t="s">
        <v>3923</v>
      </c>
      <c r="G670" s="26" t="s">
        <v>74</v>
      </c>
      <c r="H670" s="26" t="s">
        <v>13</v>
      </c>
      <c r="I670" s="26" t="s">
        <v>3924</v>
      </c>
      <c r="J670" s="26" t="s">
        <v>5027</v>
      </c>
      <c r="K670" s="26" t="s">
        <v>3941</v>
      </c>
      <c r="L670" s="26" t="s">
        <v>3927</v>
      </c>
      <c r="M670" s="55" t="s">
        <v>5033</v>
      </c>
      <c r="N670" s="26" t="s">
        <v>3924</v>
      </c>
    </row>
    <row r="671" spans="1:14" ht="75" customHeight="1" thickTop="1" thickBot="1">
      <c r="A671" s="34">
        <v>669</v>
      </c>
      <c r="B671" s="34">
        <v>685</v>
      </c>
      <c r="C671" s="55" t="s">
        <v>5032</v>
      </c>
      <c r="D671" s="56" t="s">
        <v>394</v>
      </c>
      <c r="E671" s="56" t="s">
        <v>3922</v>
      </c>
      <c r="F671" s="26" t="s">
        <v>3923</v>
      </c>
      <c r="G671" s="26" t="s">
        <v>74</v>
      </c>
      <c r="H671" s="26" t="s">
        <v>13</v>
      </c>
      <c r="I671" s="26" t="s">
        <v>3924</v>
      </c>
      <c r="J671" s="26" t="s">
        <v>5027</v>
      </c>
      <c r="K671" s="26" t="s">
        <v>5034</v>
      </c>
      <c r="L671" s="26" t="s">
        <v>3927</v>
      </c>
      <c r="M671" s="55" t="s">
        <v>5020</v>
      </c>
      <c r="N671" s="26" t="s">
        <v>3924</v>
      </c>
    </row>
    <row r="672" spans="1:14" ht="75" customHeight="1" thickTop="1" thickBot="1">
      <c r="A672" s="34">
        <v>670</v>
      </c>
      <c r="B672" s="26">
        <v>686</v>
      </c>
      <c r="C672" s="55" t="s">
        <v>5035</v>
      </c>
      <c r="D672" s="56" t="s">
        <v>394</v>
      </c>
      <c r="E672" s="56" t="s">
        <v>3922</v>
      </c>
      <c r="F672" s="26" t="s">
        <v>3923</v>
      </c>
      <c r="G672" s="26" t="s">
        <v>74</v>
      </c>
      <c r="H672" s="26" t="s">
        <v>13</v>
      </c>
      <c r="I672" s="26" t="s">
        <v>3924</v>
      </c>
      <c r="J672" s="26" t="s">
        <v>5036</v>
      </c>
      <c r="K672" s="26" t="s">
        <v>3947</v>
      </c>
      <c r="L672" s="26" t="s">
        <v>3927</v>
      </c>
      <c r="M672" s="55" t="s">
        <v>5037</v>
      </c>
      <c r="N672" s="26" t="s">
        <v>3924</v>
      </c>
    </row>
    <row r="673" spans="1:14" ht="75" customHeight="1" thickTop="1" thickBot="1">
      <c r="A673" s="26">
        <v>671</v>
      </c>
      <c r="B673" s="34">
        <v>687</v>
      </c>
      <c r="C673" s="55" t="s">
        <v>5038</v>
      </c>
      <c r="D673" s="56" t="s">
        <v>394</v>
      </c>
      <c r="E673" s="56" t="s">
        <v>3922</v>
      </c>
      <c r="F673" s="26" t="s">
        <v>3923</v>
      </c>
      <c r="G673" s="26" t="s">
        <v>74</v>
      </c>
      <c r="H673" s="26" t="s">
        <v>13</v>
      </c>
      <c r="I673" s="26" t="s">
        <v>3924</v>
      </c>
      <c r="J673" s="26" t="s">
        <v>5036</v>
      </c>
      <c r="K673" s="26" t="s">
        <v>3926</v>
      </c>
      <c r="L673" s="26" t="s">
        <v>3927</v>
      </c>
      <c r="M673" s="55" t="s">
        <v>5039</v>
      </c>
      <c r="N673" s="26" t="s">
        <v>3924</v>
      </c>
    </row>
    <row r="674" spans="1:14" ht="75" customHeight="1" thickTop="1" thickBot="1">
      <c r="A674" s="34">
        <v>672</v>
      </c>
      <c r="B674" s="26">
        <v>688</v>
      </c>
      <c r="C674" s="55" t="s">
        <v>5040</v>
      </c>
      <c r="D674" s="56" t="s">
        <v>394</v>
      </c>
      <c r="E674" s="56" t="s">
        <v>3922</v>
      </c>
      <c r="F674" s="26" t="s">
        <v>3923</v>
      </c>
      <c r="G674" s="26" t="s">
        <v>74</v>
      </c>
      <c r="H674" s="26" t="s">
        <v>13</v>
      </c>
      <c r="I674" s="26" t="s">
        <v>3924</v>
      </c>
      <c r="J674" s="26" t="s">
        <v>5036</v>
      </c>
      <c r="K674" s="26" t="s">
        <v>3929</v>
      </c>
      <c r="L674" s="26" t="s">
        <v>3927</v>
      </c>
      <c r="M674" s="55" t="s">
        <v>5041</v>
      </c>
      <c r="N674" s="26" t="s">
        <v>3924</v>
      </c>
    </row>
    <row r="675" spans="1:14" ht="75" customHeight="1" thickTop="1" thickBot="1">
      <c r="A675" s="34">
        <v>673</v>
      </c>
      <c r="B675" s="34">
        <v>689</v>
      </c>
      <c r="C675" s="55" t="s">
        <v>5040</v>
      </c>
      <c r="D675" s="56" t="s">
        <v>394</v>
      </c>
      <c r="E675" s="56" t="s">
        <v>3922</v>
      </c>
      <c r="F675" s="26" t="s">
        <v>3923</v>
      </c>
      <c r="G675" s="26" t="s">
        <v>74</v>
      </c>
      <c r="H675" s="26" t="s">
        <v>13</v>
      </c>
      <c r="I675" s="26" t="s">
        <v>3924</v>
      </c>
      <c r="J675" s="26" t="s">
        <v>5042</v>
      </c>
      <c r="K675" s="26" t="s">
        <v>3941</v>
      </c>
      <c r="L675" s="26" t="s">
        <v>3927</v>
      </c>
      <c r="M675" s="55" t="s">
        <v>5043</v>
      </c>
      <c r="N675" s="26" t="s">
        <v>3924</v>
      </c>
    </row>
    <row r="676" spans="1:14" ht="75" customHeight="1" thickTop="1" thickBot="1">
      <c r="A676" s="26">
        <v>674</v>
      </c>
      <c r="B676" s="26">
        <v>690</v>
      </c>
      <c r="C676" s="55" t="s">
        <v>5044</v>
      </c>
      <c r="D676" s="56" t="s">
        <v>394</v>
      </c>
      <c r="E676" s="56" t="s">
        <v>3922</v>
      </c>
      <c r="F676" s="26" t="s">
        <v>3923</v>
      </c>
      <c r="G676" s="26" t="s">
        <v>74</v>
      </c>
      <c r="H676" s="26" t="s">
        <v>13</v>
      </c>
      <c r="I676" s="26" t="s">
        <v>3924</v>
      </c>
      <c r="J676" s="26" t="s">
        <v>5042</v>
      </c>
      <c r="K676" s="26" t="s">
        <v>3926</v>
      </c>
      <c r="L676" s="26" t="s">
        <v>3927</v>
      </c>
      <c r="M676" s="55" t="s">
        <v>5045</v>
      </c>
      <c r="N676" s="26" t="s">
        <v>3924</v>
      </c>
    </row>
    <row r="677" spans="1:14" ht="75" customHeight="1" thickTop="1" thickBot="1">
      <c r="A677" s="34">
        <v>675</v>
      </c>
      <c r="B677" s="34">
        <v>691</v>
      </c>
      <c r="C677" s="55" t="s">
        <v>5046</v>
      </c>
      <c r="D677" s="56" t="s">
        <v>394</v>
      </c>
      <c r="E677" s="56" t="s">
        <v>3922</v>
      </c>
      <c r="F677" s="26" t="s">
        <v>3923</v>
      </c>
      <c r="G677" s="26" t="s">
        <v>74</v>
      </c>
      <c r="H677" s="26" t="s">
        <v>13</v>
      </c>
      <c r="I677" s="64" t="s">
        <v>3924</v>
      </c>
      <c r="J677" s="26" t="s">
        <v>5042</v>
      </c>
      <c r="K677" s="26" t="s">
        <v>3926</v>
      </c>
      <c r="L677" s="26" t="s">
        <v>3927</v>
      </c>
      <c r="M677" s="55" t="s">
        <v>5047</v>
      </c>
      <c r="N677" s="26" t="s">
        <v>3924</v>
      </c>
    </row>
    <row r="678" spans="1:14" ht="75" customHeight="1" thickTop="1" thickBot="1">
      <c r="A678" s="34">
        <v>676</v>
      </c>
      <c r="B678" s="26">
        <v>692</v>
      </c>
      <c r="C678" s="55" t="s">
        <v>5048</v>
      </c>
      <c r="D678" s="56" t="s">
        <v>394</v>
      </c>
      <c r="E678" s="56" t="s">
        <v>3922</v>
      </c>
      <c r="F678" s="26" t="s">
        <v>3923</v>
      </c>
      <c r="G678" s="26" t="s">
        <v>74</v>
      </c>
      <c r="H678" s="26" t="s">
        <v>13</v>
      </c>
      <c r="I678" s="64" t="s">
        <v>3924</v>
      </c>
      <c r="J678" s="26" t="s">
        <v>5042</v>
      </c>
      <c r="K678" s="26" t="s">
        <v>4040</v>
      </c>
      <c r="L678" s="26" t="s">
        <v>3927</v>
      </c>
      <c r="M678" s="55" t="s">
        <v>5049</v>
      </c>
      <c r="N678" s="26" t="s">
        <v>3924</v>
      </c>
    </row>
    <row r="679" spans="1:14" ht="75" customHeight="1" thickTop="1" thickBot="1">
      <c r="A679" s="26">
        <v>677</v>
      </c>
      <c r="B679" s="34">
        <v>693</v>
      </c>
      <c r="C679" s="55" t="s">
        <v>5050</v>
      </c>
      <c r="D679" s="56" t="s">
        <v>394</v>
      </c>
      <c r="E679" s="56" t="s">
        <v>3922</v>
      </c>
      <c r="F679" s="26" t="s">
        <v>3923</v>
      </c>
      <c r="G679" s="26" t="s">
        <v>74</v>
      </c>
      <c r="H679" s="26" t="s">
        <v>13</v>
      </c>
      <c r="I679" s="26" t="s">
        <v>3924</v>
      </c>
      <c r="J679" s="26" t="s">
        <v>5042</v>
      </c>
      <c r="K679" s="26" t="s">
        <v>3947</v>
      </c>
      <c r="L679" s="26" t="s">
        <v>3927</v>
      </c>
      <c r="M679" s="55" t="s">
        <v>5051</v>
      </c>
      <c r="N679" s="26" t="s">
        <v>3924</v>
      </c>
    </row>
    <row r="680" spans="1:14" ht="75" customHeight="1" thickTop="1" thickBot="1">
      <c r="A680" s="34">
        <v>678</v>
      </c>
      <c r="B680" s="26">
        <v>694</v>
      </c>
      <c r="C680" s="55" t="s">
        <v>5052</v>
      </c>
      <c r="D680" s="56" t="s">
        <v>394</v>
      </c>
      <c r="E680" s="56" t="s">
        <v>3922</v>
      </c>
      <c r="F680" s="26" t="s">
        <v>3923</v>
      </c>
      <c r="G680" s="26" t="s">
        <v>74</v>
      </c>
      <c r="H680" s="26" t="s">
        <v>13</v>
      </c>
      <c r="I680" s="26" t="s">
        <v>3924</v>
      </c>
      <c r="J680" s="26" t="s">
        <v>5053</v>
      </c>
      <c r="K680" s="26" t="s">
        <v>4046</v>
      </c>
      <c r="L680" s="26" t="s">
        <v>3927</v>
      </c>
      <c r="M680" s="55" t="s">
        <v>5054</v>
      </c>
      <c r="N680" s="26" t="s">
        <v>3924</v>
      </c>
    </row>
    <row r="681" spans="1:14" ht="75" customHeight="1" thickTop="1" thickBot="1">
      <c r="A681" s="34">
        <v>679</v>
      </c>
      <c r="B681" s="34">
        <v>695</v>
      </c>
      <c r="C681" s="55" t="s">
        <v>5052</v>
      </c>
      <c r="D681" s="56" t="s">
        <v>394</v>
      </c>
      <c r="E681" s="56" t="s">
        <v>3922</v>
      </c>
      <c r="F681" s="26" t="s">
        <v>3923</v>
      </c>
      <c r="G681" s="26" t="s">
        <v>74</v>
      </c>
      <c r="H681" s="26" t="s">
        <v>13</v>
      </c>
      <c r="I681" s="26" t="s">
        <v>3924</v>
      </c>
      <c r="J681" s="26" t="s">
        <v>5053</v>
      </c>
      <c r="K681" s="26" t="s">
        <v>3926</v>
      </c>
      <c r="L681" s="26" t="s">
        <v>3927</v>
      </c>
      <c r="M681" s="55" t="s">
        <v>5055</v>
      </c>
      <c r="N681" s="26" t="s">
        <v>3924</v>
      </c>
    </row>
    <row r="682" spans="1:14" ht="75" customHeight="1" thickTop="1" thickBot="1">
      <c r="A682" s="26">
        <v>680</v>
      </c>
      <c r="B682" s="26">
        <v>696</v>
      </c>
      <c r="C682" s="55" t="s">
        <v>5056</v>
      </c>
      <c r="D682" s="56" t="s">
        <v>394</v>
      </c>
      <c r="E682" s="56" t="s">
        <v>3922</v>
      </c>
      <c r="F682" s="26" t="s">
        <v>3923</v>
      </c>
      <c r="G682" s="26" t="s">
        <v>74</v>
      </c>
      <c r="H682" s="26" t="s">
        <v>13</v>
      </c>
      <c r="I682" s="26" t="s">
        <v>3924</v>
      </c>
      <c r="J682" s="26" t="s">
        <v>5053</v>
      </c>
      <c r="K682" s="26" t="s">
        <v>3926</v>
      </c>
      <c r="L682" s="26" t="s">
        <v>3927</v>
      </c>
      <c r="M682" s="55" t="s">
        <v>5057</v>
      </c>
      <c r="N682" s="26" t="s">
        <v>3924</v>
      </c>
    </row>
    <row r="683" spans="1:14" ht="75" customHeight="1" thickTop="1" thickBot="1">
      <c r="A683" s="34">
        <v>681</v>
      </c>
      <c r="B683" s="34">
        <v>697</v>
      </c>
      <c r="C683" s="55" t="s">
        <v>5058</v>
      </c>
      <c r="D683" s="56" t="s">
        <v>394</v>
      </c>
      <c r="E683" s="56" t="s">
        <v>3922</v>
      </c>
      <c r="F683" s="26" t="s">
        <v>3923</v>
      </c>
      <c r="G683" s="26" t="s">
        <v>74</v>
      </c>
      <c r="H683" s="26" t="s">
        <v>13</v>
      </c>
      <c r="I683" s="26" t="s">
        <v>3924</v>
      </c>
      <c r="J683" s="26" t="s">
        <v>5053</v>
      </c>
      <c r="K683" s="26" t="s">
        <v>4046</v>
      </c>
      <c r="L683" s="26" t="s">
        <v>3927</v>
      </c>
      <c r="M683" s="55" t="s">
        <v>5059</v>
      </c>
      <c r="N683" s="26" t="s">
        <v>3924</v>
      </c>
    </row>
    <row r="684" spans="1:14" ht="75" customHeight="1" thickTop="1" thickBot="1">
      <c r="A684" s="34">
        <v>682</v>
      </c>
      <c r="B684" s="26">
        <v>698</v>
      </c>
      <c r="C684" s="55" t="s">
        <v>5058</v>
      </c>
      <c r="D684" s="56" t="s">
        <v>394</v>
      </c>
      <c r="E684" s="56" t="s">
        <v>3922</v>
      </c>
      <c r="F684" s="26" t="s">
        <v>3923</v>
      </c>
      <c r="G684" s="26" t="s">
        <v>74</v>
      </c>
      <c r="H684" s="26" t="s">
        <v>13</v>
      </c>
      <c r="I684" s="26" t="s">
        <v>3924</v>
      </c>
      <c r="J684" s="26" t="s">
        <v>5053</v>
      </c>
      <c r="K684" s="26" t="s">
        <v>3947</v>
      </c>
      <c r="L684" s="26" t="s">
        <v>3927</v>
      </c>
      <c r="M684" s="55" t="s">
        <v>5000</v>
      </c>
      <c r="N684" s="26" t="s">
        <v>3924</v>
      </c>
    </row>
    <row r="685" spans="1:14" ht="75" customHeight="1" thickTop="1" thickBot="1">
      <c r="A685" s="26">
        <v>683</v>
      </c>
      <c r="B685" s="34">
        <v>699</v>
      </c>
      <c r="C685" s="55" t="s">
        <v>5060</v>
      </c>
      <c r="D685" s="56" t="s">
        <v>394</v>
      </c>
      <c r="E685" s="56" t="s">
        <v>3922</v>
      </c>
      <c r="F685" s="26" t="s">
        <v>3923</v>
      </c>
      <c r="G685" s="26" t="s">
        <v>74</v>
      </c>
      <c r="H685" s="26" t="s">
        <v>13</v>
      </c>
      <c r="I685" s="26" t="s">
        <v>3924</v>
      </c>
      <c r="J685" s="26" t="s">
        <v>5061</v>
      </c>
      <c r="K685" s="26" t="s">
        <v>3947</v>
      </c>
      <c r="L685" s="26" t="s">
        <v>3927</v>
      </c>
      <c r="M685" s="55" t="s">
        <v>5062</v>
      </c>
      <c r="N685" s="26" t="s">
        <v>3924</v>
      </c>
    </row>
    <row r="686" spans="1:14" ht="75" customHeight="1" thickTop="1" thickBot="1">
      <c r="A686" s="34">
        <v>684</v>
      </c>
      <c r="B686" s="26">
        <v>700</v>
      </c>
      <c r="C686" s="55" t="s">
        <v>5063</v>
      </c>
      <c r="D686" s="56" t="s">
        <v>394</v>
      </c>
      <c r="E686" s="56" t="s">
        <v>3922</v>
      </c>
      <c r="F686" s="26" t="s">
        <v>3923</v>
      </c>
      <c r="G686" s="26" t="s">
        <v>74</v>
      </c>
      <c r="H686" s="26" t="s">
        <v>13</v>
      </c>
      <c r="I686" s="26" t="s">
        <v>3924</v>
      </c>
      <c r="J686" s="26" t="s">
        <v>5061</v>
      </c>
      <c r="K686" s="26" t="s">
        <v>4046</v>
      </c>
      <c r="L686" s="26" t="s">
        <v>3927</v>
      </c>
      <c r="M686" s="55" t="s">
        <v>5064</v>
      </c>
      <c r="N686" s="26" t="s">
        <v>3924</v>
      </c>
    </row>
    <row r="687" spans="1:14" ht="75" customHeight="1" thickTop="1" thickBot="1">
      <c r="A687" s="34">
        <v>685</v>
      </c>
      <c r="B687" s="34">
        <v>701</v>
      </c>
      <c r="C687" s="55" t="s">
        <v>5036</v>
      </c>
      <c r="D687" s="56" t="s">
        <v>394</v>
      </c>
      <c r="E687" s="56" t="s">
        <v>4878</v>
      </c>
      <c r="F687" s="26" t="s">
        <v>3923</v>
      </c>
      <c r="G687" s="26" t="s">
        <v>15</v>
      </c>
      <c r="H687" s="26" t="s">
        <v>13</v>
      </c>
      <c r="I687" s="26" t="s">
        <v>3924</v>
      </c>
      <c r="J687" s="26" t="s">
        <v>5061</v>
      </c>
      <c r="K687" s="26" t="s">
        <v>3926</v>
      </c>
      <c r="L687" s="26" t="s">
        <v>5065</v>
      </c>
      <c r="M687" s="55" t="s">
        <v>5066</v>
      </c>
      <c r="N687" s="26" t="s">
        <v>3924</v>
      </c>
    </row>
    <row r="688" spans="1:14" ht="75" customHeight="1" thickTop="1" thickBot="1">
      <c r="A688" s="26">
        <v>686</v>
      </c>
      <c r="B688" s="26">
        <v>702</v>
      </c>
      <c r="C688" s="55" t="s">
        <v>5067</v>
      </c>
      <c r="D688" s="56" t="s">
        <v>394</v>
      </c>
      <c r="E688" s="56" t="s">
        <v>4878</v>
      </c>
      <c r="F688" s="26" t="s">
        <v>3923</v>
      </c>
      <c r="G688" s="26" t="s">
        <v>15</v>
      </c>
      <c r="H688" s="26" t="s">
        <v>13</v>
      </c>
      <c r="I688" s="26" t="s">
        <v>3924</v>
      </c>
      <c r="J688" s="26" t="s">
        <v>5068</v>
      </c>
      <c r="K688" s="26" t="s">
        <v>3947</v>
      </c>
      <c r="L688" s="26" t="s">
        <v>4011</v>
      </c>
      <c r="M688" s="55" t="s">
        <v>5066</v>
      </c>
      <c r="N688" s="26" t="s">
        <v>3924</v>
      </c>
    </row>
    <row r="689" spans="1:14" ht="75" customHeight="1" thickTop="1" thickBot="1">
      <c r="A689" s="34">
        <v>687</v>
      </c>
      <c r="B689" s="34">
        <v>703</v>
      </c>
      <c r="C689" s="55" t="s">
        <v>5069</v>
      </c>
      <c r="D689" s="56" t="s">
        <v>394</v>
      </c>
      <c r="E689" s="56" t="s">
        <v>4878</v>
      </c>
      <c r="F689" s="26" t="s">
        <v>3923</v>
      </c>
      <c r="G689" s="26" t="s">
        <v>15</v>
      </c>
      <c r="H689" s="26" t="s">
        <v>13</v>
      </c>
      <c r="I689" s="26" t="s">
        <v>3924</v>
      </c>
      <c r="J689" s="26" t="s">
        <v>5070</v>
      </c>
      <c r="K689" s="26" t="s">
        <v>3947</v>
      </c>
      <c r="L689" s="26" t="s">
        <v>4203</v>
      </c>
      <c r="M689" s="55" t="s">
        <v>5066</v>
      </c>
      <c r="N689" s="26" t="s">
        <v>3924</v>
      </c>
    </row>
    <row r="690" spans="1:14" ht="75" customHeight="1" thickTop="1" thickBot="1">
      <c r="A690" s="34">
        <v>688</v>
      </c>
      <c r="B690" s="26">
        <v>704</v>
      </c>
      <c r="C690" s="55" t="s">
        <v>5069</v>
      </c>
      <c r="D690" s="56" t="s">
        <v>394</v>
      </c>
      <c r="E690" s="56" t="s">
        <v>4878</v>
      </c>
      <c r="F690" s="26" t="s">
        <v>3923</v>
      </c>
      <c r="G690" s="26" t="s">
        <v>15</v>
      </c>
      <c r="H690" s="26" t="s">
        <v>13</v>
      </c>
      <c r="I690" s="26" t="s">
        <v>3924</v>
      </c>
      <c r="J690" s="26" t="s">
        <v>5070</v>
      </c>
      <c r="K690" s="26" t="s">
        <v>3947</v>
      </c>
      <c r="L690" s="26" t="s">
        <v>4239</v>
      </c>
      <c r="M690" s="55" t="s">
        <v>5066</v>
      </c>
      <c r="N690" s="26" t="s">
        <v>3924</v>
      </c>
    </row>
    <row r="691" spans="1:14" ht="75" customHeight="1" thickTop="1" thickBot="1">
      <c r="A691" s="26">
        <v>689</v>
      </c>
      <c r="B691" s="34">
        <v>705</v>
      </c>
      <c r="C691" s="55" t="s">
        <v>5069</v>
      </c>
      <c r="D691" s="56" t="s">
        <v>394</v>
      </c>
      <c r="E691" s="56" t="s">
        <v>4878</v>
      </c>
      <c r="F691" s="26" t="s">
        <v>3923</v>
      </c>
      <c r="G691" s="26" t="s">
        <v>15</v>
      </c>
      <c r="H691" s="26" t="s">
        <v>13</v>
      </c>
      <c r="I691" s="26" t="s">
        <v>3924</v>
      </c>
      <c r="J691" s="26" t="s">
        <v>5070</v>
      </c>
      <c r="K691" s="26" t="s">
        <v>3947</v>
      </c>
      <c r="L691" s="26" t="s">
        <v>4284</v>
      </c>
      <c r="M691" s="55" t="s">
        <v>5066</v>
      </c>
      <c r="N691" s="26" t="s">
        <v>3924</v>
      </c>
    </row>
    <row r="692" spans="1:14" ht="75" customHeight="1" thickTop="1" thickBot="1">
      <c r="A692" s="34">
        <v>690</v>
      </c>
      <c r="B692" s="26">
        <v>706</v>
      </c>
      <c r="C692" s="55" t="s">
        <v>5069</v>
      </c>
      <c r="D692" s="56" t="s">
        <v>394</v>
      </c>
      <c r="E692" s="56" t="s">
        <v>4878</v>
      </c>
      <c r="F692" s="26" t="s">
        <v>3923</v>
      </c>
      <c r="G692" s="26" t="s">
        <v>15</v>
      </c>
      <c r="H692" s="26" t="s">
        <v>13</v>
      </c>
      <c r="I692" s="26" t="s">
        <v>3924</v>
      </c>
      <c r="J692" s="26" t="s">
        <v>5070</v>
      </c>
      <c r="K692" s="26" t="s">
        <v>4010</v>
      </c>
      <c r="L692" s="26" t="s">
        <v>4011</v>
      </c>
      <c r="M692" s="55" t="s">
        <v>5066</v>
      </c>
      <c r="N692" s="26" t="s">
        <v>3924</v>
      </c>
    </row>
    <row r="693" spans="1:14" ht="75" customHeight="1" thickTop="1" thickBot="1">
      <c r="A693" s="34">
        <v>691</v>
      </c>
      <c r="B693" s="34">
        <v>707</v>
      </c>
      <c r="C693" s="55" t="s">
        <v>5071</v>
      </c>
      <c r="D693" s="56" t="s">
        <v>394</v>
      </c>
      <c r="E693" s="56" t="s">
        <v>4878</v>
      </c>
      <c r="F693" s="26" t="s">
        <v>3923</v>
      </c>
      <c r="G693" s="26" t="s">
        <v>15</v>
      </c>
      <c r="H693" s="26" t="s">
        <v>13</v>
      </c>
      <c r="I693" s="26" t="s">
        <v>3924</v>
      </c>
      <c r="J693" s="26" t="s">
        <v>5072</v>
      </c>
      <c r="K693" s="26" t="s">
        <v>4010</v>
      </c>
      <c r="L693" s="26" t="s">
        <v>4203</v>
      </c>
      <c r="M693" s="55" t="s">
        <v>5066</v>
      </c>
      <c r="N693" s="26" t="s">
        <v>3924</v>
      </c>
    </row>
    <row r="694" spans="1:14" ht="75" customHeight="1" thickTop="1" thickBot="1">
      <c r="A694" s="26">
        <v>692</v>
      </c>
      <c r="B694" s="26">
        <v>708</v>
      </c>
      <c r="C694" s="55" t="s">
        <v>5071</v>
      </c>
      <c r="D694" s="56" t="s">
        <v>394</v>
      </c>
      <c r="E694" s="56" t="s">
        <v>4878</v>
      </c>
      <c r="F694" s="26" t="s">
        <v>3923</v>
      </c>
      <c r="G694" s="26" t="s">
        <v>15</v>
      </c>
      <c r="H694" s="26" t="s">
        <v>13</v>
      </c>
      <c r="I694" s="26" t="s">
        <v>3924</v>
      </c>
      <c r="J694" s="26" t="s">
        <v>5072</v>
      </c>
      <c r="K694" s="26" t="s">
        <v>4010</v>
      </c>
      <c r="L694" s="26" t="s">
        <v>4239</v>
      </c>
      <c r="M694" s="55" t="s">
        <v>5066</v>
      </c>
      <c r="N694" s="26" t="s">
        <v>3924</v>
      </c>
    </row>
    <row r="695" spans="1:14" ht="75" customHeight="1" thickTop="1" thickBot="1">
      <c r="A695" s="34">
        <v>693</v>
      </c>
      <c r="B695" s="34">
        <v>709</v>
      </c>
      <c r="C695" s="55" t="s">
        <v>5071</v>
      </c>
      <c r="D695" s="56" t="s">
        <v>394</v>
      </c>
      <c r="E695" s="56" t="s">
        <v>4878</v>
      </c>
      <c r="F695" s="26" t="s">
        <v>3923</v>
      </c>
      <c r="G695" s="26" t="s">
        <v>15</v>
      </c>
      <c r="H695" s="26" t="s">
        <v>13</v>
      </c>
      <c r="I695" s="26" t="s">
        <v>3924</v>
      </c>
      <c r="J695" s="26" t="s">
        <v>5072</v>
      </c>
      <c r="K695" s="26" t="s">
        <v>4010</v>
      </c>
      <c r="L695" s="26" t="s">
        <v>4125</v>
      </c>
      <c r="M695" s="55" t="s">
        <v>5066</v>
      </c>
      <c r="N695" s="26" t="s">
        <v>3924</v>
      </c>
    </row>
    <row r="696" spans="1:14" ht="75" customHeight="1" thickTop="1" thickBot="1">
      <c r="A696" s="34">
        <v>694</v>
      </c>
      <c r="B696" s="26">
        <v>710</v>
      </c>
      <c r="C696" s="55" t="s">
        <v>5071</v>
      </c>
      <c r="D696" s="56" t="s">
        <v>394</v>
      </c>
      <c r="E696" s="56" t="s">
        <v>4878</v>
      </c>
      <c r="F696" s="26" t="s">
        <v>3923</v>
      </c>
      <c r="G696" s="26" t="s">
        <v>15</v>
      </c>
      <c r="H696" s="26" t="s">
        <v>13</v>
      </c>
      <c r="I696" s="26" t="s">
        <v>3924</v>
      </c>
      <c r="J696" s="26" t="s">
        <v>5072</v>
      </c>
      <c r="K696" s="26" t="s">
        <v>3941</v>
      </c>
      <c r="L696" s="26" t="s">
        <v>4203</v>
      </c>
      <c r="M696" s="55" t="s">
        <v>5066</v>
      </c>
      <c r="N696" s="26" t="s">
        <v>3924</v>
      </c>
    </row>
    <row r="697" spans="1:14" ht="75" customHeight="1" thickTop="1" thickBot="1">
      <c r="A697" s="26">
        <v>695</v>
      </c>
      <c r="B697" s="34">
        <v>711</v>
      </c>
      <c r="C697" s="55" t="s">
        <v>5073</v>
      </c>
      <c r="D697" s="56" t="s">
        <v>394</v>
      </c>
      <c r="E697" s="56" t="s">
        <v>4878</v>
      </c>
      <c r="F697" s="26" t="s">
        <v>3923</v>
      </c>
      <c r="G697" s="26" t="s">
        <v>15</v>
      </c>
      <c r="H697" s="26" t="s">
        <v>13</v>
      </c>
      <c r="I697" s="26" t="s">
        <v>3924</v>
      </c>
      <c r="J697" s="26" t="s">
        <v>5074</v>
      </c>
      <c r="K697" s="26" t="s">
        <v>3941</v>
      </c>
      <c r="L697" s="26" t="s">
        <v>4277</v>
      </c>
      <c r="M697" s="55" t="s">
        <v>5066</v>
      </c>
      <c r="N697" s="26" t="s">
        <v>3924</v>
      </c>
    </row>
    <row r="698" spans="1:14" ht="75" customHeight="1" thickTop="1" thickBot="1">
      <c r="A698" s="34">
        <v>696</v>
      </c>
      <c r="B698" s="26">
        <v>712</v>
      </c>
      <c r="C698" s="55" t="s">
        <v>5073</v>
      </c>
      <c r="D698" s="56" t="s">
        <v>394</v>
      </c>
      <c r="E698" s="56" t="s">
        <v>4878</v>
      </c>
      <c r="F698" s="26" t="s">
        <v>3923</v>
      </c>
      <c r="G698" s="26" t="s">
        <v>15</v>
      </c>
      <c r="H698" s="26" t="s">
        <v>13</v>
      </c>
      <c r="I698" s="26" t="s">
        <v>3924</v>
      </c>
      <c r="J698" s="26" t="s">
        <v>5075</v>
      </c>
      <c r="K698" s="26" t="s">
        <v>3941</v>
      </c>
      <c r="L698" s="26" t="s">
        <v>4125</v>
      </c>
      <c r="M698" s="55" t="s">
        <v>5066</v>
      </c>
      <c r="N698" s="26" t="s">
        <v>3924</v>
      </c>
    </row>
    <row r="699" spans="1:14" ht="75" customHeight="1" thickTop="1" thickBot="1">
      <c r="A699" s="34">
        <v>697</v>
      </c>
      <c r="B699" s="34">
        <v>713</v>
      </c>
      <c r="C699" s="55" t="s">
        <v>5073</v>
      </c>
      <c r="D699" s="56" t="s">
        <v>394</v>
      </c>
      <c r="E699" s="56" t="s">
        <v>4878</v>
      </c>
      <c r="F699" s="26" t="s">
        <v>3923</v>
      </c>
      <c r="G699" s="26" t="s">
        <v>15</v>
      </c>
      <c r="H699" s="26" t="s">
        <v>13</v>
      </c>
      <c r="I699" s="26" t="s">
        <v>3924</v>
      </c>
      <c r="J699" s="26" t="s">
        <v>5075</v>
      </c>
      <c r="K699" s="26" t="s">
        <v>3929</v>
      </c>
      <c r="L699" s="26" t="s">
        <v>4011</v>
      </c>
      <c r="M699" s="55" t="s">
        <v>5066</v>
      </c>
      <c r="N699" s="26" t="s">
        <v>3924</v>
      </c>
    </row>
    <row r="700" spans="1:14" ht="75" customHeight="1" thickTop="1" thickBot="1">
      <c r="A700" s="26">
        <v>698</v>
      </c>
      <c r="B700" s="26">
        <v>714</v>
      </c>
      <c r="C700" s="55" t="s">
        <v>5073</v>
      </c>
      <c r="D700" s="56" t="s">
        <v>394</v>
      </c>
      <c r="E700" s="56" t="s">
        <v>4878</v>
      </c>
      <c r="F700" s="26" t="s">
        <v>3923</v>
      </c>
      <c r="G700" s="26" t="s">
        <v>15</v>
      </c>
      <c r="H700" s="26" t="s">
        <v>13</v>
      </c>
      <c r="I700" s="26" t="s">
        <v>3924</v>
      </c>
      <c r="J700" s="26" t="s">
        <v>5075</v>
      </c>
      <c r="K700" s="26" t="s">
        <v>3929</v>
      </c>
      <c r="L700" s="26" t="s">
        <v>4203</v>
      </c>
      <c r="M700" s="55" t="s">
        <v>5066</v>
      </c>
      <c r="N700" s="26" t="s">
        <v>3924</v>
      </c>
    </row>
    <row r="701" spans="1:14" ht="75" customHeight="1" thickTop="1" thickBot="1">
      <c r="A701" s="34">
        <v>699</v>
      </c>
      <c r="B701" s="34">
        <v>715</v>
      </c>
      <c r="C701" s="55" t="s">
        <v>5076</v>
      </c>
      <c r="D701" s="56" t="s">
        <v>394</v>
      </c>
      <c r="E701" s="56" t="s">
        <v>4878</v>
      </c>
      <c r="F701" s="26" t="s">
        <v>3923</v>
      </c>
      <c r="G701" s="26" t="s">
        <v>15</v>
      </c>
      <c r="H701" s="26" t="s">
        <v>13</v>
      </c>
      <c r="I701" s="26" t="s">
        <v>3924</v>
      </c>
      <c r="J701" s="26" t="s">
        <v>5075</v>
      </c>
      <c r="K701" s="26" t="s">
        <v>3929</v>
      </c>
      <c r="L701" s="26" t="s">
        <v>4239</v>
      </c>
      <c r="M701" s="55" t="s">
        <v>5066</v>
      </c>
      <c r="N701" s="26" t="s">
        <v>3924</v>
      </c>
    </row>
    <row r="702" spans="1:14" ht="75" customHeight="1" thickTop="1" thickBot="1">
      <c r="A702" s="34">
        <v>700</v>
      </c>
      <c r="B702" s="26">
        <v>716</v>
      </c>
      <c r="C702" s="55" t="s">
        <v>5076</v>
      </c>
      <c r="D702" s="56" t="s">
        <v>394</v>
      </c>
      <c r="E702" s="56" t="s">
        <v>4878</v>
      </c>
      <c r="F702" s="26" t="s">
        <v>3923</v>
      </c>
      <c r="G702" s="26" t="s">
        <v>15</v>
      </c>
      <c r="H702" s="26" t="s">
        <v>13</v>
      </c>
      <c r="I702" s="26" t="s">
        <v>3924</v>
      </c>
      <c r="J702" s="26" t="s">
        <v>5077</v>
      </c>
      <c r="K702" s="26" t="s">
        <v>3929</v>
      </c>
      <c r="L702" s="26" t="s">
        <v>4284</v>
      </c>
      <c r="M702" s="55" t="s">
        <v>5066</v>
      </c>
      <c r="N702" s="26" t="s">
        <v>3924</v>
      </c>
    </row>
    <row r="703" spans="1:14" ht="75" customHeight="1" thickTop="1" thickBot="1">
      <c r="A703" s="26">
        <v>701</v>
      </c>
      <c r="B703" s="34">
        <v>717</v>
      </c>
      <c r="C703" s="55" t="s">
        <v>5076</v>
      </c>
      <c r="D703" s="56" t="s">
        <v>394</v>
      </c>
      <c r="E703" s="56" t="s">
        <v>4878</v>
      </c>
      <c r="F703" s="26" t="s">
        <v>3923</v>
      </c>
      <c r="G703" s="26" t="s">
        <v>15</v>
      </c>
      <c r="H703" s="26" t="s">
        <v>13</v>
      </c>
      <c r="I703" s="26" t="s">
        <v>3924</v>
      </c>
      <c r="J703" s="26" t="s">
        <v>5077</v>
      </c>
      <c r="K703" s="26" t="s">
        <v>3929</v>
      </c>
      <c r="L703" s="26" t="s">
        <v>4125</v>
      </c>
      <c r="M703" s="55" t="s">
        <v>5066</v>
      </c>
      <c r="N703" s="26" t="s">
        <v>3924</v>
      </c>
    </row>
    <row r="704" spans="1:14" ht="75" customHeight="1" thickTop="1" thickBot="1">
      <c r="A704" s="34">
        <v>702</v>
      </c>
      <c r="B704" s="26">
        <v>718</v>
      </c>
      <c r="C704" s="55" t="s">
        <v>5076</v>
      </c>
      <c r="D704" s="56" t="s">
        <v>394</v>
      </c>
      <c r="E704" s="56" t="s">
        <v>4878</v>
      </c>
      <c r="F704" s="26" t="s">
        <v>3923</v>
      </c>
      <c r="G704" s="26" t="s">
        <v>15</v>
      </c>
      <c r="H704" s="26" t="s">
        <v>13</v>
      </c>
      <c r="I704" s="26" t="s">
        <v>3924</v>
      </c>
      <c r="J704" s="26" t="s">
        <v>5077</v>
      </c>
      <c r="K704" s="26" t="s">
        <v>4040</v>
      </c>
      <c r="L704" s="26" t="s">
        <v>4277</v>
      </c>
      <c r="M704" s="55" t="s">
        <v>5066</v>
      </c>
      <c r="N704" s="26" t="s">
        <v>3924</v>
      </c>
    </row>
    <row r="705" spans="1:14" ht="75" customHeight="1" thickTop="1" thickBot="1">
      <c r="A705" s="34">
        <v>703</v>
      </c>
      <c r="B705" s="34">
        <v>719</v>
      </c>
      <c r="C705" s="55" t="s">
        <v>5078</v>
      </c>
      <c r="D705" s="56" t="s">
        <v>394</v>
      </c>
      <c r="E705" s="56" t="s">
        <v>4878</v>
      </c>
      <c r="F705" s="26" t="s">
        <v>3923</v>
      </c>
      <c r="G705" s="26" t="s">
        <v>15</v>
      </c>
      <c r="H705" s="26" t="s">
        <v>13</v>
      </c>
      <c r="I705" s="26" t="s">
        <v>3924</v>
      </c>
      <c r="J705" s="26" t="s">
        <v>5077</v>
      </c>
      <c r="K705" s="26" t="s">
        <v>4040</v>
      </c>
      <c r="L705" s="26" t="s">
        <v>4239</v>
      </c>
      <c r="M705" s="55" t="s">
        <v>5066</v>
      </c>
      <c r="N705" s="26" t="s">
        <v>3924</v>
      </c>
    </row>
    <row r="706" spans="1:14" ht="75" customHeight="1" thickTop="1" thickBot="1">
      <c r="A706" s="26">
        <v>704</v>
      </c>
      <c r="B706" s="26">
        <v>720</v>
      </c>
      <c r="C706" s="55" t="s">
        <v>5078</v>
      </c>
      <c r="D706" s="56" t="s">
        <v>394</v>
      </c>
      <c r="E706" s="56" t="s">
        <v>4878</v>
      </c>
      <c r="F706" s="26" t="s">
        <v>3923</v>
      </c>
      <c r="G706" s="26" t="s">
        <v>15</v>
      </c>
      <c r="H706" s="26" t="s">
        <v>13</v>
      </c>
      <c r="I706" s="26" t="s">
        <v>3924</v>
      </c>
      <c r="J706" s="26" t="s">
        <v>5077</v>
      </c>
      <c r="K706" s="26" t="s">
        <v>3976</v>
      </c>
      <c r="L706" s="26" t="s">
        <v>3986</v>
      </c>
      <c r="M706" s="55" t="s">
        <v>5066</v>
      </c>
      <c r="N706" s="26" t="s">
        <v>3924</v>
      </c>
    </row>
    <row r="707" spans="1:14" ht="75" customHeight="1" thickTop="1" thickBot="1">
      <c r="A707" s="34">
        <v>705</v>
      </c>
      <c r="B707" s="34">
        <v>721</v>
      </c>
      <c r="C707" s="55" t="s">
        <v>5068</v>
      </c>
      <c r="D707" s="56" t="s">
        <v>394</v>
      </c>
      <c r="E707" s="56" t="s">
        <v>4878</v>
      </c>
      <c r="F707" s="26" t="s">
        <v>3923</v>
      </c>
      <c r="G707" s="26" t="s">
        <v>15</v>
      </c>
      <c r="H707" s="26" t="s">
        <v>13</v>
      </c>
      <c r="I707" s="26" t="s">
        <v>3924</v>
      </c>
      <c r="J707" s="26" t="s">
        <v>5077</v>
      </c>
      <c r="K707" s="26" t="s">
        <v>3947</v>
      </c>
      <c r="L707" s="26" t="s">
        <v>5079</v>
      </c>
      <c r="M707" s="55" t="s">
        <v>5080</v>
      </c>
      <c r="N707" s="26" t="s">
        <v>3924</v>
      </c>
    </row>
    <row r="708" spans="1:14" ht="75" customHeight="1" thickTop="1" thickBot="1">
      <c r="A708" s="34">
        <v>706</v>
      </c>
      <c r="B708" s="26">
        <v>722</v>
      </c>
      <c r="C708" s="55" t="s">
        <v>5068</v>
      </c>
      <c r="D708" s="56" t="s">
        <v>394</v>
      </c>
      <c r="E708" s="56" t="s">
        <v>4878</v>
      </c>
      <c r="F708" s="26" t="s">
        <v>3923</v>
      </c>
      <c r="G708" s="26" t="s">
        <v>15</v>
      </c>
      <c r="H708" s="26" t="s">
        <v>13</v>
      </c>
      <c r="I708" s="26" t="s">
        <v>3924</v>
      </c>
      <c r="J708" s="26" t="s">
        <v>5081</v>
      </c>
      <c r="K708" s="26" t="s">
        <v>3947</v>
      </c>
      <c r="L708" s="26" t="s">
        <v>5082</v>
      </c>
      <c r="M708" s="55" t="s">
        <v>5080</v>
      </c>
      <c r="N708" s="26" t="s">
        <v>3924</v>
      </c>
    </row>
    <row r="709" spans="1:14" ht="75" customHeight="1" thickTop="1" thickBot="1">
      <c r="A709" s="26">
        <v>707</v>
      </c>
      <c r="B709" s="34">
        <v>723</v>
      </c>
      <c r="C709" s="55" t="s">
        <v>5068</v>
      </c>
      <c r="D709" s="56" t="s">
        <v>394</v>
      </c>
      <c r="E709" s="56" t="s">
        <v>4878</v>
      </c>
      <c r="F709" s="26" t="s">
        <v>3923</v>
      </c>
      <c r="G709" s="26" t="s">
        <v>15</v>
      </c>
      <c r="H709" s="26" t="s">
        <v>13</v>
      </c>
      <c r="I709" s="26" t="s">
        <v>3924</v>
      </c>
      <c r="J709" s="26" t="s">
        <v>5081</v>
      </c>
      <c r="K709" s="26" t="s">
        <v>3947</v>
      </c>
      <c r="L709" s="26" t="s">
        <v>5083</v>
      </c>
      <c r="M709" s="55" t="s">
        <v>5080</v>
      </c>
      <c r="N709" s="26" t="s">
        <v>3924</v>
      </c>
    </row>
    <row r="710" spans="1:14" ht="75" customHeight="1" thickTop="1" thickBot="1">
      <c r="A710" s="34">
        <v>708</v>
      </c>
      <c r="B710" s="26">
        <v>724</v>
      </c>
      <c r="C710" s="55" t="s">
        <v>5070</v>
      </c>
      <c r="D710" s="56" t="s">
        <v>394</v>
      </c>
      <c r="E710" s="56" t="s">
        <v>4878</v>
      </c>
      <c r="F710" s="26" t="s">
        <v>3923</v>
      </c>
      <c r="G710" s="26" t="s">
        <v>15</v>
      </c>
      <c r="H710" s="26" t="s">
        <v>13</v>
      </c>
      <c r="I710" s="26" t="s">
        <v>3924</v>
      </c>
      <c r="J710" s="26" t="s">
        <v>5081</v>
      </c>
      <c r="K710" s="26" t="s">
        <v>3941</v>
      </c>
      <c r="L710" s="26" t="s">
        <v>4284</v>
      </c>
      <c r="M710" s="55" t="s">
        <v>5080</v>
      </c>
      <c r="N710" s="26" t="s">
        <v>3924</v>
      </c>
    </row>
    <row r="711" spans="1:14" ht="75" customHeight="1" thickTop="1" thickBot="1">
      <c r="A711" s="34">
        <v>709</v>
      </c>
      <c r="B711" s="34">
        <v>725</v>
      </c>
      <c r="C711" s="55" t="s">
        <v>5070</v>
      </c>
      <c r="D711" s="56" t="s">
        <v>394</v>
      </c>
      <c r="E711" s="56" t="s">
        <v>4878</v>
      </c>
      <c r="F711" s="26" t="s">
        <v>3923</v>
      </c>
      <c r="G711" s="26" t="s">
        <v>15</v>
      </c>
      <c r="H711" s="26" t="s">
        <v>13</v>
      </c>
      <c r="I711" s="26" t="s">
        <v>3924</v>
      </c>
      <c r="J711" s="26" t="s">
        <v>5081</v>
      </c>
      <c r="K711" s="26" t="s">
        <v>3929</v>
      </c>
      <c r="L711" s="26" t="s">
        <v>4125</v>
      </c>
      <c r="M711" s="55" t="s">
        <v>5080</v>
      </c>
      <c r="N711" s="26" t="s">
        <v>3924</v>
      </c>
    </row>
    <row r="712" spans="1:14" ht="75" customHeight="1" thickTop="1" thickBot="1">
      <c r="A712" s="26">
        <v>710</v>
      </c>
      <c r="B712" s="26">
        <v>726</v>
      </c>
      <c r="C712" s="55" t="s">
        <v>5070</v>
      </c>
      <c r="D712" s="56" t="s">
        <v>394</v>
      </c>
      <c r="E712" s="56" t="s">
        <v>4878</v>
      </c>
      <c r="F712" s="26" t="s">
        <v>3923</v>
      </c>
      <c r="G712" s="26" t="s">
        <v>15</v>
      </c>
      <c r="H712" s="26" t="s">
        <v>13</v>
      </c>
      <c r="I712" s="26" t="s">
        <v>3924</v>
      </c>
      <c r="J712" s="26" t="s">
        <v>5081</v>
      </c>
      <c r="K712" s="26" t="s">
        <v>3929</v>
      </c>
      <c r="L712" s="26" t="s">
        <v>4284</v>
      </c>
      <c r="M712" s="55" t="s">
        <v>5080</v>
      </c>
      <c r="N712" s="26" t="s">
        <v>3924</v>
      </c>
    </row>
    <row r="713" spans="1:14" ht="75" customHeight="1" thickTop="1" thickBot="1">
      <c r="A713" s="34">
        <v>711</v>
      </c>
      <c r="B713" s="34">
        <v>727</v>
      </c>
      <c r="C713" s="55" t="s">
        <v>5072</v>
      </c>
      <c r="D713" s="56" t="s">
        <v>394</v>
      </c>
      <c r="E713" s="56" t="s">
        <v>4878</v>
      </c>
      <c r="F713" s="26" t="s">
        <v>3923</v>
      </c>
      <c r="G713" s="26" t="s">
        <v>15</v>
      </c>
      <c r="H713" s="26" t="s">
        <v>13</v>
      </c>
      <c r="I713" s="26" t="s">
        <v>3924</v>
      </c>
      <c r="J713" s="26" t="s">
        <v>5084</v>
      </c>
      <c r="K713" s="26" t="s">
        <v>4032</v>
      </c>
      <c r="L713" s="26" t="s">
        <v>4033</v>
      </c>
      <c r="M713" s="55" t="s">
        <v>5085</v>
      </c>
      <c r="N713" s="26" t="s">
        <v>3924</v>
      </c>
    </row>
    <row r="714" spans="1:14" ht="75" customHeight="1" thickTop="1" thickBot="1">
      <c r="A714" s="34">
        <v>712</v>
      </c>
      <c r="B714" s="26">
        <v>728</v>
      </c>
      <c r="C714" s="55" t="s">
        <v>5086</v>
      </c>
      <c r="D714" s="56" t="s">
        <v>394</v>
      </c>
      <c r="E714" s="56" t="s">
        <v>4878</v>
      </c>
      <c r="F714" s="26" t="s">
        <v>3923</v>
      </c>
      <c r="G714" s="26" t="s">
        <v>15</v>
      </c>
      <c r="H714" s="26" t="s">
        <v>13</v>
      </c>
      <c r="I714" s="26" t="s">
        <v>3924</v>
      </c>
      <c r="J714" s="26" t="s">
        <v>5084</v>
      </c>
      <c r="K714" s="26" t="s">
        <v>4032</v>
      </c>
      <c r="L714" s="26" t="s">
        <v>5087</v>
      </c>
      <c r="M714" s="55" t="s">
        <v>5085</v>
      </c>
      <c r="N714" s="26" t="s">
        <v>3924</v>
      </c>
    </row>
    <row r="715" spans="1:14" ht="75" customHeight="1" thickTop="1" thickBot="1">
      <c r="A715" s="26">
        <v>713</v>
      </c>
      <c r="B715" s="34">
        <v>729</v>
      </c>
      <c r="C715" s="55" t="s">
        <v>5086</v>
      </c>
      <c r="D715" s="56" t="s">
        <v>394</v>
      </c>
      <c r="E715" s="56" t="s">
        <v>4878</v>
      </c>
      <c r="F715" s="26" t="s">
        <v>3923</v>
      </c>
      <c r="G715" s="26" t="s">
        <v>15</v>
      </c>
      <c r="H715" s="26" t="s">
        <v>13</v>
      </c>
      <c r="I715" s="26" t="s">
        <v>3924</v>
      </c>
      <c r="J715" s="26" t="s">
        <v>5084</v>
      </c>
      <c r="K715" s="26" t="s">
        <v>3926</v>
      </c>
      <c r="L715" s="26" t="s">
        <v>5088</v>
      </c>
      <c r="M715" s="55" t="s">
        <v>5085</v>
      </c>
      <c r="N715" s="26" t="s">
        <v>3924</v>
      </c>
    </row>
    <row r="716" spans="1:14" ht="75" customHeight="1" thickTop="1" thickBot="1">
      <c r="A716" s="34">
        <v>714</v>
      </c>
      <c r="B716" s="26">
        <v>730</v>
      </c>
      <c r="C716" s="55" t="s">
        <v>5089</v>
      </c>
      <c r="D716" s="56" t="s">
        <v>394</v>
      </c>
      <c r="E716" s="56" t="s">
        <v>4878</v>
      </c>
      <c r="F716" s="26" t="s">
        <v>3923</v>
      </c>
      <c r="G716" s="26" t="s">
        <v>15</v>
      </c>
      <c r="H716" s="26" t="s">
        <v>13</v>
      </c>
      <c r="I716" s="26" t="s">
        <v>3924</v>
      </c>
      <c r="J716" s="26" t="s">
        <v>5084</v>
      </c>
      <c r="K716" s="26" t="s">
        <v>3947</v>
      </c>
      <c r="L716" s="26" t="s">
        <v>5090</v>
      </c>
      <c r="M716" s="55" t="s">
        <v>5085</v>
      </c>
      <c r="N716" s="26" t="s">
        <v>3924</v>
      </c>
    </row>
    <row r="717" spans="1:14" ht="75" customHeight="1" thickTop="1" thickBot="1">
      <c r="A717" s="34">
        <v>715</v>
      </c>
      <c r="B717" s="34">
        <v>731</v>
      </c>
      <c r="C717" s="55" t="s">
        <v>5089</v>
      </c>
      <c r="D717" s="56" t="s">
        <v>394</v>
      </c>
      <c r="E717" s="56" t="s">
        <v>4878</v>
      </c>
      <c r="F717" s="26" t="s">
        <v>3923</v>
      </c>
      <c r="G717" s="26" t="s">
        <v>15</v>
      </c>
      <c r="H717" s="26" t="s">
        <v>13</v>
      </c>
      <c r="I717" s="26" t="s">
        <v>3924</v>
      </c>
      <c r="J717" s="26" t="s">
        <v>5084</v>
      </c>
      <c r="K717" s="26" t="s">
        <v>3941</v>
      </c>
      <c r="L717" s="26" t="s">
        <v>5090</v>
      </c>
      <c r="M717" s="55" t="s">
        <v>5085</v>
      </c>
      <c r="N717" s="26" t="s">
        <v>3924</v>
      </c>
    </row>
    <row r="718" spans="1:14" ht="75" customHeight="1" thickTop="1" thickBot="1">
      <c r="A718" s="26">
        <v>716</v>
      </c>
      <c r="B718" s="26">
        <v>732</v>
      </c>
      <c r="C718" s="55" t="s">
        <v>5089</v>
      </c>
      <c r="D718" s="56" t="s">
        <v>394</v>
      </c>
      <c r="E718" s="56" t="s">
        <v>4878</v>
      </c>
      <c r="F718" s="26" t="s">
        <v>3923</v>
      </c>
      <c r="G718" s="26" t="s">
        <v>15</v>
      </c>
      <c r="H718" s="26" t="s">
        <v>13</v>
      </c>
      <c r="I718" s="26" t="s">
        <v>3924</v>
      </c>
      <c r="J718" s="26" t="s">
        <v>5091</v>
      </c>
      <c r="K718" s="26" t="s">
        <v>3941</v>
      </c>
      <c r="L718" s="26" t="s">
        <v>5092</v>
      </c>
      <c r="M718" s="55" t="s">
        <v>5085</v>
      </c>
      <c r="N718" s="26" t="s">
        <v>3924</v>
      </c>
    </row>
    <row r="719" spans="1:14" ht="75" customHeight="1" thickTop="1" thickBot="1">
      <c r="A719" s="34">
        <v>717</v>
      </c>
      <c r="B719" s="34">
        <v>733</v>
      </c>
      <c r="C719" s="55" t="s">
        <v>5089</v>
      </c>
      <c r="D719" s="56" t="s">
        <v>394</v>
      </c>
      <c r="E719" s="56" t="s">
        <v>4878</v>
      </c>
      <c r="F719" s="26" t="s">
        <v>3923</v>
      </c>
      <c r="G719" s="26" t="s">
        <v>15</v>
      </c>
      <c r="H719" s="26" t="s">
        <v>13</v>
      </c>
      <c r="I719" s="26" t="s">
        <v>3924</v>
      </c>
      <c r="J719" s="26" t="s">
        <v>5091</v>
      </c>
      <c r="K719" s="26" t="s">
        <v>3941</v>
      </c>
      <c r="L719" s="26" t="s">
        <v>5093</v>
      </c>
      <c r="M719" s="55" t="s">
        <v>5085</v>
      </c>
      <c r="N719" s="26" t="s">
        <v>3924</v>
      </c>
    </row>
    <row r="720" spans="1:14" ht="75" customHeight="1" thickTop="1" thickBot="1">
      <c r="A720" s="34">
        <v>718</v>
      </c>
      <c r="B720" s="26">
        <v>734</v>
      </c>
      <c r="C720" s="55" t="s">
        <v>5094</v>
      </c>
      <c r="D720" s="56" t="s">
        <v>394</v>
      </c>
      <c r="E720" s="56" t="s">
        <v>4878</v>
      </c>
      <c r="F720" s="26" t="s">
        <v>3923</v>
      </c>
      <c r="G720" s="26" t="s">
        <v>15</v>
      </c>
      <c r="H720" s="26" t="s">
        <v>13</v>
      </c>
      <c r="I720" s="26" t="s">
        <v>3924</v>
      </c>
      <c r="J720" s="26" t="s">
        <v>5091</v>
      </c>
      <c r="K720" s="26" t="s">
        <v>3941</v>
      </c>
      <c r="L720" s="26" t="s">
        <v>4934</v>
      </c>
      <c r="M720" s="55" t="s">
        <v>5095</v>
      </c>
      <c r="N720" s="26" t="s">
        <v>3924</v>
      </c>
    </row>
    <row r="721" spans="1:14" ht="75" customHeight="1" thickTop="1" thickBot="1">
      <c r="A721" s="26">
        <v>719</v>
      </c>
      <c r="B721" s="34">
        <v>735</v>
      </c>
      <c r="C721" s="55" t="s">
        <v>5096</v>
      </c>
      <c r="D721" s="56" t="s">
        <v>394</v>
      </c>
      <c r="E721" s="56" t="s">
        <v>4878</v>
      </c>
      <c r="F721" s="26" t="s">
        <v>3923</v>
      </c>
      <c r="G721" s="26" t="s">
        <v>15</v>
      </c>
      <c r="H721" s="26" t="s">
        <v>13</v>
      </c>
      <c r="I721" s="26" t="s">
        <v>3924</v>
      </c>
      <c r="J721" s="26" t="s">
        <v>5091</v>
      </c>
      <c r="K721" s="26" t="s">
        <v>3976</v>
      </c>
      <c r="L721" s="26" t="s">
        <v>5097</v>
      </c>
      <c r="M721" s="55" t="s">
        <v>5098</v>
      </c>
      <c r="N721" s="26" t="s">
        <v>3924</v>
      </c>
    </row>
    <row r="722" spans="1:14" ht="75" customHeight="1" thickTop="1" thickBot="1">
      <c r="A722" s="34">
        <v>720</v>
      </c>
      <c r="B722" s="26">
        <v>736</v>
      </c>
      <c r="C722" s="55" t="s">
        <v>5099</v>
      </c>
      <c r="D722" s="56" t="s">
        <v>394</v>
      </c>
      <c r="E722" s="56" t="s">
        <v>4878</v>
      </c>
      <c r="F722" s="26" t="s">
        <v>3923</v>
      </c>
      <c r="G722" s="26" t="s">
        <v>14</v>
      </c>
      <c r="H722" s="26" t="s">
        <v>13</v>
      </c>
      <c r="I722" s="26" t="s">
        <v>3924</v>
      </c>
      <c r="J722" s="26" t="s">
        <v>5091</v>
      </c>
      <c r="K722" s="26" t="s">
        <v>4903</v>
      </c>
      <c r="L722" s="26" t="s">
        <v>4082</v>
      </c>
      <c r="M722" s="55" t="s">
        <v>5100</v>
      </c>
      <c r="N722" s="26" t="s">
        <v>3924</v>
      </c>
    </row>
    <row r="723" spans="1:14" ht="75" customHeight="1" thickTop="1" thickBot="1">
      <c r="A723" s="34">
        <v>721</v>
      </c>
      <c r="B723" s="34">
        <v>737</v>
      </c>
      <c r="C723" s="55" t="s">
        <v>5099</v>
      </c>
      <c r="D723" s="56" t="s">
        <v>394</v>
      </c>
      <c r="E723" s="56" t="s">
        <v>4878</v>
      </c>
      <c r="F723" s="26" t="s">
        <v>3923</v>
      </c>
      <c r="G723" s="26" t="s">
        <v>14</v>
      </c>
      <c r="H723" s="26" t="s">
        <v>13</v>
      </c>
      <c r="I723" s="26" t="s">
        <v>3924</v>
      </c>
      <c r="J723" s="26" t="s">
        <v>5101</v>
      </c>
      <c r="K723" s="26" t="s">
        <v>4908</v>
      </c>
      <c r="L723" s="26" t="s">
        <v>4082</v>
      </c>
      <c r="M723" s="55" t="s">
        <v>5100</v>
      </c>
      <c r="N723" s="26" t="s">
        <v>3924</v>
      </c>
    </row>
    <row r="724" spans="1:14" ht="75" customHeight="1" thickTop="1" thickBot="1">
      <c r="A724" s="26">
        <v>722</v>
      </c>
      <c r="B724" s="26">
        <v>738</v>
      </c>
      <c r="C724" s="55" t="s">
        <v>5099</v>
      </c>
      <c r="D724" s="56" t="s">
        <v>394</v>
      </c>
      <c r="E724" s="56" t="s">
        <v>4878</v>
      </c>
      <c r="F724" s="26" t="s">
        <v>3923</v>
      </c>
      <c r="G724" s="26" t="s">
        <v>14</v>
      </c>
      <c r="H724" s="26" t="s">
        <v>13</v>
      </c>
      <c r="I724" s="26" t="s">
        <v>3924</v>
      </c>
      <c r="J724" s="26" t="s">
        <v>5101</v>
      </c>
      <c r="K724" s="26" t="s">
        <v>4910</v>
      </c>
      <c r="L724" s="26" t="s">
        <v>4082</v>
      </c>
      <c r="M724" s="55" t="s">
        <v>5100</v>
      </c>
      <c r="N724" s="26" t="s">
        <v>3924</v>
      </c>
    </row>
    <row r="725" spans="1:14" ht="75" customHeight="1" thickTop="1" thickBot="1">
      <c r="A725" s="34">
        <v>723</v>
      </c>
      <c r="B725" s="34">
        <v>739</v>
      </c>
      <c r="C725" s="55" t="s">
        <v>5102</v>
      </c>
      <c r="D725" s="56" t="s">
        <v>394</v>
      </c>
      <c r="E725" s="56" t="s">
        <v>4878</v>
      </c>
      <c r="F725" s="26" t="s">
        <v>3923</v>
      </c>
      <c r="G725" s="26" t="s">
        <v>14</v>
      </c>
      <c r="H725" s="26" t="s">
        <v>13</v>
      </c>
      <c r="I725" s="26" t="s">
        <v>3924</v>
      </c>
      <c r="J725" s="26" t="s">
        <v>5101</v>
      </c>
      <c r="K725" s="26" t="s">
        <v>4915</v>
      </c>
      <c r="L725" s="26" t="s">
        <v>4082</v>
      </c>
      <c r="M725" s="55" t="s">
        <v>5100</v>
      </c>
      <c r="N725" s="26" t="s">
        <v>3924</v>
      </c>
    </row>
    <row r="726" spans="1:14" ht="75" customHeight="1" thickTop="1" thickBot="1">
      <c r="A726" s="34">
        <v>724</v>
      </c>
      <c r="B726" s="26">
        <v>740</v>
      </c>
      <c r="C726" s="55" t="s">
        <v>5102</v>
      </c>
      <c r="D726" s="56" t="s">
        <v>394</v>
      </c>
      <c r="E726" s="56" t="s">
        <v>4878</v>
      </c>
      <c r="F726" s="26" t="s">
        <v>3923</v>
      </c>
      <c r="G726" s="26" t="s">
        <v>14</v>
      </c>
      <c r="H726" s="26" t="s">
        <v>13</v>
      </c>
      <c r="I726" s="26" t="s">
        <v>3924</v>
      </c>
      <c r="J726" s="26" t="s">
        <v>5103</v>
      </c>
      <c r="K726" s="26" t="s">
        <v>4918</v>
      </c>
      <c r="L726" s="26" t="s">
        <v>4082</v>
      </c>
      <c r="M726" s="55" t="s">
        <v>5100</v>
      </c>
      <c r="N726" s="26" t="s">
        <v>3924</v>
      </c>
    </row>
    <row r="727" spans="1:14" ht="75" customHeight="1" thickTop="1" thickBot="1">
      <c r="A727" s="26">
        <v>725</v>
      </c>
      <c r="B727" s="34">
        <v>741</v>
      </c>
      <c r="C727" s="55" t="s">
        <v>5102</v>
      </c>
      <c r="D727" s="56" t="s">
        <v>394</v>
      </c>
      <c r="E727" s="56" t="s">
        <v>4878</v>
      </c>
      <c r="F727" s="26" t="s">
        <v>3923</v>
      </c>
      <c r="G727" s="26" t="s">
        <v>14</v>
      </c>
      <c r="H727" s="26" t="s">
        <v>13</v>
      </c>
      <c r="I727" s="26" t="s">
        <v>3924</v>
      </c>
      <c r="J727" s="26" t="s">
        <v>5103</v>
      </c>
      <c r="K727" s="26" t="s">
        <v>4919</v>
      </c>
      <c r="L727" s="26" t="s">
        <v>4082</v>
      </c>
      <c r="M727" s="55" t="s">
        <v>5100</v>
      </c>
      <c r="N727" s="26" t="s">
        <v>3924</v>
      </c>
    </row>
    <row r="728" spans="1:14" ht="75" customHeight="1" thickTop="1" thickBot="1">
      <c r="A728" s="34">
        <v>726</v>
      </c>
      <c r="B728" s="26">
        <v>742</v>
      </c>
      <c r="C728" s="55" t="s">
        <v>5102</v>
      </c>
      <c r="D728" s="56" t="s">
        <v>394</v>
      </c>
      <c r="E728" s="56" t="s">
        <v>4878</v>
      </c>
      <c r="F728" s="26" t="s">
        <v>3923</v>
      </c>
      <c r="G728" s="26" t="s">
        <v>14</v>
      </c>
      <c r="H728" s="26" t="s">
        <v>13</v>
      </c>
      <c r="I728" s="26" t="s">
        <v>3924</v>
      </c>
      <c r="J728" s="26" t="s">
        <v>5103</v>
      </c>
      <c r="K728" s="26" t="s">
        <v>4921</v>
      </c>
      <c r="L728" s="26" t="s">
        <v>4082</v>
      </c>
      <c r="M728" s="55" t="s">
        <v>5100</v>
      </c>
      <c r="N728" s="26" t="s">
        <v>3924</v>
      </c>
    </row>
    <row r="729" spans="1:14" ht="75" customHeight="1" thickTop="1" thickBot="1">
      <c r="A729" s="34">
        <v>727</v>
      </c>
      <c r="B729" s="34">
        <v>743</v>
      </c>
      <c r="C729" s="55" t="s">
        <v>5104</v>
      </c>
      <c r="D729" s="56" t="s">
        <v>394</v>
      </c>
      <c r="E729" s="56" t="s">
        <v>4878</v>
      </c>
      <c r="F729" s="26" t="s">
        <v>3923</v>
      </c>
      <c r="G729" s="26" t="s">
        <v>14</v>
      </c>
      <c r="H729" s="26" t="s">
        <v>13</v>
      </c>
      <c r="I729" s="26" t="s">
        <v>3924</v>
      </c>
      <c r="J729" s="26" t="s">
        <v>5103</v>
      </c>
      <c r="K729" s="26" t="s">
        <v>4923</v>
      </c>
      <c r="L729" s="26" t="s">
        <v>4082</v>
      </c>
      <c r="M729" s="55" t="s">
        <v>5100</v>
      </c>
      <c r="N729" s="26" t="s">
        <v>3924</v>
      </c>
    </row>
    <row r="730" spans="1:14" ht="75" customHeight="1" thickTop="1" thickBot="1">
      <c r="A730" s="26">
        <v>728</v>
      </c>
      <c r="B730" s="26">
        <v>744</v>
      </c>
      <c r="C730" s="55" t="s">
        <v>5104</v>
      </c>
      <c r="D730" s="56" t="s">
        <v>394</v>
      </c>
      <c r="E730" s="56" t="s">
        <v>4878</v>
      </c>
      <c r="F730" s="26" t="s">
        <v>3923</v>
      </c>
      <c r="G730" s="26" t="s">
        <v>14</v>
      </c>
      <c r="H730" s="26" t="s">
        <v>13</v>
      </c>
      <c r="I730" s="26" t="s">
        <v>3924</v>
      </c>
      <c r="J730" s="26" t="s">
        <v>5105</v>
      </c>
      <c r="K730" s="26" t="s">
        <v>4925</v>
      </c>
      <c r="L730" s="26" t="s">
        <v>4082</v>
      </c>
      <c r="M730" s="55" t="s">
        <v>5100</v>
      </c>
      <c r="N730" s="26" t="s">
        <v>3924</v>
      </c>
    </row>
    <row r="731" spans="1:14" ht="75" customHeight="1" thickTop="1" thickBot="1">
      <c r="A731" s="34">
        <v>729</v>
      </c>
      <c r="B731" s="34">
        <v>745</v>
      </c>
      <c r="C731" s="55" t="s">
        <v>5104</v>
      </c>
      <c r="D731" s="56" t="s">
        <v>394</v>
      </c>
      <c r="E731" s="56" t="s">
        <v>4878</v>
      </c>
      <c r="F731" s="26" t="s">
        <v>3923</v>
      </c>
      <c r="G731" s="26" t="s">
        <v>14</v>
      </c>
      <c r="H731" s="26" t="s">
        <v>13</v>
      </c>
      <c r="I731" s="26" t="s">
        <v>3924</v>
      </c>
      <c r="J731" s="26" t="s">
        <v>5105</v>
      </c>
      <c r="K731" s="26" t="s">
        <v>4926</v>
      </c>
      <c r="L731" s="26" t="s">
        <v>4082</v>
      </c>
      <c r="M731" s="55" t="s">
        <v>5100</v>
      </c>
      <c r="N731" s="26" t="s">
        <v>3924</v>
      </c>
    </row>
    <row r="732" spans="1:14" ht="75" customHeight="1" thickTop="1" thickBot="1">
      <c r="A732" s="34">
        <v>730</v>
      </c>
      <c r="B732" s="26">
        <v>746</v>
      </c>
      <c r="C732" s="55" t="s">
        <v>5104</v>
      </c>
      <c r="D732" s="56" t="s">
        <v>394</v>
      </c>
      <c r="E732" s="56" t="s">
        <v>4878</v>
      </c>
      <c r="F732" s="26" t="s">
        <v>3923</v>
      </c>
      <c r="G732" s="26" t="s">
        <v>14</v>
      </c>
      <c r="H732" s="26" t="s">
        <v>13</v>
      </c>
      <c r="I732" s="26" t="s">
        <v>3924</v>
      </c>
      <c r="J732" s="26" t="s">
        <v>5105</v>
      </c>
      <c r="K732" s="26" t="s">
        <v>4908</v>
      </c>
      <c r="L732" s="26" t="s">
        <v>4082</v>
      </c>
      <c r="M732" s="55" t="s">
        <v>5106</v>
      </c>
      <c r="N732" s="26" t="s">
        <v>3924</v>
      </c>
    </row>
    <row r="733" spans="1:14" ht="75" customHeight="1" thickTop="1" thickBot="1">
      <c r="A733" s="26">
        <v>731</v>
      </c>
      <c r="B733" s="34">
        <v>747</v>
      </c>
      <c r="C733" s="55" t="s">
        <v>5107</v>
      </c>
      <c r="D733" s="56" t="s">
        <v>394</v>
      </c>
      <c r="E733" s="56" t="s">
        <v>4878</v>
      </c>
      <c r="F733" s="26" t="s">
        <v>3923</v>
      </c>
      <c r="G733" s="26" t="s">
        <v>14</v>
      </c>
      <c r="H733" s="26" t="s">
        <v>13</v>
      </c>
      <c r="I733" s="26" t="s">
        <v>3924</v>
      </c>
      <c r="J733" s="26" t="s">
        <v>5105</v>
      </c>
      <c r="K733" s="26" t="s">
        <v>4903</v>
      </c>
      <c r="L733" s="26" t="s">
        <v>4082</v>
      </c>
      <c r="M733" s="55" t="s">
        <v>5106</v>
      </c>
      <c r="N733" s="26" t="s">
        <v>3924</v>
      </c>
    </row>
    <row r="734" spans="1:14" ht="75" customHeight="1" thickTop="1" thickBot="1">
      <c r="A734" s="34">
        <v>732</v>
      </c>
      <c r="B734" s="26">
        <v>748</v>
      </c>
      <c r="C734" s="55" t="s">
        <v>5107</v>
      </c>
      <c r="D734" s="56" t="s">
        <v>394</v>
      </c>
      <c r="E734" s="56" t="s">
        <v>4878</v>
      </c>
      <c r="F734" s="26" t="s">
        <v>3923</v>
      </c>
      <c r="G734" s="26" t="s">
        <v>14</v>
      </c>
      <c r="H734" s="26" t="s">
        <v>13</v>
      </c>
      <c r="I734" s="26" t="s">
        <v>3924</v>
      </c>
      <c r="J734" s="26" t="s">
        <v>5105</v>
      </c>
      <c r="K734" s="26" t="s">
        <v>4910</v>
      </c>
      <c r="L734" s="26" t="s">
        <v>4082</v>
      </c>
      <c r="M734" s="55" t="s">
        <v>5106</v>
      </c>
      <c r="N734" s="26" t="s">
        <v>3924</v>
      </c>
    </row>
    <row r="735" spans="1:14" ht="75" customHeight="1" thickTop="1" thickBot="1">
      <c r="A735" s="34">
        <v>733</v>
      </c>
      <c r="B735" s="34">
        <v>749</v>
      </c>
      <c r="C735" s="55" t="s">
        <v>5107</v>
      </c>
      <c r="D735" s="56" t="s">
        <v>394</v>
      </c>
      <c r="E735" s="56" t="s">
        <v>4878</v>
      </c>
      <c r="F735" s="26" t="s">
        <v>3923</v>
      </c>
      <c r="G735" s="26" t="s">
        <v>14</v>
      </c>
      <c r="H735" s="26" t="s">
        <v>13</v>
      </c>
      <c r="I735" s="26" t="s">
        <v>3924</v>
      </c>
      <c r="J735" s="26" t="s">
        <v>5108</v>
      </c>
      <c r="K735" s="26" t="s">
        <v>4915</v>
      </c>
      <c r="L735" s="26" t="s">
        <v>4082</v>
      </c>
      <c r="M735" s="55" t="s">
        <v>5106</v>
      </c>
      <c r="N735" s="26" t="s">
        <v>3924</v>
      </c>
    </row>
    <row r="736" spans="1:14" ht="75" customHeight="1" thickTop="1" thickBot="1">
      <c r="A736" s="26">
        <v>734</v>
      </c>
      <c r="B736" s="26">
        <v>750</v>
      </c>
      <c r="C736" s="55" t="s">
        <v>5107</v>
      </c>
      <c r="D736" s="56" t="s">
        <v>394</v>
      </c>
      <c r="E736" s="56" t="s">
        <v>4878</v>
      </c>
      <c r="F736" s="26" t="s">
        <v>3923</v>
      </c>
      <c r="G736" s="26" t="s">
        <v>14</v>
      </c>
      <c r="H736" s="26" t="s">
        <v>13</v>
      </c>
      <c r="I736" s="26" t="s">
        <v>3924</v>
      </c>
      <c r="J736" s="26" t="s">
        <v>5108</v>
      </c>
      <c r="K736" s="26" t="s">
        <v>4918</v>
      </c>
      <c r="L736" s="26" t="s">
        <v>4082</v>
      </c>
      <c r="M736" s="55" t="s">
        <v>5106</v>
      </c>
      <c r="N736" s="26" t="s">
        <v>3924</v>
      </c>
    </row>
    <row r="737" spans="1:14" ht="75" customHeight="1" thickTop="1" thickBot="1">
      <c r="A737" s="34">
        <v>735</v>
      </c>
      <c r="B737" s="34">
        <v>751</v>
      </c>
      <c r="C737" s="55" t="s">
        <v>5109</v>
      </c>
      <c r="D737" s="56" t="s">
        <v>394</v>
      </c>
      <c r="E737" s="56" t="s">
        <v>4878</v>
      </c>
      <c r="F737" s="26" t="s">
        <v>3923</v>
      </c>
      <c r="G737" s="26" t="s">
        <v>14</v>
      </c>
      <c r="H737" s="26" t="s">
        <v>13</v>
      </c>
      <c r="I737" s="26" t="s">
        <v>3924</v>
      </c>
      <c r="J737" s="26" t="s">
        <v>5108</v>
      </c>
      <c r="K737" s="26" t="s">
        <v>4919</v>
      </c>
      <c r="L737" s="26" t="s">
        <v>4082</v>
      </c>
      <c r="M737" s="55" t="s">
        <v>5106</v>
      </c>
      <c r="N737" s="26" t="s">
        <v>3924</v>
      </c>
    </row>
    <row r="738" spans="1:14" ht="75" customHeight="1" thickTop="1" thickBot="1">
      <c r="A738" s="34">
        <v>736</v>
      </c>
      <c r="B738" s="26">
        <v>752</v>
      </c>
      <c r="C738" s="55" t="s">
        <v>5109</v>
      </c>
      <c r="D738" s="56" t="s">
        <v>394</v>
      </c>
      <c r="E738" s="56" t="s">
        <v>4878</v>
      </c>
      <c r="F738" s="26" t="s">
        <v>3923</v>
      </c>
      <c r="G738" s="26" t="s">
        <v>14</v>
      </c>
      <c r="H738" s="26" t="s">
        <v>13</v>
      </c>
      <c r="I738" s="26" t="s">
        <v>3924</v>
      </c>
      <c r="J738" s="26" t="s">
        <v>5108</v>
      </c>
      <c r="K738" s="26" t="s">
        <v>4921</v>
      </c>
      <c r="L738" s="26" t="s">
        <v>4082</v>
      </c>
      <c r="M738" s="55" t="s">
        <v>5106</v>
      </c>
      <c r="N738" s="26" t="s">
        <v>3924</v>
      </c>
    </row>
    <row r="739" spans="1:14" ht="75" customHeight="1" thickTop="1" thickBot="1">
      <c r="A739" s="26">
        <v>737</v>
      </c>
      <c r="B739" s="34">
        <v>753</v>
      </c>
      <c r="C739" s="55" t="s">
        <v>5109</v>
      </c>
      <c r="D739" s="56" t="s">
        <v>394</v>
      </c>
      <c r="E739" s="56" t="s">
        <v>4878</v>
      </c>
      <c r="F739" s="26" t="s">
        <v>3923</v>
      </c>
      <c r="G739" s="26" t="s">
        <v>14</v>
      </c>
      <c r="H739" s="26" t="s">
        <v>13</v>
      </c>
      <c r="I739" s="26" t="s">
        <v>3924</v>
      </c>
      <c r="J739" s="26" t="s">
        <v>5101</v>
      </c>
      <c r="K739" s="26" t="s">
        <v>4923</v>
      </c>
      <c r="L739" s="26" t="s">
        <v>4082</v>
      </c>
      <c r="M739" s="55" t="s">
        <v>5106</v>
      </c>
      <c r="N739" s="26" t="s">
        <v>3924</v>
      </c>
    </row>
    <row r="740" spans="1:14" ht="75" customHeight="1" thickTop="1" thickBot="1">
      <c r="A740" s="34">
        <v>738</v>
      </c>
      <c r="B740" s="26">
        <v>754</v>
      </c>
      <c r="C740" s="55" t="s">
        <v>5109</v>
      </c>
      <c r="D740" s="56" t="s">
        <v>394</v>
      </c>
      <c r="E740" s="56" t="s">
        <v>4878</v>
      </c>
      <c r="F740" s="26" t="s">
        <v>3923</v>
      </c>
      <c r="G740" s="26" t="s">
        <v>14</v>
      </c>
      <c r="H740" s="26" t="s">
        <v>13</v>
      </c>
      <c r="I740" s="26" t="s">
        <v>3924</v>
      </c>
      <c r="J740" s="26" t="s">
        <v>5101</v>
      </c>
      <c r="K740" s="26" t="s">
        <v>4925</v>
      </c>
      <c r="L740" s="26" t="s">
        <v>4082</v>
      </c>
      <c r="M740" s="55" t="s">
        <v>5106</v>
      </c>
      <c r="N740" s="26" t="s">
        <v>3924</v>
      </c>
    </row>
    <row r="741" spans="1:14" ht="75" customHeight="1" thickTop="1" thickBot="1">
      <c r="A741" s="34">
        <v>739</v>
      </c>
      <c r="B741" s="34">
        <v>755</v>
      </c>
      <c r="C741" s="55" t="s">
        <v>5110</v>
      </c>
      <c r="D741" s="56" t="s">
        <v>394</v>
      </c>
      <c r="E741" s="56" t="s">
        <v>3994</v>
      </c>
      <c r="F741" s="26" t="s">
        <v>3995</v>
      </c>
      <c r="G741" s="26" t="s">
        <v>14</v>
      </c>
      <c r="H741" s="26" t="s">
        <v>13</v>
      </c>
      <c r="I741" s="26" t="s">
        <v>3924</v>
      </c>
      <c r="J741" s="26" t="s">
        <v>5111</v>
      </c>
      <c r="K741" s="26" t="s">
        <v>4040</v>
      </c>
      <c r="L741" s="26" t="s">
        <v>3986</v>
      </c>
      <c r="M741" s="55" t="s">
        <v>5112</v>
      </c>
      <c r="N741" s="26" t="s">
        <v>3924</v>
      </c>
    </row>
    <row r="742" spans="1:14" ht="75" customHeight="1" thickTop="1" thickBot="1">
      <c r="A742" s="26">
        <v>740</v>
      </c>
      <c r="B742" s="26">
        <v>756</v>
      </c>
      <c r="C742" s="55" t="s">
        <v>5113</v>
      </c>
      <c r="D742" s="56" t="s">
        <v>394</v>
      </c>
      <c r="E742" s="56" t="s">
        <v>3994</v>
      </c>
      <c r="F742" s="26" t="s">
        <v>3995</v>
      </c>
      <c r="G742" s="26" t="s">
        <v>16</v>
      </c>
      <c r="H742" s="26" t="s">
        <v>13</v>
      </c>
      <c r="I742" s="26" t="s">
        <v>3924</v>
      </c>
      <c r="J742" s="26" t="s">
        <v>5114</v>
      </c>
      <c r="K742" s="26" t="s">
        <v>4040</v>
      </c>
      <c r="L742" s="26" t="s">
        <v>3927</v>
      </c>
      <c r="M742" s="55" t="s">
        <v>5115</v>
      </c>
      <c r="N742" s="26" t="s">
        <v>3924</v>
      </c>
    </row>
    <row r="743" spans="1:14" ht="75" customHeight="1" thickTop="1" thickBot="1">
      <c r="A743" s="34">
        <v>741</v>
      </c>
      <c r="B743" s="34">
        <v>757</v>
      </c>
      <c r="C743" s="55" t="s">
        <v>5116</v>
      </c>
      <c r="D743" s="56" t="s">
        <v>394</v>
      </c>
      <c r="E743" s="56" t="s">
        <v>3994</v>
      </c>
      <c r="F743" s="26" t="s">
        <v>3995</v>
      </c>
      <c r="G743" s="26" t="s">
        <v>16</v>
      </c>
      <c r="H743" s="26" t="s">
        <v>13</v>
      </c>
      <c r="I743" s="26" t="s">
        <v>3924</v>
      </c>
      <c r="J743" s="26" t="s">
        <v>5117</v>
      </c>
      <c r="K743" s="26" t="s">
        <v>4040</v>
      </c>
      <c r="L743" s="26" t="s">
        <v>3924</v>
      </c>
      <c r="M743" s="55" t="s">
        <v>5118</v>
      </c>
      <c r="N743" s="26" t="s">
        <v>3924</v>
      </c>
    </row>
    <row r="744" spans="1:14" ht="75" customHeight="1" thickTop="1" thickBot="1">
      <c r="A744" s="34">
        <v>742</v>
      </c>
      <c r="B744" s="26">
        <v>758</v>
      </c>
      <c r="C744" s="55" t="s">
        <v>5119</v>
      </c>
      <c r="D744" s="56" t="s">
        <v>394</v>
      </c>
      <c r="E744" s="56" t="s">
        <v>3994</v>
      </c>
      <c r="F744" s="26" t="s">
        <v>3995</v>
      </c>
      <c r="G744" s="26" t="s">
        <v>16</v>
      </c>
      <c r="H744" s="26" t="s">
        <v>13</v>
      </c>
      <c r="I744" s="26" t="s">
        <v>3924</v>
      </c>
      <c r="J744" s="26" t="s">
        <v>5120</v>
      </c>
      <c r="K744" s="26" t="s">
        <v>4040</v>
      </c>
      <c r="L744" s="26" t="s">
        <v>3963</v>
      </c>
      <c r="M744" s="55" t="s">
        <v>5121</v>
      </c>
      <c r="N744" s="26" t="s">
        <v>3924</v>
      </c>
    </row>
    <row r="745" spans="1:14" ht="75" customHeight="1" thickTop="1" thickBot="1">
      <c r="A745" s="26">
        <v>743</v>
      </c>
      <c r="B745" s="34">
        <v>759</v>
      </c>
      <c r="C745" s="55" t="s">
        <v>5122</v>
      </c>
      <c r="D745" s="56" t="s">
        <v>394</v>
      </c>
      <c r="E745" s="56" t="s">
        <v>3994</v>
      </c>
      <c r="F745" s="26" t="s">
        <v>3995</v>
      </c>
      <c r="G745" s="26" t="s">
        <v>16</v>
      </c>
      <c r="H745" s="26" t="s">
        <v>13</v>
      </c>
      <c r="I745" s="26" t="s">
        <v>3924</v>
      </c>
      <c r="J745" s="26" t="s">
        <v>5120</v>
      </c>
      <c r="K745" s="26" t="s">
        <v>4040</v>
      </c>
      <c r="L745" s="26" t="s">
        <v>3924</v>
      </c>
      <c r="M745" s="55" t="s">
        <v>5123</v>
      </c>
      <c r="N745" s="26" t="s">
        <v>3924</v>
      </c>
    </row>
    <row r="746" spans="1:14" ht="75" customHeight="1" thickTop="1" thickBot="1">
      <c r="A746" s="34">
        <v>744</v>
      </c>
      <c r="B746" s="26">
        <v>760</v>
      </c>
      <c r="C746" s="55" t="s">
        <v>5124</v>
      </c>
      <c r="D746" s="56" t="s">
        <v>394</v>
      </c>
      <c r="E746" s="56" t="s">
        <v>3994</v>
      </c>
      <c r="F746" s="26" t="s">
        <v>3995</v>
      </c>
      <c r="G746" s="26" t="s">
        <v>14</v>
      </c>
      <c r="H746" s="26" t="s">
        <v>13</v>
      </c>
      <c r="I746" s="26" t="s">
        <v>3924</v>
      </c>
      <c r="J746" s="26" t="s">
        <v>5120</v>
      </c>
      <c r="K746" s="26" t="s">
        <v>4225</v>
      </c>
      <c r="L746" s="26" t="s">
        <v>3927</v>
      </c>
      <c r="M746" s="55" t="s">
        <v>5125</v>
      </c>
      <c r="N746" s="26" t="s">
        <v>3924</v>
      </c>
    </row>
    <row r="747" spans="1:14" ht="75" customHeight="1" thickTop="1" thickBot="1">
      <c r="A747" s="34">
        <v>745</v>
      </c>
      <c r="B747" s="34">
        <v>761</v>
      </c>
      <c r="C747" s="55" t="s">
        <v>5126</v>
      </c>
      <c r="D747" s="56" t="s">
        <v>394</v>
      </c>
      <c r="E747" s="56" t="s">
        <v>3994</v>
      </c>
      <c r="F747" s="26" t="s">
        <v>3995</v>
      </c>
      <c r="G747" s="26" t="s">
        <v>16</v>
      </c>
      <c r="H747" s="26" t="s">
        <v>13</v>
      </c>
      <c r="I747" s="26" t="s">
        <v>3924</v>
      </c>
      <c r="J747" s="26" t="s">
        <v>5120</v>
      </c>
      <c r="K747" s="26" t="s">
        <v>4225</v>
      </c>
      <c r="L747" s="26" t="s">
        <v>3924</v>
      </c>
      <c r="M747" s="55" t="s">
        <v>5127</v>
      </c>
      <c r="N747" s="26" t="s">
        <v>3924</v>
      </c>
    </row>
    <row r="748" spans="1:14" ht="75" customHeight="1" thickTop="1" thickBot="1">
      <c r="A748" s="26">
        <v>746</v>
      </c>
      <c r="B748" s="26">
        <v>762</v>
      </c>
      <c r="C748" s="55" t="s">
        <v>5128</v>
      </c>
      <c r="D748" s="56" t="s">
        <v>394</v>
      </c>
      <c r="E748" s="56" t="s">
        <v>3994</v>
      </c>
      <c r="F748" s="26" t="s">
        <v>3995</v>
      </c>
      <c r="G748" s="26" t="s">
        <v>16</v>
      </c>
      <c r="H748" s="26" t="s">
        <v>13</v>
      </c>
      <c r="I748" s="26" t="s">
        <v>3924</v>
      </c>
      <c r="J748" s="26" t="s">
        <v>5129</v>
      </c>
      <c r="K748" s="26" t="s">
        <v>4225</v>
      </c>
      <c r="L748" s="26" t="s">
        <v>3924</v>
      </c>
      <c r="M748" s="55" t="s">
        <v>5130</v>
      </c>
      <c r="N748" s="26" t="s">
        <v>3924</v>
      </c>
    </row>
    <row r="749" spans="1:14" ht="75" customHeight="1" thickTop="1" thickBot="1">
      <c r="A749" s="34">
        <v>747</v>
      </c>
      <c r="B749" s="34">
        <v>763</v>
      </c>
      <c r="C749" s="55" t="s">
        <v>5131</v>
      </c>
      <c r="D749" s="56" t="s">
        <v>394</v>
      </c>
      <c r="E749" s="56" t="s">
        <v>3994</v>
      </c>
      <c r="F749" s="26" t="s">
        <v>3995</v>
      </c>
      <c r="G749" s="26" t="s">
        <v>16</v>
      </c>
      <c r="H749" s="26" t="s">
        <v>13</v>
      </c>
      <c r="I749" s="26" t="s">
        <v>3924</v>
      </c>
      <c r="J749" s="26" t="s">
        <v>5129</v>
      </c>
      <c r="K749" s="26" t="s">
        <v>3941</v>
      </c>
      <c r="L749" s="26" t="s">
        <v>3927</v>
      </c>
      <c r="M749" s="55" t="s">
        <v>5132</v>
      </c>
      <c r="N749" s="26" t="s">
        <v>3924</v>
      </c>
    </row>
    <row r="750" spans="1:14" ht="75" customHeight="1" thickTop="1" thickBot="1">
      <c r="A750" s="34">
        <v>748</v>
      </c>
      <c r="B750" s="26">
        <v>764</v>
      </c>
      <c r="C750" s="55" t="s">
        <v>5133</v>
      </c>
      <c r="D750" s="56" t="s">
        <v>394</v>
      </c>
      <c r="E750" s="56" t="s">
        <v>3994</v>
      </c>
      <c r="F750" s="26" t="s">
        <v>3995</v>
      </c>
      <c r="G750" s="26" t="s">
        <v>16</v>
      </c>
      <c r="H750" s="26" t="s">
        <v>13</v>
      </c>
      <c r="I750" s="26" t="s">
        <v>3924</v>
      </c>
      <c r="J750" s="26" t="s">
        <v>5134</v>
      </c>
      <c r="K750" s="26" t="s">
        <v>3941</v>
      </c>
      <c r="L750" s="26" t="s">
        <v>3927</v>
      </c>
      <c r="M750" s="55" t="s">
        <v>5135</v>
      </c>
      <c r="N750" s="26" t="s">
        <v>3924</v>
      </c>
    </row>
    <row r="751" spans="1:14" ht="75" customHeight="1" thickTop="1" thickBot="1">
      <c r="A751" s="26">
        <v>749</v>
      </c>
      <c r="B751" s="34">
        <v>765</v>
      </c>
      <c r="C751" s="55" t="s">
        <v>5136</v>
      </c>
      <c r="D751" s="56" t="s">
        <v>394</v>
      </c>
      <c r="E751" s="56" t="s">
        <v>3994</v>
      </c>
      <c r="F751" s="26" t="s">
        <v>3995</v>
      </c>
      <c r="G751" s="26" t="s">
        <v>16</v>
      </c>
      <c r="H751" s="26" t="s">
        <v>13</v>
      </c>
      <c r="I751" s="26" t="s">
        <v>3924</v>
      </c>
      <c r="J751" s="26" t="s">
        <v>5134</v>
      </c>
      <c r="K751" s="26" t="s">
        <v>3941</v>
      </c>
      <c r="L751" s="26" t="s">
        <v>3927</v>
      </c>
      <c r="M751" s="55" t="s">
        <v>5137</v>
      </c>
      <c r="N751" s="26" t="s">
        <v>3924</v>
      </c>
    </row>
    <row r="752" spans="1:14" ht="75" customHeight="1" thickTop="1" thickBot="1">
      <c r="A752" s="34">
        <v>750</v>
      </c>
      <c r="B752" s="26">
        <v>766</v>
      </c>
      <c r="C752" s="55" t="s">
        <v>5138</v>
      </c>
      <c r="D752" s="56" t="s">
        <v>394</v>
      </c>
      <c r="E752" s="56" t="s">
        <v>3994</v>
      </c>
      <c r="F752" s="26" t="s">
        <v>3995</v>
      </c>
      <c r="G752" s="26" t="s">
        <v>14</v>
      </c>
      <c r="H752" s="26" t="s">
        <v>13</v>
      </c>
      <c r="I752" s="26" t="s">
        <v>3924</v>
      </c>
      <c r="J752" s="26" t="s">
        <v>5139</v>
      </c>
      <c r="K752" s="26" t="s">
        <v>3941</v>
      </c>
      <c r="L752" s="26" t="s">
        <v>3986</v>
      </c>
      <c r="M752" s="55" t="s">
        <v>5140</v>
      </c>
      <c r="N752" s="26" t="s">
        <v>3924</v>
      </c>
    </row>
    <row r="753" spans="1:14" ht="75" customHeight="1" thickTop="1" thickBot="1">
      <c r="A753" s="34">
        <v>751</v>
      </c>
      <c r="B753" s="34">
        <v>767</v>
      </c>
      <c r="C753" s="55" t="s">
        <v>5141</v>
      </c>
      <c r="D753" s="56" t="s">
        <v>394</v>
      </c>
      <c r="E753" s="56" t="s">
        <v>3922</v>
      </c>
      <c r="F753" s="26" t="s">
        <v>3923</v>
      </c>
      <c r="G753" s="26" t="s">
        <v>3932</v>
      </c>
      <c r="H753" s="26" t="s">
        <v>13</v>
      </c>
      <c r="I753" s="26" t="s">
        <v>3924</v>
      </c>
      <c r="J753" s="26" t="s">
        <v>5142</v>
      </c>
      <c r="K753" s="26" t="s">
        <v>4087</v>
      </c>
      <c r="L753" s="26" t="s">
        <v>4277</v>
      </c>
      <c r="M753" s="55" t="s">
        <v>5143</v>
      </c>
      <c r="N753" s="26" t="s">
        <v>3924</v>
      </c>
    </row>
    <row r="754" spans="1:14" ht="75" customHeight="1" thickTop="1" thickBot="1">
      <c r="A754" s="26">
        <v>752</v>
      </c>
      <c r="B754" s="26">
        <v>768</v>
      </c>
      <c r="C754" s="55" t="s">
        <v>5141</v>
      </c>
      <c r="D754" s="56" t="s">
        <v>394</v>
      </c>
      <c r="E754" s="56" t="s">
        <v>3922</v>
      </c>
      <c r="F754" s="26" t="s">
        <v>3923</v>
      </c>
      <c r="G754" s="26" t="s">
        <v>3932</v>
      </c>
      <c r="H754" s="26" t="s">
        <v>13</v>
      </c>
      <c r="I754" s="26" t="s">
        <v>3924</v>
      </c>
      <c r="J754" s="26" t="s">
        <v>5142</v>
      </c>
      <c r="K754" s="26" t="s">
        <v>4087</v>
      </c>
      <c r="L754" s="26" t="s">
        <v>3963</v>
      </c>
      <c r="M754" s="55" t="s">
        <v>5144</v>
      </c>
      <c r="N754" s="26" t="s">
        <v>3924</v>
      </c>
    </row>
    <row r="755" spans="1:14" ht="75" customHeight="1" thickTop="1" thickBot="1">
      <c r="A755" s="34">
        <v>753</v>
      </c>
      <c r="B755" s="34">
        <v>769</v>
      </c>
      <c r="C755" s="55" t="s">
        <v>5145</v>
      </c>
      <c r="D755" s="56" t="s">
        <v>394</v>
      </c>
      <c r="E755" s="56" t="s">
        <v>3922</v>
      </c>
      <c r="F755" s="26" t="s">
        <v>3923</v>
      </c>
      <c r="G755" s="26" t="s">
        <v>15</v>
      </c>
      <c r="H755" s="26" t="s">
        <v>13</v>
      </c>
      <c r="I755" s="26" t="s">
        <v>3924</v>
      </c>
      <c r="J755" s="26" t="s">
        <v>5142</v>
      </c>
      <c r="K755" s="26" t="s">
        <v>4087</v>
      </c>
      <c r="L755" s="26" t="s">
        <v>3927</v>
      </c>
      <c r="M755" s="55" t="s">
        <v>5146</v>
      </c>
      <c r="N755" s="26" t="s">
        <v>3924</v>
      </c>
    </row>
    <row r="756" spans="1:14" ht="75" customHeight="1" thickTop="1" thickBot="1">
      <c r="A756" s="34">
        <v>754</v>
      </c>
      <c r="B756" s="26">
        <v>770</v>
      </c>
      <c r="C756" s="55" t="s">
        <v>5147</v>
      </c>
      <c r="D756" s="56" t="s">
        <v>394</v>
      </c>
      <c r="E756" s="56" t="s">
        <v>3922</v>
      </c>
      <c r="F756" s="26" t="s">
        <v>3923</v>
      </c>
      <c r="G756" s="26" t="s">
        <v>15</v>
      </c>
      <c r="H756" s="26" t="s">
        <v>13</v>
      </c>
      <c r="I756" s="26" t="s">
        <v>3924</v>
      </c>
      <c r="J756" s="26" t="s">
        <v>5148</v>
      </c>
      <c r="K756" s="26" t="s">
        <v>4087</v>
      </c>
      <c r="L756" s="26" t="s">
        <v>4284</v>
      </c>
      <c r="M756" s="55" t="s">
        <v>5149</v>
      </c>
      <c r="N756" s="26" t="s">
        <v>3924</v>
      </c>
    </row>
    <row r="757" spans="1:14" ht="75" customHeight="1" thickTop="1" thickBot="1">
      <c r="A757" s="26">
        <v>755</v>
      </c>
      <c r="B757" s="34">
        <v>771</v>
      </c>
      <c r="C757" s="55" t="s">
        <v>5147</v>
      </c>
      <c r="D757" s="56" t="s">
        <v>394</v>
      </c>
      <c r="E757" s="56" t="s">
        <v>3922</v>
      </c>
      <c r="F757" s="26" t="s">
        <v>3923</v>
      </c>
      <c r="G757" s="26" t="s">
        <v>15</v>
      </c>
      <c r="H757" s="26" t="s">
        <v>13</v>
      </c>
      <c r="I757" s="26" t="s">
        <v>3924</v>
      </c>
      <c r="J757" s="26" t="s">
        <v>5148</v>
      </c>
      <c r="K757" s="26" t="s">
        <v>4087</v>
      </c>
      <c r="L757" s="26" t="s">
        <v>3963</v>
      </c>
      <c r="M757" s="55" t="s">
        <v>5150</v>
      </c>
      <c r="N757" s="26" t="s">
        <v>3924</v>
      </c>
    </row>
    <row r="758" spans="1:14" ht="75" customHeight="1" thickTop="1" thickBot="1">
      <c r="A758" s="34">
        <v>756</v>
      </c>
      <c r="B758" s="26">
        <v>772</v>
      </c>
      <c r="C758" s="55" t="s">
        <v>5151</v>
      </c>
      <c r="D758" s="56" t="s">
        <v>394</v>
      </c>
      <c r="E758" s="56" t="s">
        <v>3922</v>
      </c>
      <c r="F758" s="26" t="s">
        <v>3923</v>
      </c>
      <c r="G758" s="26" t="s">
        <v>3932</v>
      </c>
      <c r="H758" s="26" t="s">
        <v>13</v>
      </c>
      <c r="I758" s="26" t="s">
        <v>3924</v>
      </c>
      <c r="J758" s="26" t="s">
        <v>5148</v>
      </c>
      <c r="K758" s="26" t="s">
        <v>4087</v>
      </c>
      <c r="L758" s="26" t="s">
        <v>3927</v>
      </c>
      <c r="M758" s="55" t="s">
        <v>5152</v>
      </c>
      <c r="N758" s="26" t="s">
        <v>3924</v>
      </c>
    </row>
    <row r="759" spans="1:14" ht="75" customHeight="1" thickTop="1" thickBot="1">
      <c r="A759" s="34">
        <v>757</v>
      </c>
      <c r="B759" s="34">
        <v>773</v>
      </c>
      <c r="C759" s="55" t="s">
        <v>5151</v>
      </c>
      <c r="D759" s="56" t="s">
        <v>394</v>
      </c>
      <c r="E759" s="56" t="s">
        <v>3922</v>
      </c>
      <c r="F759" s="26" t="s">
        <v>3923</v>
      </c>
      <c r="G759" s="26" t="s">
        <v>16</v>
      </c>
      <c r="H759" s="26" t="s">
        <v>13</v>
      </c>
      <c r="I759" s="26" t="s">
        <v>3924</v>
      </c>
      <c r="J759" s="26" t="s">
        <v>5148</v>
      </c>
      <c r="K759" s="26" t="s">
        <v>4087</v>
      </c>
      <c r="L759" s="26" t="s">
        <v>4011</v>
      </c>
      <c r="M759" s="55" t="s">
        <v>638</v>
      </c>
      <c r="N759" s="26" t="s">
        <v>3924</v>
      </c>
    </row>
    <row r="760" spans="1:14" ht="75" customHeight="1" thickTop="1" thickBot="1">
      <c r="A760" s="26">
        <v>758</v>
      </c>
      <c r="B760" s="26">
        <v>774</v>
      </c>
      <c r="C760" s="55" t="s">
        <v>5153</v>
      </c>
      <c r="D760" s="56" t="s">
        <v>394</v>
      </c>
      <c r="E760" s="56" t="s">
        <v>3922</v>
      </c>
      <c r="F760" s="26" t="s">
        <v>3923</v>
      </c>
      <c r="G760" s="26" t="s">
        <v>16</v>
      </c>
      <c r="H760" s="26" t="s">
        <v>13</v>
      </c>
      <c r="I760" s="26" t="s">
        <v>3924</v>
      </c>
      <c r="J760" s="26" t="s">
        <v>5154</v>
      </c>
      <c r="K760" s="26" t="s">
        <v>4087</v>
      </c>
      <c r="L760" s="26" t="s">
        <v>4011</v>
      </c>
      <c r="M760" s="55" t="s">
        <v>5155</v>
      </c>
      <c r="N760" s="26" t="s">
        <v>3924</v>
      </c>
    </row>
    <row r="761" spans="1:14" ht="75" customHeight="1" thickTop="1" thickBot="1">
      <c r="A761" s="34">
        <v>759</v>
      </c>
      <c r="B761" s="34">
        <v>775</v>
      </c>
      <c r="C761" s="55" t="s">
        <v>5156</v>
      </c>
      <c r="D761" s="56" t="s">
        <v>394</v>
      </c>
      <c r="E761" s="56" t="s">
        <v>3922</v>
      </c>
      <c r="F761" s="26" t="s">
        <v>3923</v>
      </c>
      <c r="G761" s="26" t="s">
        <v>14</v>
      </c>
      <c r="H761" s="26" t="s">
        <v>13</v>
      </c>
      <c r="I761" s="26" t="s">
        <v>3924</v>
      </c>
      <c r="J761" s="26" t="s">
        <v>5154</v>
      </c>
      <c r="K761" s="26" t="s">
        <v>3941</v>
      </c>
      <c r="L761" s="26" t="s">
        <v>4011</v>
      </c>
      <c r="M761" s="55" t="s">
        <v>5157</v>
      </c>
      <c r="N761" s="26" t="s">
        <v>3924</v>
      </c>
    </row>
    <row r="762" spans="1:14" ht="75" customHeight="1" thickTop="1" thickBot="1">
      <c r="A762" s="34">
        <v>760</v>
      </c>
      <c r="B762" s="26">
        <v>776</v>
      </c>
      <c r="C762" s="55" t="s">
        <v>5156</v>
      </c>
      <c r="D762" s="56" t="s">
        <v>394</v>
      </c>
      <c r="E762" s="56" t="s">
        <v>3922</v>
      </c>
      <c r="F762" s="26" t="s">
        <v>3923</v>
      </c>
      <c r="G762" s="26" t="s">
        <v>16</v>
      </c>
      <c r="H762" s="26" t="s">
        <v>13</v>
      </c>
      <c r="I762" s="26" t="s">
        <v>3924</v>
      </c>
      <c r="J762" s="26" t="s">
        <v>5154</v>
      </c>
      <c r="K762" s="26" t="s">
        <v>3941</v>
      </c>
      <c r="L762" s="26" t="s">
        <v>4011</v>
      </c>
      <c r="M762" s="55" t="s">
        <v>5158</v>
      </c>
      <c r="N762" s="26" t="s">
        <v>3924</v>
      </c>
    </row>
    <row r="763" spans="1:14" ht="75" customHeight="1" thickTop="1" thickBot="1">
      <c r="A763" s="26">
        <v>761</v>
      </c>
      <c r="B763" s="34">
        <v>777</v>
      </c>
      <c r="C763" s="55" t="s">
        <v>5159</v>
      </c>
      <c r="D763" s="56" t="s">
        <v>394</v>
      </c>
      <c r="E763" s="56" t="s">
        <v>3922</v>
      </c>
      <c r="F763" s="26" t="s">
        <v>3923</v>
      </c>
      <c r="G763" s="26" t="s">
        <v>16</v>
      </c>
      <c r="H763" s="26" t="s">
        <v>13</v>
      </c>
      <c r="I763" s="26" t="s">
        <v>3924</v>
      </c>
      <c r="J763" s="26" t="s">
        <v>5154</v>
      </c>
      <c r="K763" s="26" t="s">
        <v>3941</v>
      </c>
      <c r="L763" s="26" t="s">
        <v>4011</v>
      </c>
      <c r="M763" s="55" t="s">
        <v>1379</v>
      </c>
      <c r="N763" s="26" t="s">
        <v>3924</v>
      </c>
    </row>
    <row r="764" spans="1:14" ht="75" customHeight="1" thickTop="1" thickBot="1">
      <c r="A764" s="34">
        <v>762</v>
      </c>
      <c r="B764" s="26">
        <v>778</v>
      </c>
      <c r="C764" s="55" t="s">
        <v>5159</v>
      </c>
      <c r="D764" s="56" t="s">
        <v>394</v>
      </c>
      <c r="E764" s="56" t="s">
        <v>3922</v>
      </c>
      <c r="F764" s="26" t="s">
        <v>3923</v>
      </c>
      <c r="G764" s="26" t="s">
        <v>16</v>
      </c>
      <c r="H764" s="26" t="s">
        <v>13</v>
      </c>
      <c r="I764" s="26" t="s">
        <v>3924</v>
      </c>
      <c r="J764" s="26" t="s">
        <v>5154</v>
      </c>
      <c r="K764" s="26" t="s">
        <v>3941</v>
      </c>
      <c r="L764" s="26" t="s">
        <v>3963</v>
      </c>
      <c r="M764" s="55" t="s">
        <v>5160</v>
      </c>
      <c r="N764" s="26" t="s">
        <v>3924</v>
      </c>
    </row>
    <row r="765" spans="1:14" ht="75" customHeight="1" thickTop="1" thickBot="1">
      <c r="A765" s="34">
        <v>763</v>
      </c>
      <c r="B765" s="34">
        <v>779</v>
      </c>
      <c r="C765" s="55" t="s">
        <v>5161</v>
      </c>
      <c r="D765" s="56" t="s">
        <v>394</v>
      </c>
      <c r="E765" s="56" t="s">
        <v>3922</v>
      </c>
      <c r="F765" s="26" t="s">
        <v>3923</v>
      </c>
      <c r="G765" s="26" t="s">
        <v>15</v>
      </c>
      <c r="H765" s="26" t="s">
        <v>13</v>
      </c>
      <c r="I765" s="26" t="s">
        <v>3924</v>
      </c>
      <c r="J765" s="26" t="s">
        <v>5162</v>
      </c>
      <c r="K765" s="26" t="s">
        <v>3941</v>
      </c>
      <c r="L765" s="26" t="s">
        <v>4277</v>
      </c>
      <c r="M765" s="55" t="s">
        <v>5163</v>
      </c>
      <c r="N765" s="26" t="s">
        <v>3924</v>
      </c>
    </row>
    <row r="766" spans="1:14" ht="75" customHeight="1" thickTop="1" thickBot="1">
      <c r="A766" s="26">
        <v>764</v>
      </c>
      <c r="B766" s="26">
        <v>780</v>
      </c>
      <c r="C766" s="55" t="s">
        <v>5161</v>
      </c>
      <c r="D766" s="56" t="s">
        <v>394</v>
      </c>
      <c r="E766" s="56" t="s">
        <v>3922</v>
      </c>
      <c r="F766" s="26" t="s">
        <v>3923</v>
      </c>
      <c r="G766" s="26" t="s">
        <v>3932</v>
      </c>
      <c r="H766" s="26" t="s">
        <v>13</v>
      </c>
      <c r="I766" s="26" t="s">
        <v>3924</v>
      </c>
      <c r="J766" s="26" t="s">
        <v>5162</v>
      </c>
      <c r="K766" s="26" t="s">
        <v>3941</v>
      </c>
      <c r="L766" s="26" t="s">
        <v>4277</v>
      </c>
      <c r="M766" s="55" t="s">
        <v>5164</v>
      </c>
      <c r="N766" s="26" t="s">
        <v>3924</v>
      </c>
    </row>
    <row r="767" spans="1:14" ht="75" customHeight="1" thickTop="1" thickBot="1">
      <c r="A767" s="34">
        <v>765</v>
      </c>
      <c r="B767" s="34">
        <v>781</v>
      </c>
      <c r="C767" s="55" t="s">
        <v>5165</v>
      </c>
      <c r="D767" s="56" t="s">
        <v>394</v>
      </c>
      <c r="E767" s="56" t="s">
        <v>3922</v>
      </c>
      <c r="F767" s="26" t="s">
        <v>3923</v>
      </c>
      <c r="G767" s="26" t="s">
        <v>16</v>
      </c>
      <c r="H767" s="26" t="s">
        <v>13</v>
      </c>
      <c r="I767" s="26" t="s">
        <v>3924</v>
      </c>
      <c r="J767" s="26" t="s">
        <v>5162</v>
      </c>
      <c r="K767" s="26" t="s">
        <v>3941</v>
      </c>
      <c r="L767" s="26" t="s">
        <v>4277</v>
      </c>
      <c r="M767" s="55" t="s">
        <v>5166</v>
      </c>
      <c r="N767" s="26" t="s">
        <v>3924</v>
      </c>
    </row>
    <row r="768" spans="1:14" ht="75" customHeight="1" thickTop="1" thickBot="1">
      <c r="A768" s="34">
        <v>766</v>
      </c>
      <c r="B768" s="26">
        <v>782</v>
      </c>
      <c r="C768" s="55" t="s">
        <v>5167</v>
      </c>
      <c r="D768" s="56" t="s">
        <v>394</v>
      </c>
      <c r="E768" s="56" t="s">
        <v>3922</v>
      </c>
      <c r="F768" s="26" t="s">
        <v>3923</v>
      </c>
      <c r="G768" s="26" t="s">
        <v>14</v>
      </c>
      <c r="H768" s="26" t="s">
        <v>13</v>
      </c>
      <c r="I768" s="26" t="s">
        <v>3924</v>
      </c>
      <c r="J768" s="26" t="s">
        <v>5168</v>
      </c>
      <c r="K768" s="26" t="s">
        <v>3966</v>
      </c>
      <c r="L768" s="26" t="s">
        <v>3927</v>
      </c>
      <c r="M768" s="55" t="s">
        <v>4545</v>
      </c>
      <c r="N768" s="26" t="s">
        <v>3924</v>
      </c>
    </row>
    <row r="769" spans="1:14" ht="75" customHeight="1" thickTop="1" thickBot="1">
      <c r="A769" s="26">
        <v>767</v>
      </c>
      <c r="B769" s="34">
        <v>783</v>
      </c>
      <c r="C769" s="55" t="s">
        <v>5169</v>
      </c>
      <c r="D769" s="56" t="s">
        <v>394</v>
      </c>
      <c r="E769" s="56" t="s">
        <v>3922</v>
      </c>
      <c r="F769" s="26" t="s">
        <v>3923</v>
      </c>
      <c r="G769" s="26" t="s">
        <v>16</v>
      </c>
      <c r="H769" s="26" t="s">
        <v>13</v>
      </c>
      <c r="I769" s="26" t="s">
        <v>3924</v>
      </c>
      <c r="J769" s="26" t="s">
        <v>5111</v>
      </c>
      <c r="K769" s="26" t="s">
        <v>4040</v>
      </c>
      <c r="L769" s="26" t="s">
        <v>3927</v>
      </c>
      <c r="M769" s="55" t="s">
        <v>5170</v>
      </c>
      <c r="N769" s="26" t="s">
        <v>3924</v>
      </c>
    </row>
    <row r="770" spans="1:14" ht="75" customHeight="1" thickTop="1" thickBot="1">
      <c r="A770" s="34">
        <v>768</v>
      </c>
      <c r="B770" s="26">
        <v>784</v>
      </c>
      <c r="C770" s="55" t="s">
        <v>5169</v>
      </c>
      <c r="D770" s="56" t="s">
        <v>394</v>
      </c>
      <c r="E770" s="56" t="s">
        <v>3922</v>
      </c>
      <c r="F770" s="26" t="s">
        <v>3923</v>
      </c>
      <c r="G770" s="26" t="s">
        <v>16</v>
      </c>
      <c r="H770" s="26" t="s">
        <v>13</v>
      </c>
      <c r="I770" s="26" t="s">
        <v>3924</v>
      </c>
      <c r="J770" s="26" t="s">
        <v>5171</v>
      </c>
      <c r="K770" s="26" t="s">
        <v>4040</v>
      </c>
      <c r="L770" s="26" t="s">
        <v>4284</v>
      </c>
      <c r="M770" s="55" t="s">
        <v>5172</v>
      </c>
      <c r="N770" s="26" t="s">
        <v>3924</v>
      </c>
    </row>
    <row r="771" spans="1:14" ht="75" customHeight="1" thickTop="1" thickBot="1">
      <c r="A771" s="34">
        <v>769</v>
      </c>
      <c r="B771" s="34">
        <v>785</v>
      </c>
      <c r="C771" s="55" t="s">
        <v>5169</v>
      </c>
      <c r="D771" s="56" t="s">
        <v>394</v>
      </c>
      <c r="E771" s="56" t="s">
        <v>3922</v>
      </c>
      <c r="F771" s="26" t="s">
        <v>3923</v>
      </c>
      <c r="G771" s="26" t="s">
        <v>16</v>
      </c>
      <c r="H771" s="26" t="s">
        <v>13</v>
      </c>
      <c r="I771" s="26" t="s">
        <v>3924</v>
      </c>
      <c r="J771" s="26" t="s">
        <v>5173</v>
      </c>
      <c r="K771" s="26" t="s">
        <v>4040</v>
      </c>
      <c r="L771" s="26" t="s">
        <v>3986</v>
      </c>
      <c r="M771" s="55" t="s">
        <v>5172</v>
      </c>
      <c r="N771" s="26" t="s">
        <v>3924</v>
      </c>
    </row>
    <row r="772" spans="1:14" ht="75" customHeight="1" thickTop="1" thickBot="1">
      <c r="A772" s="26">
        <v>770</v>
      </c>
      <c r="B772" s="26">
        <v>786</v>
      </c>
      <c r="C772" s="55" t="s">
        <v>5174</v>
      </c>
      <c r="D772" s="56" t="s">
        <v>394</v>
      </c>
      <c r="E772" s="56" t="s">
        <v>3922</v>
      </c>
      <c r="F772" s="26" t="s">
        <v>3923</v>
      </c>
      <c r="G772" s="26" t="s">
        <v>16</v>
      </c>
      <c r="H772" s="26" t="s">
        <v>13</v>
      </c>
      <c r="I772" s="26" t="s">
        <v>3924</v>
      </c>
      <c r="J772" s="26" t="s">
        <v>5173</v>
      </c>
      <c r="K772" s="26" t="s">
        <v>4040</v>
      </c>
      <c r="L772" s="26" t="s">
        <v>3927</v>
      </c>
      <c r="M772" s="55" t="s">
        <v>5175</v>
      </c>
      <c r="N772" s="26" t="s">
        <v>3924</v>
      </c>
    </row>
    <row r="773" spans="1:14" ht="75" customHeight="1" thickTop="1" thickBot="1">
      <c r="A773" s="34">
        <v>771</v>
      </c>
      <c r="B773" s="34">
        <v>787</v>
      </c>
      <c r="C773" s="55" t="s">
        <v>5176</v>
      </c>
      <c r="D773" s="56" t="s">
        <v>394</v>
      </c>
      <c r="E773" s="56" t="s">
        <v>3922</v>
      </c>
      <c r="F773" s="26" t="s">
        <v>3923</v>
      </c>
      <c r="G773" s="26" t="s">
        <v>16</v>
      </c>
      <c r="H773" s="26" t="s">
        <v>13</v>
      </c>
      <c r="I773" s="26" t="s">
        <v>3924</v>
      </c>
      <c r="J773" s="26" t="s">
        <v>5173</v>
      </c>
      <c r="K773" s="26" t="s">
        <v>4040</v>
      </c>
      <c r="L773" s="26" t="s">
        <v>4011</v>
      </c>
      <c r="M773" s="55" t="s">
        <v>5177</v>
      </c>
      <c r="N773" s="26" t="s">
        <v>3924</v>
      </c>
    </row>
    <row r="774" spans="1:14" ht="75" customHeight="1" thickTop="1" thickBot="1">
      <c r="A774" s="34">
        <v>772</v>
      </c>
      <c r="B774" s="26">
        <v>788</v>
      </c>
      <c r="C774" s="55" t="s">
        <v>5176</v>
      </c>
      <c r="D774" s="56" t="s">
        <v>394</v>
      </c>
      <c r="E774" s="56" t="s">
        <v>3922</v>
      </c>
      <c r="F774" s="26" t="s">
        <v>3923</v>
      </c>
      <c r="G774" s="26" t="s">
        <v>16</v>
      </c>
      <c r="H774" s="26" t="s">
        <v>13</v>
      </c>
      <c r="I774" s="26" t="s">
        <v>3924</v>
      </c>
      <c r="J774" s="26" t="s">
        <v>5178</v>
      </c>
      <c r="K774" s="26" t="s">
        <v>4040</v>
      </c>
      <c r="L774" s="26" t="s">
        <v>4203</v>
      </c>
      <c r="M774" s="55" t="s">
        <v>5179</v>
      </c>
      <c r="N774" s="26" t="s">
        <v>3924</v>
      </c>
    </row>
    <row r="775" spans="1:14" ht="75" customHeight="1" thickTop="1" thickBot="1">
      <c r="A775" s="26">
        <v>773</v>
      </c>
      <c r="B775" s="34">
        <v>789</v>
      </c>
      <c r="C775" s="55" t="s">
        <v>5180</v>
      </c>
      <c r="D775" s="56" t="s">
        <v>394</v>
      </c>
      <c r="E775" s="56" t="s">
        <v>3922</v>
      </c>
      <c r="F775" s="26" t="s">
        <v>3923</v>
      </c>
      <c r="G775" s="26" t="s">
        <v>16</v>
      </c>
      <c r="H775" s="26" t="s">
        <v>13</v>
      </c>
      <c r="I775" s="26" t="s">
        <v>3924</v>
      </c>
      <c r="J775" s="26" t="s">
        <v>5181</v>
      </c>
      <c r="K775" s="26" t="s">
        <v>4040</v>
      </c>
      <c r="L775" s="26" t="s">
        <v>4239</v>
      </c>
      <c r="M775" s="55" t="s">
        <v>5179</v>
      </c>
      <c r="N775" s="26" t="s">
        <v>3924</v>
      </c>
    </row>
    <row r="776" spans="1:14" ht="75" customHeight="1" thickTop="1" thickBot="1">
      <c r="A776" s="34">
        <v>774</v>
      </c>
      <c r="B776" s="26">
        <v>790</v>
      </c>
      <c r="C776" s="55" t="s">
        <v>5182</v>
      </c>
      <c r="D776" s="56" t="s">
        <v>394</v>
      </c>
      <c r="E776" s="56" t="s">
        <v>3922</v>
      </c>
      <c r="F776" s="26" t="s">
        <v>3923</v>
      </c>
      <c r="G776" s="26" t="s">
        <v>16</v>
      </c>
      <c r="H776" s="26" t="s">
        <v>13</v>
      </c>
      <c r="I776" s="26" t="s">
        <v>3924</v>
      </c>
      <c r="J776" s="26" t="s">
        <v>5183</v>
      </c>
      <c r="K776" s="26" t="s">
        <v>3926</v>
      </c>
      <c r="L776" s="26" t="s">
        <v>3927</v>
      </c>
      <c r="M776" s="55" t="s">
        <v>5184</v>
      </c>
      <c r="N776" s="26" t="s">
        <v>3924</v>
      </c>
    </row>
    <row r="777" spans="1:14" ht="75" customHeight="1" thickTop="1" thickBot="1">
      <c r="A777" s="34">
        <v>775</v>
      </c>
      <c r="B777" s="34">
        <v>791</v>
      </c>
      <c r="C777" s="55" t="s">
        <v>5185</v>
      </c>
      <c r="D777" s="56" t="s">
        <v>394</v>
      </c>
      <c r="E777" s="56" t="s">
        <v>3922</v>
      </c>
      <c r="F777" s="26" t="s">
        <v>3923</v>
      </c>
      <c r="G777" s="26" t="s">
        <v>16</v>
      </c>
      <c r="H777" s="26" t="s">
        <v>13</v>
      </c>
      <c r="I777" s="26" t="s">
        <v>3924</v>
      </c>
      <c r="J777" s="26" t="s">
        <v>5186</v>
      </c>
      <c r="K777" s="26" t="s">
        <v>4387</v>
      </c>
      <c r="L777" s="26" t="s">
        <v>5187</v>
      </c>
      <c r="M777" s="55" t="s">
        <v>5188</v>
      </c>
      <c r="N777" s="26" t="s">
        <v>3924</v>
      </c>
    </row>
    <row r="778" spans="1:14" ht="75" customHeight="1" thickTop="1" thickBot="1">
      <c r="A778" s="26">
        <v>776</v>
      </c>
      <c r="B778" s="26">
        <v>792</v>
      </c>
      <c r="C778" s="55" t="s">
        <v>5185</v>
      </c>
      <c r="D778" s="56" t="s">
        <v>394</v>
      </c>
      <c r="E778" s="56" t="s">
        <v>3922</v>
      </c>
      <c r="F778" s="26" t="s">
        <v>3923</v>
      </c>
      <c r="G778" s="26" t="s">
        <v>16</v>
      </c>
      <c r="H778" s="26" t="s">
        <v>13</v>
      </c>
      <c r="I778" s="26" t="s">
        <v>3924</v>
      </c>
      <c r="J778" s="26" t="s">
        <v>5186</v>
      </c>
      <c r="K778" s="26" t="s">
        <v>3929</v>
      </c>
      <c r="L778" s="26" t="s">
        <v>3927</v>
      </c>
      <c r="M778" s="55" t="s">
        <v>5189</v>
      </c>
      <c r="N778" s="26" t="s">
        <v>3924</v>
      </c>
    </row>
    <row r="779" spans="1:14" ht="75" customHeight="1" thickTop="1" thickBot="1">
      <c r="A779" s="34">
        <v>777</v>
      </c>
      <c r="B779" s="34">
        <v>793</v>
      </c>
      <c r="C779" s="55" t="s">
        <v>5190</v>
      </c>
      <c r="D779" s="56" t="s">
        <v>394</v>
      </c>
      <c r="E779" s="56" t="s">
        <v>3922</v>
      </c>
      <c r="F779" s="26" t="s">
        <v>3923</v>
      </c>
      <c r="G779" s="26" t="s">
        <v>16</v>
      </c>
      <c r="H779" s="26" t="s">
        <v>13</v>
      </c>
      <c r="I779" s="26" t="s">
        <v>3924</v>
      </c>
      <c r="J779" s="26" t="s">
        <v>5186</v>
      </c>
      <c r="K779" s="26" t="s">
        <v>3976</v>
      </c>
      <c r="L779" s="26" t="s">
        <v>3927</v>
      </c>
      <c r="M779" s="55" t="s">
        <v>5191</v>
      </c>
      <c r="N779" s="26" t="s">
        <v>3924</v>
      </c>
    </row>
    <row r="780" spans="1:14" ht="75" customHeight="1" thickTop="1" thickBot="1">
      <c r="A780" s="34">
        <v>778</v>
      </c>
      <c r="B780" s="26">
        <v>794</v>
      </c>
      <c r="C780" s="55" t="s">
        <v>5192</v>
      </c>
      <c r="D780" s="56" t="s">
        <v>394</v>
      </c>
      <c r="E780" s="56" t="s">
        <v>3922</v>
      </c>
      <c r="F780" s="26" t="s">
        <v>3923</v>
      </c>
      <c r="G780" s="26" t="s">
        <v>16</v>
      </c>
      <c r="H780" s="26" t="s">
        <v>13</v>
      </c>
      <c r="I780" s="26" t="s">
        <v>3924</v>
      </c>
      <c r="J780" s="26" t="s">
        <v>5186</v>
      </c>
      <c r="K780" s="26" t="s">
        <v>3966</v>
      </c>
      <c r="L780" s="26" t="s">
        <v>3927</v>
      </c>
      <c r="M780" s="55" t="s">
        <v>5193</v>
      </c>
      <c r="N780" s="26" t="s">
        <v>3924</v>
      </c>
    </row>
    <row r="781" spans="1:14" ht="75" customHeight="1" thickTop="1" thickBot="1">
      <c r="A781" s="26">
        <v>779</v>
      </c>
      <c r="B781" s="34">
        <v>795</v>
      </c>
      <c r="C781" s="55" t="s">
        <v>5194</v>
      </c>
      <c r="D781" s="56" t="s">
        <v>394</v>
      </c>
      <c r="E781" s="56" t="s">
        <v>3922</v>
      </c>
      <c r="F781" s="26" t="s">
        <v>3923</v>
      </c>
      <c r="G781" s="26" t="s">
        <v>16</v>
      </c>
      <c r="H781" s="26" t="s">
        <v>13</v>
      </c>
      <c r="I781" s="26" t="s">
        <v>3924</v>
      </c>
      <c r="J781" s="26" t="s">
        <v>5195</v>
      </c>
      <c r="K781" s="26" t="s">
        <v>4040</v>
      </c>
      <c r="L781" s="26" t="s">
        <v>3927</v>
      </c>
      <c r="M781" s="55" t="s">
        <v>3980</v>
      </c>
      <c r="N781" s="26" t="s">
        <v>3924</v>
      </c>
    </row>
    <row r="782" spans="1:14" ht="75" customHeight="1" thickTop="1" thickBot="1">
      <c r="A782" s="34">
        <v>780</v>
      </c>
      <c r="B782" s="26">
        <v>796</v>
      </c>
      <c r="C782" s="55" t="s">
        <v>5194</v>
      </c>
      <c r="D782" s="56" t="s">
        <v>394</v>
      </c>
      <c r="E782" s="56" t="s">
        <v>3922</v>
      </c>
      <c r="F782" s="26" t="s">
        <v>3923</v>
      </c>
      <c r="G782" s="26" t="s">
        <v>16</v>
      </c>
      <c r="H782" s="26" t="s">
        <v>13</v>
      </c>
      <c r="I782" s="26" t="s">
        <v>3924</v>
      </c>
      <c r="J782" s="26" t="s">
        <v>5196</v>
      </c>
      <c r="K782" s="26" t="s">
        <v>4040</v>
      </c>
      <c r="L782" s="26" t="s">
        <v>3963</v>
      </c>
      <c r="M782" s="55" t="s">
        <v>5197</v>
      </c>
      <c r="N782" s="26" t="s">
        <v>3924</v>
      </c>
    </row>
    <row r="783" spans="1:14" ht="75" customHeight="1" thickTop="1" thickBot="1">
      <c r="A783" s="34">
        <v>781</v>
      </c>
      <c r="B783" s="34">
        <v>797</v>
      </c>
      <c r="C783" s="55" t="s">
        <v>5198</v>
      </c>
      <c r="D783" s="56" t="s">
        <v>394</v>
      </c>
      <c r="E783" s="56" t="s">
        <v>3922</v>
      </c>
      <c r="F783" s="26" t="s">
        <v>3923</v>
      </c>
      <c r="G783" s="26" t="s">
        <v>14</v>
      </c>
      <c r="H783" s="26" t="s">
        <v>13</v>
      </c>
      <c r="I783" s="26" t="s">
        <v>3924</v>
      </c>
      <c r="J783" s="26" t="s">
        <v>5199</v>
      </c>
      <c r="K783" s="26" t="s">
        <v>5200</v>
      </c>
      <c r="L783" s="26" t="s">
        <v>4306</v>
      </c>
      <c r="M783" s="55" t="s">
        <v>5201</v>
      </c>
      <c r="N783" s="26" t="s">
        <v>3924</v>
      </c>
    </row>
    <row r="784" spans="1:14" ht="75" customHeight="1" thickTop="1" thickBot="1">
      <c r="A784" s="26">
        <v>782</v>
      </c>
      <c r="B784" s="26">
        <v>798</v>
      </c>
      <c r="C784" s="55" t="s">
        <v>5202</v>
      </c>
      <c r="D784" s="56" t="s">
        <v>394</v>
      </c>
      <c r="E784" s="56" t="s">
        <v>3922</v>
      </c>
      <c r="F784" s="26" t="s">
        <v>3923</v>
      </c>
      <c r="G784" s="26" t="s">
        <v>16</v>
      </c>
      <c r="H784" s="26" t="s">
        <v>13</v>
      </c>
      <c r="I784" s="26" t="s">
        <v>3924</v>
      </c>
      <c r="J784" s="26" t="s">
        <v>5203</v>
      </c>
      <c r="K784" s="26" t="s">
        <v>4190</v>
      </c>
      <c r="L784" s="26" t="s">
        <v>3927</v>
      </c>
      <c r="M784" s="55" t="s">
        <v>5204</v>
      </c>
      <c r="N784" s="26" t="s">
        <v>3924</v>
      </c>
    </row>
    <row r="785" spans="1:14" ht="75" customHeight="1" thickTop="1" thickBot="1">
      <c r="A785" s="34">
        <v>783</v>
      </c>
      <c r="B785" s="34">
        <v>799</v>
      </c>
      <c r="C785" s="55" t="s">
        <v>5202</v>
      </c>
      <c r="D785" s="56" t="s">
        <v>394</v>
      </c>
      <c r="E785" s="56" t="s">
        <v>3922</v>
      </c>
      <c r="F785" s="26" t="s">
        <v>3923</v>
      </c>
      <c r="G785" s="26" t="s">
        <v>16</v>
      </c>
      <c r="H785" s="26" t="s">
        <v>13</v>
      </c>
      <c r="I785" s="26" t="s">
        <v>3924</v>
      </c>
      <c r="J785" s="26" t="s">
        <v>5171</v>
      </c>
      <c r="K785" s="26" t="s">
        <v>4190</v>
      </c>
      <c r="L785" s="26" t="s">
        <v>3927</v>
      </c>
      <c r="M785" s="55" t="s">
        <v>850</v>
      </c>
      <c r="N785" s="26" t="s">
        <v>3924</v>
      </c>
    </row>
    <row r="786" spans="1:14" ht="75" customHeight="1" thickTop="1" thickBot="1">
      <c r="A786" s="34">
        <v>784</v>
      </c>
      <c r="B786" s="26">
        <v>800</v>
      </c>
      <c r="C786" s="55" t="s">
        <v>5205</v>
      </c>
      <c r="D786" s="56" t="s">
        <v>394</v>
      </c>
      <c r="E786" s="56" t="s">
        <v>3922</v>
      </c>
      <c r="F786" s="26" t="s">
        <v>3923</v>
      </c>
      <c r="G786" s="26" t="s">
        <v>16</v>
      </c>
      <c r="H786" s="26" t="s">
        <v>13</v>
      </c>
      <c r="I786" s="26" t="s">
        <v>3924</v>
      </c>
      <c r="J786" s="26" t="s">
        <v>5171</v>
      </c>
      <c r="K786" s="26" t="s">
        <v>4087</v>
      </c>
      <c r="L786" s="26" t="s">
        <v>3927</v>
      </c>
      <c r="M786" s="55" t="s">
        <v>1341</v>
      </c>
      <c r="N786" s="26" t="s">
        <v>3924</v>
      </c>
    </row>
    <row r="787" spans="1:14" ht="75" customHeight="1" thickTop="1" thickBot="1">
      <c r="A787" s="26">
        <v>785</v>
      </c>
      <c r="B787" s="34">
        <v>801</v>
      </c>
      <c r="C787" s="55" t="s">
        <v>5206</v>
      </c>
      <c r="D787" s="56" t="s">
        <v>394</v>
      </c>
      <c r="E787" s="56" t="s">
        <v>3922</v>
      </c>
      <c r="F787" s="26" t="s">
        <v>3923</v>
      </c>
      <c r="G787" s="26" t="s">
        <v>16</v>
      </c>
      <c r="H787" s="26" t="s">
        <v>13</v>
      </c>
      <c r="I787" s="26" t="s">
        <v>3924</v>
      </c>
      <c r="J787" s="26" t="s">
        <v>5207</v>
      </c>
      <c r="K787" s="26" t="s">
        <v>4040</v>
      </c>
      <c r="L787" s="26" t="s">
        <v>3927</v>
      </c>
      <c r="M787" s="55" t="s">
        <v>5208</v>
      </c>
      <c r="N787" s="26" t="s">
        <v>3924</v>
      </c>
    </row>
    <row r="788" spans="1:14" ht="75" customHeight="1" thickTop="1" thickBot="1">
      <c r="A788" s="34">
        <v>786</v>
      </c>
      <c r="B788" s="26">
        <v>802</v>
      </c>
      <c r="C788" s="55" t="s">
        <v>5209</v>
      </c>
      <c r="D788" s="56" t="s">
        <v>394</v>
      </c>
      <c r="E788" s="56" t="s">
        <v>3922</v>
      </c>
      <c r="F788" s="26" t="s">
        <v>3923</v>
      </c>
      <c r="G788" s="26" t="s">
        <v>16</v>
      </c>
      <c r="H788" s="26" t="s">
        <v>13</v>
      </c>
      <c r="I788" s="26" t="s">
        <v>3924</v>
      </c>
      <c r="J788" s="26" t="s">
        <v>5207</v>
      </c>
      <c r="K788" s="26" t="s">
        <v>4040</v>
      </c>
      <c r="L788" s="26" t="s">
        <v>3963</v>
      </c>
      <c r="M788" s="55" t="s">
        <v>5210</v>
      </c>
      <c r="N788" s="26" t="s">
        <v>3924</v>
      </c>
    </row>
    <row r="789" spans="1:14" ht="75" customHeight="1" thickTop="1" thickBot="1">
      <c r="A789" s="34">
        <v>787</v>
      </c>
      <c r="B789" s="34">
        <v>803</v>
      </c>
      <c r="C789" s="55" t="s">
        <v>5211</v>
      </c>
      <c r="D789" s="56" t="s">
        <v>394</v>
      </c>
      <c r="E789" s="56" t="s">
        <v>3922</v>
      </c>
      <c r="F789" s="26" t="s">
        <v>3923</v>
      </c>
      <c r="G789" s="26" t="s">
        <v>16</v>
      </c>
      <c r="H789" s="26" t="s">
        <v>13</v>
      </c>
      <c r="I789" s="26" t="s">
        <v>3924</v>
      </c>
      <c r="J789" s="26" t="s">
        <v>5207</v>
      </c>
      <c r="K789" s="26" t="s">
        <v>3926</v>
      </c>
      <c r="L789" s="26" t="s">
        <v>3963</v>
      </c>
      <c r="M789" s="55" t="s">
        <v>5212</v>
      </c>
      <c r="N789" s="26" t="s">
        <v>3924</v>
      </c>
    </row>
    <row r="790" spans="1:14" ht="75" customHeight="1" thickTop="1" thickBot="1">
      <c r="A790" s="26">
        <v>788</v>
      </c>
      <c r="B790" s="26">
        <v>804</v>
      </c>
      <c r="C790" s="55" t="s">
        <v>5213</v>
      </c>
      <c r="D790" s="56" t="s">
        <v>394</v>
      </c>
      <c r="E790" s="56" t="s">
        <v>3922</v>
      </c>
      <c r="F790" s="26" t="s">
        <v>3923</v>
      </c>
      <c r="G790" s="26" t="s">
        <v>16</v>
      </c>
      <c r="H790" s="26" t="s">
        <v>13</v>
      </c>
      <c r="I790" s="26" t="s">
        <v>3924</v>
      </c>
      <c r="J790" s="26" t="s">
        <v>5207</v>
      </c>
      <c r="K790" s="26" t="s">
        <v>3929</v>
      </c>
      <c r="L790" s="26" t="s">
        <v>4277</v>
      </c>
      <c r="M790" s="55" t="s">
        <v>5214</v>
      </c>
      <c r="N790" s="26" t="s">
        <v>3924</v>
      </c>
    </row>
    <row r="791" spans="1:14" ht="75" customHeight="1" thickTop="1" thickBot="1">
      <c r="A791" s="34">
        <v>789</v>
      </c>
      <c r="B791" s="34">
        <v>805</v>
      </c>
      <c r="C791" s="55" t="s">
        <v>5213</v>
      </c>
      <c r="D791" s="56" t="s">
        <v>394</v>
      </c>
      <c r="E791" s="56" t="s">
        <v>3922</v>
      </c>
      <c r="F791" s="26" t="s">
        <v>3923</v>
      </c>
      <c r="G791" s="26" t="s">
        <v>16</v>
      </c>
      <c r="H791" s="26" t="s">
        <v>13</v>
      </c>
      <c r="I791" s="26" t="s">
        <v>3924</v>
      </c>
      <c r="J791" s="26" t="s">
        <v>5215</v>
      </c>
      <c r="K791" s="26" t="s">
        <v>3929</v>
      </c>
      <c r="L791" s="26" t="s">
        <v>3963</v>
      </c>
      <c r="M791" s="55" t="s">
        <v>5216</v>
      </c>
      <c r="N791" s="26" t="s">
        <v>3924</v>
      </c>
    </row>
    <row r="792" spans="1:14" ht="75" customHeight="1" thickTop="1" thickBot="1">
      <c r="A792" s="34">
        <v>790</v>
      </c>
      <c r="B792" s="26">
        <v>806</v>
      </c>
      <c r="C792" s="55" t="s">
        <v>5213</v>
      </c>
      <c r="D792" s="56" t="s">
        <v>394</v>
      </c>
      <c r="E792" s="56" t="s">
        <v>3922</v>
      </c>
      <c r="F792" s="26" t="s">
        <v>3923</v>
      </c>
      <c r="G792" s="26" t="s">
        <v>16</v>
      </c>
      <c r="H792" s="26" t="s">
        <v>13</v>
      </c>
      <c r="I792" s="26" t="s">
        <v>3924</v>
      </c>
      <c r="J792" s="26" t="s">
        <v>5215</v>
      </c>
      <c r="K792" s="26" t="s">
        <v>3929</v>
      </c>
      <c r="L792" s="26" t="s">
        <v>4011</v>
      </c>
      <c r="M792" s="55" t="s">
        <v>5217</v>
      </c>
      <c r="N792" s="26" t="s">
        <v>3924</v>
      </c>
    </row>
    <row r="793" spans="1:14" ht="75" customHeight="1" thickTop="1" thickBot="1">
      <c r="A793" s="26">
        <v>791</v>
      </c>
      <c r="B793" s="34">
        <v>807</v>
      </c>
      <c r="C793" s="55" t="s">
        <v>5218</v>
      </c>
      <c r="D793" s="56" t="s">
        <v>394</v>
      </c>
      <c r="E793" s="56" t="s">
        <v>3922</v>
      </c>
      <c r="F793" s="26" t="s">
        <v>3923</v>
      </c>
      <c r="G793" s="26" t="s">
        <v>16</v>
      </c>
      <c r="H793" s="26" t="s">
        <v>13</v>
      </c>
      <c r="I793" s="26" t="s">
        <v>3924</v>
      </c>
      <c r="J793" s="26" t="s">
        <v>5219</v>
      </c>
      <c r="K793" s="26" t="s">
        <v>3929</v>
      </c>
      <c r="L793" s="26" t="s">
        <v>4203</v>
      </c>
      <c r="M793" s="55" t="s">
        <v>5220</v>
      </c>
      <c r="N793" s="26" t="s">
        <v>3924</v>
      </c>
    </row>
    <row r="794" spans="1:14" ht="75" customHeight="1" thickTop="1" thickBot="1">
      <c r="A794" s="34">
        <v>792</v>
      </c>
      <c r="B794" s="26">
        <v>808</v>
      </c>
      <c r="C794" s="55" t="s">
        <v>5218</v>
      </c>
      <c r="D794" s="56" t="s">
        <v>394</v>
      </c>
      <c r="E794" s="56" t="s">
        <v>3922</v>
      </c>
      <c r="F794" s="26" t="s">
        <v>3923</v>
      </c>
      <c r="G794" s="26" t="s">
        <v>16</v>
      </c>
      <c r="H794" s="26" t="s">
        <v>13</v>
      </c>
      <c r="I794" s="26" t="s">
        <v>3924</v>
      </c>
      <c r="J794" s="26" t="s">
        <v>5219</v>
      </c>
      <c r="K794" s="26" t="s">
        <v>3929</v>
      </c>
      <c r="L794" s="26" t="s">
        <v>4239</v>
      </c>
      <c r="M794" s="55" t="s">
        <v>5221</v>
      </c>
      <c r="N794" s="26" t="s">
        <v>3924</v>
      </c>
    </row>
    <row r="795" spans="1:14" ht="75" customHeight="1" thickTop="1" thickBot="1">
      <c r="A795" s="34">
        <v>793</v>
      </c>
      <c r="B795" s="34">
        <v>809</v>
      </c>
      <c r="C795" s="55" t="s">
        <v>5222</v>
      </c>
      <c r="D795" s="56" t="s">
        <v>394</v>
      </c>
      <c r="E795" s="56" t="s">
        <v>3922</v>
      </c>
      <c r="F795" s="26" t="s">
        <v>3923</v>
      </c>
      <c r="G795" s="26" t="s">
        <v>16</v>
      </c>
      <c r="H795" s="26" t="s">
        <v>13</v>
      </c>
      <c r="I795" s="26" t="s">
        <v>3924</v>
      </c>
      <c r="J795" s="26" t="s">
        <v>5219</v>
      </c>
      <c r="K795" s="26" t="s">
        <v>3926</v>
      </c>
      <c r="L795" s="26" t="s">
        <v>3963</v>
      </c>
      <c r="M795" s="55" t="s">
        <v>585</v>
      </c>
      <c r="N795" s="26" t="s">
        <v>3924</v>
      </c>
    </row>
    <row r="796" spans="1:14" ht="75" customHeight="1" thickTop="1" thickBot="1">
      <c r="A796" s="26">
        <v>794</v>
      </c>
      <c r="B796" s="26">
        <v>810</v>
      </c>
      <c r="C796" s="55" t="s">
        <v>5223</v>
      </c>
      <c r="D796" s="56" t="s">
        <v>394</v>
      </c>
      <c r="E796" s="56" t="s">
        <v>3922</v>
      </c>
      <c r="F796" s="26" t="s">
        <v>3923</v>
      </c>
      <c r="G796" s="26" t="s">
        <v>16</v>
      </c>
      <c r="H796" s="26" t="s">
        <v>13</v>
      </c>
      <c r="I796" s="26" t="s">
        <v>3924</v>
      </c>
      <c r="J796" s="26" t="s">
        <v>5219</v>
      </c>
      <c r="K796" s="26" t="s">
        <v>4040</v>
      </c>
      <c r="L796" s="26" t="s">
        <v>3927</v>
      </c>
      <c r="M796" s="55" t="s">
        <v>5224</v>
      </c>
      <c r="N796" s="26" t="s">
        <v>3924</v>
      </c>
    </row>
    <row r="797" spans="1:14" ht="75" customHeight="1" thickTop="1" thickBot="1">
      <c r="A797" s="34">
        <v>795</v>
      </c>
      <c r="B797" s="34">
        <v>811</v>
      </c>
      <c r="C797" s="55" t="s">
        <v>5225</v>
      </c>
      <c r="D797" s="56" t="s">
        <v>394</v>
      </c>
      <c r="E797" s="56" t="s">
        <v>3922</v>
      </c>
      <c r="F797" s="26" t="s">
        <v>3923</v>
      </c>
      <c r="G797" s="26" t="s">
        <v>16</v>
      </c>
      <c r="H797" s="26" t="s">
        <v>13</v>
      </c>
      <c r="I797" s="26" t="s">
        <v>3924</v>
      </c>
      <c r="J797" s="26" t="s">
        <v>5226</v>
      </c>
      <c r="K797" s="26" t="s">
        <v>4040</v>
      </c>
      <c r="L797" s="26" t="s">
        <v>3927</v>
      </c>
      <c r="M797" s="55" t="s">
        <v>5227</v>
      </c>
      <c r="N797" s="26" t="s">
        <v>3924</v>
      </c>
    </row>
    <row r="798" spans="1:14" ht="75" customHeight="1" thickTop="1" thickBot="1">
      <c r="A798" s="34">
        <v>796</v>
      </c>
      <c r="B798" s="26">
        <v>812</v>
      </c>
      <c r="C798" s="55" t="s">
        <v>5228</v>
      </c>
      <c r="D798" s="56" t="s">
        <v>394</v>
      </c>
      <c r="E798" s="56" t="s">
        <v>3922</v>
      </c>
      <c r="F798" s="26" t="s">
        <v>3923</v>
      </c>
      <c r="G798" s="26" t="s">
        <v>16</v>
      </c>
      <c r="H798" s="26" t="s">
        <v>13</v>
      </c>
      <c r="I798" s="26" t="s">
        <v>3924</v>
      </c>
      <c r="J798" s="26" t="s">
        <v>5229</v>
      </c>
      <c r="K798" s="26" t="s">
        <v>4010</v>
      </c>
      <c r="L798" s="26" t="s">
        <v>3963</v>
      </c>
      <c r="M798" s="55" t="s">
        <v>1548</v>
      </c>
      <c r="N798" s="26" t="s">
        <v>3924</v>
      </c>
    </row>
    <row r="799" spans="1:14" ht="75" customHeight="1" thickTop="1" thickBot="1">
      <c r="A799" s="26">
        <v>797</v>
      </c>
      <c r="B799" s="34">
        <v>813</v>
      </c>
      <c r="C799" s="55" t="s">
        <v>5228</v>
      </c>
      <c r="D799" s="56" t="s">
        <v>394</v>
      </c>
      <c r="E799" s="56" t="s">
        <v>3922</v>
      </c>
      <c r="F799" s="26" t="s">
        <v>3923</v>
      </c>
      <c r="G799" s="26" t="s">
        <v>16</v>
      </c>
      <c r="H799" s="26" t="s">
        <v>13</v>
      </c>
      <c r="I799" s="26" t="s">
        <v>3924</v>
      </c>
      <c r="J799" s="26" t="s">
        <v>5230</v>
      </c>
      <c r="K799" s="26" t="s">
        <v>4010</v>
      </c>
      <c r="L799" s="26" t="s">
        <v>3927</v>
      </c>
      <c r="M799" s="55" t="s">
        <v>1341</v>
      </c>
      <c r="N799" s="26" t="s">
        <v>3924</v>
      </c>
    </row>
    <row r="800" spans="1:14" ht="75" customHeight="1" thickTop="1" thickBot="1">
      <c r="A800" s="34">
        <v>798</v>
      </c>
      <c r="B800" s="26">
        <v>814</v>
      </c>
      <c r="C800" s="55" t="s">
        <v>5231</v>
      </c>
      <c r="D800" s="56" t="s">
        <v>394</v>
      </c>
      <c r="E800" s="56" t="s">
        <v>3922</v>
      </c>
      <c r="F800" s="26" t="s">
        <v>3923</v>
      </c>
      <c r="G800" s="26" t="s">
        <v>16</v>
      </c>
      <c r="H800" s="26" t="s">
        <v>13</v>
      </c>
      <c r="I800" s="26" t="s">
        <v>3924</v>
      </c>
      <c r="J800" s="26" t="s">
        <v>5232</v>
      </c>
      <c r="K800" s="26" t="s">
        <v>4040</v>
      </c>
      <c r="L800" s="26" t="s">
        <v>3986</v>
      </c>
      <c r="M800" s="55" t="s">
        <v>5233</v>
      </c>
      <c r="N800" s="26" t="s">
        <v>3924</v>
      </c>
    </row>
    <row r="801" spans="1:14" ht="75" customHeight="1" thickTop="1" thickBot="1">
      <c r="A801" s="34">
        <v>799</v>
      </c>
      <c r="B801" s="34">
        <v>815</v>
      </c>
      <c r="C801" s="55" t="s">
        <v>5234</v>
      </c>
      <c r="D801" s="56" t="s">
        <v>394</v>
      </c>
      <c r="E801" s="56" t="s">
        <v>3922</v>
      </c>
      <c r="F801" s="26" t="s">
        <v>3923</v>
      </c>
      <c r="G801" s="26" t="s">
        <v>16</v>
      </c>
      <c r="H801" s="26" t="s">
        <v>13</v>
      </c>
      <c r="I801" s="26" t="s">
        <v>3924</v>
      </c>
      <c r="J801" s="26" t="s">
        <v>5232</v>
      </c>
      <c r="K801" s="26" t="s">
        <v>3941</v>
      </c>
      <c r="L801" s="26" t="s">
        <v>3927</v>
      </c>
      <c r="M801" s="55" t="s">
        <v>5235</v>
      </c>
      <c r="N801" s="26" t="s">
        <v>3924</v>
      </c>
    </row>
    <row r="802" spans="1:14" ht="75" customHeight="1" thickTop="1" thickBot="1">
      <c r="A802" s="26">
        <v>800</v>
      </c>
      <c r="B802" s="26">
        <v>816</v>
      </c>
      <c r="C802" s="55" t="s">
        <v>5236</v>
      </c>
      <c r="D802" s="56" t="s">
        <v>394</v>
      </c>
      <c r="E802" s="56" t="s">
        <v>3922</v>
      </c>
      <c r="F802" s="26" t="s">
        <v>3923</v>
      </c>
      <c r="G802" s="26" t="s">
        <v>16</v>
      </c>
      <c r="H802" s="26" t="s">
        <v>13</v>
      </c>
      <c r="I802" s="26" t="s">
        <v>3924</v>
      </c>
      <c r="J802" s="26" t="s">
        <v>5237</v>
      </c>
      <c r="K802" s="26" t="s">
        <v>3941</v>
      </c>
      <c r="L802" s="26" t="s">
        <v>3986</v>
      </c>
      <c r="M802" s="55" t="s">
        <v>844</v>
      </c>
      <c r="N802" s="26" t="s">
        <v>3924</v>
      </c>
    </row>
    <row r="803" spans="1:14" ht="75" customHeight="1" thickTop="1" thickBot="1">
      <c r="A803" s="34">
        <v>801</v>
      </c>
      <c r="B803" s="34">
        <v>817</v>
      </c>
      <c r="C803" s="55" t="s">
        <v>5236</v>
      </c>
      <c r="D803" s="56" t="s">
        <v>394</v>
      </c>
      <c r="E803" s="56" t="s">
        <v>3922</v>
      </c>
      <c r="F803" s="26" t="s">
        <v>3923</v>
      </c>
      <c r="G803" s="26" t="s">
        <v>16</v>
      </c>
      <c r="H803" s="26" t="s">
        <v>13</v>
      </c>
      <c r="I803" s="26" t="s">
        <v>3924</v>
      </c>
      <c r="J803" s="26" t="s">
        <v>5237</v>
      </c>
      <c r="K803" s="26" t="s">
        <v>4010</v>
      </c>
      <c r="L803" s="26" t="s">
        <v>3927</v>
      </c>
      <c r="M803" s="55" t="s">
        <v>4819</v>
      </c>
      <c r="N803" s="26" t="s">
        <v>3924</v>
      </c>
    </row>
    <row r="804" spans="1:14" ht="75" customHeight="1" thickTop="1" thickBot="1">
      <c r="A804" s="34">
        <v>802</v>
      </c>
      <c r="B804" s="26">
        <v>818</v>
      </c>
      <c r="C804" s="55" t="s">
        <v>5238</v>
      </c>
      <c r="D804" s="56" t="s">
        <v>394</v>
      </c>
      <c r="E804" s="56" t="s">
        <v>3922</v>
      </c>
      <c r="F804" s="26" t="s">
        <v>3923</v>
      </c>
      <c r="G804" s="26" t="s">
        <v>16</v>
      </c>
      <c r="H804" s="26" t="s">
        <v>13</v>
      </c>
      <c r="I804" s="26" t="s">
        <v>3924</v>
      </c>
      <c r="J804" s="26" t="s">
        <v>5237</v>
      </c>
      <c r="K804" s="26" t="s">
        <v>3947</v>
      </c>
      <c r="L804" s="26" t="s">
        <v>3927</v>
      </c>
      <c r="M804" s="55" t="s">
        <v>611</v>
      </c>
      <c r="N804" s="26" t="s">
        <v>3924</v>
      </c>
    </row>
    <row r="805" spans="1:14" ht="75" customHeight="1" thickTop="1" thickBot="1">
      <c r="A805" s="26">
        <v>803</v>
      </c>
      <c r="B805" s="34">
        <v>819</v>
      </c>
      <c r="C805" s="55" t="s">
        <v>5239</v>
      </c>
      <c r="D805" s="56" t="s">
        <v>394</v>
      </c>
      <c r="E805" s="56" t="s">
        <v>3922</v>
      </c>
      <c r="F805" s="26" t="s">
        <v>3923</v>
      </c>
      <c r="G805" s="26" t="s">
        <v>16</v>
      </c>
      <c r="H805" s="26" t="s">
        <v>13</v>
      </c>
      <c r="I805" s="26" t="s">
        <v>3924</v>
      </c>
      <c r="J805" s="26" t="s">
        <v>5237</v>
      </c>
      <c r="K805" s="26" t="s">
        <v>3947</v>
      </c>
      <c r="L805" s="26" t="s">
        <v>3927</v>
      </c>
      <c r="M805" s="55" t="s">
        <v>5240</v>
      </c>
      <c r="N805" s="26" t="s">
        <v>3924</v>
      </c>
    </row>
    <row r="806" spans="1:14" ht="75" customHeight="1" thickTop="1" thickBot="1">
      <c r="A806" s="34">
        <v>804</v>
      </c>
      <c r="B806" s="26">
        <v>820</v>
      </c>
      <c r="C806" s="55" t="s">
        <v>5241</v>
      </c>
      <c r="D806" s="56" t="s">
        <v>394</v>
      </c>
      <c r="E806" s="56" t="s">
        <v>3922</v>
      </c>
      <c r="F806" s="26" t="s">
        <v>3923</v>
      </c>
      <c r="G806" s="26" t="s">
        <v>16</v>
      </c>
      <c r="H806" s="26" t="s">
        <v>13</v>
      </c>
      <c r="I806" s="26" t="s">
        <v>3924</v>
      </c>
      <c r="J806" s="26" t="s">
        <v>5242</v>
      </c>
      <c r="K806" s="26" t="s">
        <v>3947</v>
      </c>
      <c r="L806" s="26" t="s">
        <v>4011</v>
      </c>
      <c r="M806" s="55" t="s">
        <v>5243</v>
      </c>
      <c r="N806" s="26" t="s">
        <v>3924</v>
      </c>
    </row>
    <row r="807" spans="1:14" ht="75" customHeight="1" thickTop="1" thickBot="1">
      <c r="A807" s="34">
        <v>805</v>
      </c>
      <c r="B807" s="34">
        <v>821</v>
      </c>
      <c r="C807" s="55" t="s">
        <v>5244</v>
      </c>
      <c r="D807" s="56" t="s">
        <v>394</v>
      </c>
      <c r="E807" s="56" t="s">
        <v>3922</v>
      </c>
      <c r="F807" s="26" t="s">
        <v>3923</v>
      </c>
      <c r="G807" s="26" t="s">
        <v>16</v>
      </c>
      <c r="H807" s="26" t="s">
        <v>13</v>
      </c>
      <c r="I807" s="26" t="s">
        <v>3924</v>
      </c>
      <c r="J807" s="26" t="s">
        <v>5242</v>
      </c>
      <c r="K807" s="26" t="s">
        <v>3947</v>
      </c>
      <c r="L807" s="26" t="s">
        <v>4203</v>
      </c>
      <c r="M807" s="55" t="s">
        <v>5245</v>
      </c>
      <c r="N807" s="26" t="s">
        <v>3924</v>
      </c>
    </row>
    <row r="808" spans="1:14" ht="75" customHeight="1" thickTop="1" thickBot="1">
      <c r="A808" s="26">
        <v>806</v>
      </c>
      <c r="B808" s="26">
        <v>822</v>
      </c>
      <c r="C808" s="55" t="s">
        <v>5246</v>
      </c>
      <c r="D808" s="56" t="s">
        <v>394</v>
      </c>
      <c r="E808" s="56" t="s">
        <v>3922</v>
      </c>
      <c r="F808" s="26" t="s">
        <v>3923</v>
      </c>
      <c r="G808" s="26" t="s">
        <v>16</v>
      </c>
      <c r="H808" s="26" t="s">
        <v>13</v>
      </c>
      <c r="I808" s="26" t="s">
        <v>3924</v>
      </c>
      <c r="J808" s="26" t="s">
        <v>5242</v>
      </c>
      <c r="K808" s="26" t="s">
        <v>3947</v>
      </c>
      <c r="L808" s="26" t="s">
        <v>4239</v>
      </c>
      <c r="M808" s="55" t="s">
        <v>1157</v>
      </c>
      <c r="N808" s="26" t="s">
        <v>3924</v>
      </c>
    </row>
    <row r="809" spans="1:14" ht="75" customHeight="1" thickTop="1" thickBot="1">
      <c r="A809" s="34">
        <v>807</v>
      </c>
      <c r="B809" s="34">
        <v>823</v>
      </c>
      <c r="C809" s="55" t="s">
        <v>5247</v>
      </c>
      <c r="D809" s="56" t="s">
        <v>394</v>
      </c>
      <c r="E809" s="56" t="s">
        <v>3922</v>
      </c>
      <c r="F809" s="26" t="s">
        <v>3923</v>
      </c>
      <c r="G809" s="26" t="s">
        <v>16</v>
      </c>
      <c r="H809" s="26" t="s">
        <v>13</v>
      </c>
      <c r="I809" s="26" t="s">
        <v>3924</v>
      </c>
      <c r="J809" s="26" t="s">
        <v>5242</v>
      </c>
      <c r="K809" s="26" t="s">
        <v>3947</v>
      </c>
      <c r="L809" s="26" t="s">
        <v>4203</v>
      </c>
      <c r="M809" s="55" t="s">
        <v>4501</v>
      </c>
      <c r="N809" s="26" t="s">
        <v>3924</v>
      </c>
    </row>
    <row r="810" spans="1:14" ht="75" customHeight="1" thickTop="1" thickBot="1">
      <c r="A810" s="34">
        <v>808</v>
      </c>
      <c r="B810" s="26">
        <v>824</v>
      </c>
      <c r="C810" s="55" t="s">
        <v>5248</v>
      </c>
      <c r="D810" s="56" t="s">
        <v>394</v>
      </c>
      <c r="E810" s="56" t="s">
        <v>3922</v>
      </c>
      <c r="F810" s="26" t="s">
        <v>3923</v>
      </c>
      <c r="G810" s="26" t="s">
        <v>16</v>
      </c>
      <c r="H810" s="26" t="s">
        <v>13</v>
      </c>
      <c r="I810" s="26" t="s">
        <v>3924</v>
      </c>
      <c r="J810" s="26" t="s">
        <v>5242</v>
      </c>
      <c r="K810" s="26" t="s">
        <v>3947</v>
      </c>
      <c r="L810" s="26" t="s">
        <v>4203</v>
      </c>
      <c r="M810" s="55" t="s">
        <v>845</v>
      </c>
      <c r="N810" s="26" t="s">
        <v>3924</v>
      </c>
    </row>
    <row r="811" spans="1:14" ht="75" customHeight="1" thickTop="1" thickBot="1">
      <c r="A811" s="26">
        <v>809</v>
      </c>
      <c r="B811" s="34">
        <v>825</v>
      </c>
      <c r="C811" s="55" t="s">
        <v>5248</v>
      </c>
      <c r="D811" s="56" t="s">
        <v>394</v>
      </c>
      <c r="E811" s="56" t="s">
        <v>3922</v>
      </c>
      <c r="F811" s="26" t="s">
        <v>3923</v>
      </c>
      <c r="G811" s="26" t="s">
        <v>16</v>
      </c>
      <c r="H811" s="26" t="s">
        <v>13</v>
      </c>
      <c r="I811" s="26" t="s">
        <v>3924</v>
      </c>
      <c r="J811" s="26" t="s">
        <v>5249</v>
      </c>
      <c r="K811" s="26" t="s">
        <v>3947</v>
      </c>
      <c r="L811" s="26" t="s">
        <v>4284</v>
      </c>
      <c r="M811" s="55" t="s">
        <v>5250</v>
      </c>
      <c r="N811" s="26" t="s">
        <v>3924</v>
      </c>
    </row>
    <row r="812" spans="1:14" ht="75" customHeight="1" thickTop="1" thickBot="1">
      <c r="A812" s="34">
        <v>810</v>
      </c>
      <c r="B812" s="26">
        <v>826</v>
      </c>
      <c r="C812" s="55" t="s">
        <v>5251</v>
      </c>
      <c r="D812" s="56" t="s">
        <v>394</v>
      </c>
      <c r="E812" s="56" t="s">
        <v>3922</v>
      </c>
      <c r="F812" s="26" t="s">
        <v>3923</v>
      </c>
      <c r="G812" s="26" t="s">
        <v>16</v>
      </c>
      <c r="H812" s="26" t="s">
        <v>13</v>
      </c>
      <c r="I812" s="26" t="s">
        <v>3924</v>
      </c>
      <c r="J812" s="26" t="s">
        <v>5249</v>
      </c>
      <c r="K812" s="26" t="s">
        <v>4010</v>
      </c>
      <c r="L812" s="26" t="s">
        <v>4284</v>
      </c>
      <c r="M812" s="55" t="s">
        <v>4159</v>
      </c>
      <c r="N812" s="26" t="s">
        <v>3924</v>
      </c>
    </row>
    <row r="813" spans="1:14" ht="75" customHeight="1" thickTop="1" thickBot="1">
      <c r="A813" s="34">
        <v>811</v>
      </c>
      <c r="B813" s="34">
        <v>827</v>
      </c>
      <c r="C813" s="55" t="s">
        <v>5252</v>
      </c>
      <c r="D813" s="56" t="s">
        <v>394</v>
      </c>
      <c r="E813" s="56" t="s">
        <v>3922</v>
      </c>
      <c r="F813" s="26" t="s">
        <v>3923</v>
      </c>
      <c r="G813" s="26" t="s">
        <v>16</v>
      </c>
      <c r="H813" s="26" t="s">
        <v>13</v>
      </c>
      <c r="I813" s="26" t="s">
        <v>3924</v>
      </c>
      <c r="J813" s="26" t="s">
        <v>5249</v>
      </c>
      <c r="K813" s="26" t="s">
        <v>4010</v>
      </c>
      <c r="L813" s="26" t="s">
        <v>4203</v>
      </c>
      <c r="M813" s="55" t="s">
        <v>5253</v>
      </c>
      <c r="N813" s="26" t="s">
        <v>3924</v>
      </c>
    </row>
    <row r="814" spans="1:14" ht="75" customHeight="1" thickTop="1" thickBot="1">
      <c r="A814" s="26">
        <v>812</v>
      </c>
      <c r="B814" s="26">
        <v>828</v>
      </c>
      <c r="C814" s="55" t="s">
        <v>5254</v>
      </c>
      <c r="D814" s="56" t="s">
        <v>394</v>
      </c>
      <c r="E814" s="56" t="s">
        <v>3922</v>
      </c>
      <c r="F814" s="26" t="s">
        <v>3923</v>
      </c>
      <c r="G814" s="26" t="s">
        <v>16</v>
      </c>
      <c r="H814" s="26" t="s">
        <v>13</v>
      </c>
      <c r="I814" s="26" t="s">
        <v>3924</v>
      </c>
      <c r="J814" s="26" t="s">
        <v>5249</v>
      </c>
      <c r="K814" s="26" t="s">
        <v>4010</v>
      </c>
      <c r="L814" s="26" t="s">
        <v>4284</v>
      </c>
      <c r="M814" s="55" t="s">
        <v>5255</v>
      </c>
      <c r="N814" s="26" t="s">
        <v>3924</v>
      </c>
    </row>
    <row r="815" spans="1:14" ht="75" customHeight="1" thickTop="1" thickBot="1">
      <c r="A815" s="34">
        <v>813</v>
      </c>
      <c r="B815" s="34">
        <v>829</v>
      </c>
      <c r="C815" s="55" t="s">
        <v>5256</v>
      </c>
      <c r="D815" s="56" t="s">
        <v>394</v>
      </c>
      <c r="E815" s="56" t="s">
        <v>3922</v>
      </c>
      <c r="F815" s="26" t="s">
        <v>3923</v>
      </c>
      <c r="G815" s="26" t="s">
        <v>16</v>
      </c>
      <c r="H815" s="26" t="s">
        <v>13</v>
      </c>
      <c r="I815" s="26" t="s">
        <v>3924</v>
      </c>
      <c r="J815" s="26" t="s">
        <v>5257</v>
      </c>
      <c r="K815" s="26" t="s">
        <v>4010</v>
      </c>
      <c r="L815" s="26" t="s">
        <v>4239</v>
      </c>
      <c r="M815" s="55" t="s">
        <v>5258</v>
      </c>
      <c r="N815" s="26" t="s">
        <v>3924</v>
      </c>
    </row>
    <row r="816" spans="1:14" ht="75" customHeight="1" thickTop="1" thickBot="1">
      <c r="A816" s="34">
        <v>814</v>
      </c>
      <c r="B816" s="26">
        <v>837</v>
      </c>
      <c r="C816" s="55" t="s">
        <v>5259</v>
      </c>
      <c r="D816" s="56" t="s">
        <v>394</v>
      </c>
      <c r="E816" s="56" t="s">
        <v>3922</v>
      </c>
      <c r="F816" s="26" t="s">
        <v>3923</v>
      </c>
      <c r="G816" s="26" t="s">
        <v>74</v>
      </c>
      <c r="H816" s="26" t="s">
        <v>13</v>
      </c>
      <c r="I816" s="26" t="s">
        <v>3924</v>
      </c>
      <c r="J816" s="26" t="s">
        <v>5260</v>
      </c>
      <c r="K816" s="26" t="s">
        <v>3947</v>
      </c>
      <c r="L816" s="26" t="s">
        <v>3927</v>
      </c>
      <c r="M816" s="55" t="s">
        <v>5031</v>
      </c>
      <c r="N816" s="26" t="s">
        <v>3924</v>
      </c>
    </row>
    <row r="817" spans="1:14" ht="75" customHeight="1" thickTop="1" thickBot="1">
      <c r="A817" s="26">
        <v>815</v>
      </c>
      <c r="B817" s="34">
        <v>838</v>
      </c>
      <c r="C817" s="55" t="s">
        <v>5261</v>
      </c>
      <c r="D817" s="56" t="s">
        <v>394</v>
      </c>
      <c r="E817" s="56" t="s">
        <v>3922</v>
      </c>
      <c r="F817" s="26" t="s">
        <v>3923</v>
      </c>
      <c r="G817" s="26" t="s">
        <v>74</v>
      </c>
      <c r="H817" s="26" t="s">
        <v>13</v>
      </c>
      <c r="I817" s="26" t="s">
        <v>3924</v>
      </c>
      <c r="J817" s="26" t="s">
        <v>5262</v>
      </c>
      <c r="K817" s="26" t="s">
        <v>3947</v>
      </c>
      <c r="L817" s="26" t="s">
        <v>3927</v>
      </c>
      <c r="M817" s="55" t="s">
        <v>5263</v>
      </c>
      <c r="N817" s="26" t="s">
        <v>3924</v>
      </c>
    </row>
    <row r="818" spans="1:14" ht="75" customHeight="1" thickTop="1" thickBot="1">
      <c r="A818" s="34">
        <v>816</v>
      </c>
      <c r="B818" s="26">
        <v>839</v>
      </c>
      <c r="C818" s="55" t="s">
        <v>5264</v>
      </c>
      <c r="D818" s="56" t="s">
        <v>394</v>
      </c>
      <c r="E818" s="56" t="s">
        <v>3922</v>
      </c>
      <c r="F818" s="26" t="s">
        <v>3923</v>
      </c>
      <c r="G818" s="26" t="s">
        <v>74</v>
      </c>
      <c r="H818" s="26" t="s">
        <v>13</v>
      </c>
      <c r="I818" s="26" t="s">
        <v>3924</v>
      </c>
      <c r="J818" s="26" t="s">
        <v>5203</v>
      </c>
      <c r="K818" s="26" t="s">
        <v>4010</v>
      </c>
      <c r="L818" s="26" t="s">
        <v>3927</v>
      </c>
      <c r="M818" s="55" t="s">
        <v>5265</v>
      </c>
      <c r="N818" s="26" t="s">
        <v>3924</v>
      </c>
    </row>
    <row r="819" spans="1:14" ht="75" customHeight="1" thickTop="1" thickBot="1">
      <c r="A819" s="34">
        <v>817</v>
      </c>
      <c r="B819" s="34">
        <v>840</v>
      </c>
      <c r="C819" s="55" t="s">
        <v>5266</v>
      </c>
      <c r="D819" s="56" t="s">
        <v>394</v>
      </c>
      <c r="E819" s="56" t="s">
        <v>3922</v>
      </c>
      <c r="F819" s="26" t="s">
        <v>3923</v>
      </c>
      <c r="G819" s="26" t="s">
        <v>74</v>
      </c>
      <c r="H819" s="26" t="s">
        <v>13</v>
      </c>
      <c r="I819" s="26" t="s">
        <v>3924</v>
      </c>
      <c r="J819" s="26" t="s">
        <v>5196</v>
      </c>
      <c r="K819" s="26" t="s">
        <v>4046</v>
      </c>
      <c r="L819" s="26" t="s">
        <v>3927</v>
      </c>
      <c r="M819" s="55" t="s">
        <v>5267</v>
      </c>
      <c r="N819" s="26" t="s">
        <v>3924</v>
      </c>
    </row>
    <row r="820" spans="1:14" ht="75" customHeight="1" thickTop="1" thickBot="1">
      <c r="A820" s="26">
        <v>818</v>
      </c>
      <c r="B820" s="26">
        <v>841</v>
      </c>
      <c r="C820" s="55" t="s">
        <v>5266</v>
      </c>
      <c r="D820" s="56" t="s">
        <v>394</v>
      </c>
      <c r="E820" s="56" t="s">
        <v>3922</v>
      </c>
      <c r="F820" s="26" t="s">
        <v>3923</v>
      </c>
      <c r="G820" s="26" t="s">
        <v>74</v>
      </c>
      <c r="H820" s="26" t="s">
        <v>13</v>
      </c>
      <c r="I820" s="26" t="s">
        <v>3924</v>
      </c>
      <c r="J820" s="26" t="s">
        <v>5268</v>
      </c>
      <c r="K820" s="26" t="s">
        <v>3926</v>
      </c>
      <c r="L820" s="26" t="s">
        <v>3927</v>
      </c>
      <c r="M820" s="55" t="s">
        <v>5269</v>
      </c>
      <c r="N820" s="26" t="s">
        <v>3924</v>
      </c>
    </row>
    <row r="821" spans="1:14" ht="75" customHeight="1" thickTop="1" thickBot="1">
      <c r="A821" s="34">
        <v>819</v>
      </c>
      <c r="B821" s="34">
        <v>842</v>
      </c>
      <c r="C821" s="55" t="s">
        <v>5270</v>
      </c>
      <c r="D821" s="56" t="s">
        <v>394</v>
      </c>
      <c r="E821" s="56" t="s">
        <v>3922</v>
      </c>
      <c r="F821" s="26" t="s">
        <v>3923</v>
      </c>
      <c r="G821" s="26" t="s">
        <v>74</v>
      </c>
      <c r="H821" s="26" t="s">
        <v>13</v>
      </c>
      <c r="I821" s="26" t="s">
        <v>3924</v>
      </c>
      <c r="J821" s="26" t="s">
        <v>5268</v>
      </c>
      <c r="K821" s="26" t="s">
        <v>4087</v>
      </c>
      <c r="L821" s="26" t="s">
        <v>3927</v>
      </c>
      <c r="M821" s="55" t="s">
        <v>5271</v>
      </c>
      <c r="N821" s="26" t="s">
        <v>3924</v>
      </c>
    </row>
    <row r="822" spans="1:14" ht="75" customHeight="1" thickTop="1" thickBot="1">
      <c r="A822" s="34">
        <v>820</v>
      </c>
      <c r="B822" s="26">
        <v>843</v>
      </c>
      <c r="C822" s="55" t="s">
        <v>5272</v>
      </c>
      <c r="D822" s="56" t="s">
        <v>394</v>
      </c>
      <c r="E822" s="56" t="s">
        <v>3922</v>
      </c>
      <c r="F822" s="26" t="s">
        <v>3923</v>
      </c>
      <c r="G822" s="26" t="s">
        <v>74</v>
      </c>
      <c r="H822" s="26" t="s">
        <v>13</v>
      </c>
      <c r="I822" s="26" t="s">
        <v>3924</v>
      </c>
      <c r="J822" s="26" t="s">
        <v>5273</v>
      </c>
      <c r="K822" s="26" t="s">
        <v>4087</v>
      </c>
      <c r="L822" s="26" t="s">
        <v>3927</v>
      </c>
      <c r="M822" s="55" t="s">
        <v>5274</v>
      </c>
      <c r="N822" s="26" t="s">
        <v>3924</v>
      </c>
    </row>
    <row r="823" spans="1:14" ht="75" customHeight="1" thickTop="1" thickBot="1">
      <c r="A823" s="26">
        <v>821</v>
      </c>
      <c r="B823" s="34">
        <v>844</v>
      </c>
      <c r="C823" s="55" t="s">
        <v>5272</v>
      </c>
      <c r="D823" s="56" t="s">
        <v>394</v>
      </c>
      <c r="E823" s="56" t="s">
        <v>3922</v>
      </c>
      <c r="F823" s="26" t="s">
        <v>3923</v>
      </c>
      <c r="G823" s="26" t="s">
        <v>74</v>
      </c>
      <c r="H823" s="26" t="s">
        <v>13</v>
      </c>
      <c r="I823" s="26" t="s">
        <v>3924</v>
      </c>
      <c r="J823" s="26" t="s">
        <v>5273</v>
      </c>
      <c r="K823" s="26" t="s">
        <v>4087</v>
      </c>
      <c r="L823" s="26" t="s">
        <v>3927</v>
      </c>
      <c r="M823" s="55" t="s">
        <v>5275</v>
      </c>
      <c r="N823" s="26" t="s">
        <v>3924</v>
      </c>
    </row>
    <row r="824" spans="1:14" ht="75" customHeight="1" thickTop="1" thickBot="1">
      <c r="A824" s="34">
        <v>822</v>
      </c>
      <c r="B824" s="26">
        <v>845</v>
      </c>
      <c r="C824" s="55" t="s">
        <v>5276</v>
      </c>
      <c r="D824" s="56" t="s">
        <v>394</v>
      </c>
      <c r="E824" s="56" t="s">
        <v>3922</v>
      </c>
      <c r="F824" s="26" t="s">
        <v>3923</v>
      </c>
      <c r="G824" s="26" t="s">
        <v>74</v>
      </c>
      <c r="H824" s="26" t="s">
        <v>13</v>
      </c>
      <c r="I824" s="26" t="s">
        <v>3924</v>
      </c>
      <c r="J824" s="26" t="s">
        <v>5277</v>
      </c>
      <c r="K824" s="26" t="s">
        <v>4087</v>
      </c>
      <c r="L824" s="26" t="s">
        <v>3927</v>
      </c>
      <c r="M824" s="55" t="s">
        <v>5278</v>
      </c>
      <c r="N824" s="26" t="s">
        <v>3924</v>
      </c>
    </row>
    <row r="825" spans="1:14" ht="75" customHeight="1" thickTop="1" thickBot="1">
      <c r="A825" s="34">
        <v>823</v>
      </c>
      <c r="B825" s="34">
        <v>846</v>
      </c>
      <c r="C825" s="55" t="s">
        <v>5279</v>
      </c>
      <c r="D825" s="56" t="s">
        <v>394</v>
      </c>
      <c r="E825" s="56" t="s">
        <v>3922</v>
      </c>
      <c r="F825" s="26" t="s">
        <v>3923</v>
      </c>
      <c r="G825" s="26" t="s">
        <v>74</v>
      </c>
      <c r="H825" s="26" t="s">
        <v>13</v>
      </c>
      <c r="I825" s="26" t="s">
        <v>3924</v>
      </c>
      <c r="J825" s="26" t="s">
        <v>5277</v>
      </c>
      <c r="K825" s="26" t="s">
        <v>4046</v>
      </c>
      <c r="L825" s="26" t="s">
        <v>3927</v>
      </c>
      <c r="M825" s="55" t="s">
        <v>5280</v>
      </c>
      <c r="N825" s="26" t="s">
        <v>3924</v>
      </c>
    </row>
    <row r="826" spans="1:14" ht="75" customHeight="1" thickTop="1" thickBot="1">
      <c r="A826" s="26">
        <v>824</v>
      </c>
      <c r="B826" s="26">
        <v>847</v>
      </c>
      <c r="C826" s="55" t="s">
        <v>5281</v>
      </c>
      <c r="D826" s="56" t="s">
        <v>394</v>
      </c>
      <c r="E826" s="56" t="s">
        <v>3922</v>
      </c>
      <c r="F826" s="26" t="s">
        <v>3923</v>
      </c>
      <c r="G826" s="26" t="s">
        <v>74</v>
      </c>
      <c r="H826" s="26" t="s">
        <v>13</v>
      </c>
      <c r="I826" s="26" t="s">
        <v>3924</v>
      </c>
      <c r="J826" s="26" t="s">
        <v>5282</v>
      </c>
      <c r="K826" s="26" t="s">
        <v>3947</v>
      </c>
      <c r="L826" s="26" t="s">
        <v>3927</v>
      </c>
      <c r="M826" s="55" t="s">
        <v>5283</v>
      </c>
      <c r="N826" s="26" t="s">
        <v>3924</v>
      </c>
    </row>
    <row r="827" spans="1:14" ht="75" customHeight="1" thickTop="1" thickBot="1">
      <c r="A827" s="34">
        <v>825</v>
      </c>
      <c r="B827" s="34">
        <v>848</v>
      </c>
      <c r="C827" s="55" t="s">
        <v>5284</v>
      </c>
      <c r="D827" s="56" t="s">
        <v>394</v>
      </c>
      <c r="E827" s="56" t="s">
        <v>3922</v>
      </c>
      <c r="F827" s="26" t="s">
        <v>3923</v>
      </c>
      <c r="G827" s="26" t="s">
        <v>74</v>
      </c>
      <c r="H827" s="26" t="s">
        <v>13</v>
      </c>
      <c r="I827" s="26" t="s">
        <v>3924</v>
      </c>
      <c r="J827" s="26" t="s">
        <v>5282</v>
      </c>
      <c r="K827" s="26" t="s">
        <v>3926</v>
      </c>
      <c r="L827" s="26" t="s">
        <v>3927</v>
      </c>
      <c r="M827" s="55" t="s">
        <v>5285</v>
      </c>
      <c r="N827" s="26" t="s">
        <v>3924</v>
      </c>
    </row>
    <row r="828" spans="1:14" ht="75" customHeight="1" thickTop="1" thickBot="1">
      <c r="A828" s="34">
        <v>826</v>
      </c>
      <c r="B828" s="26">
        <v>849</v>
      </c>
      <c r="C828" s="55" t="s">
        <v>5286</v>
      </c>
      <c r="D828" s="56" t="s">
        <v>394</v>
      </c>
      <c r="E828" s="56" t="s">
        <v>3922</v>
      </c>
      <c r="F828" s="26" t="s">
        <v>3923</v>
      </c>
      <c r="G828" s="26" t="s">
        <v>74</v>
      </c>
      <c r="H828" s="26" t="s">
        <v>13</v>
      </c>
      <c r="I828" s="26" t="s">
        <v>3924</v>
      </c>
      <c r="J828" s="26" t="s">
        <v>5287</v>
      </c>
      <c r="K828" s="26" t="s">
        <v>3947</v>
      </c>
      <c r="L828" s="26" t="s">
        <v>3927</v>
      </c>
      <c r="M828" s="55" t="s">
        <v>5288</v>
      </c>
      <c r="N828" s="26" t="s">
        <v>3924</v>
      </c>
    </row>
    <row r="829" spans="1:14" ht="75" customHeight="1" thickTop="1" thickBot="1">
      <c r="A829" s="26">
        <v>827</v>
      </c>
      <c r="B829" s="34">
        <v>850</v>
      </c>
      <c r="C829" s="55" t="s">
        <v>5289</v>
      </c>
      <c r="D829" s="56" t="s">
        <v>394</v>
      </c>
      <c r="E829" s="56" t="s">
        <v>3922</v>
      </c>
      <c r="F829" s="26" t="s">
        <v>3923</v>
      </c>
      <c r="G829" s="26" t="s">
        <v>74</v>
      </c>
      <c r="H829" s="26" t="s">
        <v>13</v>
      </c>
      <c r="I829" s="26" t="s">
        <v>3924</v>
      </c>
      <c r="J829" s="26" t="s">
        <v>5287</v>
      </c>
      <c r="K829" s="26" t="s">
        <v>4087</v>
      </c>
      <c r="L829" s="26" t="s">
        <v>3927</v>
      </c>
      <c r="M829" s="55" t="s">
        <v>5290</v>
      </c>
      <c r="N829" s="26" t="s">
        <v>3924</v>
      </c>
    </row>
    <row r="830" spans="1:14" ht="75" customHeight="1" thickTop="1" thickBot="1">
      <c r="A830" s="34">
        <v>828</v>
      </c>
      <c r="B830" s="26">
        <v>851</v>
      </c>
      <c r="C830" s="55" t="s">
        <v>5291</v>
      </c>
      <c r="D830" s="56" t="s">
        <v>394</v>
      </c>
      <c r="E830" s="56" t="s">
        <v>3922</v>
      </c>
      <c r="F830" s="26" t="s">
        <v>3923</v>
      </c>
      <c r="G830" s="26" t="s">
        <v>74</v>
      </c>
      <c r="H830" s="26" t="s">
        <v>13</v>
      </c>
      <c r="I830" s="26" t="s">
        <v>3924</v>
      </c>
      <c r="J830" s="26" t="s">
        <v>5292</v>
      </c>
      <c r="K830" s="26" t="s">
        <v>3941</v>
      </c>
      <c r="L830" s="26" t="s">
        <v>3927</v>
      </c>
      <c r="M830" s="55" t="s">
        <v>5293</v>
      </c>
      <c r="N830" s="26" t="s">
        <v>3924</v>
      </c>
    </row>
    <row r="831" spans="1:14" ht="75" customHeight="1" thickTop="1" thickBot="1">
      <c r="A831" s="34">
        <v>829</v>
      </c>
      <c r="B831" s="34">
        <v>852</v>
      </c>
      <c r="C831" s="55" t="s">
        <v>5291</v>
      </c>
      <c r="D831" s="56" t="s">
        <v>394</v>
      </c>
      <c r="E831" s="56" t="s">
        <v>3922</v>
      </c>
      <c r="F831" s="26" t="s">
        <v>3923</v>
      </c>
      <c r="G831" s="26" t="s">
        <v>74</v>
      </c>
      <c r="H831" s="26" t="s">
        <v>13</v>
      </c>
      <c r="I831" s="26" t="s">
        <v>3924</v>
      </c>
      <c r="J831" s="26" t="s">
        <v>5292</v>
      </c>
      <c r="K831" s="26" t="s">
        <v>4010</v>
      </c>
      <c r="L831" s="26" t="s">
        <v>3927</v>
      </c>
      <c r="M831" s="55" t="s">
        <v>5294</v>
      </c>
      <c r="N831" s="26" t="s">
        <v>3924</v>
      </c>
    </row>
    <row r="832" spans="1:14" ht="75" customHeight="1" thickTop="1" thickBot="1">
      <c r="A832" s="26">
        <v>830</v>
      </c>
      <c r="B832" s="26">
        <v>853</v>
      </c>
      <c r="C832" s="55" t="s">
        <v>5295</v>
      </c>
      <c r="D832" s="56" t="s">
        <v>394</v>
      </c>
      <c r="E832" s="56" t="s">
        <v>3922</v>
      </c>
      <c r="F832" s="26" t="s">
        <v>3923</v>
      </c>
      <c r="G832" s="26" t="s">
        <v>74</v>
      </c>
      <c r="H832" s="26" t="s">
        <v>13</v>
      </c>
      <c r="I832" s="26" t="s">
        <v>3924</v>
      </c>
      <c r="J832" s="26" t="s">
        <v>5296</v>
      </c>
      <c r="K832" s="26" t="s">
        <v>3947</v>
      </c>
      <c r="L832" s="26" t="s">
        <v>3927</v>
      </c>
      <c r="M832" s="55" t="s">
        <v>5297</v>
      </c>
      <c r="N832" s="26" t="s">
        <v>3924</v>
      </c>
    </row>
    <row r="833" spans="1:14" ht="75" customHeight="1" thickTop="1" thickBot="1">
      <c r="A833" s="34">
        <v>831</v>
      </c>
      <c r="B833" s="34">
        <v>854</v>
      </c>
      <c r="C833" s="55" t="s">
        <v>5298</v>
      </c>
      <c r="D833" s="56" t="s">
        <v>394</v>
      </c>
      <c r="E833" s="56" t="s">
        <v>3922</v>
      </c>
      <c r="F833" s="26" t="s">
        <v>3923</v>
      </c>
      <c r="G833" s="26" t="s">
        <v>74</v>
      </c>
      <c r="H833" s="26" t="s">
        <v>13</v>
      </c>
      <c r="I833" s="26" t="s">
        <v>3924</v>
      </c>
      <c r="J833" s="26" t="s">
        <v>5296</v>
      </c>
      <c r="K833" s="26" t="s">
        <v>3929</v>
      </c>
      <c r="L833" s="26" t="s">
        <v>3927</v>
      </c>
      <c r="M833" s="55" t="s">
        <v>5299</v>
      </c>
      <c r="N833" s="26" t="s">
        <v>3924</v>
      </c>
    </row>
    <row r="834" spans="1:14" ht="75" customHeight="1" thickTop="1" thickBot="1">
      <c r="A834" s="34">
        <v>832</v>
      </c>
      <c r="B834" s="26">
        <v>855</v>
      </c>
      <c r="C834" s="55" t="s">
        <v>5298</v>
      </c>
      <c r="D834" s="56" t="s">
        <v>394</v>
      </c>
      <c r="E834" s="56" t="s">
        <v>3922</v>
      </c>
      <c r="F834" s="26" t="s">
        <v>3923</v>
      </c>
      <c r="G834" s="26" t="s">
        <v>74</v>
      </c>
      <c r="H834" s="26" t="s">
        <v>13</v>
      </c>
      <c r="I834" s="26" t="s">
        <v>3924</v>
      </c>
      <c r="J834" s="26" t="s">
        <v>5300</v>
      </c>
      <c r="K834" s="26" t="s">
        <v>3941</v>
      </c>
      <c r="L834" s="26" t="s">
        <v>3927</v>
      </c>
      <c r="M834" s="55" t="s">
        <v>5301</v>
      </c>
      <c r="N834" s="26" t="s">
        <v>3924</v>
      </c>
    </row>
    <row r="835" spans="1:14" ht="75" customHeight="1" thickTop="1" thickBot="1">
      <c r="A835" s="26">
        <v>833</v>
      </c>
      <c r="B835" s="34">
        <v>856</v>
      </c>
      <c r="C835" s="55" t="s">
        <v>5302</v>
      </c>
      <c r="D835" s="56" t="s">
        <v>394</v>
      </c>
      <c r="E835" s="56" t="s">
        <v>3922</v>
      </c>
      <c r="F835" s="26" t="s">
        <v>3923</v>
      </c>
      <c r="G835" s="26" t="s">
        <v>74</v>
      </c>
      <c r="H835" s="26" t="s">
        <v>13</v>
      </c>
      <c r="I835" s="26" t="s">
        <v>3924</v>
      </c>
      <c r="J835" s="26" t="s">
        <v>5300</v>
      </c>
      <c r="K835" s="26" t="s">
        <v>3941</v>
      </c>
      <c r="L835" s="26" t="s">
        <v>3927</v>
      </c>
      <c r="M835" s="55" t="s">
        <v>5303</v>
      </c>
      <c r="N835" s="26" t="s">
        <v>3924</v>
      </c>
    </row>
    <row r="836" spans="1:14" ht="75" customHeight="1" thickTop="1" thickBot="1">
      <c r="A836" s="34">
        <v>834</v>
      </c>
      <c r="B836" s="26">
        <v>857</v>
      </c>
      <c r="C836" s="55" t="s">
        <v>5304</v>
      </c>
      <c r="D836" s="56" t="s">
        <v>394</v>
      </c>
      <c r="E836" s="56" t="s">
        <v>3922</v>
      </c>
      <c r="F836" s="26" t="s">
        <v>3923</v>
      </c>
      <c r="G836" s="26" t="s">
        <v>74</v>
      </c>
      <c r="H836" s="26" t="s">
        <v>13</v>
      </c>
      <c r="I836" s="26" t="s">
        <v>3924</v>
      </c>
      <c r="J836" s="26" t="s">
        <v>5305</v>
      </c>
      <c r="K836" s="26" t="s">
        <v>5034</v>
      </c>
      <c r="L836" s="26" t="s">
        <v>3927</v>
      </c>
      <c r="M836" s="55" t="s">
        <v>5306</v>
      </c>
      <c r="N836" s="26" t="s">
        <v>3924</v>
      </c>
    </row>
    <row r="837" spans="1:14" ht="75" customHeight="1" thickTop="1" thickBot="1">
      <c r="A837" s="34">
        <v>835</v>
      </c>
      <c r="B837" s="34">
        <v>858</v>
      </c>
      <c r="C837" s="55" t="s">
        <v>5304</v>
      </c>
      <c r="D837" s="56" t="s">
        <v>394</v>
      </c>
      <c r="E837" s="56" t="s">
        <v>3922</v>
      </c>
      <c r="F837" s="26" t="s">
        <v>3923</v>
      </c>
      <c r="G837" s="26" t="s">
        <v>74</v>
      </c>
      <c r="H837" s="26" t="s">
        <v>13</v>
      </c>
      <c r="I837" s="26" t="s">
        <v>3924</v>
      </c>
      <c r="J837" s="26" t="s">
        <v>5260</v>
      </c>
      <c r="K837" s="26" t="s">
        <v>5307</v>
      </c>
      <c r="L837" s="26" t="s">
        <v>3927</v>
      </c>
      <c r="M837" s="55" t="s">
        <v>5308</v>
      </c>
      <c r="N837" s="26" t="s">
        <v>3924</v>
      </c>
    </row>
    <row r="838" spans="1:14" ht="75" customHeight="1" thickTop="1" thickBot="1">
      <c r="A838" s="26">
        <v>836</v>
      </c>
      <c r="B838" s="26">
        <v>859</v>
      </c>
      <c r="C838" s="55" t="s">
        <v>5195</v>
      </c>
      <c r="D838" s="56" t="s">
        <v>394</v>
      </c>
      <c r="E838" s="56" t="s">
        <v>3922</v>
      </c>
      <c r="F838" s="26" t="s">
        <v>3923</v>
      </c>
      <c r="G838" s="26" t="s">
        <v>16</v>
      </c>
      <c r="H838" s="26" t="s">
        <v>13</v>
      </c>
      <c r="I838" s="26" t="s">
        <v>3924</v>
      </c>
      <c r="J838" s="26" t="s">
        <v>5309</v>
      </c>
      <c r="K838" s="26" t="s">
        <v>4087</v>
      </c>
      <c r="L838" s="26" t="s">
        <v>3927</v>
      </c>
      <c r="M838" s="55" t="s">
        <v>5310</v>
      </c>
      <c r="N838" s="26" t="s">
        <v>3924</v>
      </c>
    </row>
    <row r="839" spans="1:14" ht="75" customHeight="1" thickTop="1" thickBot="1">
      <c r="A839" s="34">
        <v>837</v>
      </c>
      <c r="B839" s="34">
        <v>860</v>
      </c>
      <c r="C839" s="55" t="s">
        <v>5311</v>
      </c>
      <c r="D839" s="56" t="s">
        <v>394</v>
      </c>
      <c r="E839" s="56" t="s">
        <v>3922</v>
      </c>
      <c r="F839" s="26" t="s">
        <v>3923</v>
      </c>
      <c r="G839" s="26" t="s">
        <v>16</v>
      </c>
      <c r="H839" s="26" t="s">
        <v>13</v>
      </c>
      <c r="I839" s="26" t="s">
        <v>3924</v>
      </c>
      <c r="J839" s="26" t="s">
        <v>5312</v>
      </c>
      <c r="K839" s="26" t="s">
        <v>3941</v>
      </c>
      <c r="L839" s="26" t="s">
        <v>4284</v>
      </c>
      <c r="M839" s="55" t="s">
        <v>4497</v>
      </c>
      <c r="N839" s="26" t="s">
        <v>3924</v>
      </c>
    </row>
    <row r="840" spans="1:14" ht="75" customHeight="1" thickTop="1" thickBot="1">
      <c r="A840" s="34">
        <v>838</v>
      </c>
      <c r="B840" s="26">
        <v>861</v>
      </c>
      <c r="C840" s="55" t="s">
        <v>5311</v>
      </c>
      <c r="D840" s="56" t="s">
        <v>394</v>
      </c>
      <c r="E840" s="56" t="s">
        <v>3922</v>
      </c>
      <c r="F840" s="26" t="s">
        <v>3923</v>
      </c>
      <c r="G840" s="26" t="s">
        <v>16</v>
      </c>
      <c r="H840" s="26" t="s">
        <v>13</v>
      </c>
      <c r="I840" s="26" t="s">
        <v>3924</v>
      </c>
      <c r="J840" s="26" t="s">
        <v>5313</v>
      </c>
      <c r="K840" s="26" t="s">
        <v>3941</v>
      </c>
      <c r="L840" s="26" t="s">
        <v>4284</v>
      </c>
      <c r="M840" s="55" t="s">
        <v>5314</v>
      </c>
      <c r="N840" s="26" t="s">
        <v>3924</v>
      </c>
    </row>
    <row r="841" spans="1:14" ht="75" customHeight="1" thickTop="1" thickBot="1">
      <c r="A841" s="26">
        <v>839</v>
      </c>
      <c r="B841" s="34">
        <v>862</v>
      </c>
      <c r="C841" s="55" t="s">
        <v>5311</v>
      </c>
      <c r="D841" s="56" t="s">
        <v>394</v>
      </c>
      <c r="E841" s="56" t="s">
        <v>3922</v>
      </c>
      <c r="F841" s="26" t="s">
        <v>3923</v>
      </c>
      <c r="G841" s="26" t="s">
        <v>16</v>
      </c>
      <c r="H841" s="26" t="s">
        <v>13</v>
      </c>
      <c r="I841" s="26" t="s">
        <v>3924</v>
      </c>
      <c r="J841" s="26" t="s">
        <v>5313</v>
      </c>
      <c r="K841" s="26" t="s">
        <v>3929</v>
      </c>
      <c r="L841" s="26" t="s">
        <v>4277</v>
      </c>
      <c r="M841" s="55" t="s">
        <v>2603</v>
      </c>
      <c r="N841" s="26" t="s">
        <v>3924</v>
      </c>
    </row>
    <row r="842" spans="1:14" ht="75" customHeight="1" thickTop="1" thickBot="1">
      <c r="A842" s="34">
        <v>840</v>
      </c>
      <c r="B842" s="26">
        <v>863</v>
      </c>
      <c r="C842" s="55" t="s">
        <v>5315</v>
      </c>
      <c r="D842" s="56" t="s">
        <v>394</v>
      </c>
      <c r="E842" s="56" t="s">
        <v>3922</v>
      </c>
      <c r="F842" s="26" t="s">
        <v>3923</v>
      </c>
      <c r="G842" s="26" t="s">
        <v>16</v>
      </c>
      <c r="H842" s="26" t="s">
        <v>13</v>
      </c>
      <c r="I842" s="26" t="s">
        <v>3924</v>
      </c>
      <c r="J842" s="26" t="s">
        <v>5316</v>
      </c>
      <c r="K842" s="26" t="s">
        <v>3929</v>
      </c>
      <c r="L842" s="26" t="s">
        <v>4284</v>
      </c>
      <c r="M842" s="55" t="s">
        <v>5317</v>
      </c>
      <c r="N842" s="26" t="s">
        <v>3924</v>
      </c>
    </row>
    <row r="843" spans="1:14" ht="75" customHeight="1" thickTop="1" thickBot="1">
      <c r="A843" s="34">
        <v>841</v>
      </c>
      <c r="B843" s="34">
        <v>864</v>
      </c>
      <c r="C843" s="55" t="s">
        <v>5315</v>
      </c>
      <c r="D843" s="56" t="s">
        <v>394</v>
      </c>
      <c r="E843" s="56" t="s">
        <v>3922</v>
      </c>
      <c r="F843" s="26" t="s">
        <v>3923</v>
      </c>
      <c r="G843" s="26" t="s">
        <v>16</v>
      </c>
      <c r="H843" s="26" t="s">
        <v>13</v>
      </c>
      <c r="I843" s="26" t="s">
        <v>3924</v>
      </c>
      <c r="J843" s="26" t="s">
        <v>5316</v>
      </c>
      <c r="K843" s="26" t="s">
        <v>4040</v>
      </c>
      <c r="L843" s="26" t="s">
        <v>3927</v>
      </c>
      <c r="M843" s="55" t="s">
        <v>5318</v>
      </c>
      <c r="N843" s="26" t="s">
        <v>3924</v>
      </c>
    </row>
    <row r="844" spans="1:14" ht="75" customHeight="1" thickTop="1" thickBot="1">
      <c r="A844" s="26">
        <v>842</v>
      </c>
      <c r="B844" s="26">
        <v>865</v>
      </c>
      <c r="C844" s="55" t="s">
        <v>5319</v>
      </c>
      <c r="D844" s="56" t="s">
        <v>394</v>
      </c>
      <c r="E844" s="56" t="s">
        <v>3922</v>
      </c>
      <c r="F844" s="26" t="s">
        <v>3923</v>
      </c>
      <c r="G844" s="26" t="s">
        <v>16</v>
      </c>
      <c r="H844" s="26" t="s">
        <v>13</v>
      </c>
      <c r="I844" s="26" t="s">
        <v>3924</v>
      </c>
      <c r="J844" s="26" t="s">
        <v>5316</v>
      </c>
      <c r="K844" s="26" t="s">
        <v>3966</v>
      </c>
      <c r="L844" s="26" t="s">
        <v>3927</v>
      </c>
      <c r="M844" s="55" t="s">
        <v>5320</v>
      </c>
      <c r="N844" s="26" t="s">
        <v>3924</v>
      </c>
    </row>
    <row r="845" spans="1:14" ht="75" customHeight="1" thickTop="1" thickBot="1">
      <c r="A845" s="34">
        <v>843</v>
      </c>
      <c r="B845" s="34">
        <v>866</v>
      </c>
      <c r="C845" s="55" t="s">
        <v>5319</v>
      </c>
      <c r="D845" s="56" t="s">
        <v>394</v>
      </c>
      <c r="E845" s="56" t="s">
        <v>3922</v>
      </c>
      <c r="F845" s="26" t="s">
        <v>3923</v>
      </c>
      <c r="G845" s="26" t="s">
        <v>16</v>
      </c>
      <c r="H845" s="26" t="s">
        <v>13</v>
      </c>
      <c r="I845" s="26" t="s">
        <v>3924</v>
      </c>
      <c r="J845" s="26" t="s">
        <v>5321</v>
      </c>
      <c r="K845" s="26" t="s">
        <v>3976</v>
      </c>
      <c r="L845" s="26" t="s">
        <v>3927</v>
      </c>
      <c r="M845" s="55" t="s">
        <v>5322</v>
      </c>
      <c r="N845" s="26" t="s">
        <v>3924</v>
      </c>
    </row>
    <row r="846" spans="1:14" ht="75" customHeight="1" thickTop="1" thickBot="1">
      <c r="A846" s="34">
        <v>844</v>
      </c>
      <c r="B846" s="26">
        <v>867</v>
      </c>
      <c r="C846" s="55" t="s">
        <v>5199</v>
      </c>
      <c r="D846" s="56" t="s">
        <v>394</v>
      </c>
      <c r="E846" s="56" t="s">
        <v>3922</v>
      </c>
      <c r="F846" s="26" t="s">
        <v>3923</v>
      </c>
      <c r="G846" s="26" t="s">
        <v>16</v>
      </c>
      <c r="H846" s="26" t="s">
        <v>13</v>
      </c>
      <c r="I846" s="26" t="s">
        <v>3924</v>
      </c>
      <c r="J846" s="26" t="s">
        <v>5323</v>
      </c>
      <c r="K846" s="26" t="s">
        <v>4087</v>
      </c>
      <c r="L846" s="26" t="s">
        <v>3927</v>
      </c>
      <c r="M846" s="55" t="s">
        <v>569</v>
      </c>
      <c r="N846" s="26" t="s">
        <v>3924</v>
      </c>
    </row>
    <row r="847" spans="1:14" ht="75" customHeight="1" thickTop="1" thickBot="1">
      <c r="A847" s="26">
        <v>845</v>
      </c>
      <c r="B847" s="34">
        <v>868</v>
      </c>
      <c r="C847" s="55" t="s">
        <v>5199</v>
      </c>
      <c r="D847" s="56" t="s">
        <v>394</v>
      </c>
      <c r="E847" s="56" t="s">
        <v>3922</v>
      </c>
      <c r="F847" s="26" t="s">
        <v>3923</v>
      </c>
      <c r="G847" s="26" t="s">
        <v>16</v>
      </c>
      <c r="H847" s="26" t="s">
        <v>13</v>
      </c>
      <c r="I847" s="26" t="s">
        <v>3924</v>
      </c>
      <c r="J847" s="26" t="s">
        <v>5324</v>
      </c>
      <c r="K847" s="26" t="s">
        <v>4190</v>
      </c>
      <c r="L847" s="26" t="s">
        <v>3927</v>
      </c>
      <c r="M847" s="55" t="s">
        <v>850</v>
      </c>
      <c r="N847" s="26" t="s">
        <v>3924</v>
      </c>
    </row>
    <row r="848" spans="1:14" ht="75" customHeight="1" thickTop="1" thickBot="1">
      <c r="A848" s="34">
        <v>846</v>
      </c>
      <c r="B848" s="26">
        <v>869</v>
      </c>
      <c r="C848" s="55" t="s">
        <v>5262</v>
      </c>
      <c r="D848" s="56" t="s">
        <v>394</v>
      </c>
      <c r="E848" s="56" t="s">
        <v>3922</v>
      </c>
      <c r="F848" s="26" t="s">
        <v>3923</v>
      </c>
      <c r="G848" s="26" t="s">
        <v>16</v>
      </c>
      <c r="H848" s="26" t="s">
        <v>13</v>
      </c>
      <c r="I848" s="26" t="s">
        <v>3924</v>
      </c>
      <c r="J848" s="26" t="s">
        <v>5324</v>
      </c>
      <c r="K848" s="26" t="s">
        <v>4010</v>
      </c>
      <c r="L848" s="26" t="s">
        <v>3927</v>
      </c>
      <c r="M848" s="55" t="s">
        <v>5325</v>
      </c>
      <c r="N848" s="26" t="s">
        <v>3924</v>
      </c>
    </row>
    <row r="849" spans="1:14" ht="75" customHeight="1" thickTop="1" thickBot="1">
      <c r="A849" s="34">
        <v>847</v>
      </c>
      <c r="B849" s="34">
        <v>870</v>
      </c>
      <c r="C849" s="55" t="s">
        <v>5196</v>
      </c>
      <c r="D849" s="56" t="s">
        <v>394</v>
      </c>
      <c r="E849" s="56" t="s">
        <v>3922</v>
      </c>
      <c r="F849" s="26" t="s">
        <v>3923</v>
      </c>
      <c r="G849" s="26" t="s">
        <v>16</v>
      </c>
      <c r="H849" s="26" t="s">
        <v>13</v>
      </c>
      <c r="I849" s="26" t="s">
        <v>3924</v>
      </c>
      <c r="J849" s="26" t="s">
        <v>5326</v>
      </c>
      <c r="K849" s="26" t="s">
        <v>4010</v>
      </c>
      <c r="L849" s="26" t="s">
        <v>4277</v>
      </c>
      <c r="M849" s="55" t="s">
        <v>5327</v>
      </c>
      <c r="N849" s="26" t="s">
        <v>3924</v>
      </c>
    </row>
    <row r="850" spans="1:14" ht="75" customHeight="1" thickTop="1" thickBot="1">
      <c r="A850" s="26">
        <v>848</v>
      </c>
      <c r="B850" s="26">
        <v>871</v>
      </c>
      <c r="C850" s="55" t="s">
        <v>5196</v>
      </c>
      <c r="D850" s="56" t="s">
        <v>394</v>
      </c>
      <c r="E850" s="56" t="s">
        <v>3922</v>
      </c>
      <c r="F850" s="26" t="s">
        <v>3923</v>
      </c>
      <c r="G850" s="26" t="s">
        <v>16</v>
      </c>
      <c r="H850" s="26" t="s">
        <v>13</v>
      </c>
      <c r="I850" s="26" t="s">
        <v>3924</v>
      </c>
      <c r="J850" s="26" t="s">
        <v>5328</v>
      </c>
      <c r="K850" s="26" t="s">
        <v>4010</v>
      </c>
      <c r="L850" s="26" t="s">
        <v>4277</v>
      </c>
      <c r="M850" s="55" t="s">
        <v>5329</v>
      </c>
      <c r="N850" s="26" t="s">
        <v>3924</v>
      </c>
    </row>
    <row r="851" spans="1:14" ht="75" customHeight="1" thickTop="1" thickBot="1">
      <c r="A851" s="34">
        <v>849</v>
      </c>
      <c r="B851" s="34">
        <v>872</v>
      </c>
      <c r="C851" s="55" t="s">
        <v>5330</v>
      </c>
      <c r="D851" s="56" t="s">
        <v>394</v>
      </c>
      <c r="E851" s="56" t="s">
        <v>3922</v>
      </c>
      <c r="F851" s="26" t="s">
        <v>3923</v>
      </c>
      <c r="G851" s="26" t="s">
        <v>16</v>
      </c>
      <c r="H851" s="26" t="s">
        <v>13</v>
      </c>
      <c r="I851" s="26" t="s">
        <v>3924</v>
      </c>
      <c r="J851" s="26" t="s">
        <v>5328</v>
      </c>
      <c r="K851" s="26" t="s">
        <v>4010</v>
      </c>
      <c r="L851" s="26" t="s">
        <v>4277</v>
      </c>
      <c r="M851" s="55" t="s">
        <v>5331</v>
      </c>
      <c r="N851" s="26" t="s">
        <v>3924</v>
      </c>
    </row>
    <row r="852" spans="1:14" ht="75" customHeight="1" thickTop="1" thickBot="1">
      <c r="A852" s="34">
        <v>850</v>
      </c>
      <c r="B852" s="26">
        <v>873</v>
      </c>
      <c r="C852" s="55" t="s">
        <v>5330</v>
      </c>
      <c r="D852" s="56" t="s">
        <v>394</v>
      </c>
      <c r="E852" s="56" t="s">
        <v>3922</v>
      </c>
      <c r="F852" s="26" t="s">
        <v>3923</v>
      </c>
      <c r="G852" s="26" t="s">
        <v>16</v>
      </c>
      <c r="H852" s="26" t="s">
        <v>13</v>
      </c>
      <c r="I852" s="26" t="s">
        <v>3924</v>
      </c>
      <c r="J852" s="26" t="s">
        <v>5328</v>
      </c>
      <c r="K852" s="26" t="s">
        <v>4010</v>
      </c>
      <c r="L852" s="26" t="s">
        <v>4277</v>
      </c>
      <c r="M852" s="55" t="s">
        <v>5332</v>
      </c>
      <c r="N852" s="26" t="s">
        <v>3924</v>
      </c>
    </row>
    <row r="853" spans="1:14" ht="75" customHeight="1" thickTop="1" thickBot="1">
      <c r="A853" s="26">
        <v>851</v>
      </c>
      <c r="B853" s="34">
        <v>874</v>
      </c>
      <c r="C853" s="55" t="s">
        <v>5333</v>
      </c>
      <c r="D853" s="56" t="s">
        <v>394</v>
      </c>
      <c r="E853" s="56" t="s">
        <v>3922</v>
      </c>
      <c r="F853" s="26" t="s">
        <v>3923</v>
      </c>
      <c r="G853" s="26" t="s">
        <v>16</v>
      </c>
      <c r="H853" s="26" t="s">
        <v>13</v>
      </c>
      <c r="I853" s="26" t="s">
        <v>3924</v>
      </c>
      <c r="J853" s="26" t="s">
        <v>5334</v>
      </c>
      <c r="K853" s="26" t="s">
        <v>4010</v>
      </c>
      <c r="L853" s="26" t="s">
        <v>4277</v>
      </c>
      <c r="M853" s="55" t="s">
        <v>5335</v>
      </c>
      <c r="N853" s="26" t="s">
        <v>3924</v>
      </c>
    </row>
    <row r="854" spans="1:14" ht="75" customHeight="1" thickTop="1" thickBot="1">
      <c r="A854" s="34">
        <v>852</v>
      </c>
      <c r="B854" s="26">
        <v>875</v>
      </c>
      <c r="C854" s="55" t="s">
        <v>5333</v>
      </c>
      <c r="D854" s="56" t="s">
        <v>394</v>
      </c>
      <c r="E854" s="56" t="s">
        <v>3931</v>
      </c>
      <c r="F854" s="26" t="s">
        <v>3923</v>
      </c>
      <c r="G854" s="26" t="s">
        <v>3932</v>
      </c>
      <c r="H854" s="26" t="s">
        <v>13</v>
      </c>
      <c r="I854" s="26" t="s">
        <v>3924</v>
      </c>
      <c r="J854" s="26" t="s">
        <v>5336</v>
      </c>
      <c r="K854" s="26" t="s">
        <v>4032</v>
      </c>
      <c r="L854" s="26" t="s">
        <v>4033</v>
      </c>
      <c r="M854" s="55" t="s">
        <v>5337</v>
      </c>
      <c r="N854" s="26" t="s">
        <v>3924</v>
      </c>
    </row>
    <row r="855" spans="1:14" ht="75" customHeight="1" thickTop="1" thickBot="1">
      <c r="A855" s="34">
        <v>853</v>
      </c>
      <c r="B855" s="34">
        <v>876</v>
      </c>
      <c r="C855" s="55" t="s">
        <v>5336</v>
      </c>
      <c r="D855" s="56" t="s">
        <v>394</v>
      </c>
      <c r="E855" s="56" t="s">
        <v>3922</v>
      </c>
      <c r="F855" s="26" t="s">
        <v>3923</v>
      </c>
      <c r="G855" s="26" t="s">
        <v>16</v>
      </c>
      <c r="H855" s="26" t="s">
        <v>13</v>
      </c>
      <c r="I855" s="26" t="s">
        <v>3924</v>
      </c>
      <c r="J855" s="26" t="s">
        <v>5338</v>
      </c>
      <c r="K855" s="26" t="s">
        <v>4040</v>
      </c>
      <c r="L855" s="26" t="s">
        <v>5339</v>
      </c>
      <c r="M855" s="55" t="s">
        <v>5340</v>
      </c>
      <c r="N855" s="26" t="s">
        <v>3924</v>
      </c>
    </row>
    <row r="856" spans="1:14" ht="75" customHeight="1" thickTop="1" thickBot="1">
      <c r="A856" s="26">
        <v>854</v>
      </c>
      <c r="B856" s="26">
        <v>877</v>
      </c>
      <c r="C856" s="55" t="s">
        <v>5336</v>
      </c>
      <c r="D856" s="56" t="s">
        <v>394</v>
      </c>
      <c r="E856" s="56" t="s">
        <v>3922</v>
      </c>
      <c r="F856" s="26" t="s">
        <v>3923</v>
      </c>
      <c r="G856" s="26" t="s">
        <v>16</v>
      </c>
      <c r="H856" s="26" t="s">
        <v>13</v>
      </c>
      <c r="I856" s="26" t="s">
        <v>3924</v>
      </c>
      <c r="J856" s="26" t="s">
        <v>5338</v>
      </c>
      <c r="K856" s="26" t="s">
        <v>4010</v>
      </c>
      <c r="L856" s="26" t="s">
        <v>4277</v>
      </c>
      <c r="M856" s="55" t="s">
        <v>5341</v>
      </c>
      <c r="N856" s="26" t="s">
        <v>3924</v>
      </c>
    </row>
    <row r="857" spans="1:14" ht="75" customHeight="1" thickTop="1" thickBot="1">
      <c r="A857" s="34">
        <v>855</v>
      </c>
      <c r="B857" s="34">
        <v>878</v>
      </c>
      <c r="C857" s="55" t="s">
        <v>5342</v>
      </c>
      <c r="D857" s="56" t="s">
        <v>394</v>
      </c>
      <c r="E857" s="56" t="s">
        <v>3922</v>
      </c>
      <c r="F857" s="26" t="s">
        <v>3923</v>
      </c>
      <c r="G857" s="26" t="s">
        <v>16</v>
      </c>
      <c r="H857" s="26" t="s">
        <v>13</v>
      </c>
      <c r="I857" s="26" t="s">
        <v>3924</v>
      </c>
      <c r="J857" s="26" t="s">
        <v>5343</v>
      </c>
      <c r="K857" s="26" t="s">
        <v>4010</v>
      </c>
      <c r="L857" s="26" t="s">
        <v>4277</v>
      </c>
      <c r="M857" s="55" t="s">
        <v>5344</v>
      </c>
      <c r="N857" s="26" t="s">
        <v>3924</v>
      </c>
    </row>
    <row r="858" spans="1:14" ht="75" customHeight="1" thickTop="1" thickBot="1">
      <c r="A858" s="34">
        <v>856</v>
      </c>
      <c r="B858" s="26">
        <v>879</v>
      </c>
      <c r="C858" s="55" t="s">
        <v>5342</v>
      </c>
      <c r="D858" s="56" t="s">
        <v>394</v>
      </c>
      <c r="E858" s="56" t="s">
        <v>3931</v>
      </c>
      <c r="F858" s="26" t="s">
        <v>3923</v>
      </c>
      <c r="G858" s="26" t="s">
        <v>3932</v>
      </c>
      <c r="H858" s="26" t="s">
        <v>13</v>
      </c>
      <c r="I858" s="26" t="s">
        <v>3924</v>
      </c>
      <c r="J858" s="26" t="s">
        <v>5345</v>
      </c>
      <c r="K858" s="26" t="s">
        <v>4791</v>
      </c>
      <c r="L858" s="26" t="s">
        <v>3924</v>
      </c>
      <c r="M858" s="55" t="s">
        <v>5346</v>
      </c>
      <c r="N858" s="26" t="s">
        <v>5347</v>
      </c>
    </row>
    <row r="859" spans="1:14" ht="75" customHeight="1" thickTop="1" thickBot="1">
      <c r="A859" s="26">
        <v>857</v>
      </c>
      <c r="B859" s="34">
        <v>880</v>
      </c>
      <c r="C859" s="55" t="s">
        <v>5348</v>
      </c>
      <c r="D859" s="56" t="s">
        <v>394</v>
      </c>
      <c r="E859" s="56" t="s">
        <v>3931</v>
      </c>
      <c r="F859" s="26" t="s">
        <v>3923</v>
      </c>
      <c r="G859" s="26" t="s">
        <v>3932</v>
      </c>
      <c r="H859" s="26" t="s">
        <v>13</v>
      </c>
      <c r="I859" s="26" t="s">
        <v>3924</v>
      </c>
      <c r="J859" s="26" t="s">
        <v>5348</v>
      </c>
      <c r="K859" s="26" t="s">
        <v>5349</v>
      </c>
      <c r="L859" s="26" t="s">
        <v>3924</v>
      </c>
      <c r="M859" s="55" t="s">
        <v>5350</v>
      </c>
      <c r="N859" s="26" t="s">
        <v>3924</v>
      </c>
    </row>
    <row r="860" spans="1:14" ht="75" customHeight="1" thickTop="1" thickBot="1">
      <c r="A860" s="34">
        <v>858</v>
      </c>
      <c r="B860" s="26">
        <v>881</v>
      </c>
      <c r="C860" s="55" t="s">
        <v>5351</v>
      </c>
      <c r="D860" s="56" t="s">
        <v>394</v>
      </c>
      <c r="E860" s="56" t="s">
        <v>3931</v>
      </c>
      <c r="F860" s="26" t="s">
        <v>3923</v>
      </c>
      <c r="G860" s="26" t="s">
        <v>3932</v>
      </c>
      <c r="H860" s="26" t="s">
        <v>13</v>
      </c>
      <c r="I860" s="26" t="s">
        <v>3924</v>
      </c>
      <c r="J860" s="26" t="s">
        <v>5345</v>
      </c>
      <c r="K860" s="26" t="s">
        <v>5349</v>
      </c>
      <c r="L860" s="26" t="s">
        <v>3924</v>
      </c>
      <c r="M860" s="55" t="s">
        <v>5352</v>
      </c>
      <c r="N860" s="26" t="s">
        <v>3924</v>
      </c>
    </row>
    <row r="861" spans="1:14" ht="75" customHeight="1" thickTop="1" thickBot="1">
      <c r="A861" s="34">
        <v>859</v>
      </c>
      <c r="B861" s="34">
        <v>882</v>
      </c>
      <c r="C861" s="55" t="s">
        <v>5345</v>
      </c>
      <c r="D861" s="56" t="s">
        <v>394</v>
      </c>
      <c r="E861" s="56" t="s">
        <v>3931</v>
      </c>
      <c r="F861" s="26" t="s">
        <v>3923</v>
      </c>
      <c r="G861" s="26" t="s">
        <v>3932</v>
      </c>
      <c r="H861" s="26" t="s">
        <v>13</v>
      </c>
      <c r="I861" s="26" t="s">
        <v>3924</v>
      </c>
      <c r="J861" s="26" t="s">
        <v>5345</v>
      </c>
      <c r="K861" s="26" t="s">
        <v>5349</v>
      </c>
      <c r="L861" s="26" t="s">
        <v>3924</v>
      </c>
      <c r="M861" s="55" t="s">
        <v>5353</v>
      </c>
      <c r="N861" s="26" t="s">
        <v>3924</v>
      </c>
    </row>
    <row r="862" spans="1:14" ht="75" customHeight="1" thickTop="1" thickBot="1">
      <c r="A862" s="26">
        <v>860</v>
      </c>
      <c r="B862" s="26">
        <v>883</v>
      </c>
      <c r="C862" s="55" t="s">
        <v>5354</v>
      </c>
      <c r="D862" s="56" t="s">
        <v>394</v>
      </c>
      <c r="E862" s="56" t="s">
        <v>3931</v>
      </c>
      <c r="F862" s="26" t="s">
        <v>3923</v>
      </c>
      <c r="G862" s="26" t="s">
        <v>3932</v>
      </c>
      <c r="H862" s="26" t="s">
        <v>13</v>
      </c>
      <c r="I862" s="26" t="s">
        <v>3924</v>
      </c>
      <c r="J862" s="26" t="s">
        <v>5354</v>
      </c>
      <c r="K862" s="26" t="s">
        <v>5349</v>
      </c>
      <c r="L862" s="26" t="s">
        <v>3924</v>
      </c>
      <c r="M862" s="55" t="s">
        <v>5355</v>
      </c>
      <c r="N862" s="26" t="s">
        <v>3924</v>
      </c>
    </row>
    <row r="863" spans="1:14" ht="75" customHeight="1" thickTop="1" thickBot="1">
      <c r="A863" s="34">
        <v>861</v>
      </c>
      <c r="B863" s="34">
        <v>884</v>
      </c>
      <c r="C863" s="55" t="s">
        <v>5356</v>
      </c>
      <c r="D863" s="56" t="s">
        <v>394</v>
      </c>
      <c r="E863" s="56" t="s">
        <v>3931</v>
      </c>
      <c r="F863" s="26" t="s">
        <v>3923</v>
      </c>
      <c r="G863" s="26" t="s">
        <v>3932</v>
      </c>
      <c r="H863" s="26" t="s">
        <v>13</v>
      </c>
      <c r="I863" s="26" t="s">
        <v>3924</v>
      </c>
      <c r="J863" s="26" t="s">
        <v>5356</v>
      </c>
      <c r="K863" s="26" t="s">
        <v>5349</v>
      </c>
      <c r="L863" s="26" t="s">
        <v>3924</v>
      </c>
      <c r="M863" s="55" t="s">
        <v>5357</v>
      </c>
      <c r="N863" s="26" t="s">
        <v>3924</v>
      </c>
    </row>
    <row r="864" spans="1:14" ht="75" customHeight="1" thickTop="1" thickBot="1">
      <c r="A864" s="34">
        <v>862</v>
      </c>
      <c r="B864" s="26">
        <v>885</v>
      </c>
      <c r="C864" s="55" t="s">
        <v>5358</v>
      </c>
      <c r="D864" s="56" t="s">
        <v>394</v>
      </c>
      <c r="E864" s="56" t="s">
        <v>3931</v>
      </c>
      <c r="F864" s="26" t="s">
        <v>3923</v>
      </c>
      <c r="G864" s="26" t="s">
        <v>3932</v>
      </c>
      <c r="H864" s="26" t="s">
        <v>13</v>
      </c>
      <c r="I864" s="26" t="s">
        <v>3924</v>
      </c>
      <c r="J864" s="26" t="s">
        <v>5358</v>
      </c>
      <c r="K864" s="26" t="s">
        <v>4032</v>
      </c>
      <c r="L864" s="26" t="s">
        <v>5359</v>
      </c>
      <c r="M864" s="55" t="s">
        <v>5360</v>
      </c>
      <c r="N864" s="26" t="s">
        <v>3924</v>
      </c>
    </row>
    <row r="865" spans="1:14" ht="75" customHeight="1" thickTop="1" thickBot="1">
      <c r="A865" s="26">
        <v>863</v>
      </c>
      <c r="B865" s="34">
        <v>886</v>
      </c>
      <c r="C865" s="55" t="s">
        <v>5361</v>
      </c>
      <c r="D865" s="56" t="s">
        <v>394</v>
      </c>
      <c r="E865" s="56" t="s">
        <v>3931</v>
      </c>
      <c r="F865" s="26" t="s">
        <v>3923</v>
      </c>
      <c r="G865" s="26" t="s">
        <v>3932</v>
      </c>
      <c r="H865" s="26" t="s">
        <v>13</v>
      </c>
      <c r="I865" s="26" t="s">
        <v>3924</v>
      </c>
      <c r="J865" s="26" t="s">
        <v>5362</v>
      </c>
      <c r="K865" s="26" t="s">
        <v>4791</v>
      </c>
      <c r="L865" s="26" t="s">
        <v>5363</v>
      </c>
      <c r="M865" s="55" t="s">
        <v>5364</v>
      </c>
      <c r="N865" s="26" t="s">
        <v>3924</v>
      </c>
    </row>
    <row r="866" spans="1:14" ht="75" customHeight="1" thickTop="1" thickBot="1">
      <c r="A866" s="34">
        <v>864</v>
      </c>
      <c r="B866" s="26">
        <v>887</v>
      </c>
      <c r="C866" s="55" t="s">
        <v>5362</v>
      </c>
      <c r="D866" s="56" t="s">
        <v>394</v>
      </c>
      <c r="E866" s="56" t="s">
        <v>3931</v>
      </c>
      <c r="F866" s="26" t="s">
        <v>3923</v>
      </c>
      <c r="G866" s="26" t="s">
        <v>3932</v>
      </c>
      <c r="H866" s="26" t="s">
        <v>13</v>
      </c>
      <c r="I866" s="26" t="s">
        <v>3924</v>
      </c>
      <c r="J866" s="26" t="s">
        <v>5362</v>
      </c>
      <c r="K866" s="26" t="s">
        <v>4032</v>
      </c>
      <c r="L866" s="26" t="s">
        <v>5363</v>
      </c>
      <c r="M866" s="55" t="s">
        <v>5365</v>
      </c>
      <c r="N866" s="26" t="s">
        <v>3924</v>
      </c>
    </row>
    <row r="867" spans="1:14" ht="75" customHeight="1" thickTop="1" thickBot="1">
      <c r="A867" s="34">
        <v>865</v>
      </c>
      <c r="B867" s="34">
        <v>888</v>
      </c>
      <c r="C867" s="55" t="s">
        <v>5366</v>
      </c>
      <c r="D867" s="56" t="s">
        <v>394</v>
      </c>
      <c r="E867" s="56" t="s">
        <v>3931</v>
      </c>
      <c r="F867" s="26" t="s">
        <v>3923</v>
      </c>
      <c r="G867" s="26" t="s">
        <v>3932</v>
      </c>
      <c r="H867" s="26" t="s">
        <v>13</v>
      </c>
      <c r="I867" s="26" t="s">
        <v>3924</v>
      </c>
      <c r="J867" s="26" t="s">
        <v>5367</v>
      </c>
      <c r="K867" s="26" t="s">
        <v>5368</v>
      </c>
      <c r="L867" s="26" t="s">
        <v>3924</v>
      </c>
      <c r="M867" s="55" t="s">
        <v>5369</v>
      </c>
      <c r="N867" s="26" t="s">
        <v>3924</v>
      </c>
    </row>
    <row r="868" spans="1:14" ht="75" customHeight="1" thickTop="1" thickBot="1">
      <c r="A868" s="26">
        <v>866</v>
      </c>
      <c r="B868" s="26">
        <v>889</v>
      </c>
      <c r="C868" s="55" t="s">
        <v>5366</v>
      </c>
      <c r="D868" s="56" t="s">
        <v>394</v>
      </c>
      <c r="E868" s="56" t="s">
        <v>3931</v>
      </c>
      <c r="F868" s="26" t="s">
        <v>3923</v>
      </c>
      <c r="G868" s="26" t="s">
        <v>3932</v>
      </c>
      <c r="H868" s="26" t="s">
        <v>13</v>
      </c>
      <c r="I868" s="26" t="s">
        <v>3924</v>
      </c>
      <c r="J868" s="26" t="s">
        <v>5367</v>
      </c>
      <c r="K868" s="26" t="s">
        <v>4791</v>
      </c>
      <c r="L868" s="26" t="s">
        <v>5363</v>
      </c>
      <c r="M868" s="55" t="s">
        <v>5370</v>
      </c>
      <c r="N868" s="26" t="s">
        <v>3924</v>
      </c>
    </row>
    <row r="869" spans="1:14" ht="75" customHeight="1" thickTop="1" thickBot="1">
      <c r="A869" s="34">
        <v>867</v>
      </c>
      <c r="B869" s="34">
        <v>890</v>
      </c>
      <c r="C869" s="55" t="s">
        <v>5366</v>
      </c>
      <c r="D869" s="56" t="s">
        <v>394</v>
      </c>
      <c r="E869" s="56" t="s">
        <v>3931</v>
      </c>
      <c r="F869" s="26" t="s">
        <v>3923</v>
      </c>
      <c r="G869" s="26" t="s">
        <v>3932</v>
      </c>
      <c r="H869" s="26" t="s">
        <v>13</v>
      </c>
      <c r="I869" s="26" t="s">
        <v>3924</v>
      </c>
      <c r="J869" s="26" t="s">
        <v>5367</v>
      </c>
      <c r="K869" s="26" t="s">
        <v>4791</v>
      </c>
      <c r="L869" s="26" t="s">
        <v>5363</v>
      </c>
      <c r="M869" s="55" t="s">
        <v>5371</v>
      </c>
      <c r="N869" s="26" t="s">
        <v>3924</v>
      </c>
    </row>
    <row r="870" spans="1:14" ht="75" customHeight="1" thickTop="1" thickBot="1">
      <c r="A870" s="34">
        <v>868</v>
      </c>
      <c r="B870" s="26">
        <v>891</v>
      </c>
      <c r="C870" s="55" t="s">
        <v>5367</v>
      </c>
      <c r="D870" s="56" t="s">
        <v>394</v>
      </c>
      <c r="E870" s="56" t="s">
        <v>3931</v>
      </c>
      <c r="F870" s="26" t="s">
        <v>3923</v>
      </c>
      <c r="G870" s="26" t="s">
        <v>3932</v>
      </c>
      <c r="H870" s="26" t="s">
        <v>13</v>
      </c>
      <c r="I870" s="26" t="s">
        <v>3924</v>
      </c>
      <c r="J870" s="26" t="s">
        <v>5367</v>
      </c>
      <c r="K870" s="26" t="s">
        <v>4791</v>
      </c>
      <c r="L870" s="26" t="s">
        <v>5363</v>
      </c>
      <c r="M870" s="55" t="s">
        <v>5372</v>
      </c>
      <c r="N870" s="26" t="s">
        <v>3924</v>
      </c>
    </row>
    <row r="871" spans="1:14" ht="75" customHeight="1" thickTop="1" thickBot="1">
      <c r="A871" s="26">
        <v>869</v>
      </c>
      <c r="B871" s="34">
        <v>892</v>
      </c>
      <c r="C871" s="55" t="s">
        <v>5373</v>
      </c>
      <c r="D871" s="56" t="s">
        <v>394</v>
      </c>
      <c r="E871" s="56" t="s">
        <v>3931</v>
      </c>
      <c r="F871" s="26" t="s">
        <v>3923</v>
      </c>
      <c r="G871" s="26" t="s">
        <v>3932</v>
      </c>
      <c r="H871" s="26" t="s">
        <v>13</v>
      </c>
      <c r="I871" s="26" t="s">
        <v>3924</v>
      </c>
      <c r="J871" s="26" t="s">
        <v>5374</v>
      </c>
      <c r="K871" s="26" t="s">
        <v>4791</v>
      </c>
      <c r="L871" s="26" t="s">
        <v>5363</v>
      </c>
      <c r="M871" s="55" t="s">
        <v>5375</v>
      </c>
      <c r="N871" s="26" t="s">
        <v>3924</v>
      </c>
    </row>
    <row r="872" spans="1:14" ht="75" customHeight="1" thickTop="1" thickBot="1">
      <c r="A872" s="34">
        <v>870</v>
      </c>
      <c r="B872" s="26">
        <v>893</v>
      </c>
      <c r="C872" s="55" t="s">
        <v>5376</v>
      </c>
      <c r="D872" s="56" t="s">
        <v>394</v>
      </c>
      <c r="E872" s="56" t="s">
        <v>3931</v>
      </c>
      <c r="F872" s="26" t="s">
        <v>3923</v>
      </c>
      <c r="G872" s="26" t="s">
        <v>3932</v>
      </c>
      <c r="H872" s="26" t="s">
        <v>13</v>
      </c>
      <c r="I872" s="26" t="s">
        <v>3924</v>
      </c>
      <c r="J872" s="26" t="s">
        <v>5374</v>
      </c>
      <c r="K872" s="26" t="s">
        <v>4791</v>
      </c>
      <c r="L872" s="26" t="s">
        <v>5363</v>
      </c>
      <c r="M872" s="55" t="s">
        <v>5377</v>
      </c>
      <c r="N872" s="26" t="s">
        <v>3924</v>
      </c>
    </row>
    <row r="873" spans="1:14" ht="75" customHeight="1" thickTop="1" thickBot="1">
      <c r="A873" s="34">
        <v>871</v>
      </c>
      <c r="B873" s="34">
        <v>894</v>
      </c>
      <c r="C873" s="55" t="s">
        <v>5378</v>
      </c>
      <c r="D873" s="56" t="s">
        <v>394</v>
      </c>
      <c r="E873" s="56" t="s">
        <v>3931</v>
      </c>
      <c r="F873" s="26" t="s">
        <v>3923</v>
      </c>
      <c r="G873" s="26" t="s">
        <v>3932</v>
      </c>
      <c r="H873" s="26" t="s">
        <v>13</v>
      </c>
      <c r="I873" s="26" t="s">
        <v>3924</v>
      </c>
      <c r="J873" s="26" t="s">
        <v>5374</v>
      </c>
      <c r="K873" s="26" t="s">
        <v>4791</v>
      </c>
      <c r="L873" s="26" t="s">
        <v>5363</v>
      </c>
      <c r="M873" s="55" t="s">
        <v>5379</v>
      </c>
      <c r="N873" s="26" t="s">
        <v>3924</v>
      </c>
    </row>
    <row r="874" spans="1:14" ht="75" customHeight="1" thickTop="1" thickBot="1">
      <c r="A874" s="26">
        <v>872</v>
      </c>
      <c r="B874" s="26">
        <v>895</v>
      </c>
      <c r="C874" s="55" t="s">
        <v>5374</v>
      </c>
      <c r="D874" s="56" t="s">
        <v>394</v>
      </c>
      <c r="E874" s="56" t="s">
        <v>3931</v>
      </c>
      <c r="F874" s="26" t="s">
        <v>3923</v>
      </c>
      <c r="G874" s="26" t="s">
        <v>3932</v>
      </c>
      <c r="H874" s="26" t="s">
        <v>13</v>
      </c>
      <c r="I874" s="26" t="s">
        <v>3924</v>
      </c>
      <c r="J874" s="26" t="s">
        <v>5374</v>
      </c>
      <c r="K874" s="26" t="s">
        <v>4791</v>
      </c>
      <c r="L874" s="26" t="s">
        <v>5363</v>
      </c>
      <c r="M874" s="55" t="s">
        <v>5380</v>
      </c>
      <c r="N874" s="26" t="s">
        <v>3924</v>
      </c>
    </row>
    <row r="875" spans="1:14" ht="75" customHeight="1" thickTop="1" thickBot="1">
      <c r="A875" s="34">
        <v>873</v>
      </c>
      <c r="B875" s="34">
        <v>896</v>
      </c>
      <c r="C875" s="55" t="s">
        <v>5381</v>
      </c>
      <c r="D875" s="56" t="s">
        <v>394</v>
      </c>
      <c r="E875" s="56" t="s">
        <v>3931</v>
      </c>
      <c r="F875" s="26" t="s">
        <v>3923</v>
      </c>
      <c r="G875" s="26" t="s">
        <v>3932</v>
      </c>
      <c r="H875" s="26" t="s">
        <v>13</v>
      </c>
      <c r="I875" s="26" t="s">
        <v>3924</v>
      </c>
      <c r="J875" s="26" t="s">
        <v>5382</v>
      </c>
      <c r="K875" s="26" t="s">
        <v>4791</v>
      </c>
      <c r="L875" s="26" t="s">
        <v>4379</v>
      </c>
      <c r="M875" s="55" t="s">
        <v>5383</v>
      </c>
      <c r="N875" s="26" t="s">
        <v>3924</v>
      </c>
    </row>
    <row r="876" spans="1:14" ht="75" customHeight="1" thickTop="1" thickBot="1">
      <c r="A876" s="34">
        <v>874</v>
      </c>
      <c r="B876" s="26">
        <v>897</v>
      </c>
      <c r="C876" s="55" t="s">
        <v>5382</v>
      </c>
      <c r="D876" s="56" t="s">
        <v>394</v>
      </c>
      <c r="E876" s="56" t="s">
        <v>3931</v>
      </c>
      <c r="F876" s="26" t="s">
        <v>3923</v>
      </c>
      <c r="G876" s="26" t="s">
        <v>3932</v>
      </c>
      <c r="H876" s="26" t="s">
        <v>13</v>
      </c>
      <c r="I876" s="26" t="s">
        <v>3924</v>
      </c>
      <c r="J876" s="26" t="s">
        <v>5382</v>
      </c>
      <c r="K876" s="26" t="s">
        <v>4791</v>
      </c>
      <c r="L876" s="26" t="s">
        <v>5363</v>
      </c>
      <c r="M876" s="55" t="s">
        <v>5384</v>
      </c>
      <c r="N876" s="26" t="s">
        <v>3924</v>
      </c>
    </row>
    <row r="877" spans="1:14" ht="75" customHeight="1" thickTop="1" thickBot="1">
      <c r="A877" s="26">
        <v>875</v>
      </c>
      <c r="B877" s="34">
        <v>898</v>
      </c>
      <c r="C877" s="55" t="s">
        <v>5382</v>
      </c>
      <c r="D877" s="56" t="s">
        <v>394</v>
      </c>
      <c r="E877" s="56" t="s">
        <v>3931</v>
      </c>
      <c r="F877" s="26" t="s">
        <v>3923</v>
      </c>
      <c r="G877" s="26" t="s">
        <v>3932</v>
      </c>
      <c r="H877" s="26" t="s">
        <v>13</v>
      </c>
      <c r="I877" s="26" t="s">
        <v>3924</v>
      </c>
      <c r="J877" s="26" t="s">
        <v>5385</v>
      </c>
      <c r="K877" s="26" t="s">
        <v>4791</v>
      </c>
      <c r="L877" s="26" t="s">
        <v>5363</v>
      </c>
      <c r="M877" s="55" t="s">
        <v>5386</v>
      </c>
      <c r="N877" s="26" t="s">
        <v>3924</v>
      </c>
    </row>
    <row r="878" spans="1:14" ht="75" customHeight="1" thickTop="1" thickBot="1">
      <c r="A878" s="34">
        <v>876</v>
      </c>
      <c r="B878" s="26">
        <v>899</v>
      </c>
      <c r="C878" s="55" t="s">
        <v>5385</v>
      </c>
      <c r="D878" s="56" t="s">
        <v>394</v>
      </c>
      <c r="E878" s="56" t="s">
        <v>3931</v>
      </c>
      <c r="F878" s="26" t="s">
        <v>3923</v>
      </c>
      <c r="G878" s="26" t="s">
        <v>3932</v>
      </c>
      <c r="H878" s="26" t="s">
        <v>13</v>
      </c>
      <c r="I878" s="26" t="s">
        <v>3924</v>
      </c>
      <c r="J878" s="26" t="s">
        <v>5387</v>
      </c>
      <c r="K878" s="26" t="s">
        <v>5388</v>
      </c>
      <c r="L878" s="26" t="s">
        <v>3924</v>
      </c>
      <c r="M878" s="55" t="s">
        <v>5389</v>
      </c>
      <c r="N878" s="26" t="s">
        <v>3924</v>
      </c>
    </row>
    <row r="879" spans="1:14" ht="75" customHeight="1" thickTop="1" thickBot="1">
      <c r="A879" s="34">
        <v>877</v>
      </c>
      <c r="B879" s="34">
        <v>900</v>
      </c>
      <c r="C879" s="55" t="s">
        <v>5390</v>
      </c>
      <c r="D879" s="56" t="s">
        <v>394</v>
      </c>
      <c r="E879" s="56" t="s">
        <v>3931</v>
      </c>
      <c r="F879" s="26" t="s">
        <v>3923</v>
      </c>
      <c r="G879" s="26" t="s">
        <v>3932</v>
      </c>
      <c r="H879" s="26" t="s">
        <v>13</v>
      </c>
      <c r="I879" s="26" t="s">
        <v>3924</v>
      </c>
      <c r="J879" s="26" t="s">
        <v>5390</v>
      </c>
      <c r="K879" s="26" t="s">
        <v>3926</v>
      </c>
      <c r="L879" s="26" t="s">
        <v>3927</v>
      </c>
      <c r="M879" s="55" t="s">
        <v>5391</v>
      </c>
      <c r="N879" s="26" t="s">
        <v>3924</v>
      </c>
    </row>
    <row r="880" spans="1:14" ht="75" customHeight="1" thickTop="1" thickBot="1">
      <c r="A880" s="26">
        <v>878</v>
      </c>
      <c r="B880" s="26">
        <v>901</v>
      </c>
      <c r="C880" s="55" t="s">
        <v>5390</v>
      </c>
      <c r="D880" s="56" t="s">
        <v>394</v>
      </c>
      <c r="E880" s="56" t="s">
        <v>3931</v>
      </c>
      <c r="F880" s="26" t="s">
        <v>3923</v>
      </c>
      <c r="G880" s="26" t="s">
        <v>3932</v>
      </c>
      <c r="H880" s="26" t="s">
        <v>13</v>
      </c>
      <c r="I880" s="26" t="s">
        <v>3924</v>
      </c>
      <c r="J880" s="26" t="s">
        <v>5387</v>
      </c>
      <c r="K880" s="26" t="s">
        <v>3926</v>
      </c>
      <c r="L880" s="26" t="s">
        <v>3924</v>
      </c>
      <c r="M880" s="55" t="s">
        <v>5392</v>
      </c>
      <c r="N880" s="26" t="s">
        <v>3924</v>
      </c>
    </row>
    <row r="881" spans="1:14" ht="75" customHeight="1" thickTop="1" thickBot="1">
      <c r="A881" s="34">
        <v>879</v>
      </c>
      <c r="B881" s="34">
        <v>902</v>
      </c>
      <c r="C881" s="55" t="s">
        <v>5393</v>
      </c>
      <c r="D881" s="56" t="s">
        <v>394</v>
      </c>
      <c r="E881" s="56" t="s">
        <v>3931</v>
      </c>
      <c r="F881" s="26" t="s">
        <v>3923</v>
      </c>
      <c r="G881" s="26" t="s">
        <v>3932</v>
      </c>
      <c r="H881" s="26" t="s">
        <v>13</v>
      </c>
      <c r="I881" s="26" t="s">
        <v>3924</v>
      </c>
      <c r="J881" s="26" t="s">
        <v>5394</v>
      </c>
      <c r="K881" s="26" t="s">
        <v>5349</v>
      </c>
      <c r="L881" s="26" t="s">
        <v>5395</v>
      </c>
      <c r="M881" s="55" t="s">
        <v>5396</v>
      </c>
      <c r="N881" s="26" t="s">
        <v>3924</v>
      </c>
    </row>
    <row r="882" spans="1:14" ht="75" customHeight="1" thickTop="1" thickBot="1">
      <c r="A882" s="34">
        <v>880</v>
      </c>
      <c r="B882" s="26">
        <v>903</v>
      </c>
      <c r="C882" s="55" t="s">
        <v>5397</v>
      </c>
      <c r="D882" s="56" t="s">
        <v>394</v>
      </c>
      <c r="E882" s="56" t="s">
        <v>3931</v>
      </c>
      <c r="F882" s="26" t="s">
        <v>3923</v>
      </c>
      <c r="G882" s="26" t="s">
        <v>3932</v>
      </c>
      <c r="H882" s="26" t="s">
        <v>13</v>
      </c>
      <c r="I882" s="26" t="s">
        <v>3924</v>
      </c>
      <c r="J882" s="26" t="s">
        <v>5394</v>
      </c>
      <c r="K882" s="26" t="s">
        <v>5349</v>
      </c>
      <c r="L882" s="26" t="s">
        <v>3924</v>
      </c>
      <c r="M882" s="55" t="s">
        <v>5398</v>
      </c>
      <c r="N882" s="26" t="s">
        <v>3924</v>
      </c>
    </row>
    <row r="883" spans="1:14" ht="75" customHeight="1" thickTop="1" thickBot="1">
      <c r="A883" s="26">
        <v>881</v>
      </c>
      <c r="B883" s="34">
        <v>904</v>
      </c>
      <c r="C883" s="55" t="s">
        <v>5394</v>
      </c>
      <c r="D883" s="56" t="s">
        <v>394</v>
      </c>
      <c r="E883" s="56" t="s">
        <v>3931</v>
      </c>
      <c r="F883" s="26" t="s">
        <v>3923</v>
      </c>
      <c r="G883" s="26" t="s">
        <v>3932</v>
      </c>
      <c r="H883" s="26" t="s">
        <v>13</v>
      </c>
      <c r="I883" s="26" t="s">
        <v>3924</v>
      </c>
      <c r="J883" s="26" t="s">
        <v>5394</v>
      </c>
      <c r="K883" s="26" t="s">
        <v>5388</v>
      </c>
      <c r="L883" s="26" t="s">
        <v>3924</v>
      </c>
      <c r="M883" s="55" t="s">
        <v>5399</v>
      </c>
      <c r="N883" s="26" t="s">
        <v>3924</v>
      </c>
    </row>
    <row r="884" spans="1:14" ht="75" customHeight="1" thickTop="1" thickBot="1">
      <c r="A884" s="34">
        <v>882</v>
      </c>
      <c r="B884" s="26">
        <v>905</v>
      </c>
      <c r="C884" s="55" t="s">
        <v>5394</v>
      </c>
      <c r="D884" s="56" t="s">
        <v>394</v>
      </c>
      <c r="E884" s="56" t="s">
        <v>3931</v>
      </c>
      <c r="F884" s="26" t="s">
        <v>3923</v>
      </c>
      <c r="G884" s="26" t="s">
        <v>3932</v>
      </c>
      <c r="H884" s="26" t="s">
        <v>13</v>
      </c>
      <c r="I884" s="26" t="s">
        <v>3924</v>
      </c>
      <c r="J884" s="26" t="s">
        <v>5400</v>
      </c>
      <c r="K884" s="26" t="s">
        <v>5349</v>
      </c>
      <c r="L884" s="26" t="s">
        <v>3924</v>
      </c>
      <c r="M884" s="55" t="s">
        <v>5401</v>
      </c>
      <c r="N884" s="26" t="s">
        <v>3924</v>
      </c>
    </row>
    <row r="885" spans="1:14" ht="75" customHeight="1" thickTop="1" thickBot="1">
      <c r="A885" s="34">
        <v>883</v>
      </c>
      <c r="B885" s="34">
        <v>906</v>
      </c>
      <c r="C885" s="55" t="s">
        <v>5402</v>
      </c>
      <c r="D885" s="56" t="s">
        <v>394</v>
      </c>
      <c r="E885" s="56" t="s">
        <v>3931</v>
      </c>
      <c r="F885" s="26" t="s">
        <v>3923</v>
      </c>
      <c r="G885" s="26" t="s">
        <v>3932</v>
      </c>
      <c r="H885" s="26" t="s">
        <v>13</v>
      </c>
      <c r="I885" s="26" t="s">
        <v>3924</v>
      </c>
      <c r="J885" s="26" t="s">
        <v>5403</v>
      </c>
      <c r="K885" s="26" t="s">
        <v>5349</v>
      </c>
      <c r="L885" s="26" t="s">
        <v>3924</v>
      </c>
      <c r="M885" s="55" t="s">
        <v>5404</v>
      </c>
      <c r="N885" s="26" t="s">
        <v>3924</v>
      </c>
    </row>
    <row r="886" spans="1:14" ht="75" customHeight="1" thickTop="1" thickBot="1">
      <c r="A886" s="26">
        <v>884</v>
      </c>
      <c r="B886" s="26">
        <v>907</v>
      </c>
      <c r="C886" s="55" t="s">
        <v>5402</v>
      </c>
      <c r="D886" s="56" t="s">
        <v>394</v>
      </c>
      <c r="E886" s="56" t="s">
        <v>3931</v>
      </c>
      <c r="F886" s="26" t="s">
        <v>3923</v>
      </c>
      <c r="G886" s="26" t="s">
        <v>3932</v>
      </c>
      <c r="H886" s="26" t="s">
        <v>13</v>
      </c>
      <c r="I886" s="26" t="s">
        <v>3924</v>
      </c>
      <c r="J886" s="26" t="s">
        <v>5405</v>
      </c>
      <c r="K886" s="26" t="s">
        <v>4032</v>
      </c>
      <c r="L886" s="26" t="s">
        <v>4379</v>
      </c>
      <c r="M886" s="55" t="s">
        <v>5406</v>
      </c>
      <c r="N886" s="26" t="s">
        <v>3924</v>
      </c>
    </row>
    <row r="887" spans="1:14" ht="75" customHeight="1" thickTop="1" thickBot="1">
      <c r="A887" s="34">
        <v>885</v>
      </c>
      <c r="B887" s="34">
        <v>908</v>
      </c>
      <c r="C887" s="55" t="s">
        <v>5402</v>
      </c>
      <c r="D887" s="56" t="s">
        <v>394</v>
      </c>
      <c r="E887" s="56" t="s">
        <v>3931</v>
      </c>
      <c r="F887" s="26" t="s">
        <v>3923</v>
      </c>
      <c r="G887" s="26" t="s">
        <v>3932</v>
      </c>
      <c r="H887" s="26" t="s">
        <v>13</v>
      </c>
      <c r="I887" s="26" t="s">
        <v>3924</v>
      </c>
      <c r="J887" s="26" t="s">
        <v>5405</v>
      </c>
      <c r="K887" s="26" t="s">
        <v>4032</v>
      </c>
      <c r="L887" s="26" t="s">
        <v>5407</v>
      </c>
      <c r="M887" s="55" t="s">
        <v>5408</v>
      </c>
      <c r="N887" s="26" t="s">
        <v>3924</v>
      </c>
    </row>
    <row r="888" spans="1:14" ht="75" customHeight="1" thickTop="1" thickBot="1">
      <c r="A888" s="34">
        <v>886</v>
      </c>
      <c r="B888" s="26">
        <v>909</v>
      </c>
      <c r="C888" s="55" t="s">
        <v>5409</v>
      </c>
      <c r="D888" s="56" t="s">
        <v>394</v>
      </c>
      <c r="E888" s="56" t="s">
        <v>3931</v>
      </c>
      <c r="F888" s="26" t="s">
        <v>3923</v>
      </c>
      <c r="G888" s="26" t="s">
        <v>3932</v>
      </c>
      <c r="H888" s="26" t="s">
        <v>13</v>
      </c>
      <c r="I888" s="26" t="s">
        <v>3924</v>
      </c>
      <c r="J888" s="26" t="s">
        <v>5405</v>
      </c>
      <c r="K888" s="26" t="s">
        <v>5388</v>
      </c>
      <c r="L888" s="26" t="s">
        <v>3924</v>
      </c>
      <c r="M888" s="55" t="s">
        <v>5410</v>
      </c>
      <c r="N888" s="26" t="s">
        <v>3924</v>
      </c>
    </row>
    <row r="889" spans="1:14" ht="75" customHeight="1" thickTop="1" thickBot="1">
      <c r="A889" s="26">
        <v>887</v>
      </c>
      <c r="B889" s="34">
        <v>910</v>
      </c>
      <c r="C889" s="55" t="s">
        <v>5411</v>
      </c>
      <c r="D889" s="56" t="s">
        <v>394</v>
      </c>
      <c r="E889" s="56" t="s">
        <v>3931</v>
      </c>
      <c r="F889" s="26" t="s">
        <v>3923</v>
      </c>
      <c r="G889" s="26" t="s">
        <v>3932</v>
      </c>
      <c r="H889" s="26" t="s">
        <v>13</v>
      </c>
      <c r="I889" s="26" t="s">
        <v>3924</v>
      </c>
      <c r="J889" s="26" t="s">
        <v>5405</v>
      </c>
      <c r="K889" s="26" t="s">
        <v>4010</v>
      </c>
      <c r="L889" s="26" t="s">
        <v>5412</v>
      </c>
      <c r="M889" s="55" t="s">
        <v>5413</v>
      </c>
      <c r="N889" s="26" t="s">
        <v>3924</v>
      </c>
    </row>
    <row r="890" spans="1:14" ht="75" customHeight="1" thickTop="1" thickBot="1">
      <c r="A890" s="34">
        <v>888</v>
      </c>
      <c r="B890" s="26">
        <v>911</v>
      </c>
      <c r="C890" s="55" t="s">
        <v>5411</v>
      </c>
      <c r="D890" s="56" t="s">
        <v>394</v>
      </c>
      <c r="E890" s="56" t="s">
        <v>3931</v>
      </c>
      <c r="F890" s="26" t="s">
        <v>3923</v>
      </c>
      <c r="G890" s="26" t="s">
        <v>3932</v>
      </c>
      <c r="H890" s="26" t="s">
        <v>13</v>
      </c>
      <c r="I890" s="26" t="s">
        <v>3924</v>
      </c>
      <c r="J890" s="26" t="s">
        <v>5405</v>
      </c>
      <c r="K890" s="26" t="s">
        <v>5349</v>
      </c>
      <c r="L890" s="26" t="s">
        <v>3924</v>
      </c>
      <c r="M890" s="55" t="s">
        <v>5414</v>
      </c>
      <c r="N890" s="26" t="s">
        <v>3924</v>
      </c>
    </row>
    <row r="891" spans="1:14" ht="75" customHeight="1" thickTop="1" thickBot="1">
      <c r="A891" s="34">
        <v>889</v>
      </c>
      <c r="B891" s="34">
        <v>912</v>
      </c>
      <c r="C891" s="55" t="s">
        <v>5403</v>
      </c>
      <c r="D891" s="56" t="s">
        <v>394</v>
      </c>
      <c r="E891" s="56" t="s">
        <v>3931</v>
      </c>
      <c r="F891" s="26" t="s">
        <v>3923</v>
      </c>
      <c r="G891" s="26" t="s">
        <v>3932</v>
      </c>
      <c r="H891" s="26" t="s">
        <v>13</v>
      </c>
      <c r="I891" s="26" t="s">
        <v>3924</v>
      </c>
      <c r="J891" s="26" t="s">
        <v>5405</v>
      </c>
      <c r="K891" s="26" t="s">
        <v>5349</v>
      </c>
      <c r="L891" s="26" t="s">
        <v>3924</v>
      </c>
      <c r="M891" s="55" t="s">
        <v>5415</v>
      </c>
      <c r="N891" s="26" t="s">
        <v>3924</v>
      </c>
    </row>
    <row r="892" spans="1:14" ht="75" customHeight="1" thickTop="1" thickBot="1">
      <c r="A892" s="26">
        <v>890</v>
      </c>
      <c r="B892" s="26">
        <v>913</v>
      </c>
      <c r="C892" s="55" t="s">
        <v>5403</v>
      </c>
      <c r="D892" s="56" t="s">
        <v>394</v>
      </c>
      <c r="E892" s="56" t="s">
        <v>3931</v>
      </c>
      <c r="F892" s="26" t="s">
        <v>3923</v>
      </c>
      <c r="G892" s="26" t="s">
        <v>3932</v>
      </c>
      <c r="H892" s="26" t="s">
        <v>13</v>
      </c>
      <c r="I892" s="26" t="s">
        <v>3924</v>
      </c>
      <c r="J892" s="26" t="s">
        <v>5416</v>
      </c>
      <c r="K892" s="26" t="s">
        <v>5349</v>
      </c>
      <c r="L892" s="26" t="s">
        <v>3924</v>
      </c>
      <c r="M892" s="55" t="s">
        <v>5417</v>
      </c>
      <c r="N892" s="26" t="s">
        <v>3924</v>
      </c>
    </row>
    <row r="893" spans="1:14" ht="75" customHeight="1" thickTop="1" thickBot="1">
      <c r="A893" s="34">
        <v>891</v>
      </c>
      <c r="B893" s="34">
        <v>914</v>
      </c>
      <c r="C893" s="55" t="s">
        <v>5418</v>
      </c>
      <c r="D893" s="56" t="s">
        <v>394</v>
      </c>
      <c r="E893" s="56" t="s">
        <v>3931</v>
      </c>
      <c r="F893" s="26" t="s">
        <v>3923</v>
      </c>
      <c r="G893" s="26" t="s">
        <v>3932</v>
      </c>
      <c r="H893" s="26" t="s">
        <v>13</v>
      </c>
      <c r="I893" s="26" t="s">
        <v>3924</v>
      </c>
      <c r="J893" s="26" t="s">
        <v>5418</v>
      </c>
      <c r="K893" s="26" t="s">
        <v>4046</v>
      </c>
      <c r="L893" s="26" t="s">
        <v>5419</v>
      </c>
      <c r="M893" s="55" t="s">
        <v>5420</v>
      </c>
      <c r="N893" s="26" t="s">
        <v>3924</v>
      </c>
    </row>
    <row r="894" spans="1:14" ht="75" customHeight="1" thickTop="1" thickBot="1">
      <c r="A894" s="34">
        <v>892</v>
      </c>
      <c r="B894" s="26">
        <v>915</v>
      </c>
      <c r="C894" s="55" t="s">
        <v>5418</v>
      </c>
      <c r="D894" s="56" t="s">
        <v>394</v>
      </c>
      <c r="E894" s="56" t="s">
        <v>3931</v>
      </c>
      <c r="F894" s="26" t="s">
        <v>3923</v>
      </c>
      <c r="G894" s="26" t="s">
        <v>3932</v>
      </c>
      <c r="H894" s="26" t="s">
        <v>13</v>
      </c>
      <c r="I894" s="26" t="s">
        <v>3924</v>
      </c>
      <c r="J894" s="26" t="s">
        <v>5421</v>
      </c>
      <c r="K894" s="26" t="s">
        <v>3947</v>
      </c>
      <c r="L894" s="26" t="s">
        <v>5087</v>
      </c>
      <c r="M894" s="55" t="s">
        <v>5422</v>
      </c>
      <c r="N894" s="26" t="s">
        <v>3924</v>
      </c>
    </row>
    <row r="895" spans="1:14" ht="75" customHeight="1" thickTop="1" thickBot="1">
      <c r="A895" s="26">
        <v>893</v>
      </c>
      <c r="B895" s="34">
        <v>916</v>
      </c>
      <c r="C895" s="55" t="s">
        <v>5421</v>
      </c>
      <c r="D895" s="56" t="s">
        <v>394</v>
      </c>
      <c r="E895" s="56" t="s">
        <v>3931</v>
      </c>
      <c r="F895" s="26" t="s">
        <v>3923</v>
      </c>
      <c r="G895" s="26" t="s">
        <v>3932</v>
      </c>
      <c r="H895" s="26" t="s">
        <v>13</v>
      </c>
      <c r="I895" s="26" t="s">
        <v>3924</v>
      </c>
      <c r="J895" s="26" t="s">
        <v>5421</v>
      </c>
      <c r="K895" s="26" t="s">
        <v>4733</v>
      </c>
      <c r="L895" s="26" t="s">
        <v>3924</v>
      </c>
      <c r="M895" s="55" t="s">
        <v>5423</v>
      </c>
      <c r="N895" s="26" t="s">
        <v>3924</v>
      </c>
    </row>
    <row r="896" spans="1:14" ht="75" customHeight="1" thickTop="1" thickBot="1">
      <c r="A896" s="34">
        <v>894</v>
      </c>
      <c r="B896" s="26">
        <v>917</v>
      </c>
      <c r="C896" s="55" t="s">
        <v>5421</v>
      </c>
      <c r="D896" s="56" t="s">
        <v>394</v>
      </c>
      <c r="E896" s="56" t="s">
        <v>3931</v>
      </c>
      <c r="F896" s="26" t="s">
        <v>3923</v>
      </c>
      <c r="G896" s="26" t="s">
        <v>3932</v>
      </c>
      <c r="H896" s="26" t="s">
        <v>13</v>
      </c>
      <c r="I896" s="26" t="s">
        <v>3924</v>
      </c>
      <c r="J896" s="26" t="s">
        <v>5424</v>
      </c>
      <c r="K896" s="26" t="s">
        <v>5425</v>
      </c>
      <c r="L896" s="26" t="s">
        <v>3924</v>
      </c>
      <c r="M896" s="55" t="s">
        <v>5423</v>
      </c>
      <c r="N896" s="26" t="s">
        <v>3924</v>
      </c>
    </row>
    <row r="897" spans="1:14" ht="75" customHeight="1" thickTop="1" thickBot="1">
      <c r="A897" s="34">
        <v>895</v>
      </c>
      <c r="B897" s="34">
        <v>948</v>
      </c>
      <c r="C897" s="55" t="s">
        <v>5426</v>
      </c>
      <c r="D897" s="56" t="s">
        <v>394</v>
      </c>
      <c r="E897" s="56" t="s">
        <v>3922</v>
      </c>
      <c r="F897" s="26" t="s">
        <v>3923</v>
      </c>
      <c r="G897" s="26" t="s">
        <v>16</v>
      </c>
      <c r="H897" s="26" t="s">
        <v>13</v>
      </c>
      <c r="I897" s="26" t="s">
        <v>3924</v>
      </c>
      <c r="J897" s="26" t="s">
        <v>5427</v>
      </c>
      <c r="K897" s="26" t="s">
        <v>3966</v>
      </c>
      <c r="L897" s="26" t="s">
        <v>3927</v>
      </c>
      <c r="M897" s="55" t="s">
        <v>5428</v>
      </c>
      <c r="N897" s="26" t="s">
        <v>3924</v>
      </c>
    </row>
    <row r="898" spans="1:14" ht="75" customHeight="1" thickTop="1" thickBot="1">
      <c r="A898" s="26">
        <v>896</v>
      </c>
      <c r="B898" s="26">
        <v>949</v>
      </c>
      <c r="C898" s="55" t="s">
        <v>5429</v>
      </c>
      <c r="D898" s="56" t="s">
        <v>394</v>
      </c>
      <c r="E898" s="56" t="s">
        <v>3922</v>
      </c>
      <c r="F898" s="26" t="s">
        <v>3923</v>
      </c>
      <c r="G898" s="26" t="s">
        <v>16</v>
      </c>
      <c r="H898" s="26" t="s">
        <v>13</v>
      </c>
      <c r="I898" s="26" t="s">
        <v>3924</v>
      </c>
      <c r="J898" s="26" t="s">
        <v>5430</v>
      </c>
      <c r="K898" s="26" t="s">
        <v>3966</v>
      </c>
      <c r="L898" s="26" t="s">
        <v>3986</v>
      </c>
      <c r="M898" s="55" t="s">
        <v>5431</v>
      </c>
      <c r="N898" s="26" t="s">
        <v>3924</v>
      </c>
    </row>
    <row r="899" spans="1:14" ht="75" customHeight="1" thickTop="1" thickBot="1">
      <c r="A899" s="34">
        <v>897</v>
      </c>
      <c r="B899" s="34">
        <v>950</v>
      </c>
      <c r="C899" s="55" t="s">
        <v>5429</v>
      </c>
      <c r="D899" s="56" t="s">
        <v>394</v>
      </c>
      <c r="E899" s="56" t="s">
        <v>3922</v>
      </c>
      <c r="F899" s="26" t="s">
        <v>3923</v>
      </c>
      <c r="G899" s="26" t="s">
        <v>16</v>
      </c>
      <c r="H899" s="26" t="s">
        <v>13</v>
      </c>
      <c r="I899" s="26" t="s">
        <v>3924</v>
      </c>
      <c r="J899" s="26" t="s">
        <v>5430</v>
      </c>
      <c r="K899" s="26" t="s">
        <v>4010</v>
      </c>
      <c r="L899" s="26" t="s">
        <v>4277</v>
      </c>
      <c r="M899" s="55" t="s">
        <v>5432</v>
      </c>
      <c r="N899" s="26" t="s">
        <v>3924</v>
      </c>
    </row>
    <row r="900" spans="1:14" ht="75" customHeight="1" thickTop="1" thickBot="1">
      <c r="A900" s="34">
        <v>898</v>
      </c>
      <c r="B900" s="26">
        <v>951</v>
      </c>
      <c r="C900" s="55" t="s">
        <v>5433</v>
      </c>
      <c r="D900" s="56" t="s">
        <v>394</v>
      </c>
      <c r="E900" s="56" t="s">
        <v>3922</v>
      </c>
      <c r="F900" s="26" t="s">
        <v>3923</v>
      </c>
      <c r="G900" s="26" t="s">
        <v>16</v>
      </c>
      <c r="H900" s="26" t="s">
        <v>13</v>
      </c>
      <c r="I900" s="26" t="s">
        <v>3924</v>
      </c>
      <c r="J900" s="26" t="s">
        <v>5434</v>
      </c>
      <c r="K900" s="26" t="s">
        <v>4010</v>
      </c>
      <c r="L900" s="26" t="s">
        <v>4284</v>
      </c>
      <c r="M900" s="55" t="s">
        <v>5435</v>
      </c>
      <c r="N900" s="26" t="s">
        <v>3924</v>
      </c>
    </row>
    <row r="901" spans="1:14" ht="75" customHeight="1" thickTop="1" thickBot="1">
      <c r="A901" s="26">
        <v>899</v>
      </c>
      <c r="B901" s="34">
        <v>952</v>
      </c>
      <c r="C901" s="55" t="s">
        <v>5436</v>
      </c>
      <c r="D901" s="56" t="s">
        <v>394</v>
      </c>
      <c r="E901" s="56" t="s">
        <v>3922</v>
      </c>
      <c r="F901" s="26" t="s">
        <v>3923</v>
      </c>
      <c r="G901" s="26" t="s">
        <v>16</v>
      </c>
      <c r="H901" s="26" t="s">
        <v>13</v>
      </c>
      <c r="I901" s="26" t="s">
        <v>3924</v>
      </c>
      <c r="J901" s="26" t="s">
        <v>5434</v>
      </c>
      <c r="K901" s="26" t="s">
        <v>4010</v>
      </c>
      <c r="L901" s="26" t="s">
        <v>4277</v>
      </c>
      <c r="M901" s="55" t="s">
        <v>5437</v>
      </c>
      <c r="N901" s="26" t="s">
        <v>3924</v>
      </c>
    </row>
    <row r="902" spans="1:14" ht="75" customHeight="1" thickTop="1" thickBot="1">
      <c r="A902" s="34">
        <v>900</v>
      </c>
      <c r="B902" s="26">
        <v>953</v>
      </c>
      <c r="C902" s="55" t="s">
        <v>5436</v>
      </c>
      <c r="D902" s="56" t="s">
        <v>394</v>
      </c>
      <c r="E902" s="56" t="s">
        <v>3922</v>
      </c>
      <c r="F902" s="26" t="s">
        <v>3923</v>
      </c>
      <c r="G902" s="26" t="s">
        <v>16</v>
      </c>
      <c r="H902" s="26" t="s">
        <v>13</v>
      </c>
      <c r="I902" s="26" t="s">
        <v>3924</v>
      </c>
      <c r="J902" s="26" t="s">
        <v>5438</v>
      </c>
      <c r="K902" s="26" t="s">
        <v>3926</v>
      </c>
      <c r="L902" s="26" t="s">
        <v>3986</v>
      </c>
      <c r="M902" s="55" t="s">
        <v>821</v>
      </c>
      <c r="N902" s="26" t="s">
        <v>3924</v>
      </c>
    </row>
    <row r="903" spans="1:14" ht="75" customHeight="1" thickTop="1" thickBot="1">
      <c r="A903" s="34">
        <v>901</v>
      </c>
      <c r="B903" s="34">
        <v>954</v>
      </c>
      <c r="C903" s="55" t="s">
        <v>5439</v>
      </c>
      <c r="D903" s="56" t="s">
        <v>394</v>
      </c>
      <c r="E903" s="56" t="s">
        <v>3922</v>
      </c>
      <c r="F903" s="26" t="s">
        <v>3923</v>
      </c>
      <c r="G903" s="26" t="s">
        <v>16</v>
      </c>
      <c r="H903" s="26" t="s">
        <v>13</v>
      </c>
      <c r="I903" s="26" t="s">
        <v>3924</v>
      </c>
      <c r="J903" s="26" t="s">
        <v>5440</v>
      </c>
      <c r="K903" s="26" t="s">
        <v>3926</v>
      </c>
      <c r="L903" s="26" t="s">
        <v>3986</v>
      </c>
      <c r="M903" s="55" t="s">
        <v>876</v>
      </c>
      <c r="N903" s="26" t="s">
        <v>3924</v>
      </c>
    </row>
    <row r="904" spans="1:14" ht="75" customHeight="1" thickTop="1" thickBot="1">
      <c r="A904" s="26">
        <v>902</v>
      </c>
      <c r="B904" s="26">
        <v>955</v>
      </c>
      <c r="C904" s="55" t="s">
        <v>5441</v>
      </c>
      <c r="D904" s="56" t="s">
        <v>394</v>
      </c>
      <c r="E904" s="56" t="s">
        <v>3922</v>
      </c>
      <c r="F904" s="26" t="s">
        <v>3923</v>
      </c>
      <c r="G904" s="26" t="s">
        <v>16</v>
      </c>
      <c r="H904" s="26" t="s">
        <v>13</v>
      </c>
      <c r="I904" s="26" t="s">
        <v>3924</v>
      </c>
      <c r="J904" s="26" t="s">
        <v>5440</v>
      </c>
      <c r="K904" s="26" t="s">
        <v>3929</v>
      </c>
      <c r="L904" s="26" t="s">
        <v>3986</v>
      </c>
      <c r="M904" s="55" t="s">
        <v>5442</v>
      </c>
      <c r="N904" s="26" t="s">
        <v>3924</v>
      </c>
    </row>
    <row r="905" spans="1:14" ht="75" customHeight="1" thickTop="1" thickBot="1">
      <c r="A905" s="34">
        <v>903</v>
      </c>
      <c r="B905" s="34">
        <v>956</v>
      </c>
      <c r="C905" s="55" t="s">
        <v>5443</v>
      </c>
      <c r="D905" s="56" t="s">
        <v>394</v>
      </c>
      <c r="E905" s="56" t="s">
        <v>3922</v>
      </c>
      <c r="F905" s="26" t="s">
        <v>3923</v>
      </c>
      <c r="G905" s="26" t="s">
        <v>16</v>
      </c>
      <c r="H905" s="26" t="s">
        <v>13</v>
      </c>
      <c r="I905" s="26" t="s">
        <v>3924</v>
      </c>
      <c r="J905" s="26" t="s">
        <v>5444</v>
      </c>
      <c r="K905" s="26" t="s">
        <v>3929</v>
      </c>
      <c r="L905" s="26" t="s">
        <v>4239</v>
      </c>
      <c r="M905" s="55" t="s">
        <v>844</v>
      </c>
      <c r="N905" s="26" t="s">
        <v>3924</v>
      </c>
    </row>
    <row r="906" spans="1:14" ht="75" customHeight="1" thickTop="1" thickBot="1">
      <c r="A906" s="34">
        <v>904</v>
      </c>
      <c r="B906" s="26">
        <v>957</v>
      </c>
      <c r="C906" s="55" t="s">
        <v>5445</v>
      </c>
      <c r="D906" s="56" t="s">
        <v>394</v>
      </c>
      <c r="E906" s="56" t="s">
        <v>3922</v>
      </c>
      <c r="F906" s="26" t="s">
        <v>3923</v>
      </c>
      <c r="G906" s="26" t="s">
        <v>16</v>
      </c>
      <c r="H906" s="26" t="s">
        <v>13</v>
      </c>
      <c r="I906" s="26" t="s">
        <v>3924</v>
      </c>
      <c r="J906" s="26" t="s">
        <v>5444</v>
      </c>
      <c r="K906" s="26" t="s">
        <v>4010</v>
      </c>
      <c r="L906" s="26" t="s">
        <v>4277</v>
      </c>
      <c r="M906" s="55" t="s">
        <v>5446</v>
      </c>
      <c r="N906" s="26" t="s">
        <v>3924</v>
      </c>
    </row>
    <row r="907" spans="1:14" ht="75" customHeight="1" thickTop="1" thickBot="1">
      <c r="A907" s="26">
        <v>905</v>
      </c>
      <c r="B907" s="34">
        <v>958</v>
      </c>
      <c r="C907" s="55" t="s">
        <v>5445</v>
      </c>
      <c r="D907" s="56" t="s">
        <v>394</v>
      </c>
      <c r="E907" s="56" t="s">
        <v>3922</v>
      </c>
      <c r="F907" s="26" t="s">
        <v>3923</v>
      </c>
      <c r="G907" s="26" t="s">
        <v>16</v>
      </c>
      <c r="H907" s="26" t="s">
        <v>13</v>
      </c>
      <c r="I907" s="26" t="s">
        <v>3924</v>
      </c>
      <c r="J907" s="26" t="s">
        <v>5447</v>
      </c>
      <c r="K907" s="26" t="s">
        <v>4010</v>
      </c>
      <c r="L907" s="26" t="s">
        <v>3927</v>
      </c>
      <c r="M907" s="55" t="s">
        <v>5448</v>
      </c>
      <c r="N907" s="26" t="s">
        <v>3924</v>
      </c>
    </row>
    <row r="908" spans="1:14" ht="75" customHeight="1" thickTop="1" thickBot="1">
      <c r="A908" s="34">
        <v>906</v>
      </c>
      <c r="B908" s="26">
        <v>959</v>
      </c>
      <c r="C908" s="55" t="s">
        <v>5449</v>
      </c>
      <c r="D908" s="56" t="s">
        <v>394</v>
      </c>
      <c r="E908" s="56" t="s">
        <v>3922</v>
      </c>
      <c r="F908" s="26" t="s">
        <v>3923</v>
      </c>
      <c r="G908" s="26" t="s">
        <v>16</v>
      </c>
      <c r="H908" s="26" t="s">
        <v>13</v>
      </c>
      <c r="I908" s="26" t="s">
        <v>3924</v>
      </c>
      <c r="J908" s="26" t="s">
        <v>5447</v>
      </c>
      <c r="K908" s="26" t="s">
        <v>4010</v>
      </c>
      <c r="L908" s="26" t="s">
        <v>3927</v>
      </c>
      <c r="M908" s="55" t="s">
        <v>5450</v>
      </c>
      <c r="N908" s="26" t="s">
        <v>3924</v>
      </c>
    </row>
    <row r="909" spans="1:14" ht="75" customHeight="1" thickTop="1" thickBot="1">
      <c r="A909" s="34">
        <v>907</v>
      </c>
      <c r="B909" s="34">
        <v>960</v>
      </c>
      <c r="C909" s="55" t="s">
        <v>5449</v>
      </c>
      <c r="D909" s="56" t="s">
        <v>394</v>
      </c>
      <c r="E909" s="56" t="s">
        <v>3922</v>
      </c>
      <c r="F909" s="26" t="s">
        <v>3923</v>
      </c>
      <c r="G909" s="26" t="s">
        <v>16</v>
      </c>
      <c r="H909" s="26" t="s">
        <v>13</v>
      </c>
      <c r="I909" s="26" t="s">
        <v>3924</v>
      </c>
      <c r="J909" s="26" t="s">
        <v>5447</v>
      </c>
      <c r="K909" s="26" t="s">
        <v>4010</v>
      </c>
      <c r="L909" s="26" t="s">
        <v>4284</v>
      </c>
      <c r="M909" s="55" t="s">
        <v>5451</v>
      </c>
      <c r="N909" s="26" t="s">
        <v>3924</v>
      </c>
    </row>
    <row r="910" spans="1:14" ht="75" customHeight="1" thickTop="1" thickBot="1">
      <c r="A910" s="26">
        <v>908</v>
      </c>
      <c r="B910" s="26">
        <v>961</v>
      </c>
      <c r="C910" s="55" t="s">
        <v>5452</v>
      </c>
      <c r="D910" s="56" t="s">
        <v>394</v>
      </c>
      <c r="E910" s="56" t="s">
        <v>3922</v>
      </c>
      <c r="F910" s="26" t="s">
        <v>3923</v>
      </c>
      <c r="G910" s="26" t="s">
        <v>16</v>
      </c>
      <c r="H910" s="26" t="s">
        <v>13</v>
      </c>
      <c r="I910" s="26" t="s">
        <v>3924</v>
      </c>
      <c r="J910" s="26" t="s">
        <v>5453</v>
      </c>
      <c r="K910" s="26" t="s">
        <v>4010</v>
      </c>
      <c r="L910" s="26" t="s">
        <v>4284</v>
      </c>
      <c r="M910" s="55" t="s">
        <v>5454</v>
      </c>
      <c r="N910" s="26" t="s">
        <v>3924</v>
      </c>
    </row>
    <row r="911" spans="1:14" ht="75" customHeight="1" thickTop="1" thickBot="1">
      <c r="A911" s="34">
        <v>909</v>
      </c>
      <c r="B911" s="34">
        <v>962</v>
      </c>
      <c r="C911" s="55" t="s">
        <v>5452</v>
      </c>
      <c r="D911" s="56" t="s">
        <v>394</v>
      </c>
      <c r="E911" s="56" t="s">
        <v>3922</v>
      </c>
      <c r="F911" s="26" t="s">
        <v>3923</v>
      </c>
      <c r="G911" s="26" t="s">
        <v>16</v>
      </c>
      <c r="H911" s="26" t="s">
        <v>13</v>
      </c>
      <c r="I911" s="26" t="s">
        <v>3924</v>
      </c>
      <c r="J911" s="26" t="s">
        <v>5453</v>
      </c>
      <c r="K911" s="26" t="s">
        <v>4010</v>
      </c>
      <c r="L911" s="26" t="s">
        <v>4284</v>
      </c>
      <c r="M911" s="55" t="s">
        <v>5455</v>
      </c>
      <c r="N911" s="26" t="s">
        <v>3924</v>
      </c>
    </row>
    <row r="912" spans="1:14" ht="75" customHeight="1" thickTop="1" thickBot="1">
      <c r="A912" s="34">
        <v>910</v>
      </c>
      <c r="B912" s="26">
        <v>963</v>
      </c>
      <c r="C912" s="55" t="s">
        <v>5456</v>
      </c>
      <c r="D912" s="56" t="s">
        <v>394</v>
      </c>
      <c r="E912" s="56" t="s">
        <v>3922</v>
      </c>
      <c r="F912" s="26" t="s">
        <v>3923</v>
      </c>
      <c r="G912" s="26" t="s">
        <v>16</v>
      </c>
      <c r="H912" s="26" t="s">
        <v>13</v>
      </c>
      <c r="I912" s="26" t="s">
        <v>3924</v>
      </c>
      <c r="J912" s="26" t="s">
        <v>5457</v>
      </c>
      <c r="K912" s="26" t="s">
        <v>4010</v>
      </c>
      <c r="L912" s="26" t="s">
        <v>3927</v>
      </c>
      <c r="M912" s="55" t="s">
        <v>5458</v>
      </c>
      <c r="N912" s="26" t="s">
        <v>3924</v>
      </c>
    </row>
    <row r="913" spans="1:14" ht="75" customHeight="1" thickTop="1" thickBot="1">
      <c r="A913" s="26">
        <v>911</v>
      </c>
      <c r="B913" s="34">
        <v>964</v>
      </c>
      <c r="C913" s="55" t="s">
        <v>5459</v>
      </c>
      <c r="D913" s="56" t="s">
        <v>394</v>
      </c>
      <c r="E913" s="56" t="s">
        <v>3922</v>
      </c>
      <c r="F913" s="26" t="s">
        <v>3923</v>
      </c>
      <c r="G913" s="26" t="s">
        <v>16</v>
      </c>
      <c r="H913" s="26" t="s">
        <v>13</v>
      </c>
      <c r="I913" s="26" t="s">
        <v>3924</v>
      </c>
      <c r="J913" s="26" t="s">
        <v>5457</v>
      </c>
      <c r="K913" s="26" t="s">
        <v>4010</v>
      </c>
      <c r="L913" s="26" t="s">
        <v>4277</v>
      </c>
      <c r="M913" s="55" t="s">
        <v>5460</v>
      </c>
      <c r="N913" s="26" t="s">
        <v>3924</v>
      </c>
    </row>
    <row r="914" spans="1:14" ht="75" customHeight="1" thickTop="1" thickBot="1">
      <c r="A914" s="34">
        <v>912</v>
      </c>
      <c r="B914" s="26">
        <v>965</v>
      </c>
      <c r="C914" s="55" t="s">
        <v>5461</v>
      </c>
      <c r="D914" s="56" t="s">
        <v>394</v>
      </c>
      <c r="E914" s="56" t="s">
        <v>3922</v>
      </c>
      <c r="F914" s="26" t="s">
        <v>3923</v>
      </c>
      <c r="G914" s="26" t="s">
        <v>16</v>
      </c>
      <c r="H914" s="26" t="s">
        <v>13</v>
      </c>
      <c r="I914" s="26" t="s">
        <v>3924</v>
      </c>
      <c r="J914" s="26" t="s">
        <v>5462</v>
      </c>
      <c r="K914" s="26" t="s">
        <v>4010</v>
      </c>
      <c r="L914" s="26" t="s">
        <v>4277</v>
      </c>
      <c r="M914" s="55" t="s">
        <v>5463</v>
      </c>
      <c r="N914" s="26" t="s">
        <v>3924</v>
      </c>
    </row>
    <row r="915" spans="1:14" ht="75" customHeight="1" thickTop="1" thickBot="1">
      <c r="A915" s="34">
        <v>913</v>
      </c>
      <c r="B915" s="34">
        <v>966</v>
      </c>
      <c r="C915" s="55" t="s">
        <v>5461</v>
      </c>
      <c r="D915" s="56" t="s">
        <v>394</v>
      </c>
      <c r="E915" s="56" t="s">
        <v>3922</v>
      </c>
      <c r="F915" s="26" t="s">
        <v>3923</v>
      </c>
      <c r="G915" s="26" t="s">
        <v>16</v>
      </c>
      <c r="H915" s="26" t="s">
        <v>13</v>
      </c>
      <c r="I915" s="26" t="s">
        <v>3924</v>
      </c>
      <c r="J915" s="26" t="s">
        <v>5462</v>
      </c>
      <c r="K915" s="26" t="s">
        <v>4010</v>
      </c>
      <c r="L915" s="26" t="s">
        <v>4277</v>
      </c>
      <c r="M915" s="55" t="s">
        <v>5464</v>
      </c>
      <c r="N915" s="26" t="s">
        <v>3924</v>
      </c>
    </row>
    <row r="916" spans="1:14" ht="75" customHeight="1" thickTop="1" thickBot="1">
      <c r="A916" s="26">
        <v>914</v>
      </c>
      <c r="B916" s="26">
        <v>967</v>
      </c>
      <c r="C916" s="55" t="s">
        <v>5465</v>
      </c>
      <c r="D916" s="56" t="s">
        <v>394</v>
      </c>
      <c r="E916" s="56" t="s">
        <v>3922</v>
      </c>
      <c r="F916" s="26" t="s">
        <v>3923</v>
      </c>
      <c r="G916" s="26" t="s">
        <v>16</v>
      </c>
      <c r="H916" s="26" t="s">
        <v>13</v>
      </c>
      <c r="I916" s="26" t="s">
        <v>3924</v>
      </c>
      <c r="J916" s="26" t="s">
        <v>5466</v>
      </c>
      <c r="K916" s="26" t="s">
        <v>4010</v>
      </c>
      <c r="L916" s="26" t="s">
        <v>4277</v>
      </c>
      <c r="M916" s="55" t="s">
        <v>5467</v>
      </c>
      <c r="N916" s="26" t="s">
        <v>3924</v>
      </c>
    </row>
    <row r="917" spans="1:14" ht="75" customHeight="1" thickTop="1" thickBot="1">
      <c r="A917" s="34">
        <v>915</v>
      </c>
      <c r="B917" s="34">
        <v>968</v>
      </c>
      <c r="C917" s="55" t="s">
        <v>5468</v>
      </c>
      <c r="D917" s="56" t="s">
        <v>394</v>
      </c>
      <c r="E917" s="56" t="s">
        <v>3922</v>
      </c>
      <c r="F917" s="26" t="s">
        <v>3923</v>
      </c>
      <c r="G917" s="26" t="s">
        <v>16</v>
      </c>
      <c r="H917" s="26" t="s">
        <v>13</v>
      </c>
      <c r="I917" s="26" t="s">
        <v>3924</v>
      </c>
      <c r="J917" s="26" t="s">
        <v>5466</v>
      </c>
      <c r="K917" s="26" t="s">
        <v>4010</v>
      </c>
      <c r="L917" s="26" t="s">
        <v>4277</v>
      </c>
      <c r="M917" s="55" t="s">
        <v>5469</v>
      </c>
      <c r="N917" s="26" t="s">
        <v>3924</v>
      </c>
    </row>
    <row r="918" spans="1:14" ht="75" customHeight="1" thickTop="1" thickBot="1">
      <c r="A918" s="34">
        <v>916</v>
      </c>
      <c r="B918" s="26">
        <v>969</v>
      </c>
      <c r="C918" s="55" t="s">
        <v>5470</v>
      </c>
      <c r="D918" s="56" t="s">
        <v>394</v>
      </c>
      <c r="E918" s="56" t="s">
        <v>3922</v>
      </c>
      <c r="F918" s="26" t="s">
        <v>3923</v>
      </c>
      <c r="G918" s="26" t="s">
        <v>16</v>
      </c>
      <c r="H918" s="26" t="s">
        <v>13</v>
      </c>
      <c r="I918" s="26" t="s">
        <v>3924</v>
      </c>
      <c r="J918" s="26" t="s">
        <v>5466</v>
      </c>
      <c r="K918" s="26" t="s">
        <v>4010</v>
      </c>
      <c r="L918" s="26" t="s">
        <v>4277</v>
      </c>
      <c r="M918" s="55" t="s">
        <v>5471</v>
      </c>
      <c r="N918" s="26" t="s">
        <v>3924</v>
      </c>
    </row>
    <row r="919" spans="1:14" ht="75" customHeight="1" thickTop="1" thickBot="1">
      <c r="A919" s="26">
        <v>917</v>
      </c>
      <c r="B919" s="34">
        <v>970</v>
      </c>
      <c r="C919" s="55" t="s">
        <v>5472</v>
      </c>
      <c r="D919" s="56" t="s">
        <v>394</v>
      </c>
      <c r="E919" s="56" t="s">
        <v>3922</v>
      </c>
      <c r="F919" s="26" t="s">
        <v>3923</v>
      </c>
      <c r="G919" s="26" t="s">
        <v>16</v>
      </c>
      <c r="H919" s="26" t="s">
        <v>13</v>
      </c>
      <c r="I919" s="26" t="s">
        <v>3924</v>
      </c>
      <c r="J919" s="26" t="s">
        <v>5473</v>
      </c>
      <c r="K919" s="26" t="s">
        <v>4010</v>
      </c>
      <c r="L919" s="26" t="s">
        <v>4277</v>
      </c>
      <c r="M919" s="55" t="s">
        <v>5474</v>
      </c>
      <c r="N919" s="26" t="s">
        <v>3924</v>
      </c>
    </row>
    <row r="920" spans="1:14" ht="75" customHeight="1" thickTop="1" thickBot="1">
      <c r="A920" s="34">
        <v>918</v>
      </c>
      <c r="B920" s="26">
        <v>971</v>
      </c>
      <c r="C920" s="55" t="s">
        <v>5472</v>
      </c>
      <c r="D920" s="56" t="s">
        <v>394</v>
      </c>
      <c r="E920" s="56" t="s">
        <v>3922</v>
      </c>
      <c r="F920" s="26" t="s">
        <v>3923</v>
      </c>
      <c r="G920" s="26" t="s">
        <v>16</v>
      </c>
      <c r="H920" s="26" t="s">
        <v>13</v>
      </c>
      <c r="I920" s="26" t="s">
        <v>3924</v>
      </c>
      <c r="J920" s="26" t="s">
        <v>5473</v>
      </c>
      <c r="K920" s="26" t="s">
        <v>4010</v>
      </c>
      <c r="L920" s="26" t="s">
        <v>4277</v>
      </c>
      <c r="M920" s="55" t="s">
        <v>5475</v>
      </c>
      <c r="N920" s="26" t="s">
        <v>3924</v>
      </c>
    </row>
    <row r="921" spans="1:14" ht="75" customHeight="1" thickTop="1" thickBot="1">
      <c r="A921" s="34">
        <v>919</v>
      </c>
      <c r="B921" s="34">
        <v>972</v>
      </c>
      <c r="C921" s="55" t="s">
        <v>5476</v>
      </c>
      <c r="D921" s="56" t="s">
        <v>394</v>
      </c>
      <c r="E921" s="56" t="s">
        <v>3922</v>
      </c>
      <c r="F921" s="26" t="s">
        <v>3923</v>
      </c>
      <c r="G921" s="26" t="s">
        <v>16</v>
      </c>
      <c r="H921" s="26" t="s">
        <v>13</v>
      </c>
      <c r="I921" s="26" t="s">
        <v>3924</v>
      </c>
      <c r="J921" s="26" t="s">
        <v>5473</v>
      </c>
      <c r="K921" s="26" t="s">
        <v>4010</v>
      </c>
      <c r="L921" s="26" t="s">
        <v>4277</v>
      </c>
      <c r="M921" s="55" t="s">
        <v>5477</v>
      </c>
      <c r="N921" s="26" t="s">
        <v>3924</v>
      </c>
    </row>
    <row r="922" spans="1:14" ht="75" customHeight="1" thickTop="1" thickBot="1">
      <c r="A922" s="26">
        <v>920</v>
      </c>
      <c r="B922" s="26">
        <v>973</v>
      </c>
      <c r="C922" s="55" t="s">
        <v>5478</v>
      </c>
      <c r="D922" s="56" t="s">
        <v>394</v>
      </c>
      <c r="E922" s="56" t="s">
        <v>3922</v>
      </c>
      <c r="F922" s="26" t="s">
        <v>3923</v>
      </c>
      <c r="G922" s="26" t="s">
        <v>16</v>
      </c>
      <c r="H922" s="26" t="s">
        <v>13</v>
      </c>
      <c r="I922" s="26" t="s">
        <v>3924</v>
      </c>
      <c r="J922" s="26" t="s">
        <v>5479</v>
      </c>
      <c r="K922" s="26" t="s">
        <v>4010</v>
      </c>
      <c r="L922" s="26" t="s">
        <v>4277</v>
      </c>
      <c r="M922" s="55" t="s">
        <v>5480</v>
      </c>
      <c r="N922" s="26" t="s">
        <v>3924</v>
      </c>
    </row>
    <row r="923" spans="1:14" ht="75" customHeight="1" thickTop="1" thickBot="1">
      <c r="A923" s="34">
        <v>921</v>
      </c>
      <c r="B923" s="34">
        <v>974</v>
      </c>
      <c r="C923" s="55" t="s">
        <v>5478</v>
      </c>
      <c r="D923" s="56" t="s">
        <v>394</v>
      </c>
      <c r="E923" s="56" t="s">
        <v>3922</v>
      </c>
      <c r="F923" s="26" t="s">
        <v>3923</v>
      </c>
      <c r="G923" s="26" t="s">
        <v>16</v>
      </c>
      <c r="H923" s="26" t="s">
        <v>13</v>
      </c>
      <c r="I923" s="26" t="s">
        <v>3924</v>
      </c>
      <c r="J923" s="26" t="s">
        <v>5479</v>
      </c>
      <c r="K923" s="26" t="s">
        <v>4010</v>
      </c>
      <c r="L923" s="26" t="s">
        <v>4277</v>
      </c>
      <c r="M923" s="55" t="s">
        <v>5481</v>
      </c>
      <c r="N923" s="26" t="s">
        <v>3924</v>
      </c>
    </row>
    <row r="924" spans="1:14" ht="75" customHeight="1" thickTop="1" thickBot="1">
      <c r="A924" s="34">
        <v>922</v>
      </c>
      <c r="B924" s="26">
        <v>975</v>
      </c>
      <c r="C924" s="55" t="s">
        <v>5482</v>
      </c>
      <c r="D924" s="56" t="s">
        <v>394</v>
      </c>
      <c r="E924" s="56" t="s">
        <v>3922</v>
      </c>
      <c r="F924" s="26" t="s">
        <v>3923</v>
      </c>
      <c r="G924" s="26" t="s">
        <v>16</v>
      </c>
      <c r="H924" s="26" t="s">
        <v>13</v>
      </c>
      <c r="I924" s="26" t="s">
        <v>3924</v>
      </c>
      <c r="J924" s="26" t="s">
        <v>5479</v>
      </c>
      <c r="K924" s="26" t="s">
        <v>4010</v>
      </c>
      <c r="L924" s="26" t="s">
        <v>3927</v>
      </c>
      <c r="M924" s="55" t="s">
        <v>5483</v>
      </c>
      <c r="N924" s="26" t="s">
        <v>3924</v>
      </c>
    </row>
    <row r="925" spans="1:14" ht="75" customHeight="1" thickTop="1" thickBot="1">
      <c r="A925" s="26">
        <v>923</v>
      </c>
      <c r="B925" s="34">
        <v>976</v>
      </c>
      <c r="C925" s="55" t="s">
        <v>5484</v>
      </c>
      <c r="D925" s="56" t="s">
        <v>394</v>
      </c>
      <c r="E925" s="56" t="s">
        <v>3922</v>
      </c>
      <c r="F925" s="26" t="s">
        <v>3923</v>
      </c>
      <c r="G925" s="26" t="s">
        <v>16</v>
      </c>
      <c r="H925" s="26" t="s">
        <v>13</v>
      </c>
      <c r="I925" s="26" t="s">
        <v>3924</v>
      </c>
      <c r="J925" s="26" t="s">
        <v>5485</v>
      </c>
      <c r="K925" s="26" t="s">
        <v>3929</v>
      </c>
      <c r="L925" s="26" t="s">
        <v>4239</v>
      </c>
      <c r="M925" s="55" t="s">
        <v>5486</v>
      </c>
      <c r="N925" s="26" t="s">
        <v>3924</v>
      </c>
    </row>
    <row r="926" spans="1:14" ht="75" customHeight="1" thickTop="1" thickBot="1">
      <c r="A926" s="34">
        <v>924</v>
      </c>
      <c r="B926" s="26">
        <v>977</v>
      </c>
      <c r="C926" s="55" t="s">
        <v>5484</v>
      </c>
      <c r="D926" s="56" t="s">
        <v>394</v>
      </c>
      <c r="E926" s="56" t="s">
        <v>3922</v>
      </c>
      <c r="F926" s="26" t="s">
        <v>3923</v>
      </c>
      <c r="G926" s="26" t="s">
        <v>16</v>
      </c>
      <c r="H926" s="26" t="s">
        <v>13</v>
      </c>
      <c r="I926" s="26" t="s">
        <v>3924</v>
      </c>
      <c r="J926" s="26" t="s">
        <v>5485</v>
      </c>
      <c r="K926" s="26" t="s">
        <v>3929</v>
      </c>
      <c r="L926" s="26" t="s">
        <v>3927</v>
      </c>
      <c r="M926" s="55" t="s">
        <v>5487</v>
      </c>
      <c r="N926" s="26" t="s">
        <v>3924</v>
      </c>
    </row>
    <row r="927" spans="1:14" ht="75" customHeight="1" thickTop="1" thickBot="1">
      <c r="A927" s="34">
        <v>925</v>
      </c>
      <c r="B927" s="34">
        <v>978</v>
      </c>
      <c r="C927" s="55" t="s">
        <v>5488</v>
      </c>
      <c r="D927" s="56" t="s">
        <v>394</v>
      </c>
      <c r="E927" s="56" t="s">
        <v>3922</v>
      </c>
      <c r="F927" s="26" t="s">
        <v>3923</v>
      </c>
      <c r="G927" s="26" t="s">
        <v>16</v>
      </c>
      <c r="H927" s="26" t="s">
        <v>13</v>
      </c>
      <c r="I927" s="26" t="s">
        <v>3924</v>
      </c>
      <c r="J927" s="26" t="s">
        <v>5489</v>
      </c>
      <c r="K927" s="26" t="s">
        <v>3929</v>
      </c>
      <c r="L927" s="26" t="s">
        <v>3927</v>
      </c>
      <c r="M927" s="55" t="s">
        <v>5490</v>
      </c>
      <c r="N927" s="26" t="s">
        <v>3924</v>
      </c>
    </row>
    <row r="928" spans="1:14" ht="75" customHeight="1" thickTop="1" thickBot="1">
      <c r="A928" s="26">
        <v>926</v>
      </c>
      <c r="B928" s="26">
        <v>979</v>
      </c>
      <c r="C928" s="55" t="s">
        <v>5491</v>
      </c>
      <c r="D928" s="56" t="s">
        <v>394</v>
      </c>
      <c r="E928" s="56" t="s">
        <v>3922</v>
      </c>
      <c r="F928" s="26" t="s">
        <v>3923</v>
      </c>
      <c r="G928" s="26" t="s">
        <v>16</v>
      </c>
      <c r="H928" s="26" t="s">
        <v>13</v>
      </c>
      <c r="I928" s="26" t="s">
        <v>3924</v>
      </c>
      <c r="J928" s="26" t="s">
        <v>5489</v>
      </c>
      <c r="K928" s="26" t="s">
        <v>3929</v>
      </c>
      <c r="L928" s="26" t="s">
        <v>3927</v>
      </c>
      <c r="M928" s="55" t="s">
        <v>5492</v>
      </c>
      <c r="N928" s="26" t="s">
        <v>3924</v>
      </c>
    </row>
    <row r="929" spans="1:14" ht="75" customHeight="1" thickTop="1" thickBot="1">
      <c r="A929" s="34">
        <v>927</v>
      </c>
      <c r="B929" s="34">
        <v>980</v>
      </c>
      <c r="C929" s="55" t="s">
        <v>5493</v>
      </c>
      <c r="D929" s="56" t="s">
        <v>394</v>
      </c>
      <c r="E929" s="56" t="s">
        <v>3922</v>
      </c>
      <c r="F929" s="26" t="s">
        <v>3923</v>
      </c>
      <c r="G929" s="26" t="s">
        <v>16</v>
      </c>
      <c r="H929" s="26" t="s">
        <v>13</v>
      </c>
      <c r="I929" s="26" t="s">
        <v>3924</v>
      </c>
      <c r="J929" s="26" t="s">
        <v>5494</v>
      </c>
      <c r="K929" s="26" t="s">
        <v>4010</v>
      </c>
      <c r="L929" s="26" t="s">
        <v>4306</v>
      </c>
      <c r="M929" s="55" t="s">
        <v>5495</v>
      </c>
      <c r="N929" s="26" t="s">
        <v>3924</v>
      </c>
    </row>
    <row r="930" spans="1:14" ht="75" customHeight="1" thickTop="1" thickBot="1">
      <c r="A930" s="34">
        <v>928</v>
      </c>
      <c r="B930" s="26">
        <v>981</v>
      </c>
      <c r="C930" s="55" t="s">
        <v>5493</v>
      </c>
      <c r="D930" s="56" t="s">
        <v>394</v>
      </c>
      <c r="E930" s="56" t="s">
        <v>3922</v>
      </c>
      <c r="F930" s="26" t="s">
        <v>3923</v>
      </c>
      <c r="G930" s="26" t="s">
        <v>16</v>
      </c>
      <c r="H930" s="26" t="s">
        <v>13</v>
      </c>
      <c r="I930" s="26" t="s">
        <v>3924</v>
      </c>
      <c r="J930" s="26" t="s">
        <v>5496</v>
      </c>
      <c r="K930" s="26" t="s">
        <v>4010</v>
      </c>
      <c r="L930" s="26" t="s">
        <v>4284</v>
      </c>
      <c r="M930" s="55" t="s">
        <v>5497</v>
      </c>
      <c r="N930" s="26" t="s">
        <v>3924</v>
      </c>
    </row>
    <row r="931" spans="1:14" ht="75" customHeight="1" thickTop="1" thickBot="1">
      <c r="A931" s="26">
        <v>929</v>
      </c>
      <c r="B931" s="34">
        <v>982</v>
      </c>
      <c r="C931" s="55" t="s">
        <v>5498</v>
      </c>
      <c r="D931" s="56" t="s">
        <v>394</v>
      </c>
      <c r="E931" s="56" t="s">
        <v>3922</v>
      </c>
      <c r="F931" s="26" t="s">
        <v>3923</v>
      </c>
      <c r="G931" s="26" t="s">
        <v>16</v>
      </c>
      <c r="H931" s="26" t="s">
        <v>13</v>
      </c>
      <c r="I931" s="26" t="s">
        <v>3924</v>
      </c>
      <c r="J931" s="26" t="s">
        <v>5499</v>
      </c>
      <c r="K931" s="26" t="s">
        <v>3966</v>
      </c>
      <c r="L931" s="26" t="s">
        <v>3927</v>
      </c>
      <c r="M931" s="55" t="s">
        <v>5428</v>
      </c>
      <c r="N931" s="26" t="s">
        <v>3924</v>
      </c>
    </row>
    <row r="932" spans="1:14" ht="75" customHeight="1" thickTop="1" thickBot="1">
      <c r="A932" s="34">
        <v>930</v>
      </c>
      <c r="B932" s="26">
        <v>983</v>
      </c>
      <c r="C932" s="55" t="s">
        <v>5498</v>
      </c>
      <c r="D932" s="56" t="s">
        <v>394</v>
      </c>
      <c r="E932" s="56" t="s">
        <v>3922</v>
      </c>
      <c r="F932" s="26" t="s">
        <v>3923</v>
      </c>
      <c r="G932" s="26" t="s">
        <v>16</v>
      </c>
      <c r="H932" s="26" t="s">
        <v>13</v>
      </c>
      <c r="I932" s="26" t="s">
        <v>3924</v>
      </c>
      <c r="J932" s="26" t="s">
        <v>5500</v>
      </c>
      <c r="K932" s="26" t="s">
        <v>3966</v>
      </c>
      <c r="L932" s="26" t="s">
        <v>3986</v>
      </c>
      <c r="M932" s="55" t="s">
        <v>5501</v>
      </c>
      <c r="N932" s="26" t="s">
        <v>3924</v>
      </c>
    </row>
    <row r="933" spans="1:14" ht="75" customHeight="1" thickTop="1" thickBot="1">
      <c r="A933" s="34">
        <v>931</v>
      </c>
      <c r="B933" s="34">
        <v>984</v>
      </c>
      <c r="C933" s="55" t="s">
        <v>5502</v>
      </c>
      <c r="D933" s="56" t="s">
        <v>394</v>
      </c>
      <c r="E933" s="56" t="s">
        <v>3922</v>
      </c>
      <c r="F933" s="26" t="s">
        <v>3923</v>
      </c>
      <c r="G933" s="26" t="s">
        <v>16</v>
      </c>
      <c r="H933" s="26" t="s">
        <v>13</v>
      </c>
      <c r="I933" s="26" t="s">
        <v>3924</v>
      </c>
      <c r="J933" s="26" t="s">
        <v>5503</v>
      </c>
      <c r="K933" s="26" t="s">
        <v>3966</v>
      </c>
      <c r="L933" s="26" t="s">
        <v>3927</v>
      </c>
      <c r="M933" s="55" t="s">
        <v>5504</v>
      </c>
      <c r="N933" s="26" t="s">
        <v>3924</v>
      </c>
    </row>
    <row r="934" spans="1:14" ht="75" customHeight="1" thickTop="1" thickBot="1">
      <c r="A934" s="26">
        <v>932</v>
      </c>
      <c r="B934" s="26">
        <v>985</v>
      </c>
      <c r="C934" s="55" t="s">
        <v>5505</v>
      </c>
      <c r="D934" s="56" t="s">
        <v>394</v>
      </c>
      <c r="E934" s="56" t="s">
        <v>3922</v>
      </c>
      <c r="F934" s="26" t="s">
        <v>3923</v>
      </c>
      <c r="G934" s="26" t="s">
        <v>16</v>
      </c>
      <c r="H934" s="26" t="s">
        <v>13</v>
      </c>
      <c r="I934" s="26" t="s">
        <v>3924</v>
      </c>
      <c r="J934" s="26" t="s">
        <v>5503</v>
      </c>
      <c r="K934" s="26" t="s">
        <v>5506</v>
      </c>
      <c r="L934" s="26" t="s">
        <v>3927</v>
      </c>
      <c r="M934" s="55" t="s">
        <v>821</v>
      </c>
      <c r="N934" s="26" t="s">
        <v>3924</v>
      </c>
    </row>
    <row r="935" spans="1:14" ht="75" customHeight="1" thickTop="1" thickBot="1">
      <c r="A935" s="34">
        <v>933</v>
      </c>
      <c r="B935" s="34">
        <v>986</v>
      </c>
      <c r="C935" s="55" t="s">
        <v>5507</v>
      </c>
      <c r="D935" s="56" t="s">
        <v>394</v>
      </c>
      <c r="E935" s="56" t="s">
        <v>3922</v>
      </c>
      <c r="F935" s="26" t="s">
        <v>3923</v>
      </c>
      <c r="G935" s="26" t="s">
        <v>16</v>
      </c>
      <c r="H935" s="26" t="s">
        <v>13</v>
      </c>
      <c r="I935" s="26" t="s">
        <v>3924</v>
      </c>
      <c r="J935" s="26" t="s">
        <v>5503</v>
      </c>
      <c r="K935" s="26" t="s">
        <v>3966</v>
      </c>
      <c r="L935" s="26" t="s">
        <v>3986</v>
      </c>
      <c r="M935" s="55" t="s">
        <v>5508</v>
      </c>
      <c r="N935" s="26" t="s">
        <v>3924</v>
      </c>
    </row>
    <row r="936" spans="1:14" ht="75" customHeight="1" thickTop="1" thickBot="1">
      <c r="A936" s="34">
        <v>934</v>
      </c>
      <c r="B936" s="26">
        <v>987</v>
      </c>
      <c r="C936" s="55" t="s">
        <v>5509</v>
      </c>
      <c r="D936" s="56" t="s">
        <v>394</v>
      </c>
      <c r="E936" s="56" t="s">
        <v>3922</v>
      </c>
      <c r="F936" s="26" t="s">
        <v>3923</v>
      </c>
      <c r="G936" s="26" t="s">
        <v>16</v>
      </c>
      <c r="H936" s="26" t="s">
        <v>13</v>
      </c>
      <c r="I936" s="26" t="s">
        <v>3924</v>
      </c>
      <c r="J936" s="26" t="s">
        <v>5510</v>
      </c>
      <c r="K936" s="26" t="s">
        <v>3966</v>
      </c>
      <c r="L936" s="26" t="s">
        <v>3963</v>
      </c>
      <c r="M936" s="55" t="s">
        <v>5511</v>
      </c>
      <c r="N936" s="26" t="s">
        <v>3924</v>
      </c>
    </row>
    <row r="937" spans="1:14" ht="75" customHeight="1" thickTop="1" thickBot="1">
      <c r="A937" s="26">
        <v>935</v>
      </c>
      <c r="B937" s="34">
        <v>988</v>
      </c>
      <c r="C937" s="55" t="s">
        <v>5509</v>
      </c>
      <c r="D937" s="56" t="s">
        <v>394</v>
      </c>
      <c r="E937" s="56" t="s">
        <v>3922</v>
      </c>
      <c r="F937" s="26" t="s">
        <v>3923</v>
      </c>
      <c r="G937" s="26" t="s">
        <v>16</v>
      </c>
      <c r="H937" s="26" t="s">
        <v>13</v>
      </c>
      <c r="I937" s="26" t="s">
        <v>3924</v>
      </c>
      <c r="J937" s="26" t="s">
        <v>5512</v>
      </c>
      <c r="K937" s="26" t="s">
        <v>4387</v>
      </c>
      <c r="L937" s="26" t="s">
        <v>3927</v>
      </c>
      <c r="M937" s="55" t="s">
        <v>5513</v>
      </c>
      <c r="N937" s="26" t="s">
        <v>3924</v>
      </c>
    </row>
    <row r="938" spans="1:14" ht="75" customHeight="1" thickTop="1" thickBot="1">
      <c r="A938" s="34">
        <v>936</v>
      </c>
      <c r="B938" s="26">
        <v>989</v>
      </c>
      <c r="C938" s="55" t="s">
        <v>5514</v>
      </c>
      <c r="D938" s="56" t="s">
        <v>394</v>
      </c>
      <c r="E938" s="56" t="s">
        <v>3922</v>
      </c>
      <c r="F938" s="26" t="s">
        <v>3923</v>
      </c>
      <c r="G938" s="26" t="s">
        <v>16</v>
      </c>
      <c r="H938" s="26" t="s">
        <v>13</v>
      </c>
      <c r="I938" s="26" t="s">
        <v>3924</v>
      </c>
      <c r="J938" s="26" t="s">
        <v>5510</v>
      </c>
      <c r="K938" s="26" t="s">
        <v>3966</v>
      </c>
      <c r="L938" s="26" t="s">
        <v>3927</v>
      </c>
      <c r="M938" s="55" t="s">
        <v>5515</v>
      </c>
      <c r="N938" s="26" t="s">
        <v>3924</v>
      </c>
    </row>
    <row r="939" spans="1:14" ht="75" customHeight="1" thickTop="1" thickBot="1">
      <c r="A939" s="34">
        <v>937</v>
      </c>
      <c r="B939" s="34">
        <v>990</v>
      </c>
      <c r="C939" s="55" t="s">
        <v>5516</v>
      </c>
      <c r="D939" s="56" t="s">
        <v>394</v>
      </c>
      <c r="E939" s="56" t="s">
        <v>3922</v>
      </c>
      <c r="F939" s="26" t="s">
        <v>3923</v>
      </c>
      <c r="G939" s="26" t="s">
        <v>16</v>
      </c>
      <c r="H939" s="26" t="s">
        <v>13</v>
      </c>
      <c r="I939" s="26" t="s">
        <v>3924</v>
      </c>
      <c r="J939" s="26" t="s">
        <v>5510</v>
      </c>
      <c r="K939" s="26" t="s">
        <v>3966</v>
      </c>
      <c r="L939" s="26" t="s">
        <v>3963</v>
      </c>
      <c r="M939" s="55" t="s">
        <v>5517</v>
      </c>
      <c r="N939" s="26" t="s">
        <v>3924</v>
      </c>
    </row>
    <row r="940" spans="1:14" ht="75" customHeight="1" thickTop="1" thickBot="1">
      <c r="A940" s="26">
        <v>938</v>
      </c>
      <c r="B940" s="26">
        <v>991</v>
      </c>
      <c r="C940" s="55" t="s">
        <v>5516</v>
      </c>
      <c r="D940" s="56" t="s">
        <v>394</v>
      </c>
      <c r="E940" s="56" t="s">
        <v>3922</v>
      </c>
      <c r="F940" s="26" t="s">
        <v>3923</v>
      </c>
      <c r="G940" s="26" t="s">
        <v>16</v>
      </c>
      <c r="H940" s="26" t="s">
        <v>13</v>
      </c>
      <c r="I940" s="26" t="s">
        <v>3924</v>
      </c>
      <c r="J940" s="26" t="s">
        <v>5510</v>
      </c>
      <c r="K940" s="26" t="s">
        <v>3966</v>
      </c>
      <c r="L940" s="26" t="s">
        <v>3963</v>
      </c>
      <c r="M940" s="55" t="s">
        <v>5518</v>
      </c>
      <c r="N940" s="26" t="s">
        <v>3924</v>
      </c>
    </row>
    <row r="941" spans="1:14" ht="75" customHeight="1" thickTop="1" thickBot="1">
      <c r="A941" s="34">
        <v>939</v>
      </c>
      <c r="B941" s="34">
        <v>992</v>
      </c>
      <c r="C941" s="55" t="s">
        <v>5519</v>
      </c>
      <c r="D941" s="56" t="s">
        <v>394</v>
      </c>
      <c r="E941" s="56" t="s">
        <v>3922</v>
      </c>
      <c r="F941" s="26" t="s">
        <v>3923</v>
      </c>
      <c r="G941" s="26" t="s">
        <v>16</v>
      </c>
      <c r="H941" s="26" t="s">
        <v>13</v>
      </c>
      <c r="I941" s="26" t="s">
        <v>3924</v>
      </c>
      <c r="J941" s="26" t="s">
        <v>5512</v>
      </c>
      <c r="K941" s="26" t="s">
        <v>3966</v>
      </c>
      <c r="L941" s="26" t="s">
        <v>3963</v>
      </c>
      <c r="M941" s="55" t="s">
        <v>5520</v>
      </c>
      <c r="N941" s="26" t="s">
        <v>3924</v>
      </c>
    </row>
    <row r="942" spans="1:14" ht="75" customHeight="1" thickTop="1" thickBot="1">
      <c r="A942" s="34">
        <v>940</v>
      </c>
      <c r="B942" s="26">
        <v>993</v>
      </c>
      <c r="C942" s="55" t="s">
        <v>5521</v>
      </c>
      <c r="D942" s="56" t="s">
        <v>394</v>
      </c>
      <c r="E942" s="56" t="s">
        <v>3922</v>
      </c>
      <c r="F942" s="26" t="s">
        <v>3923</v>
      </c>
      <c r="G942" s="26" t="s">
        <v>16</v>
      </c>
      <c r="H942" s="26" t="s">
        <v>13</v>
      </c>
      <c r="I942" s="26" t="s">
        <v>3924</v>
      </c>
      <c r="J942" s="26" t="s">
        <v>5512</v>
      </c>
      <c r="K942" s="26" t="s">
        <v>3966</v>
      </c>
      <c r="L942" s="26" t="s">
        <v>3963</v>
      </c>
      <c r="M942" s="55" t="s">
        <v>5522</v>
      </c>
      <c r="N942" s="26" t="s">
        <v>3924</v>
      </c>
    </row>
    <row r="943" spans="1:14" ht="75" customHeight="1" thickTop="1" thickBot="1">
      <c r="A943" s="26">
        <v>941</v>
      </c>
      <c r="B943" s="34">
        <v>994</v>
      </c>
      <c r="C943" s="55" t="s">
        <v>5521</v>
      </c>
      <c r="D943" s="56" t="s">
        <v>394</v>
      </c>
      <c r="E943" s="56" t="s">
        <v>3922</v>
      </c>
      <c r="F943" s="26" t="s">
        <v>3923</v>
      </c>
      <c r="G943" s="26" t="s">
        <v>16</v>
      </c>
      <c r="H943" s="26" t="s">
        <v>13</v>
      </c>
      <c r="I943" s="26" t="s">
        <v>3924</v>
      </c>
      <c r="J943" s="26" t="s">
        <v>5523</v>
      </c>
      <c r="K943" s="26" t="s">
        <v>3966</v>
      </c>
      <c r="L943" s="26" t="s">
        <v>3986</v>
      </c>
      <c r="M943" s="55" t="s">
        <v>821</v>
      </c>
      <c r="N943" s="26" t="s">
        <v>3924</v>
      </c>
    </row>
    <row r="944" spans="1:14" ht="75" customHeight="1" thickTop="1" thickBot="1">
      <c r="A944" s="34">
        <v>942</v>
      </c>
      <c r="B944" s="26">
        <v>995</v>
      </c>
      <c r="C944" s="55" t="s">
        <v>5521</v>
      </c>
      <c r="D944" s="56" t="s">
        <v>394</v>
      </c>
      <c r="E944" s="56" t="s">
        <v>3922</v>
      </c>
      <c r="F944" s="26" t="s">
        <v>3923</v>
      </c>
      <c r="G944" s="26" t="s">
        <v>16</v>
      </c>
      <c r="H944" s="26" t="s">
        <v>13</v>
      </c>
      <c r="I944" s="26" t="s">
        <v>3924</v>
      </c>
      <c r="J944" s="26" t="s">
        <v>5524</v>
      </c>
      <c r="K944" s="26" t="s">
        <v>3966</v>
      </c>
      <c r="L944" s="26" t="s">
        <v>3927</v>
      </c>
      <c r="M944" s="55" t="s">
        <v>638</v>
      </c>
      <c r="N944" s="26" t="s">
        <v>3924</v>
      </c>
    </row>
    <row r="945" spans="1:14" ht="75" customHeight="1" thickTop="1" thickBot="1">
      <c r="A945" s="34">
        <v>943</v>
      </c>
      <c r="B945" s="34">
        <v>996</v>
      </c>
      <c r="C945" s="55" t="s">
        <v>5525</v>
      </c>
      <c r="D945" s="56" t="s">
        <v>394</v>
      </c>
      <c r="E945" s="56" t="s">
        <v>3922</v>
      </c>
      <c r="F945" s="26" t="s">
        <v>3923</v>
      </c>
      <c r="G945" s="26" t="s">
        <v>16</v>
      </c>
      <c r="H945" s="26" t="s">
        <v>13</v>
      </c>
      <c r="I945" s="26" t="s">
        <v>3924</v>
      </c>
      <c r="J945" s="26" t="s">
        <v>5524</v>
      </c>
      <c r="K945" s="26" t="s">
        <v>3966</v>
      </c>
      <c r="L945" s="26" t="s">
        <v>3963</v>
      </c>
      <c r="M945" s="55" t="s">
        <v>821</v>
      </c>
      <c r="N945" s="26" t="s">
        <v>3924</v>
      </c>
    </row>
    <row r="946" spans="1:14" ht="75" customHeight="1" thickTop="1" thickBot="1">
      <c r="A946" s="26">
        <v>944</v>
      </c>
      <c r="B946" s="26">
        <v>997</v>
      </c>
      <c r="C946" s="55" t="s">
        <v>5526</v>
      </c>
      <c r="D946" s="56" t="s">
        <v>394</v>
      </c>
      <c r="E946" s="56" t="s">
        <v>3922</v>
      </c>
      <c r="F946" s="26" t="s">
        <v>3923</v>
      </c>
      <c r="G946" s="26" t="s">
        <v>16</v>
      </c>
      <c r="H946" s="26" t="s">
        <v>13</v>
      </c>
      <c r="I946" s="26" t="s">
        <v>3924</v>
      </c>
      <c r="J946" s="26" t="s">
        <v>5527</v>
      </c>
      <c r="K946" s="26" t="s">
        <v>3966</v>
      </c>
      <c r="L946" s="26" t="s">
        <v>3986</v>
      </c>
      <c r="M946" s="55" t="s">
        <v>5528</v>
      </c>
      <c r="N946" s="26" t="s">
        <v>3924</v>
      </c>
    </row>
    <row r="947" spans="1:14" ht="75" customHeight="1" thickTop="1" thickBot="1">
      <c r="A947" s="34">
        <v>945</v>
      </c>
      <c r="B947" s="34">
        <v>998</v>
      </c>
      <c r="C947" s="55" t="s">
        <v>5526</v>
      </c>
      <c r="D947" s="56" t="s">
        <v>394</v>
      </c>
      <c r="E947" s="56" t="s">
        <v>3922</v>
      </c>
      <c r="F947" s="26" t="s">
        <v>3923</v>
      </c>
      <c r="G947" s="26" t="s">
        <v>16</v>
      </c>
      <c r="H947" s="26" t="s">
        <v>13</v>
      </c>
      <c r="I947" s="26" t="s">
        <v>3924</v>
      </c>
      <c r="J947" s="26" t="s">
        <v>5500</v>
      </c>
      <c r="K947" s="26" t="s">
        <v>3966</v>
      </c>
      <c r="L947" s="26" t="s">
        <v>3963</v>
      </c>
      <c r="M947" s="55" t="s">
        <v>5529</v>
      </c>
      <c r="N947" s="26" t="s">
        <v>3924</v>
      </c>
    </row>
    <row r="948" spans="1:14" ht="75" customHeight="1" thickTop="1" thickBot="1">
      <c r="A948" s="34">
        <v>946</v>
      </c>
      <c r="B948" s="26">
        <v>999</v>
      </c>
      <c r="C948" s="55" t="s">
        <v>5530</v>
      </c>
      <c r="D948" s="56" t="s">
        <v>394</v>
      </c>
      <c r="E948" s="56" t="s">
        <v>3922</v>
      </c>
      <c r="F948" s="26" t="s">
        <v>3923</v>
      </c>
      <c r="G948" s="26" t="s">
        <v>16</v>
      </c>
      <c r="H948" s="26" t="s">
        <v>13</v>
      </c>
      <c r="I948" s="26" t="s">
        <v>3924</v>
      </c>
      <c r="J948" s="26" t="s">
        <v>5512</v>
      </c>
      <c r="K948" s="26" t="s">
        <v>3966</v>
      </c>
      <c r="L948" s="26" t="s">
        <v>3986</v>
      </c>
      <c r="M948" s="55" t="s">
        <v>5531</v>
      </c>
      <c r="N948" s="26" t="s">
        <v>3924</v>
      </c>
    </row>
    <row r="949" spans="1:14" ht="75" customHeight="1" thickTop="1" thickBot="1">
      <c r="A949" s="26">
        <v>947</v>
      </c>
      <c r="B949" s="34">
        <v>1000</v>
      </c>
      <c r="C949" s="55" t="s">
        <v>5530</v>
      </c>
      <c r="D949" s="56" t="s">
        <v>394</v>
      </c>
      <c r="E949" s="56" t="s">
        <v>3922</v>
      </c>
      <c r="F949" s="26" t="s">
        <v>3923</v>
      </c>
      <c r="G949" s="26" t="s">
        <v>16</v>
      </c>
      <c r="H949" s="26" t="s">
        <v>13</v>
      </c>
      <c r="I949" s="26" t="s">
        <v>3924</v>
      </c>
      <c r="J949" s="26" t="s">
        <v>5512</v>
      </c>
      <c r="K949" s="26" t="s">
        <v>3966</v>
      </c>
      <c r="L949" s="26" t="s">
        <v>3963</v>
      </c>
      <c r="M949" s="55" t="s">
        <v>5532</v>
      </c>
      <c r="N949" s="26" t="s">
        <v>3924</v>
      </c>
    </row>
    <row r="950" spans="1:14" ht="75" customHeight="1" thickTop="1" thickBot="1">
      <c r="A950" s="34">
        <v>948</v>
      </c>
      <c r="B950" s="26">
        <v>1001</v>
      </c>
      <c r="C950" s="55" t="s">
        <v>5533</v>
      </c>
      <c r="D950" s="56" t="s">
        <v>394</v>
      </c>
      <c r="E950" s="56" t="s">
        <v>3922</v>
      </c>
      <c r="F950" s="26" t="s">
        <v>3923</v>
      </c>
      <c r="G950" s="26" t="s">
        <v>16</v>
      </c>
      <c r="H950" s="26" t="s">
        <v>13</v>
      </c>
      <c r="I950" s="26" t="s">
        <v>3924</v>
      </c>
      <c r="J950" s="26" t="s">
        <v>5534</v>
      </c>
      <c r="K950" s="26" t="s">
        <v>3966</v>
      </c>
      <c r="L950" s="26" t="s">
        <v>3986</v>
      </c>
      <c r="M950" s="55" t="s">
        <v>5535</v>
      </c>
      <c r="N950" s="26" t="s">
        <v>3924</v>
      </c>
    </row>
    <row r="951" spans="1:14" ht="75" customHeight="1" thickTop="1" thickBot="1">
      <c r="A951" s="34">
        <v>949</v>
      </c>
      <c r="B951" s="34">
        <v>1002</v>
      </c>
      <c r="C951" s="55" t="s">
        <v>5536</v>
      </c>
      <c r="D951" s="56" t="s">
        <v>394</v>
      </c>
      <c r="E951" s="56" t="s">
        <v>3922</v>
      </c>
      <c r="F951" s="26" t="s">
        <v>3923</v>
      </c>
      <c r="G951" s="26" t="s">
        <v>16</v>
      </c>
      <c r="H951" s="26" t="s">
        <v>13</v>
      </c>
      <c r="I951" s="26" t="s">
        <v>3924</v>
      </c>
      <c r="J951" s="26" t="s">
        <v>5534</v>
      </c>
      <c r="K951" s="26" t="s">
        <v>3966</v>
      </c>
      <c r="L951" s="26" t="s">
        <v>3986</v>
      </c>
      <c r="M951" s="55" t="s">
        <v>5537</v>
      </c>
      <c r="N951" s="26" t="s">
        <v>3924</v>
      </c>
    </row>
    <row r="952" spans="1:14" ht="75" customHeight="1" thickTop="1" thickBot="1">
      <c r="A952" s="26">
        <v>950</v>
      </c>
      <c r="B952" s="26">
        <v>1003</v>
      </c>
      <c r="C952" s="55" t="s">
        <v>5536</v>
      </c>
      <c r="D952" s="56" t="s">
        <v>394</v>
      </c>
      <c r="E952" s="56" t="s">
        <v>3922</v>
      </c>
      <c r="F952" s="26" t="s">
        <v>3923</v>
      </c>
      <c r="G952" s="26" t="s">
        <v>16</v>
      </c>
      <c r="H952" s="26" t="s">
        <v>13</v>
      </c>
      <c r="I952" s="26" t="s">
        <v>3924</v>
      </c>
      <c r="J952" s="26" t="s">
        <v>5538</v>
      </c>
      <c r="K952" s="26" t="s">
        <v>5539</v>
      </c>
      <c r="L952" s="26" t="s">
        <v>3927</v>
      </c>
      <c r="M952" s="55" t="s">
        <v>821</v>
      </c>
      <c r="N952" s="26" t="s">
        <v>3924</v>
      </c>
    </row>
    <row r="953" spans="1:14" ht="75" customHeight="1" thickTop="1" thickBot="1">
      <c r="A953" s="34">
        <v>951</v>
      </c>
      <c r="B953" s="34">
        <v>1004</v>
      </c>
      <c r="C953" s="55" t="s">
        <v>5536</v>
      </c>
      <c r="D953" s="56" t="s">
        <v>394</v>
      </c>
      <c r="E953" s="56" t="s">
        <v>3922</v>
      </c>
      <c r="F953" s="26" t="s">
        <v>3923</v>
      </c>
      <c r="G953" s="26" t="s">
        <v>16</v>
      </c>
      <c r="H953" s="26" t="s">
        <v>13</v>
      </c>
      <c r="I953" s="26" t="s">
        <v>3924</v>
      </c>
      <c r="J953" s="26" t="s">
        <v>5538</v>
      </c>
      <c r="K953" s="26" t="s">
        <v>3966</v>
      </c>
      <c r="L953" s="26" t="s">
        <v>3927</v>
      </c>
      <c r="M953" s="55" t="s">
        <v>5532</v>
      </c>
      <c r="N953" s="26" t="s">
        <v>3924</v>
      </c>
    </row>
    <row r="954" spans="1:14" ht="75" customHeight="1" thickTop="1" thickBot="1">
      <c r="A954" s="34">
        <v>952</v>
      </c>
      <c r="B954" s="26">
        <v>1005</v>
      </c>
      <c r="C954" s="55" t="s">
        <v>5540</v>
      </c>
      <c r="D954" s="56" t="s">
        <v>394</v>
      </c>
      <c r="E954" s="56" t="s">
        <v>3922</v>
      </c>
      <c r="F954" s="26" t="s">
        <v>3923</v>
      </c>
      <c r="G954" s="26" t="s">
        <v>16</v>
      </c>
      <c r="H954" s="26" t="s">
        <v>13</v>
      </c>
      <c r="I954" s="26" t="s">
        <v>3924</v>
      </c>
      <c r="J954" s="26" t="s">
        <v>5538</v>
      </c>
      <c r="K954" s="26" t="s">
        <v>3966</v>
      </c>
      <c r="L954" s="26" t="s">
        <v>3927</v>
      </c>
      <c r="M954" s="55" t="s">
        <v>5541</v>
      </c>
      <c r="N954" s="26" t="s">
        <v>3924</v>
      </c>
    </row>
    <row r="955" spans="1:14" ht="75" customHeight="1" thickTop="1" thickBot="1">
      <c r="A955" s="26">
        <v>953</v>
      </c>
      <c r="B955" s="34">
        <v>1006</v>
      </c>
      <c r="C955" s="55" t="s">
        <v>5542</v>
      </c>
      <c r="D955" s="56" t="s">
        <v>394</v>
      </c>
      <c r="E955" s="56" t="s">
        <v>3922</v>
      </c>
      <c r="F955" s="26" t="s">
        <v>3923</v>
      </c>
      <c r="G955" s="26" t="s">
        <v>16</v>
      </c>
      <c r="H955" s="26" t="s">
        <v>13</v>
      </c>
      <c r="I955" s="26" t="s">
        <v>3924</v>
      </c>
      <c r="J955" s="26" t="s">
        <v>5538</v>
      </c>
      <c r="K955" s="26" t="s">
        <v>3966</v>
      </c>
      <c r="L955" s="26" t="s">
        <v>3927</v>
      </c>
      <c r="M955" s="55" t="s">
        <v>5543</v>
      </c>
      <c r="N955" s="26" t="s">
        <v>3924</v>
      </c>
    </row>
    <row r="956" spans="1:14" ht="75" customHeight="1" thickTop="1" thickBot="1">
      <c r="A956" s="34">
        <v>954</v>
      </c>
      <c r="B956" s="26">
        <v>1007</v>
      </c>
      <c r="C956" s="55" t="s">
        <v>5542</v>
      </c>
      <c r="D956" s="56" t="s">
        <v>394</v>
      </c>
      <c r="E956" s="56" t="s">
        <v>3922</v>
      </c>
      <c r="F956" s="26" t="s">
        <v>3923</v>
      </c>
      <c r="G956" s="26" t="s">
        <v>16</v>
      </c>
      <c r="H956" s="26" t="s">
        <v>13</v>
      </c>
      <c r="I956" s="26" t="s">
        <v>3924</v>
      </c>
      <c r="J956" s="26" t="s">
        <v>5544</v>
      </c>
      <c r="K956" s="26" t="s">
        <v>3966</v>
      </c>
      <c r="L956" s="26" t="s">
        <v>3927</v>
      </c>
      <c r="M956" s="55" t="s">
        <v>821</v>
      </c>
      <c r="N956" s="26" t="s">
        <v>3924</v>
      </c>
    </row>
    <row r="957" spans="1:14" ht="75" customHeight="1" thickTop="1" thickBot="1">
      <c r="A957" s="34">
        <v>955</v>
      </c>
      <c r="B957" s="34">
        <v>1008</v>
      </c>
      <c r="C957" s="55" t="s">
        <v>5545</v>
      </c>
      <c r="D957" s="56" t="s">
        <v>394</v>
      </c>
      <c r="E957" s="56" t="s">
        <v>3922</v>
      </c>
      <c r="F957" s="26" t="s">
        <v>3923</v>
      </c>
      <c r="G957" s="26" t="s">
        <v>16</v>
      </c>
      <c r="H957" s="26" t="s">
        <v>13</v>
      </c>
      <c r="I957" s="26" t="s">
        <v>3924</v>
      </c>
      <c r="J957" s="26" t="s">
        <v>5544</v>
      </c>
      <c r="K957" s="26" t="s">
        <v>4010</v>
      </c>
      <c r="L957" s="26" t="s">
        <v>3927</v>
      </c>
      <c r="M957" s="55" t="s">
        <v>5546</v>
      </c>
      <c r="N957" s="26" t="s">
        <v>3924</v>
      </c>
    </row>
    <row r="958" spans="1:14" ht="75" customHeight="1" thickTop="1" thickBot="1">
      <c r="A958" s="26">
        <v>956</v>
      </c>
      <c r="B958" s="26">
        <v>1009</v>
      </c>
      <c r="C958" s="55" t="s">
        <v>5547</v>
      </c>
      <c r="D958" s="56" t="s">
        <v>394</v>
      </c>
      <c r="E958" s="56" t="s">
        <v>3922</v>
      </c>
      <c r="F958" s="26" t="s">
        <v>3923</v>
      </c>
      <c r="G958" s="26" t="s">
        <v>16</v>
      </c>
      <c r="H958" s="26" t="s">
        <v>13</v>
      </c>
      <c r="I958" s="26" t="s">
        <v>3924</v>
      </c>
      <c r="J958" s="26" t="s">
        <v>5544</v>
      </c>
      <c r="K958" s="26" t="s">
        <v>4010</v>
      </c>
      <c r="L958" s="26" t="s">
        <v>3963</v>
      </c>
      <c r="M958" s="55" t="s">
        <v>5216</v>
      </c>
      <c r="N958" s="26" t="s">
        <v>3924</v>
      </c>
    </row>
    <row r="959" spans="1:14" ht="75" customHeight="1" thickTop="1" thickBot="1">
      <c r="A959" s="34">
        <v>957</v>
      </c>
      <c r="B959" s="34">
        <v>1010</v>
      </c>
      <c r="C959" s="55" t="s">
        <v>5548</v>
      </c>
      <c r="D959" s="56" t="s">
        <v>394</v>
      </c>
      <c r="E959" s="56" t="s">
        <v>3922</v>
      </c>
      <c r="F959" s="26" t="s">
        <v>3923</v>
      </c>
      <c r="G959" s="26" t="s">
        <v>16</v>
      </c>
      <c r="H959" s="26" t="s">
        <v>13</v>
      </c>
      <c r="I959" s="26" t="s">
        <v>3924</v>
      </c>
      <c r="J959" s="26" t="s">
        <v>5544</v>
      </c>
      <c r="K959" s="26" t="s">
        <v>4010</v>
      </c>
      <c r="L959" s="26" t="s">
        <v>4239</v>
      </c>
      <c r="M959" s="55" t="s">
        <v>5221</v>
      </c>
      <c r="N959" s="26" t="s">
        <v>3924</v>
      </c>
    </row>
    <row r="960" spans="1:14" ht="75" customHeight="1" thickTop="1" thickBot="1">
      <c r="A960" s="34">
        <v>958</v>
      </c>
      <c r="B960" s="26">
        <v>1011</v>
      </c>
      <c r="C960" s="55" t="s">
        <v>5548</v>
      </c>
      <c r="D960" s="56" t="s">
        <v>394</v>
      </c>
      <c r="E960" s="56" t="s">
        <v>3922</v>
      </c>
      <c r="F960" s="26" t="s">
        <v>3923</v>
      </c>
      <c r="G960" s="26" t="s">
        <v>14</v>
      </c>
      <c r="H960" s="26" t="s">
        <v>13</v>
      </c>
      <c r="I960" s="26" t="s">
        <v>3924</v>
      </c>
      <c r="J960" s="26" t="s">
        <v>5544</v>
      </c>
      <c r="K960" s="26" t="s">
        <v>4010</v>
      </c>
      <c r="L960" s="26" t="s">
        <v>5549</v>
      </c>
      <c r="M960" s="55" t="s">
        <v>5550</v>
      </c>
      <c r="N960" s="26" t="s">
        <v>3924</v>
      </c>
    </row>
    <row r="961" spans="1:14" ht="75" customHeight="1" thickTop="1" thickBot="1">
      <c r="A961" s="26">
        <v>959</v>
      </c>
      <c r="B961" s="34">
        <v>1012</v>
      </c>
      <c r="C961" s="55" t="s">
        <v>5551</v>
      </c>
      <c r="D961" s="56" t="s">
        <v>394</v>
      </c>
      <c r="E961" s="56" t="s">
        <v>3922</v>
      </c>
      <c r="F961" s="26" t="s">
        <v>3923</v>
      </c>
      <c r="G961" s="26" t="s">
        <v>16</v>
      </c>
      <c r="H961" s="26" t="s">
        <v>13</v>
      </c>
      <c r="I961" s="26" t="s">
        <v>3924</v>
      </c>
      <c r="J961" s="26" t="s">
        <v>5552</v>
      </c>
      <c r="K961" s="26" t="s">
        <v>4010</v>
      </c>
      <c r="L961" s="26" t="s">
        <v>3927</v>
      </c>
      <c r="M961" s="55" t="s">
        <v>5428</v>
      </c>
      <c r="N961" s="26" t="s">
        <v>3924</v>
      </c>
    </row>
    <row r="962" spans="1:14" ht="75" customHeight="1" thickTop="1" thickBot="1">
      <c r="A962" s="34">
        <v>960</v>
      </c>
      <c r="B962" s="26">
        <v>1013</v>
      </c>
      <c r="C962" s="55" t="s">
        <v>5553</v>
      </c>
      <c r="D962" s="56" t="s">
        <v>394</v>
      </c>
      <c r="E962" s="56" t="s">
        <v>3922</v>
      </c>
      <c r="F962" s="26" t="s">
        <v>3923</v>
      </c>
      <c r="G962" s="26" t="s">
        <v>16</v>
      </c>
      <c r="H962" s="26" t="s">
        <v>13</v>
      </c>
      <c r="I962" s="26" t="s">
        <v>3924</v>
      </c>
      <c r="J962" s="26" t="s">
        <v>5552</v>
      </c>
      <c r="K962" s="26" t="s">
        <v>3966</v>
      </c>
      <c r="L962" s="26" t="s">
        <v>3927</v>
      </c>
      <c r="M962" s="55" t="s">
        <v>5554</v>
      </c>
      <c r="N962" s="26" t="s">
        <v>3924</v>
      </c>
    </row>
    <row r="963" spans="1:14" ht="75" customHeight="1" thickTop="1" thickBot="1">
      <c r="A963" s="34">
        <v>961</v>
      </c>
      <c r="B963" s="34">
        <v>1014</v>
      </c>
      <c r="C963" s="55" t="s">
        <v>5555</v>
      </c>
      <c r="D963" s="56" t="s">
        <v>394</v>
      </c>
      <c r="E963" s="56" t="s">
        <v>3922</v>
      </c>
      <c r="F963" s="26" t="s">
        <v>3923</v>
      </c>
      <c r="G963" s="26" t="s">
        <v>14</v>
      </c>
      <c r="H963" s="26" t="s">
        <v>13</v>
      </c>
      <c r="I963" s="26" t="s">
        <v>3924</v>
      </c>
      <c r="J963" s="26" t="s">
        <v>5556</v>
      </c>
      <c r="K963" s="26" t="s">
        <v>5557</v>
      </c>
      <c r="L963" s="26" t="s">
        <v>4082</v>
      </c>
      <c r="M963" s="55" t="s">
        <v>5558</v>
      </c>
      <c r="N963" s="26" t="s">
        <v>3924</v>
      </c>
    </row>
    <row r="964" spans="1:14" ht="75" customHeight="1" thickTop="1" thickBot="1">
      <c r="A964" s="26">
        <v>962</v>
      </c>
      <c r="B964" s="26">
        <v>1015</v>
      </c>
      <c r="C964" s="55" t="s">
        <v>5559</v>
      </c>
      <c r="D964" s="56" t="s">
        <v>394</v>
      </c>
      <c r="E964" s="56" t="s">
        <v>3922</v>
      </c>
      <c r="F964" s="26" t="s">
        <v>3923</v>
      </c>
      <c r="G964" s="26" t="s">
        <v>14</v>
      </c>
      <c r="H964" s="26" t="s">
        <v>13</v>
      </c>
      <c r="I964" s="26" t="s">
        <v>3924</v>
      </c>
      <c r="J964" s="26" t="s">
        <v>5560</v>
      </c>
      <c r="K964" s="26" t="s">
        <v>5561</v>
      </c>
      <c r="L964" s="26" t="s">
        <v>4082</v>
      </c>
      <c r="M964" s="55" t="s">
        <v>5558</v>
      </c>
      <c r="N964" s="26" t="s">
        <v>3924</v>
      </c>
    </row>
    <row r="965" spans="1:14" ht="75" customHeight="1" thickTop="1" thickBot="1">
      <c r="A965" s="34">
        <v>963</v>
      </c>
      <c r="B965" s="34">
        <v>1016</v>
      </c>
      <c r="C965" s="55" t="s">
        <v>5559</v>
      </c>
      <c r="D965" s="56" t="s">
        <v>394</v>
      </c>
      <c r="E965" s="56" t="s">
        <v>3922</v>
      </c>
      <c r="F965" s="26" t="s">
        <v>3923</v>
      </c>
      <c r="G965" s="26" t="s">
        <v>14</v>
      </c>
      <c r="H965" s="26" t="s">
        <v>13</v>
      </c>
      <c r="I965" s="26" t="s">
        <v>3924</v>
      </c>
      <c r="J965" s="26" t="s">
        <v>5560</v>
      </c>
      <c r="K965" s="26" t="s">
        <v>5562</v>
      </c>
      <c r="L965" s="26" t="s">
        <v>4082</v>
      </c>
      <c r="M965" s="55" t="s">
        <v>5558</v>
      </c>
      <c r="N965" s="26" t="s">
        <v>3924</v>
      </c>
    </row>
    <row r="966" spans="1:14" ht="75" customHeight="1" thickTop="1" thickBot="1">
      <c r="A966" s="34">
        <v>964</v>
      </c>
      <c r="B966" s="26">
        <v>1017</v>
      </c>
      <c r="C966" s="55" t="s">
        <v>5563</v>
      </c>
      <c r="D966" s="56" t="s">
        <v>394</v>
      </c>
      <c r="E966" s="56" t="s">
        <v>3922</v>
      </c>
      <c r="F966" s="26" t="s">
        <v>3923</v>
      </c>
      <c r="G966" s="26" t="s">
        <v>14</v>
      </c>
      <c r="H966" s="26" t="s">
        <v>13</v>
      </c>
      <c r="I966" s="26" t="s">
        <v>3924</v>
      </c>
      <c r="J966" s="26" t="s">
        <v>5564</v>
      </c>
      <c r="K966" s="26" t="s">
        <v>3926</v>
      </c>
      <c r="L966" s="26" t="s">
        <v>4082</v>
      </c>
      <c r="M966" s="55" t="s">
        <v>5565</v>
      </c>
      <c r="N966" s="26" t="s">
        <v>3924</v>
      </c>
    </row>
    <row r="967" spans="1:14" ht="75" customHeight="1" thickTop="1" thickBot="1">
      <c r="A967" s="26">
        <v>965</v>
      </c>
      <c r="B967" s="34">
        <v>1018</v>
      </c>
      <c r="C967" s="55" t="s">
        <v>5566</v>
      </c>
      <c r="D967" s="56" t="s">
        <v>394</v>
      </c>
      <c r="E967" s="56" t="s">
        <v>3922</v>
      </c>
      <c r="F967" s="26" t="s">
        <v>3923</v>
      </c>
      <c r="G967" s="26" t="s">
        <v>14</v>
      </c>
      <c r="H967" s="26" t="s">
        <v>13</v>
      </c>
      <c r="I967" s="26" t="s">
        <v>3924</v>
      </c>
      <c r="J967" s="26" t="s">
        <v>5564</v>
      </c>
      <c r="K967" s="26" t="s">
        <v>3947</v>
      </c>
      <c r="L967" s="26" t="s">
        <v>4011</v>
      </c>
      <c r="M967" s="55" t="s">
        <v>613</v>
      </c>
      <c r="N967" s="26" t="s">
        <v>3924</v>
      </c>
    </row>
    <row r="968" spans="1:14" ht="75" customHeight="1" thickTop="1" thickBot="1">
      <c r="A968" s="34">
        <v>966</v>
      </c>
      <c r="B968" s="26">
        <v>1019</v>
      </c>
      <c r="C968" s="55" t="s">
        <v>5567</v>
      </c>
      <c r="D968" s="56" t="s">
        <v>394</v>
      </c>
      <c r="E968" s="56" t="s">
        <v>3922</v>
      </c>
      <c r="F968" s="26" t="s">
        <v>3923</v>
      </c>
      <c r="G968" s="26" t="s">
        <v>14</v>
      </c>
      <c r="H968" s="26" t="s">
        <v>13</v>
      </c>
      <c r="I968" s="26" t="s">
        <v>3924</v>
      </c>
      <c r="J968" s="26" t="s">
        <v>5568</v>
      </c>
      <c r="K968" s="26" t="s">
        <v>4040</v>
      </c>
      <c r="L968" s="26" t="s">
        <v>4306</v>
      </c>
      <c r="M968" s="55" t="s">
        <v>5569</v>
      </c>
      <c r="N968" s="26" t="s">
        <v>3924</v>
      </c>
    </row>
    <row r="969" spans="1:14" ht="75" customHeight="1" thickTop="1" thickBot="1">
      <c r="A969" s="34">
        <v>967</v>
      </c>
      <c r="B969" s="34">
        <v>1020</v>
      </c>
      <c r="C969" s="55" t="s">
        <v>5570</v>
      </c>
      <c r="D969" s="56" t="s">
        <v>394</v>
      </c>
      <c r="E969" s="56" t="s">
        <v>3922</v>
      </c>
      <c r="F969" s="26" t="s">
        <v>3923</v>
      </c>
      <c r="G969" s="26" t="s">
        <v>14</v>
      </c>
      <c r="H969" s="26" t="s">
        <v>13</v>
      </c>
      <c r="I969" s="26" t="s">
        <v>3924</v>
      </c>
      <c r="J969" s="26" t="s">
        <v>5568</v>
      </c>
      <c r="K969" s="26" t="s">
        <v>4087</v>
      </c>
      <c r="L969" s="26" t="s">
        <v>4082</v>
      </c>
      <c r="M969" s="55" t="s">
        <v>5571</v>
      </c>
      <c r="N969" s="26" t="s">
        <v>3924</v>
      </c>
    </row>
    <row r="970" spans="1:14" ht="75" customHeight="1" thickTop="1" thickBot="1">
      <c r="A970" s="26">
        <v>968</v>
      </c>
      <c r="B970" s="26">
        <v>1021</v>
      </c>
      <c r="C970" s="55" t="s">
        <v>5570</v>
      </c>
      <c r="D970" s="56" t="s">
        <v>394</v>
      </c>
      <c r="E970" s="56" t="s">
        <v>3922</v>
      </c>
      <c r="F970" s="26" t="s">
        <v>3923</v>
      </c>
      <c r="G970" s="26" t="s">
        <v>14</v>
      </c>
      <c r="H970" s="26" t="s">
        <v>13</v>
      </c>
      <c r="I970" s="26" t="s">
        <v>3924</v>
      </c>
      <c r="J970" s="26" t="s">
        <v>5568</v>
      </c>
      <c r="K970" s="26" t="s">
        <v>4225</v>
      </c>
      <c r="L970" s="26" t="s">
        <v>4082</v>
      </c>
      <c r="M970" s="55" t="s">
        <v>5571</v>
      </c>
      <c r="N970" s="26" t="s">
        <v>3924</v>
      </c>
    </row>
    <row r="971" spans="1:14" ht="75" customHeight="1" thickTop="1" thickBot="1">
      <c r="A971" s="34">
        <v>969</v>
      </c>
      <c r="B971" s="34">
        <v>1022</v>
      </c>
      <c r="C971" s="55" t="s">
        <v>5572</v>
      </c>
      <c r="D971" s="56" t="s">
        <v>394</v>
      </c>
      <c r="E971" s="56" t="s">
        <v>3922</v>
      </c>
      <c r="F971" s="26" t="s">
        <v>3923</v>
      </c>
      <c r="G971" s="26" t="s">
        <v>14</v>
      </c>
      <c r="H971" s="26" t="s">
        <v>13</v>
      </c>
      <c r="I971" s="26" t="s">
        <v>3924</v>
      </c>
      <c r="J971" s="26" t="s">
        <v>5573</v>
      </c>
      <c r="K971" s="26" t="s">
        <v>3926</v>
      </c>
      <c r="L971" s="26" t="s">
        <v>4306</v>
      </c>
      <c r="M971" s="55" t="s">
        <v>5574</v>
      </c>
      <c r="N971" s="26" t="s">
        <v>3924</v>
      </c>
    </row>
    <row r="972" spans="1:14" ht="75" customHeight="1" thickTop="1" thickBot="1">
      <c r="A972" s="34">
        <v>970</v>
      </c>
      <c r="B972" s="26">
        <v>1023</v>
      </c>
      <c r="C972" s="55" t="s">
        <v>5575</v>
      </c>
      <c r="D972" s="56" t="s">
        <v>394</v>
      </c>
      <c r="E972" s="56" t="s">
        <v>3922</v>
      </c>
      <c r="F972" s="26" t="s">
        <v>3923</v>
      </c>
      <c r="G972" s="26" t="s">
        <v>14</v>
      </c>
      <c r="H972" s="26" t="s">
        <v>13</v>
      </c>
      <c r="I972" s="26" t="s">
        <v>3924</v>
      </c>
      <c r="J972" s="26" t="s">
        <v>5573</v>
      </c>
      <c r="K972" s="26" t="s">
        <v>3976</v>
      </c>
      <c r="L972" s="26" t="s">
        <v>4082</v>
      </c>
      <c r="M972" s="55" t="s">
        <v>5576</v>
      </c>
      <c r="N972" s="26" t="s">
        <v>3924</v>
      </c>
    </row>
    <row r="973" spans="1:14" ht="75" customHeight="1" thickTop="1" thickBot="1">
      <c r="A973" s="26">
        <v>971</v>
      </c>
      <c r="B973" s="34">
        <v>1024</v>
      </c>
      <c r="C973" s="55" t="s">
        <v>5577</v>
      </c>
      <c r="D973" s="56" t="s">
        <v>394</v>
      </c>
      <c r="E973" s="56" t="s">
        <v>3922</v>
      </c>
      <c r="F973" s="26" t="s">
        <v>3923</v>
      </c>
      <c r="G973" s="26" t="s">
        <v>14</v>
      </c>
      <c r="H973" s="26" t="s">
        <v>13</v>
      </c>
      <c r="I973" s="26" t="s">
        <v>3924</v>
      </c>
      <c r="J973" s="26" t="s">
        <v>5573</v>
      </c>
      <c r="K973" s="26" t="s">
        <v>3966</v>
      </c>
      <c r="L973" s="26" t="s">
        <v>4082</v>
      </c>
      <c r="M973" s="55" t="s">
        <v>5576</v>
      </c>
      <c r="N973" s="26" t="s">
        <v>3924</v>
      </c>
    </row>
    <row r="974" spans="1:14" ht="75" customHeight="1" thickTop="1" thickBot="1">
      <c r="A974" s="34">
        <v>972</v>
      </c>
      <c r="B974" s="26">
        <v>1025</v>
      </c>
      <c r="C974" s="55" t="s">
        <v>5577</v>
      </c>
      <c r="D974" s="56" t="s">
        <v>394</v>
      </c>
      <c r="E974" s="56" t="s">
        <v>3922</v>
      </c>
      <c r="F974" s="26" t="s">
        <v>3923</v>
      </c>
      <c r="G974" s="26" t="s">
        <v>14</v>
      </c>
      <c r="H974" s="26" t="s">
        <v>13</v>
      </c>
      <c r="I974" s="26" t="s">
        <v>3924</v>
      </c>
      <c r="J974" s="26" t="s">
        <v>5578</v>
      </c>
      <c r="K974" s="26" t="s">
        <v>3947</v>
      </c>
      <c r="L974" s="26" t="s">
        <v>4082</v>
      </c>
      <c r="M974" s="55" t="s">
        <v>5579</v>
      </c>
      <c r="N974" s="26" t="s">
        <v>3924</v>
      </c>
    </row>
    <row r="975" spans="1:14" ht="75" customHeight="1" thickTop="1" thickBot="1">
      <c r="A975" s="34">
        <v>973</v>
      </c>
      <c r="B975" s="34">
        <v>1026</v>
      </c>
      <c r="C975" s="55" t="s">
        <v>5580</v>
      </c>
      <c r="D975" s="56" t="s">
        <v>394</v>
      </c>
      <c r="E975" s="56" t="s">
        <v>3922</v>
      </c>
      <c r="F975" s="26" t="s">
        <v>3923</v>
      </c>
      <c r="G975" s="26" t="s">
        <v>14</v>
      </c>
      <c r="H975" s="26" t="s">
        <v>13</v>
      </c>
      <c r="I975" s="26" t="s">
        <v>3924</v>
      </c>
      <c r="J975" s="26" t="s">
        <v>5578</v>
      </c>
      <c r="K975" s="26" t="s">
        <v>3947</v>
      </c>
      <c r="L975" s="26" t="s">
        <v>4082</v>
      </c>
      <c r="M975" s="55" t="s">
        <v>5576</v>
      </c>
      <c r="N975" s="26" t="s">
        <v>3924</v>
      </c>
    </row>
    <row r="976" spans="1:14" ht="75" customHeight="1" thickTop="1" thickBot="1">
      <c r="A976" s="26">
        <v>974</v>
      </c>
      <c r="B976" s="26">
        <v>1027</v>
      </c>
      <c r="C976" s="55" t="s">
        <v>5580</v>
      </c>
      <c r="D976" s="56" t="s">
        <v>394</v>
      </c>
      <c r="E976" s="56" t="s">
        <v>3922</v>
      </c>
      <c r="F976" s="26" t="s">
        <v>3923</v>
      </c>
      <c r="G976" s="26" t="s">
        <v>14</v>
      </c>
      <c r="H976" s="26" t="s">
        <v>13</v>
      </c>
      <c r="I976" s="26" t="s">
        <v>3924</v>
      </c>
      <c r="J976" s="26" t="s">
        <v>5581</v>
      </c>
      <c r="K976" s="26" t="s">
        <v>3929</v>
      </c>
      <c r="L976" s="26" t="s">
        <v>4082</v>
      </c>
      <c r="M976" s="55" t="s">
        <v>5582</v>
      </c>
      <c r="N976" s="26" t="s">
        <v>3924</v>
      </c>
    </row>
    <row r="977" spans="1:14" ht="75" customHeight="1" thickTop="1" thickBot="1">
      <c r="A977" s="34">
        <v>975</v>
      </c>
      <c r="B977" s="34">
        <v>1028</v>
      </c>
      <c r="C977" s="55" t="s">
        <v>5583</v>
      </c>
      <c r="D977" s="56" t="s">
        <v>394</v>
      </c>
      <c r="E977" s="56" t="s">
        <v>3922</v>
      </c>
      <c r="F977" s="26" t="s">
        <v>3923</v>
      </c>
      <c r="G977" s="26" t="s">
        <v>14</v>
      </c>
      <c r="H977" s="26" t="s">
        <v>13</v>
      </c>
      <c r="I977" s="26" t="s">
        <v>3924</v>
      </c>
      <c r="J977" s="26" t="s">
        <v>5581</v>
      </c>
      <c r="K977" s="26" t="s">
        <v>4010</v>
      </c>
      <c r="L977" s="26" t="s">
        <v>4082</v>
      </c>
      <c r="M977" s="55" t="s">
        <v>5576</v>
      </c>
      <c r="N977" s="26" t="s">
        <v>3924</v>
      </c>
    </row>
    <row r="978" spans="1:14" ht="75" customHeight="1" thickTop="1" thickBot="1">
      <c r="A978" s="34">
        <v>976</v>
      </c>
      <c r="B978" s="26">
        <v>1029</v>
      </c>
      <c r="C978" s="55" t="s">
        <v>5583</v>
      </c>
      <c r="D978" s="56" t="s">
        <v>394</v>
      </c>
      <c r="E978" s="56" t="s">
        <v>3922</v>
      </c>
      <c r="F978" s="26" t="s">
        <v>3923</v>
      </c>
      <c r="G978" s="26" t="s">
        <v>14</v>
      </c>
      <c r="H978" s="26" t="s">
        <v>13</v>
      </c>
      <c r="I978" s="26" t="s">
        <v>3924</v>
      </c>
      <c r="J978" s="26" t="s">
        <v>5581</v>
      </c>
      <c r="K978" s="26" t="s">
        <v>4040</v>
      </c>
      <c r="L978" s="26" t="s">
        <v>4082</v>
      </c>
      <c r="M978" s="55" t="s">
        <v>5584</v>
      </c>
      <c r="N978" s="26" t="s">
        <v>3924</v>
      </c>
    </row>
    <row r="979" spans="1:14" ht="75" customHeight="1" thickTop="1" thickBot="1">
      <c r="A979" s="26">
        <v>977</v>
      </c>
      <c r="B979" s="34">
        <v>1030</v>
      </c>
      <c r="C979" s="55" t="s">
        <v>5585</v>
      </c>
      <c r="D979" s="56" t="s">
        <v>394</v>
      </c>
      <c r="E979" s="56" t="s">
        <v>3922</v>
      </c>
      <c r="F979" s="26" t="s">
        <v>3923</v>
      </c>
      <c r="G979" s="26" t="s">
        <v>14</v>
      </c>
      <c r="H979" s="26" t="s">
        <v>13</v>
      </c>
      <c r="I979" s="26" t="s">
        <v>3924</v>
      </c>
      <c r="J979" s="26" t="s">
        <v>5586</v>
      </c>
      <c r="K979" s="26" t="s">
        <v>3941</v>
      </c>
      <c r="L979" s="26" t="s">
        <v>4082</v>
      </c>
      <c r="M979" s="55" t="s">
        <v>5576</v>
      </c>
      <c r="N979" s="26" t="s">
        <v>3924</v>
      </c>
    </row>
    <row r="980" spans="1:14" ht="75" customHeight="1" thickTop="1" thickBot="1">
      <c r="A980" s="34">
        <v>978</v>
      </c>
      <c r="B980" s="26">
        <v>1031</v>
      </c>
      <c r="C980" s="55" t="s">
        <v>5587</v>
      </c>
      <c r="D980" s="56" t="s">
        <v>394</v>
      </c>
      <c r="E980" s="56" t="s">
        <v>3922</v>
      </c>
      <c r="F980" s="26" t="s">
        <v>3923</v>
      </c>
      <c r="G980" s="26" t="s">
        <v>14</v>
      </c>
      <c r="H980" s="26" t="s">
        <v>13</v>
      </c>
      <c r="I980" s="26" t="s">
        <v>3924</v>
      </c>
      <c r="J980" s="26" t="s">
        <v>5586</v>
      </c>
      <c r="K980" s="26" t="s">
        <v>4221</v>
      </c>
      <c r="L980" s="26" t="s">
        <v>3927</v>
      </c>
      <c r="M980" s="55" t="s">
        <v>5588</v>
      </c>
      <c r="N980" s="26" t="s">
        <v>3924</v>
      </c>
    </row>
    <row r="981" spans="1:14" ht="75" customHeight="1" thickTop="1" thickBot="1">
      <c r="A981" s="34">
        <v>979</v>
      </c>
      <c r="B981" s="34">
        <v>1032</v>
      </c>
      <c r="C981" s="55" t="s">
        <v>5589</v>
      </c>
      <c r="D981" s="56" t="s">
        <v>394</v>
      </c>
      <c r="E981" s="56" t="s">
        <v>3922</v>
      </c>
      <c r="F981" s="26" t="s">
        <v>3923</v>
      </c>
      <c r="G981" s="26" t="s">
        <v>14</v>
      </c>
      <c r="H981" s="26" t="s">
        <v>13</v>
      </c>
      <c r="I981" s="26" t="s">
        <v>3924</v>
      </c>
      <c r="J981" s="26" t="s">
        <v>5586</v>
      </c>
      <c r="K981" s="26" t="s">
        <v>3929</v>
      </c>
      <c r="L981" s="26" t="s">
        <v>4082</v>
      </c>
      <c r="M981" s="55" t="s">
        <v>5576</v>
      </c>
      <c r="N981" s="26" t="s">
        <v>3924</v>
      </c>
    </row>
    <row r="982" spans="1:14" ht="75" customHeight="1" thickTop="1" thickBot="1">
      <c r="A982" s="26">
        <v>980</v>
      </c>
      <c r="B982" s="26">
        <v>1033</v>
      </c>
      <c r="C982" s="55" t="s">
        <v>5589</v>
      </c>
      <c r="D982" s="56" t="s">
        <v>394</v>
      </c>
      <c r="E982" s="56" t="s">
        <v>3922</v>
      </c>
      <c r="F982" s="26" t="s">
        <v>3923</v>
      </c>
      <c r="G982" s="26" t="s">
        <v>14</v>
      </c>
      <c r="H982" s="26" t="s">
        <v>13</v>
      </c>
      <c r="I982" s="26" t="s">
        <v>3924</v>
      </c>
      <c r="J982" s="26" t="s">
        <v>5590</v>
      </c>
      <c r="K982" s="26" t="s">
        <v>3954</v>
      </c>
      <c r="L982" s="26" t="s">
        <v>3927</v>
      </c>
      <c r="M982" s="55" t="s">
        <v>5591</v>
      </c>
      <c r="N982" s="26" t="s">
        <v>3924</v>
      </c>
    </row>
    <row r="983" spans="1:14" ht="75" customHeight="1" thickTop="1" thickBot="1">
      <c r="A983" s="34">
        <v>981</v>
      </c>
      <c r="B983" s="34">
        <v>1034</v>
      </c>
      <c r="C983" s="55" t="s">
        <v>5592</v>
      </c>
      <c r="D983" s="56" t="s">
        <v>394</v>
      </c>
      <c r="E983" s="56" t="s">
        <v>3922</v>
      </c>
      <c r="F983" s="26" t="s">
        <v>3923</v>
      </c>
      <c r="G983" s="26" t="s">
        <v>14</v>
      </c>
      <c r="H983" s="26" t="s">
        <v>13</v>
      </c>
      <c r="I983" s="26" t="s">
        <v>3924</v>
      </c>
      <c r="J983" s="26" t="s">
        <v>5590</v>
      </c>
      <c r="K983" s="26" t="s">
        <v>3954</v>
      </c>
      <c r="L983" s="26" t="s">
        <v>4082</v>
      </c>
      <c r="M983" s="55" t="s">
        <v>5593</v>
      </c>
      <c r="N983" s="26" t="s">
        <v>3924</v>
      </c>
    </row>
    <row r="984" spans="1:14" ht="75" customHeight="1" thickTop="1" thickBot="1">
      <c r="A984" s="34">
        <v>982</v>
      </c>
      <c r="B984" s="26">
        <v>1035</v>
      </c>
      <c r="C984" s="55" t="s">
        <v>5594</v>
      </c>
      <c r="D984" s="56" t="s">
        <v>394</v>
      </c>
      <c r="E984" s="56" t="s">
        <v>3922</v>
      </c>
      <c r="F984" s="26" t="s">
        <v>3923</v>
      </c>
      <c r="G984" s="26" t="s">
        <v>14</v>
      </c>
      <c r="H984" s="26" t="s">
        <v>13</v>
      </c>
      <c r="I984" s="26" t="s">
        <v>3924</v>
      </c>
      <c r="J984" s="26" t="s">
        <v>5595</v>
      </c>
      <c r="K984" s="26" t="s">
        <v>3947</v>
      </c>
      <c r="L984" s="26" t="s">
        <v>4082</v>
      </c>
      <c r="M984" s="55" t="s">
        <v>5596</v>
      </c>
      <c r="N984" s="26" t="s">
        <v>3924</v>
      </c>
    </row>
    <row r="985" spans="1:14" ht="75" customHeight="1" thickTop="1" thickBot="1">
      <c r="A985" s="26">
        <v>983</v>
      </c>
      <c r="B985" s="34">
        <v>1036</v>
      </c>
      <c r="C985" s="55" t="s">
        <v>5597</v>
      </c>
      <c r="D985" s="56" t="s">
        <v>394</v>
      </c>
      <c r="E985" s="56" t="s">
        <v>3922</v>
      </c>
      <c r="F985" s="26" t="s">
        <v>3923</v>
      </c>
      <c r="G985" s="26" t="s">
        <v>14</v>
      </c>
      <c r="H985" s="26" t="s">
        <v>13</v>
      </c>
      <c r="I985" s="26" t="s">
        <v>3924</v>
      </c>
      <c r="J985" s="26" t="s">
        <v>5595</v>
      </c>
      <c r="K985" s="26" t="s">
        <v>5598</v>
      </c>
      <c r="L985" s="26" t="s">
        <v>5599</v>
      </c>
      <c r="M985" s="55" t="s">
        <v>5600</v>
      </c>
      <c r="N985" s="26" t="s">
        <v>3924</v>
      </c>
    </row>
    <row r="986" spans="1:14" ht="75" customHeight="1" thickTop="1" thickBot="1">
      <c r="A986" s="34">
        <v>984</v>
      </c>
      <c r="B986" s="26">
        <v>1037</v>
      </c>
      <c r="C986" s="55" t="s">
        <v>5601</v>
      </c>
      <c r="D986" s="56" t="s">
        <v>394</v>
      </c>
      <c r="E986" s="56" t="s">
        <v>3922</v>
      </c>
      <c r="F986" s="26" t="s">
        <v>3923</v>
      </c>
      <c r="G986" s="26" t="s">
        <v>14</v>
      </c>
      <c r="H986" s="26" t="s">
        <v>13</v>
      </c>
      <c r="I986" s="26" t="s">
        <v>3924</v>
      </c>
      <c r="J986" s="26" t="s">
        <v>5595</v>
      </c>
      <c r="K986" s="26" t="s">
        <v>4040</v>
      </c>
      <c r="L986" s="26" t="s">
        <v>4082</v>
      </c>
      <c r="M986" s="55" t="s">
        <v>5576</v>
      </c>
      <c r="N986" s="26" t="s">
        <v>3924</v>
      </c>
    </row>
    <row r="987" spans="1:14" ht="75" customHeight="1" thickTop="1" thickBot="1">
      <c r="A987" s="34">
        <v>985</v>
      </c>
      <c r="B987" s="34">
        <v>1038</v>
      </c>
      <c r="C987" s="55" t="s">
        <v>5602</v>
      </c>
      <c r="D987" s="56" t="s">
        <v>394</v>
      </c>
      <c r="E987" s="56" t="s">
        <v>3922</v>
      </c>
      <c r="F987" s="26" t="s">
        <v>3923</v>
      </c>
      <c r="G987" s="26" t="s">
        <v>14</v>
      </c>
      <c r="H987" s="26" t="s">
        <v>13</v>
      </c>
      <c r="I987" s="26" t="s">
        <v>3924</v>
      </c>
      <c r="J987" s="26" t="s">
        <v>5603</v>
      </c>
      <c r="K987" s="26" t="s">
        <v>4225</v>
      </c>
      <c r="L987" s="26" t="s">
        <v>4082</v>
      </c>
      <c r="M987" s="55" t="s">
        <v>5604</v>
      </c>
      <c r="N987" s="26" t="s">
        <v>3924</v>
      </c>
    </row>
    <row r="988" spans="1:14" ht="75" customHeight="1" thickTop="1" thickBot="1">
      <c r="A988" s="26">
        <v>986</v>
      </c>
      <c r="B988" s="26">
        <v>1039</v>
      </c>
      <c r="C988" s="55" t="s">
        <v>5602</v>
      </c>
      <c r="D988" s="56" t="s">
        <v>394</v>
      </c>
      <c r="E988" s="56" t="s">
        <v>3922</v>
      </c>
      <c r="F988" s="26" t="s">
        <v>3923</v>
      </c>
      <c r="G988" s="26" t="s">
        <v>14</v>
      </c>
      <c r="H988" s="26" t="s">
        <v>13</v>
      </c>
      <c r="I988" s="26" t="s">
        <v>3924</v>
      </c>
      <c r="J988" s="26" t="s">
        <v>5603</v>
      </c>
      <c r="K988" s="26" t="s">
        <v>4087</v>
      </c>
      <c r="L988" s="26" t="s">
        <v>4082</v>
      </c>
      <c r="M988" s="55" t="s">
        <v>5576</v>
      </c>
      <c r="N988" s="26" t="s">
        <v>3924</v>
      </c>
    </row>
    <row r="989" spans="1:14" ht="75" customHeight="1" thickTop="1" thickBot="1">
      <c r="A989" s="34">
        <v>987</v>
      </c>
      <c r="B989" s="34">
        <v>1040</v>
      </c>
      <c r="C989" s="55" t="s">
        <v>5605</v>
      </c>
      <c r="D989" s="56" t="s">
        <v>394</v>
      </c>
      <c r="E989" s="56" t="s">
        <v>3922</v>
      </c>
      <c r="F989" s="26" t="s">
        <v>3923</v>
      </c>
      <c r="G989" s="26" t="s">
        <v>14</v>
      </c>
      <c r="H989" s="26" t="s">
        <v>13</v>
      </c>
      <c r="I989" s="26" t="s">
        <v>3924</v>
      </c>
      <c r="J989" s="26" t="s">
        <v>5603</v>
      </c>
      <c r="K989" s="26" t="s">
        <v>4040</v>
      </c>
      <c r="L989" s="26" t="s">
        <v>4239</v>
      </c>
      <c r="M989" s="55" t="s">
        <v>2491</v>
      </c>
      <c r="N989" s="26" t="s">
        <v>3924</v>
      </c>
    </row>
    <row r="990" spans="1:14" ht="75" customHeight="1" thickTop="1" thickBot="1">
      <c r="A990" s="34">
        <v>988</v>
      </c>
      <c r="B990" s="26">
        <v>1041</v>
      </c>
      <c r="C990" s="55" t="s">
        <v>5605</v>
      </c>
      <c r="D990" s="56" t="s">
        <v>394</v>
      </c>
      <c r="E990" s="56" t="s">
        <v>3922</v>
      </c>
      <c r="F990" s="26" t="s">
        <v>3923</v>
      </c>
      <c r="G990" s="26" t="s">
        <v>14</v>
      </c>
      <c r="H990" s="26" t="s">
        <v>13</v>
      </c>
      <c r="I990" s="26" t="s">
        <v>3924</v>
      </c>
      <c r="J990" s="26" t="s">
        <v>5606</v>
      </c>
      <c r="K990" s="26" t="s">
        <v>4040</v>
      </c>
      <c r="L990" s="26" t="s">
        <v>4203</v>
      </c>
      <c r="M990" s="55" t="s">
        <v>677</v>
      </c>
      <c r="N990" s="26" t="s">
        <v>3924</v>
      </c>
    </row>
    <row r="991" spans="1:14" ht="75" customHeight="1" thickTop="1" thickBot="1">
      <c r="A991" s="26">
        <v>989</v>
      </c>
      <c r="B991" s="34">
        <v>1042</v>
      </c>
      <c r="C991" s="55" t="s">
        <v>5607</v>
      </c>
      <c r="D991" s="56" t="s">
        <v>394</v>
      </c>
      <c r="E991" s="56" t="s">
        <v>3922</v>
      </c>
      <c r="F991" s="26" t="s">
        <v>3923</v>
      </c>
      <c r="G991" s="26" t="s">
        <v>14</v>
      </c>
      <c r="H991" s="26" t="s">
        <v>13</v>
      </c>
      <c r="I991" s="26" t="s">
        <v>3924</v>
      </c>
      <c r="J991" s="26" t="s">
        <v>5608</v>
      </c>
      <c r="K991" s="26" t="s">
        <v>4225</v>
      </c>
      <c r="L991" s="26" t="s">
        <v>4082</v>
      </c>
      <c r="M991" s="55" t="s">
        <v>5576</v>
      </c>
      <c r="N991" s="26" t="s">
        <v>3924</v>
      </c>
    </row>
    <row r="992" spans="1:14" ht="75" customHeight="1" thickTop="1" thickBot="1">
      <c r="A992" s="34">
        <v>990</v>
      </c>
      <c r="B992" s="26">
        <v>1043</v>
      </c>
      <c r="C992" s="55" t="s">
        <v>5609</v>
      </c>
      <c r="D992" s="56" t="s">
        <v>394</v>
      </c>
      <c r="E992" s="56" t="s">
        <v>3922</v>
      </c>
      <c r="F992" s="26" t="s">
        <v>3923</v>
      </c>
      <c r="G992" s="26" t="s">
        <v>14</v>
      </c>
      <c r="H992" s="26" t="s">
        <v>13</v>
      </c>
      <c r="I992" s="26" t="s">
        <v>3924</v>
      </c>
      <c r="J992" s="26" t="s">
        <v>5608</v>
      </c>
      <c r="K992" s="26" t="s">
        <v>4040</v>
      </c>
      <c r="L992" s="26" t="s">
        <v>4203</v>
      </c>
      <c r="M992" s="55" t="s">
        <v>5610</v>
      </c>
      <c r="N992" s="26" t="s">
        <v>3924</v>
      </c>
    </row>
    <row r="993" spans="1:14" ht="75" customHeight="1" thickTop="1" thickBot="1">
      <c r="A993" s="34">
        <v>991</v>
      </c>
      <c r="B993" s="34">
        <v>1044</v>
      </c>
      <c r="C993" s="55" t="s">
        <v>5609</v>
      </c>
      <c r="D993" s="56" t="s">
        <v>394</v>
      </c>
      <c r="E993" s="56" t="s">
        <v>3922</v>
      </c>
      <c r="F993" s="26" t="s">
        <v>3923</v>
      </c>
      <c r="G993" s="26" t="s">
        <v>14</v>
      </c>
      <c r="H993" s="26" t="s">
        <v>13</v>
      </c>
      <c r="I993" s="26" t="s">
        <v>3924</v>
      </c>
      <c r="J993" s="26" t="s">
        <v>5608</v>
      </c>
      <c r="K993" s="26" t="s">
        <v>4040</v>
      </c>
      <c r="L993" s="26" t="s">
        <v>4011</v>
      </c>
      <c r="M993" s="55" t="s">
        <v>5611</v>
      </c>
      <c r="N993" s="26" t="s">
        <v>3924</v>
      </c>
    </row>
    <row r="994" spans="1:14" ht="75" customHeight="1" thickTop="1" thickBot="1">
      <c r="A994" s="26">
        <v>992</v>
      </c>
      <c r="B994" s="26">
        <v>1045</v>
      </c>
      <c r="C994" s="55" t="s">
        <v>5612</v>
      </c>
      <c r="D994" s="56" t="s">
        <v>394</v>
      </c>
      <c r="E994" s="56" t="s">
        <v>3922</v>
      </c>
      <c r="F994" s="26" t="s">
        <v>3923</v>
      </c>
      <c r="G994" s="26" t="s">
        <v>14</v>
      </c>
      <c r="H994" s="26" t="s">
        <v>13</v>
      </c>
      <c r="I994" s="26" t="s">
        <v>3924</v>
      </c>
      <c r="J994" s="26" t="s">
        <v>5613</v>
      </c>
      <c r="K994" s="26" t="s">
        <v>5307</v>
      </c>
      <c r="L994" s="26" t="s">
        <v>5614</v>
      </c>
      <c r="M994" s="55" t="s">
        <v>5600</v>
      </c>
      <c r="N994" s="26" t="s">
        <v>3924</v>
      </c>
    </row>
    <row r="995" spans="1:14" ht="75" customHeight="1" thickTop="1" thickBot="1">
      <c r="A995" s="34">
        <v>993</v>
      </c>
      <c r="B995" s="34">
        <v>1046</v>
      </c>
      <c r="C995" s="55" t="s">
        <v>5615</v>
      </c>
      <c r="D995" s="56" t="s">
        <v>394</v>
      </c>
      <c r="E995" s="56" t="s">
        <v>3922</v>
      </c>
      <c r="F995" s="26" t="s">
        <v>3923</v>
      </c>
      <c r="G995" s="26" t="s">
        <v>14</v>
      </c>
      <c r="H995" s="26" t="s">
        <v>13</v>
      </c>
      <c r="I995" s="26" t="s">
        <v>3924</v>
      </c>
      <c r="J995" s="26" t="s">
        <v>5613</v>
      </c>
      <c r="K995" s="26" t="s">
        <v>3966</v>
      </c>
      <c r="L995" s="26" t="s">
        <v>4082</v>
      </c>
      <c r="M995" s="55" t="s">
        <v>5616</v>
      </c>
      <c r="N995" s="26" t="s">
        <v>3924</v>
      </c>
    </row>
    <row r="996" spans="1:14" ht="75" customHeight="1" thickTop="1" thickBot="1">
      <c r="A996" s="34">
        <v>994</v>
      </c>
      <c r="B996" s="26">
        <v>1047</v>
      </c>
      <c r="C996" s="55" t="s">
        <v>5615</v>
      </c>
      <c r="D996" s="56" t="s">
        <v>394</v>
      </c>
      <c r="E996" s="56" t="s">
        <v>3922</v>
      </c>
      <c r="F996" s="26" t="s">
        <v>3923</v>
      </c>
      <c r="G996" s="26" t="s">
        <v>14</v>
      </c>
      <c r="H996" s="26" t="s">
        <v>13</v>
      </c>
      <c r="I996" s="26" t="s">
        <v>3924</v>
      </c>
      <c r="J996" s="26" t="s">
        <v>5613</v>
      </c>
      <c r="K996" s="26" t="s">
        <v>3976</v>
      </c>
      <c r="L996" s="26" t="s">
        <v>3963</v>
      </c>
      <c r="M996" s="55" t="s">
        <v>5617</v>
      </c>
      <c r="N996" s="26" t="s">
        <v>3924</v>
      </c>
    </row>
    <row r="997" spans="1:14" ht="75" customHeight="1" thickTop="1" thickBot="1">
      <c r="A997" s="26">
        <v>995</v>
      </c>
      <c r="B997" s="34">
        <v>1048</v>
      </c>
      <c r="C997" s="55" t="s">
        <v>5618</v>
      </c>
      <c r="D997" s="56" t="s">
        <v>394</v>
      </c>
      <c r="E997" s="56" t="s">
        <v>3922</v>
      </c>
      <c r="F997" s="26" t="s">
        <v>3923</v>
      </c>
      <c r="G997" s="26" t="s">
        <v>14</v>
      </c>
      <c r="H997" s="26" t="s">
        <v>13</v>
      </c>
      <c r="I997" s="26" t="s">
        <v>3924</v>
      </c>
      <c r="J997" s="26" t="s">
        <v>5619</v>
      </c>
      <c r="K997" s="26" t="s">
        <v>3966</v>
      </c>
      <c r="L997" s="26" t="s">
        <v>4082</v>
      </c>
      <c r="M997" s="55" t="s">
        <v>5576</v>
      </c>
      <c r="N997" s="26" t="s">
        <v>3924</v>
      </c>
    </row>
    <row r="998" spans="1:14" ht="75" customHeight="1" thickTop="1" thickBot="1">
      <c r="A998" s="34">
        <v>996</v>
      </c>
      <c r="B998" s="26">
        <v>1049</v>
      </c>
      <c r="C998" s="55" t="s">
        <v>5618</v>
      </c>
      <c r="D998" s="56" t="s">
        <v>394</v>
      </c>
      <c r="E998" s="56" t="s">
        <v>3922</v>
      </c>
      <c r="F998" s="26" t="s">
        <v>3923</v>
      </c>
      <c r="G998" s="26" t="s">
        <v>14</v>
      </c>
      <c r="H998" s="26" t="s">
        <v>13</v>
      </c>
      <c r="I998" s="26" t="s">
        <v>3924</v>
      </c>
      <c r="J998" s="26" t="s">
        <v>5619</v>
      </c>
      <c r="K998" s="26" t="s">
        <v>3976</v>
      </c>
      <c r="L998" s="26" t="s">
        <v>3927</v>
      </c>
      <c r="M998" s="55" t="s">
        <v>5620</v>
      </c>
      <c r="N998" s="26" t="s">
        <v>3924</v>
      </c>
    </row>
    <row r="999" spans="1:14" ht="75" customHeight="1" thickTop="1" thickBot="1">
      <c r="A999" s="34">
        <v>997</v>
      </c>
      <c r="B999" s="34">
        <v>1050</v>
      </c>
      <c r="C999" s="55" t="s">
        <v>5621</v>
      </c>
      <c r="D999" s="56" t="s">
        <v>394</v>
      </c>
      <c r="E999" s="56" t="s">
        <v>3922</v>
      </c>
      <c r="F999" s="26" t="s">
        <v>3923</v>
      </c>
      <c r="G999" s="26" t="s">
        <v>14</v>
      </c>
      <c r="H999" s="26" t="s">
        <v>13</v>
      </c>
      <c r="I999" s="26" t="s">
        <v>3924</v>
      </c>
      <c r="J999" s="26" t="s">
        <v>5622</v>
      </c>
      <c r="K999" s="26" t="s">
        <v>3966</v>
      </c>
      <c r="L999" s="26" t="s">
        <v>4306</v>
      </c>
      <c r="M999" s="55" t="s">
        <v>5623</v>
      </c>
      <c r="N999" s="26" t="s">
        <v>3924</v>
      </c>
    </row>
    <row r="1000" spans="1:14" ht="75" customHeight="1" thickTop="1" thickBot="1">
      <c r="A1000" s="26">
        <v>998</v>
      </c>
      <c r="B1000" s="26">
        <v>1051</v>
      </c>
      <c r="C1000" s="55" t="s">
        <v>5624</v>
      </c>
      <c r="D1000" s="56" t="s">
        <v>394</v>
      </c>
      <c r="E1000" s="56" t="s">
        <v>3922</v>
      </c>
      <c r="F1000" s="26" t="s">
        <v>3923</v>
      </c>
      <c r="G1000" s="26" t="s">
        <v>14</v>
      </c>
      <c r="H1000" s="26" t="s">
        <v>13</v>
      </c>
      <c r="I1000" s="26" t="s">
        <v>3924</v>
      </c>
      <c r="J1000" s="26" t="s">
        <v>5625</v>
      </c>
      <c r="K1000" s="26" t="s">
        <v>3966</v>
      </c>
      <c r="L1000" s="26" t="s">
        <v>3927</v>
      </c>
      <c r="M1000" s="55" t="s">
        <v>5626</v>
      </c>
      <c r="N1000" s="26" t="s">
        <v>3924</v>
      </c>
    </row>
    <row r="1001" spans="1:14" ht="75" customHeight="1" thickTop="1" thickBot="1">
      <c r="A1001" s="34">
        <v>999</v>
      </c>
      <c r="B1001" s="34">
        <v>1052</v>
      </c>
      <c r="C1001" s="55" t="s">
        <v>5624</v>
      </c>
      <c r="D1001" s="56" t="s">
        <v>394</v>
      </c>
      <c r="E1001" s="56" t="s">
        <v>3922</v>
      </c>
      <c r="F1001" s="26" t="s">
        <v>3923</v>
      </c>
      <c r="G1001" s="26" t="s">
        <v>14</v>
      </c>
      <c r="H1001" s="26" t="s">
        <v>13</v>
      </c>
      <c r="I1001" s="26" t="s">
        <v>3924</v>
      </c>
      <c r="J1001" s="26" t="s">
        <v>5625</v>
      </c>
      <c r="K1001" s="26" t="s">
        <v>3966</v>
      </c>
      <c r="L1001" s="26" t="s">
        <v>4082</v>
      </c>
      <c r="M1001" s="55" t="s">
        <v>5576</v>
      </c>
      <c r="N1001" s="26" t="s">
        <v>3924</v>
      </c>
    </row>
    <row r="1002" spans="1:14" ht="75" customHeight="1" thickTop="1" thickBot="1">
      <c r="A1002" s="34">
        <v>1000</v>
      </c>
      <c r="B1002" s="26">
        <v>1053</v>
      </c>
      <c r="C1002" s="57" t="s">
        <v>5627</v>
      </c>
      <c r="D1002" s="58" t="s">
        <v>394</v>
      </c>
      <c r="E1002" s="58" t="s">
        <v>3922</v>
      </c>
      <c r="F1002" s="48" t="s">
        <v>3923</v>
      </c>
      <c r="G1002" s="48" t="s">
        <v>14</v>
      </c>
      <c r="H1002" s="48" t="s">
        <v>13</v>
      </c>
      <c r="I1002" s="48" t="s">
        <v>3924</v>
      </c>
      <c r="J1002" s="48" t="s">
        <v>5628</v>
      </c>
      <c r="K1002" s="48" t="s">
        <v>3966</v>
      </c>
      <c r="L1002" s="48" t="s">
        <v>3986</v>
      </c>
      <c r="M1002" s="57" t="s">
        <v>5626</v>
      </c>
      <c r="N1002" s="48" t="s">
        <v>3924</v>
      </c>
    </row>
    <row r="1003" spans="1:14" ht="75" customHeight="1" thickTop="1" thickBot="1">
      <c r="A1003" s="26">
        <v>1001</v>
      </c>
      <c r="B1003" s="34">
        <v>1054</v>
      </c>
      <c r="C1003" s="57" t="s">
        <v>5627</v>
      </c>
      <c r="D1003" s="58" t="s">
        <v>394</v>
      </c>
      <c r="E1003" s="58" t="s">
        <v>3922</v>
      </c>
      <c r="F1003" s="48" t="s">
        <v>3923</v>
      </c>
      <c r="G1003" s="48" t="s">
        <v>14</v>
      </c>
      <c r="H1003" s="48" t="s">
        <v>13</v>
      </c>
      <c r="I1003" s="48" t="s">
        <v>3924</v>
      </c>
      <c r="J1003" s="48" t="s">
        <v>5628</v>
      </c>
      <c r="K1003" s="48" t="s">
        <v>3966</v>
      </c>
      <c r="L1003" s="48" t="s">
        <v>3927</v>
      </c>
      <c r="M1003" s="57" t="s">
        <v>5629</v>
      </c>
      <c r="N1003" s="48" t="s">
        <v>3924</v>
      </c>
    </row>
    <row r="1004" spans="1:14" ht="75" customHeight="1" thickTop="1" thickBot="1">
      <c r="A1004" s="34">
        <v>1002</v>
      </c>
      <c r="B1004" s="26">
        <v>1055</v>
      </c>
      <c r="C1004" s="57" t="s">
        <v>5627</v>
      </c>
      <c r="D1004" s="58" t="s">
        <v>394</v>
      </c>
      <c r="E1004" s="58" t="s">
        <v>3922</v>
      </c>
      <c r="F1004" s="48" t="s">
        <v>3923</v>
      </c>
      <c r="G1004" s="48" t="s">
        <v>14</v>
      </c>
      <c r="H1004" s="48" t="s">
        <v>13</v>
      </c>
      <c r="I1004" s="48" t="s">
        <v>3924</v>
      </c>
      <c r="J1004" s="48" t="s">
        <v>5630</v>
      </c>
      <c r="K1004" s="48" t="s">
        <v>3966</v>
      </c>
      <c r="L1004" s="48" t="s">
        <v>3927</v>
      </c>
      <c r="M1004" s="57" t="s">
        <v>4559</v>
      </c>
      <c r="N1004" s="48" t="s">
        <v>3924</v>
      </c>
    </row>
    <row r="1005" spans="1:14" ht="75" customHeight="1" thickTop="1" thickBot="1">
      <c r="A1005" s="34">
        <v>1003</v>
      </c>
      <c r="B1005" s="34">
        <v>1056</v>
      </c>
      <c r="C1005" s="57" t="s">
        <v>5631</v>
      </c>
      <c r="D1005" s="58" t="s">
        <v>394</v>
      </c>
      <c r="E1005" s="58" t="s">
        <v>3922</v>
      </c>
      <c r="F1005" s="48" t="s">
        <v>3923</v>
      </c>
      <c r="G1005" s="48" t="s">
        <v>14</v>
      </c>
      <c r="H1005" s="48" t="s">
        <v>13</v>
      </c>
      <c r="I1005" s="48" t="s">
        <v>3924</v>
      </c>
      <c r="J1005" s="48" t="s">
        <v>5632</v>
      </c>
      <c r="K1005" s="48" t="s">
        <v>3966</v>
      </c>
      <c r="L1005" s="48" t="s">
        <v>5633</v>
      </c>
      <c r="M1005" s="57" t="s">
        <v>5629</v>
      </c>
      <c r="N1005" s="48" t="s">
        <v>3924</v>
      </c>
    </row>
    <row r="1006" spans="1:14" ht="75" customHeight="1" thickTop="1" thickBot="1">
      <c r="A1006" s="26">
        <v>1004</v>
      </c>
      <c r="B1006" s="26">
        <v>1057</v>
      </c>
      <c r="C1006" s="57" t="s">
        <v>5634</v>
      </c>
      <c r="D1006" s="58" t="s">
        <v>394</v>
      </c>
      <c r="E1006" s="58" t="s">
        <v>3922</v>
      </c>
      <c r="F1006" s="48" t="s">
        <v>3923</v>
      </c>
      <c r="G1006" s="48" t="s">
        <v>14</v>
      </c>
      <c r="H1006" s="48" t="s">
        <v>13</v>
      </c>
      <c r="I1006" s="48" t="s">
        <v>3924</v>
      </c>
      <c r="J1006" s="48" t="s">
        <v>5632</v>
      </c>
      <c r="K1006" s="48" t="s">
        <v>3976</v>
      </c>
      <c r="L1006" s="48" t="s">
        <v>3963</v>
      </c>
      <c r="M1006" s="57" t="s">
        <v>5635</v>
      </c>
      <c r="N1006" s="48" t="s">
        <v>3924</v>
      </c>
    </row>
    <row r="1007" spans="1:14" ht="75" customHeight="1" thickTop="1" thickBot="1">
      <c r="A1007" s="34">
        <v>1005</v>
      </c>
      <c r="B1007" s="34">
        <v>1058</v>
      </c>
      <c r="C1007" s="57" t="s">
        <v>5634</v>
      </c>
      <c r="D1007" s="58" t="s">
        <v>394</v>
      </c>
      <c r="E1007" s="58" t="s">
        <v>3922</v>
      </c>
      <c r="F1007" s="48" t="s">
        <v>3923</v>
      </c>
      <c r="G1007" s="48" t="s">
        <v>14</v>
      </c>
      <c r="H1007" s="48" t="s">
        <v>13</v>
      </c>
      <c r="I1007" s="48" t="s">
        <v>3924</v>
      </c>
      <c r="J1007" s="48" t="s">
        <v>5632</v>
      </c>
      <c r="K1007" s="48" t="s">
        <v>3976</v>
      </c>
      <c r="L1007" s="48" t="s">
        <v>3963</v>
      </c>
      <c r="M1007" s="57" t="s">
        <v>5636</v>
      </c>
      <c r="N1007" s="48" t="s">
        <v>3924</v>
      </c>
    </row>
    <row r="1008" spans="1:14" ht="75" customHeight="1" thickTop="1" thickBot="1">
      <c r="A1008" s="34">
        <v>1006</v>
      </c>
      <c r="B1008" s="26">
        <v>1059</v>
      </c>
      <c r="C1008" s="57" t="s">
        <v>5637</v>
      </c>
      <c r="D1008" s="58" t="s">
        <v>394</v>
      </c>
      <c r="E1008" s="58" t="s">
        <v>3922</v>
      </c>
      <c r="F1008" s="48" t="s">
        <v>3923</v>
      </c>
      <c r="G1008" s="48" t="s">
        <v>14</v>
      </c>
      <c r="H1008" s="48" t="s">
        <v>13</v>
      </c>
      <c r="I1008" s="48" t="s">
        <v>3924</v>
      </c>
      <c r="J1008" s="48" t="s">
        <v>5638</v>
      </c>
      <c r="K1008" s="48" t="s">
        <v>3976</v>
      </c>
      <c r="L1008" s="48" t="s">
        <v>4082</v>
      </c>
      <c r="M1008" s="57" t="s">
        <v>5639</v>
      </c>
      <c r="N1008" s="48" t="s">
        <v>3924</v>
      </c>
    </row>
    <row r="1009" spans="1:14" ht="75" customHeight="1" thickTop="1" thickBot="1">
      <c r="A1009" s="26">
        <v>1007</v>
      </c>
      <c r="B1009" s="34">
        <v>1060</v>
      </c>
      <c r="C1009" s="57" t="s">
        <v>5640</v>
      </c>
      <c r="D1009" s="58" t="s">
        <v>394</v>
      </c>
      <c r="E1009" s="58" t="s">
        <v>3922</v>
      </c>
      <c r="F1009" s="48" t="s">
        <v>3923</v>
      </c>
      <c r="G1009" s="48" t="s">
        <v>14</v>
      </c>
      <c r="H1009" s="48" t="s">
        <v>13</v>
      </c>
      <c r="I1009" s="48" t="s">
        <v>3924</v>
      </c>
      <c r="J1009" s="48" t="s">
        <v>5641</v>
      </c>
      <c r="K1009" s="48" t="s">
        <v>3976</v>
      </c>
      <c r="L1009" s="48" t="s">
        <v>4082</v>
      </c>
      <c r="M1009" s="57" t="s">
        <v>5604</v>
      </c>
      <c r="N1009" s="48" t="s">
        <v>3924</v>
      </c>
    </row>
    <row r="1010" spans="1:14" ht="75" customHeight="1" thickTop="1" thickBot="1">
      <c r="A1010" s="34">
        <v>1008</v>
      </c>
      <c r="B1010" s="26">
        <v>1061</v>
      </c>
      <c r="C1010" s="57" t="s">
        <v>5642</v>
      </c>
      <c r="D1010" s="58" t="s">
        <v>394</v>
      </c>
      <c r="E1010" s="58" t="s">
        <v>3922</v>
      </c>
      <c r="F1010" s="48" t="s">
        <v>3923</v>
      </c>
      <c r="G1010" s="48" t="s">
        <v>14</v>
      </c>
      <c r="H1010" s="48" t="s">
        <v>13</v>
      </c>
      <c r="I1010" s="48" t="s">
        <v>3924</v>
      </c>
      <c r="J1010" s="48" t="s">
        <v>5643</v>
      </c>
      <c r="K1010" s="48" t="s">
        <v>3976</v>
      </c>
      <c r="L1010" s="48" t="s">
        <v>3986</v>
      </c>
      <c r="M1010" s="57" t="s">
        <v>5644</v>
      </c>
      <c r="N1010" s="48" t="s">
        <v>3924</v>
      </c>
    </row>
    <row r="1011" spans="1:14" ht="75" customHeight="1" thickTop="1" thickBot="1">
      <c r="A1011" s="34">
        <v>1009</v>
      </c>
      <c r="B1011" s="34">
        <v>1062</v>
      </c>
      <c r="C1011" s="57" t="s">
        <v>5645</v>
      </c>
      <c r="D1011" s="58" t="s">
        <v>394</v>
      </c>
      <c r="E1011" s="58" t="s">
        <v>3922</v>
      </c>
      <c r="F1011" s="48" t="s">
        <v>3923</v>
      </c>
      <c r="G1011" s="48" t="s">
        <v>14</v>
      </c>
      <c r="H1011" s="48" t="s">
        <v>13</v>
      </c>
      <c r="I1011" s="48" t="s">
        <v>3924</v>
      </c>
      <c r="J1011" s="48" t="s">
        <v>5643</v>
      </c>
      <c r="K1011" s="48" t="s">
        <v>3976</v>
      </c>
      <c r="L1011" s="48" t="s">
        <v>3986</v>
      </c>
      <c r="M1011" s="57" t="s">
        <v>5646</v>
      </c>
      <c r="N1011" s="48" t="s">
        <v>3924</v>
      </c>
    </row>
    <row r="1012" spans="1:14" ht="75" customHeight="1" thickTop="1" thickBot="1">
      <c r="A1012" s="26">
        <v>1010</v>
      </c>
      <c r="B1012" s="26">
        <v>1063</v>
      </c>
      <c r="C1012" s="57" t="s">
        <v>5645</v>
      </c>
      <c r="D1012" s="58" t="s">
        <v>394</v>
      </c>
      <c r="E1012" s="58" t="s">
        <v>3922</v>
      </c>
      <c r="F1012" s="48" t="s">
        <v>3923</v>
      </c>
      <c r="G1012" s="48" t="s">
        <v>14</v>
      </c>
      <c r="H1012" s="48" t="s">
        <v>13</v>
      </c>
      <c r="I1012" s="48" t="s">
        <v>3924</v>
      </c>
      <c r="J1012" s="48" t="s">
        <v>5643</v>
      </c>
      <c r="K1012" s="48" t="s">
        <v>3976</v>
      </c>
      <c r="L1012" s="48" t="s">
        <v>3986</v>
      </c>
      <c r="M1012" s="57" t="s">
        <v>677</v>
      </c>
      <c r="N1012" s="48" t="s">
        <v>3924</v>
      </c>
    </row>
    <row r="1013" spans="1:14" ht="75" customHeight="1" thickTop="1" thickBot="1">
      <c r="A1013" s="34">
        <v>1011</v>
      </c>
      <c r="B1013" s="34">
        <v>1064</v>
      </c>
      <c r="C1013" s="57" t="s">
        <v>5647</v>
      </c>
      <c r="D1013" s="58" t="s">
        <v>394</v>
      </c>
      <c r="E1013" s="58" t="s">
        <v>3922</v>
      </c>
      <c r="F1013" s="48" t="s">
        <v>3923</v>
      </c>
      <c r="G1013" s="48" t="s">
        <v>14</v>
      </c>
      <c r="H1013" s="48" t="s">
        <v>13</v>
      </c>
      <c r="I1013" s="48" t="s">
        <v>3924</v>
      </c>
      <c r="J1013" s="48" t="s">
        <v>5648</v>
      </c>
      <c r="K1013" s="48" t="s">
        <v>3976</v>
      </c>
      <c r="L1013" s="48" t="s">
        <v>3963</v>
      </c>
      <c r="M1013" s="57" t="s">
        <v>5649</v>
      </c>
      <c r="N1013" s="48" t="s">
        <v>3924</v>
      </c>
    </row>
    <row r="1014" spans="1:14" ht="75" customHeight="1" thickTop="1" thickBot="1">
      <c r="A1014" s="34">
        <v>1012</v>
      </c>
      <c r="B1014" s="26">
        <v>1065</v>
      </c>
      <c r="C1014" s="57" t="s">
        <v>5650</v>
      </c>
      <c r="D1014" s="58" t="s">
        <v>394</v>
      </c>
      <c r="E1014" s="58" t="s">
        <v>3922</v>
      </c>
      <c r="F1014" s="48" t="s">
        <v>3923</v>
      </c>
      <c r="G1014" s="48" t="s">
        <v>14</v>
      </c>
      <c r="H1014" s="48" t="s">
        <v>13</v>
      </c>
      <c r="I1014" s="48" t="s">
        <v>3924</v>
      </c>
      <c r="J1014" s="48" t="s">
        <v>5648</v>
      </c>
      <c r="K1014" s="48" t="s">
        <v>3976</v>
      </c>
      <c r="L1014" s="48" t="s">
        <v>3927</v>
      </c>
      <c r="M1014" s="57" t="s">
        <v>5651</v>
      </c>
      <c r="N1014" s="48" t="s">
        <v>3924</v>
      </c>
    </row>
    <row r="1015" spans="1:14" ht="75" customHeight="1" thickTop="1" thickBot="1">
      <c r="A1015" s="26">
        <v>1013</v>
      </c>
      <c r="B1015" s="34">
        <v>1066</v>
      </c>
      <c r="C1015" s="57" t="s">
        <v>5650</v>
      </c>
      <c r="D1015" s="58" t="s">
        <v>394</v>
      </c>
      <c r="E1015" s="58" t="s">
        <v>3922</v>
      </c>
      <c r="F1015" s="48" t="s">
        <v>3923</v>
      </c>
      <c r="G1015" s="48" t="s">
        <v>14</v>
      </c>
      <c r="H1015" s="48" t="s">
        <v>13</v>
      </c>
      <c r="I1015" s="48" t="s">
        <v>3924</v>
      </c>
      <c r="J1015" s="48" t="s">
        <v>5652</v>
      </c>
      <c r="K1015" s="48" t="s">
        <v>3976</v>
      </c>
      <c r="L1015" s="48" t="s">
        <v>3986</v>
      </c>
      <c r="M1015" s="57" t="s">
        <v>5653</v>
      </c>
      <c r="N1015" s="48" t="s">
        <v>3924</v>
      </c>
    </row>
    <row r="1016" spans="1:14" ht="75" customHeight="1" thickTop="1" thickBot="1">
      <c r="A1016" s="34">
        <v>1014</v>
      </c>
      <c r="B1016" s="26">
        <v>1067</v>
      </c>
      <c r="C1016" s="57" t="s">
        <v>5654</v>
      </c>
      <c r="D1016" s="58" t="s">
        <v>394</v>
      </c>
      <c r="E1016" s="58" t="s">
        <v>3922</v>
      </c>
      <c r="F1016" s="48" t="s">
        <v>3923</v>
      </c>
      <c r="G1016" s="48" t="s">
        <v>14</v>
      </c>
      <c r="H1016" s="48" t="s">
        <v>13</v>
      </c>
      <c r="I1016" s="48" t="s">
        <v>3924</v>
      </c>
      <c r="J1016" s="48" t="s">
        <v>5652</v>
      </c>
      <c r="K1016" s="48" t="s">
        <v>4040</v>
      </c>
      <c r="L1016" s="48" t="s">
        <v>4082</v>
      </c>
      <c r="M1016" s="57" t="s">
        <v>5639</v>
      </c>
      <c r="N1016" s="48" t="s">
        <v>3924</v>
      </c>
    </row>
    <row r="1017" spans="1:14" ht="75" customHeight="1" thickTop="1" thickBot="1">
      <c r="A1017" s="34">
        <v>1015</v>
      </c>
      <c r="B1017" s="34">
        <v>1068</v>
      </c>
      <c r="C1017" s="57" t="s">
        <v>5654</v>
      </c>
      <c r="D1017" s="58" t="s">
        <v>394</v>
      </c>
      <c r="E1017" s="58" t="s">
        <v>3922</v>
      </c>
      <c r="F1017" s="48" t="s">
        <v>3923</v>
      </c>
      <c r="G1017" s="48" t="s">
        <v>14</v>
      </c>
      <c r="H1017" s="48" t="s">
        <v>13</v>
      </c>
      <c r="I1017" s="48" t="s">
        <v>3924</v>
      </c>
      <c r="J1017" s="48" t="s">
        <v>5655</v>
      </c>
      <c r="K1017" s="48" t="s">
        <v>4087</v>
      </c>
      <c r="L1017" s="48" t="s">
        <v>4082</v>
      </c>
      <c r="M1017" s="57" t="s">
        <v>5639</v>
      </c>
      <c r="N1017" s="48" t="s">
        <v>3924</v>
      </c>
    </row>
    <row r="1018" spans="1:14" ht="75" customHeight="1" thickTop="1" thickBot="1">
      <c r="A1018" s="26">
        <v>1016</v>
      </c>
      <c r="B1018" s="26">
        <v>1069</v>
      </c>
      <c r="C1018" s="57" t="s">
        <v>5656</v>
      </c>
      <c r="D1018" s="58" t="s">
        <v>394</v>
      </c>
      <c r="E1018" s="58" t="s">
        <v>3922</v>
      </c>
      <c r="F1018" s="48" t="s">
        <v>3923</v>
      </c>
      <c r="G1018" s="48" t="s">
        <v>14</v>
      </c>
      <c r="H1018" s="48" t="s">
        <v>13</v>
      </c>
      <c r="I1018" s="48" t="s">
        <v>3924</v>
      </c>
      <c r="J1018" s="48" t="s">
        <v>5655</v>
      </c>
      <c r="K1018" s="48" t="s">
        <v>4225</v>
      </c>
      <c r="L1018" s="48" t="s">
        <v>4082</v>
      </c>
      <c r="M1018" s="57" t="s">
        <v>5639</v>
      </c>
      <c r="N1018" s="48" t="s">
        <v>3924</v>
      </c>
    </row>
    <row r="1019" spans="1:14" ht="75" customHeight="1" thickTop="1" thickBot="1">
      <c r="A1019" s="34">
        <v>1017</v>
      </c>
      <c r="B1019" s="34">
        <v>1070</v>
      </c>
      <c r="C1019" s="57" t="s">
        <v>5657</v>
      </c>
      <c r="D1019" s="58" t="s">
        <v>394</v>
      </c>
      <c r="E1019" s="58" t="s">
        <v>3922</v>
      </c>
      <c r="F1019" s="48" t="s">
        <v>3923</v>
      </c>
      <c r="G1019" s="48" t="s">
        <v>14</v>
      </c>
      <c r="H1019" s="48" t="s">
        <v>13</v>
      </c>
      <c r="I1019" s="48" t="s">
        <v>3924</v>
      </c>
      <c r="J1019" s="48" t="s">
        <v>5658</v>
      </c>
      <c r="K1019" s="48" t="s">
        <v>3929</v>
      </c>
      <c r="L1019" s="48" t="s">
        <v>4082</v>
      </c>
      <c r="M1019" s="57" t="s">
        <v>5659</v>
      </c>
      <c r="N1019" s="48" t="s">
        <v>3924</v>
      </c>
    </row>
    <row r="1020" spans="1:14" ht="75" customHeight="1" thickTop="1" thickBot="1">
      <c r="A1020" s="34">
        <v>1018</v>
      </c>
      <c r="B1020" s="26">
        <v>1071</v>
      </c>
      <c r="C1020" s="57" t="s">
        <v>5660</v>
      </c>
      <c r="D1020" s="58" t="s">
        <v>394</v>
      </c>
      <c r="E1020" s="58" t="s">
        <v>3922</v>
      </c>
      <c r="F1020" s="48" t="s">
        <v>3923</v>
      </c>
      <c r="G1020" s="48" t="s">
        <v>14</v>
      </c>
      <c r="H1020" s="48" t="s">
        <v>13</v>
      </c>
      <c r="I1020" s="48" t="s">
        <v>3924</v>
      </c>
      <c r="J1020" s="48" t="s">
        <v>5658</v>
      </c>
      <c r="K1020" s="48" t="s">
        <v>3954</v>
      </c>
      <c r="L1020" s="48" t="s">
        <v>4082</v>
      </c>
      <c r="M1020" s="57" t="s">
        <v>5661</v>
      </c>
      <c r="N1020" s="48" t="s">
        <v>3924</v>
      </c>
    </row>
    <row r="1021" spans="1:14" ht="75" customHeight="1" thickTop="1" thickBot="1">
      <c r="A1021" s="26">
        <v>1019</v>
      </c>
      <c r="B1021" s="34">
        <v>1072</v>
      </c>
      <c r="C1021" s="57" t="s">
        <v>5662</v>
      </c>
      <c r="D1021" s="58" t="s">
        <v>394</v>
      </c>
      <c r="E1021" s="58" t="s">
        <v>3922</v>
      </c>
      <c r="F1021" s="48" t="s">
        <v>3923</v>
      </c>
      <c r="G1021" s="48" t="s">
        <v>14</v>
      </c>
      <c r="H1021" s="48" t="s">
        <v>13</v>
      </c>
      <c r="I1021" s="48" t="s">
        <v>3924</v>
      </c>
      <c r="J1021" s="48" t="s">
        <v>5663</v>
      </c>
      <c r="K1021" s="48" t="s">
        <v>3941</v>
      </c>
      <c r="L1021" s="48" t="s">
        <v>4082</v>
      </c>
      <c r="M1021" s="57" t="s">
        <v>5659</v>
      </c>
      <c r="N1021" s="48" t="s">
        <v>3924</v>
      </c>
    </row>
    <row r="1022" spans="1:14" ht="75" customHeight="1" thickTop="1" thickBot="1">
      <c r="A1022" s="34">
        <v>1020</v>
      </c>
      <c r="B1022" s="26">
        <v>1073</v>
      </c>
      <c r="C1022" s="57" t="s">
        <v>5664</v>
      </c>
      <c r="D1022" s="58" t="s">
        <v>394</v>
      </c>
      <c r="E1022" s="58" t="s">
        <v>3922</v>
      </c>
      <c r="F1022" s="48" t="s">
        <v>3923</v>
      </c>
      <c r="G1022" s="48" t="s">
        <v>14</v>
      </c>
      <c r="H1022" s="48" t="s">
        <v>13</v>
      </c>
      <c r="I1022" s="48" t="s">
        <v>3924</v>
      </c>
      <c r="J1022" s="48" t="s">
        <v>5663</v>
      </c>
      <c r="K1022" s="48" t="s">
        <v>3966</v>
      </c>
      <c r="L1022" s="48" t="s">
        <v>3927</v>
      </c>
      <c r="M1022" s="57" t="s">
        <v>681</v>
      </c>
      <c r="N1022" s="48" t="s">
        <v>3924</v>
      </c>
    </row>
    <row r="1023" spans="1:14" ht="75" customHeight="1" thickTop="1" thickBot="1">
      <c r="A1023" s="34">
        <v>1021</v>
      </c>
      <c r="B1023" s="34">
        <v>1074</v>
      </c>
      <c r="C1023" s="57" t="s">
        <v>5665</v>
      </c>
      <c r="D1023" s="58" t="s">
        <v>394</v>
      </c>
      <c r="E1023" s="58" t="s">
        <v>3922</v>
      </c>
      <c r="F1023" s="48" t="s">
        <v>3923</v>
      </c>
      <c r="G1023" s="48" t="s">
        <v>14</v>
      </c>
      <c r="H1023" s="48" t="s">
        <v>13</v>
      </c>
      <c r="I1023" s="48" t="s">
        <v>3924</v>
      </c>
      <c r="J1023" s="48" t="s">
        <v>5666</v>
      </c>
      <c r="K1023" s="48" t="s">
        <v>3947</v>
      </c>
      <c r="L1023" s="48" t="s">
        <v>3927</v>
      </c>
      <c r="M1023" s="57" t="s">
        <v>5667</v>
      </c>
      <c r="N1023" s="48" t="s">
        <v>3924</v>
      </c>
    </row>
    <row r="1024" spans="1:14" ht="75" customHeight="1" thickTop="1" thickBot="1">
      <c r="A1024" s="26">
        <v>1022</v>
      </c>
      <c r="B1024" s="26">
        <v>1075</v>
      </c>
      <c r="C1024" s="57" t="s">
        <v>5665</v>
      </c>
      <c r="D1024" s="58" t="s">
        <v>394</v>
      </c>
      <c r="E1024" s="58" t="s">
        <v>3922</v>
      </c>
      <c r="F1024" s="48" t="s">
        <v>3923</v>
      </c>
      <c r="G1024" s="48" t="s">
        <v>14</v>
      </c>
      <c r="H1024" s="48" t="s">
        <v>13</v>
      </c>
      <c r="I1024" s="48" t="s">
        <v>3924</v>
      </c>
      <c r="J1024" s="48" t="s">
        <v>5666</v>
      </c>
      <c r="K1024" s="48" t="s">
        <v>3966</v>
      </c>
      <c r="L1024" s="48" t="s">
        <v>3986</v>
      </c>
      <c r="M1024" s="57" t="s">
        <v>5635</v>
      </c>
      <c r="N1024" s="48" t="s">
        <v>3924</v>
      </c>
    </row>
    <row r="1025" spans="1:14" ht="75" customHeight="1" thickTop="1" thickBot="1">
      <c r="A1025" s="34">
        <v>1023</v>
      </c>
      <c r="B1025" s="34">
        <v>1076</v>
      </c>
      <c r="C1025" s="57" t="s">
        <v>5668</v>
      </c>
      <c r="D1025" s="58" t="s">
        <v>394</v>
      </c>
      <c r="E1025" s="58" t="s">
        <v>3922</v>
      </c>
      <c r="F1025" s="48" t="s">
        <v>3923</v>
      </c>
      <c r="G1025" s="48" t="s">
        <v>14</v>
      </c>
      <c r="H1025" s="48" t="s">
        <v>13</v>
      </c>
      <c r="I1025" s="48" t="s">
        <v>3924</v>
      </c>
      <c r="J1025" s="48" t="s">
        <v>5666</v>
      </c>
      <c r="K1025" s="48" t="s">
        <v>3966</v>
      </c>
      <c r="L1025" s="48" t="s">
        <v>3963</v>
      </c>
      <c r="M1025" s="57" t="s">
        <v>5635</v>
      </c>
      <c r="N1025" s="48" t="s">
        <v>3924</v>
      </c>
    </row>
    <row r="1026" spans="1:14" ht="75" customHeight="1" thickTop="1" thickBot="1">
      <c r="A1026" s="34">
        <v>1024</v>
      </c>
      <c r="B1026" s="26">
        <v>1077</v>
      </c>
      <c r="C1026" s="57" t="s">
        <v>5669</v>
      </c>
      <c r="D1026" s="58" t="s">
        <v>394</v>
      </c>
      <c r="E1026" s="58" t="s">
        <v>3922</v>
      </c>
      <c r="F1026" s="48" t="s">
        <v>3923</v>
      </c>
      <c r="G1026" s="48" t="s">
        <v>14</v>
      </c>
      <c r="H1026" s="48" t="s">
        <v>13</v>
      </c>
      <c r="I1026" s="48" t="s">
        <v>3924</v>
      </c>
      <c r="J1026" s="48" t="s">
        <v>5670</v>
      </c>
      <c r="K1026" s="48" t="s">
        <v>4221</v>
      </c>
      <c r="L1026" s="48" t="s">
        <v>3927</v>
      </c>
      <c r="M1026" s="57" t="s">
        <v>5671</v>
      </c>
      <c r="N1026" s="48" t="s">
        <v>3924</v>
      </c>
    </row>
    <row r="1027" spans="1:14" ht="75" customHeight="1" thickTop="1" thickBot="1">
      <c r="A1027" s="26">
        <v>1025</v>
      </c>
      <c r="B1027" s="34">
        <v>1078</v>
      </c>
      <c r="C1027" s="57" t="s">
        <v>5672</v>
      </c>
      <c r="D1027" s="58" t="s">
        <v>394</v>
      </c>
      <c r="E1027" s="58" t="s">
        <v>3922</v>
      </c>
      <c r="F1027" s="48" t="s">
        <v>3923</v>
      </c>
      <c r="G1027" s="48" t="s">
        <v>14</v>
      </c>
      <c r="H1027" s="48" t="s">
        <v>13</v>
      </c>
      <c r="I1027" s="48" t="s">
        <v>3924</v>
      </c>
      <c r="J1027" s="48" t="s">
        <v>5670</v>
      </c>
      <c r="K1027" s="48" t="s">
        <v>3926</v>
      </c>
      <c r="L1027" s="48" t="s">
        <v>3963</v>
      </c>
      <c r="M1027" s="57" t="s">
        <v>5673</v>
      </c>
      <c r="N1027" s="48" t="s">
        <v>3924</v>
      </c>
    </row>
    <row r="1028" spans="1:14" ht="75" customHeight="1" thickTop="1" thickBot="1">
      <c r="A1028" s="34">
        <v>1026</v>
      </c>
      <c r="B1028" s="26">
        <v>1079</v>
      </c>
      <c r="C1028" s="57" t="s">
        <v>5672</v>
      </c>
      <c r="D1028" s="58" t="s">
        <v>394</v>
      </c>
      <c r="E1028" s="58" t="s">
        <v>3922</v>
      </c>
      <c r="F1028" s="48" t="s">
        <v>3923</v>
      </c>
      <c r="G1028" s="48" t="s">
        <v>14</v>
      </c>
      <c r="H1028" s="48" t="s">
        <v>13</v>
      </c>
      <c r="I1028" s="48" t="s">
        <v>3924</v>
      </c>
      <c r="J1028" s="48" t="s">
        <v>5674</v>
      </c>
      <c r="K1028" s="48" t="s">
        <v>3976</v>
      </c>
      <c r="L1028" s="48" t="s">
        <v>4082</v>
      </c>
      <c r="M1028" s="57" t="s">
        <v>5675</v>
      </c>
      <c r="N1028" s="48" t="s">
        <v>3924</v>
      </c>
    </row>
    <row r="1029" spans="1:14" ht="75" customHeight="1" thickTop="1" thickBot="1">
      <c r="A1029" s="34">
        <v>1027</v>
      </c>
      <c r="B1029" s="34">
        <v>1080</v>
      </c>
      <c r="C1029" s="57" t="s">
        <v>5676</v>
      </c>
      <c r="D1029" s="58" t="s">
        <v>394</v>
      </c>
      <c r="E1029" s="58" t="s">
        <v>3922</v>
      </c>
      <c r="F1029" s="48" t="s">
        <v>3923</v>
      </c>
      <c r="G1029" s="48" t="s">
        <v>14</v>
      </c>
      <c r="H1029" s="48" t="s">
        <v>13</v>
      </c>
      <c r="I1029" s="48" t="s">
        <v>3924</v>
      </c>
      <c r="J1029" s="48" t="s">
        <v>5674</v>
      </c>
      <c r="K1029" s="48" t="s">
        <v>3926</v>
      </c>
      <c r="L1029" s="48" t="s">
        <v>3963</v>
      </c>
      <c r="M1029" s="57" t="s">
        <v>5677</v>
      </c>
      <c r="N1029" s="48" t="s">
        <v>3924</v>
      </c>
    </row>
    <row r="1030" spans="1:14" ht="75" customHeight="1" thickTop="1" thickBot="1">
      <c r="A1030" s="26">
        <v>1028</v>
      </c>
      <c r="B1030" s="26">
        <v>1081</v>
      </c>
      <c r="C1030" s="57" t="s">
        <v>5678</v>
      </c>
      <c r="D1030" s="58" t="s">
        <v>394</v>
      </c>
      <c r="E1030" s="58" t="s">
        <v>3922</v>
      </c>
      <c r="F1030" s="48" t="s">
        <v>3923</v>
      </c>
      <c r="G1030" s="48" t="s">
        <v>14</v>
      </c>
      <c r="H1030" s="48" t="s">
        <v>13</v>
      </c>
      <c r="I1030" s="48" t="s">
        <v>3924</v>
      </c>
      <c r="J1030" s="48" t="s">
        <v>5674</v>
      </c>
      <c r="K1030" s="48" t="s">
        <v>3926</v>
      </c>
      <c r="L1030" s="48" t="s">
        <v>3927</v>
      </c>
      <c r="M1030" s="57" t="s">
        <v>5679</v>
      </c>
      <c r="N1030" s="48" t="s">
        <v>3924</v>
      </c>
    </row>
    <row r="1031" spans="1:14" ht="75" customHeight="1" thickTop="1" thickBot="1">
      <c r="A1031" s="34">
        <v>1029</v>
      </c>
      <c r="B1031" s="34">
        <v>1082</v>
      </c>
      <c r="C1031" s="57" t="s">
        <v>5678</v>
      </c>
      <c r="D1031" s="58" t="s">
        <v>394</v>
      </c>
      <c r="E1031" s="58" t="s">
        <v>3922</v>
      </c>
      <c r="F1031" s="48" t="s">
        <v>3923</v>
      </c>
      <c r="G1031" s="48" t="s">
        <v>14</v>
      </c>
      <c r="H1031" s="48" t="s">
        <v>13</v>
      </c>
      <c r="I1031" s="48" t="s">
        <v>3924</v>
      </c>
      <c r="J1031" s="48" t="s">
        <v>5680</v>
      </c>
      <c r="K1031" s="48" t="s">
        <v>3926</v>
      </c>
      <c r="L1031" s="48" t="s">
        <v>3986</v>
      </c>
      <c r="M1031" s="57" t="s">
        <v>677</v>
      </c>
      <c r="N1031" s="48" t="s">
        <v>3924</v>
      </c>
    </row>
    <row r="1032" spans="1:14" ht="75" customHeight="1" thickTop="1" thickBot="1">
      <c r="A1032" s="34">
        <v>1030</v>
      </c>
      <c r="B1032" s="26">
        <v>1083</v>
      </c>
      <c r="C1032" s="57" t="s">
        <v>5560</v>
      </c>
      <c r="D1032" s="58" t="s">
        <v>394</v>
      </c>
      <c r="E1032" s="58" t="s">
        <v>3922</v>
      </c>
      <c r="F1032" s="48" t="s">
        <v>3923</v>
      </c>
      <c r="G1032" s="48" t="s">
        <v>14</v>
      </c>
      <c r="H1032" s="48" t="s">
        <v>13</v>
      </c>
      <c r="I1032" s="48" t="s">
        <v>3924</v>
      </c>
      <c r="J1032" s="48" t="s">
        <v>5680</v>
      </c>
      <c r="K1032" s="48" t="s">
        <v>3947</v>
      </c>
      <c r="L1032" s="48" t="s">
        <v>4082</v>
      </c>
      <c r="M1032" s="57" t="s">
        <v>5681</v>
      </c>
      <c r="N1032" s="48" t="s">
        <v>3924</v>
      </c>
    </row>
    <row r="1033" spans="1:14" ht="75" customHeight="1" thickTop="1" thickBot="1">
      <c r="A1033" s="26">
        <v>1031</v>
      </c>
      <c r="B1033" s="34">
        <v>1084</v>
      </c>
      <c r="C1033" s="57" t="s">
        <v>5560</v>
      </c>
      <c r="D1033" s="58" t="s">
        <v>394</v>
      </c>
      <c r="E1033" s="58" t="s">
        <v>3922</v>
      </c>
      <c r="F1033" s="48" t="s">
        <v>3923</v>
      </c>
      <c r="G1033" s="48" t="s">
        <v>14</v>
      </c>
      <c r="H1033" s="48" t="s">
        <v>13</v>
      </c>
      <c r="I1033" s="48" t="s">
        <v>3924</v>
      </c>
      <c r="J1033" s="48" t="s">
        <v>5682</v>
      </c>
      <c r="K1033" s="48" t="s">
        <v>3966</v>
      </c>
      <c r="L1033" s="48" t="s">
        <v>3927</v>
      </c>
      <c r="M1033" s="57" t="s">
        <v>5683</v>
      </c>
      <c r="N1033" s="48" t="s">
        <v>3924</v>
      </c>
    </row>
    <row r="1034" spans="1:14" ht="75" customHeight="1" thickTop="1" thickBot="1">
      <c r="A1034" s="34">
        <v>1032</v>
      </c>
      <c r="B1034" s="26">
        <v>1085</v>
      </c>
      <c r="C1034" s="57" t="s">
        <v>5564</v>
      </c>
      <c r="D1034" s="58" t="s">
        <v>394</v>
      </c>
      <c r="E1034" s="58" t="s">
        <v>3922</v>
      </c>
      <c r="F1034" s="48" t="s">
        <v>3923</v>
      </c>
      <c r="G1034" s="48" t="s">
        <v>14</v>
      </c>
      <c r="H1034" s="48" t="s">
        <v>13</v>
      </c>
      <c r="I1034" s="48" t="s">
        <v>3924</v>
      </c>
      <c r="J1034" s="48" t="s">
        <v>5682</v>
      </c>
      <c r="K1034" s="48" t="s">
        <v>3966</v>
      </c>
      <c r="L1034" s="48" t="s">
        <v>5684</v>
      </c>
      <c r="M1034" s="57" t="s">
        <v>5685</v>
      </c>
      <c r="N1034" s="48" t="s">
        <v>3924</v>
      </c>
    </row>
    <row r="1035" spans="1:14" ht="75" customHeight="1" thickTop="1" thickBot="1">
      <c r="A1035" s="34">
        <v>1033</v>
      </c>
      <c r="B1035" s="34">
        <v>1086</v>
      </c>
      <c r="C1035" s="57" t="s">
        <v>5564</v>
      </c>
      <c r="D1035" s="58" t="s">
        <v>394</v>
      </c>
      <c r="E1035" s="58" t="s">
        <v>3922</v>
      </c>
      <c r="F1035" s="48" t="s">
        <v>3923</v>
      </c>
      <c r="G1035" s="48" t="s">
        <v>14</v>
      </c>
      <c r="H1035" s="48" t="s">
        <v>13</v>
      </c>
      <c r="I1035" s="48" t="s">
        <v>3924</v>
      </c>
      <c r="J1035" s="48" t="s">
        <v>5686</v>
      </c>
      <c r="K1035" s="48" t="s">
        <v>3966</v>
      </c>
      <c r="L1035" s="48" t="s">
        <v>4082</v>
      </c>
      <c r="M1035" s="57" t="s">
        <v>5687</v>
      </c>
      <c r="N1035" s="48" t="s">
        <v>3924</v>
      </c>
    </row>
    <row r="1036" spans="1:14" ht="75" customHeight="1" thickTop="1" thickBot="1">
      <c r="A1036" s="26">
        <v>1034</v>
      </c>
      <c r="B1036" s="26">
        <v>1087</v>
      </c>
      <c r="C1036" s="57" t="s">
        <v>5568</v>
      </c>
      <c r="D1036" s="58" t="s">
        <v>394</v>
      </c>
      <c r="E1036" s="58" t="s">
        <v>3922</v>
      </c>
      <c r="F1036" s="48" t="s">
        <v>3923</v>
      </c>
      <c r="G1036" s="48" t="s">
        <v>14</v>
      </c>
      <c r="H1036" s="48" t="s">
        <v>13</v>
      </c>
      <c r="I1036" s="48" t="s">
        <v>3924</v>
      </c>
      <c r="J1036" s="48" t="s">
        <v>5688</v>
      </c>
      <c r="K1036" s="48" t="s">
        <v>4040</v>
      </c>
      <c r="L1036" s="48" t="s">
        <v>4239</v>
      </c>
      <c r="M1036" s="57" t="s">
        <v>5689</v>
      </c>
      <c r="N1036" s="48" t="s">
        <v>3924</v>
      </c>
    </row>
    <row r="1037" spans="1:14" ht="75" customHeight="1" thickTop="1" thickBot="1">
      <c r="A1037" s="34">
        <v>1035</v>
      </c>
      <c r="B1037" s="34">
        <v>1088</v>
      </c>
      <c r="C1037" s="57" t="s">
        <v>5573</v>
      </c>
      <c r="D1037" s="58" t="s">
        <v>394</v>
      </c>
      <c r="E1037" s="58" t="s">
        <v>3922</v>
      </c>
      <c r="F1037" s="48" t="s">
        <v>3923</v>
      </c>
      <c r="G1037" s="48" t="s">
        <v>14</v>
      </c>
      <c r="H1037" s="48" t="s">
        <v>13</v>
      </c>
      <c r="I1037" s="48" t="s">
        <v>3924</v>
      </c>
      <c r="J1037" s="48" t="s">
        <v>5688</v>
      </c>
      <c r="K1037" s="48" t="s">
        <v>3966</v>
      </c>
      <c r="L1037" s="48" t="s">
        <v>3963</v>
      </c>
      <c r="M1037" s="57" t="s">
        <v>5690</v>
      </c>
      <c r="N1037" s="48" t="s">
        <v>3924</v>
      </c>
    </row>
    <row r="1038" spans="1:14" ht="75" customHeight="1" thickTop="1" thickBot="1">
      <c r="A1038" s="34">
        <v>1036</v>
      </c>
      <c r="B1038" s="26">
        <v>1089</v>
      </c>
      <c r="C1038" s="57" t="s">
        <v>5578</v>
      </c>
      <c r="D1038" s="58" t="s">
        <v>394</v>
      </c>
      <c r="E1038" s="58" t="s">
        <v>3922</v>
      </c>
      <c r="F1038" s="48" t="s">
        <v>3923</v>
      </c>
      <c r="G1038" s="48" t="s">
        <v>14</v>
      </c>
      <c r="H1038" s="48" t="s">
        <v>13</v>
      </c>
      <c r="I1038" s="48" t="s">
        <v>3924</v>
      </c>
      <c r="J1038" s="48" t="s">
        <v>5688</v>
      </c>
      <c r="K1038" s="48" t="s">
        <v>3966</v>
      </c>
      <c r="L1038" s="48" t="s">
        <v>3986</v>
      </c>
      <c r="M1038" s="57" t="s">
        <v>5690</v>
      </c>
      <c r="N1038" s="48" t="s">
        <v>3924</v>
      </c>
    </row>
    <row r="1039" spans="1:14" ht="75" customHeight="1" thickTop="1" thickBot="1">
      <c r="A1039" s="26">
        <v>1037</v>
      </c>
      <c r="B1039" s="34">
        <v>1090</v>
      </c>
      <c r="C1039" s="57" t="s">
        <v>5578</v>
      </c>
      <c r="D1039" s="58" t="s">
        <v>394</v>
      </c>
      <c r="E1039" s="58" t="s">
        <v>3922</v>
      </c>
      <c r="F1039" s="48" t="s">
        <v>3923</v>
      </c>
      <c r="G1039" s="48" t="s">
        <v>14</v>
      </c>
      <c r="H1039" s="48" t="s">
        <v>13</v>
      </c>
      <c r="I1039" s="48" t="s">
        <v>3924</v>
      </c>
      <c r="J1039" s="48" t="s">
        <v>5691</v>
      </c>
      <c r="K1039" s="48" t="s">
        <v>4087</v>
      </c>
      <c r="L1039" s="48" t="s">
        <v>4082</v>
      </c>
      <c r="M1039" s="57" t="s">
        <v>5639</v>
      </c>
      <c r="N1039" s="48" t="s">
        <v>3924</v>
      </c>
    </row>
    <row r="1040" spans="1:14" ht="75" customHeight="1" thickTop="1" thickBot="1">
      <c r="A1040" s="34">
        <v>1038</v>
      </c>
      <c r="B1040" s="26">
        <v>1091</v>
      </c>
      <c r="C1040" s="57" t="s">
        <v>5581</v>
      </c>
      <c r="D1040" s="58" t="s">
        <v>394</v>
      </c>
      <c r="E1040" s="58" t="s">
        <v>3922</v>
      </c>
      <c r="F1040" s="48" t="s">
        <v>3923</v>
      </c>
      <c r="G1040" s="48" t="s">
        <v>14</v>
      </c>
      <c r="H1040" s="48" t="s">
        <v>13</v>
      </c>
      <c r="I1040" s="48" t="s">
        <v>3924</v>
      </c>
      <c r="J1040" s="48" t="s">
        <v>5692</v>
      </c>
      <c r="K1040" s="48" t="s">
        <v>4010</v>
      </c>
      <c r="L1040" s="48" t="s">
        <v>4082</v>
      </c>
      <c r="M1040" s="57" t="s">
        <v>5639</v>
      </c>
      <c r="N1040" s="48" t="s">
        <v>3924</v>
      </c>
    </row>
    <row r="1041" spans="1:14" ht="75" customHeight="1" thickTop="1" thickBot="1">
      <c r="A1041" s="34">
        <v>1039</v>
      </c>
      <c r="B1041" s="34">
        <v>1092</v>
      </c>
      <c r="C1041" s="57" t="s">
        <v>5581</v>
      </c>
      <c r="D1041" s="58" t="s">
        <v>394</v>
      </c>
      <c r="E1041" s="58" t="s">
        <v>3922</v>
      </c>
      <c r="F1041" s="48" t="s">
        <v>3923</v>
      </c>
      <c r="G1041" s="48" t="s">
        <v>14</v>
      </c>
      <c r="H1041" s="48" t="s">
        <v>13</v>
      </c>
      <c r="I1041" s="48" t="s">
        <v>3924</v>
      </c>
      <c r="J1041" s="48" t="s">
        <v>5692</v>
      </c>
      <c r="K1041" s="48" t="s">
        <v>3947</v>
      </c>
      <c r="L1041" s="48" t="s">
        <v>4082</v>
      </c>
      <c r="M1041" s="57" t="s">
        <v>5639</v>
      </c>
      <c r="N1041" s="48" t="s">
        <v>3924</v>
      </c>
    </row>
    <row r="1042" spans="1:14" ht="75" customHeight="1" thickTop="1" thickBot="1">
      <c r="A1042" s="26">
        <v>1040</v>
      </c>
      <c r="B1042" s="26">
        <v>1093</v>
      </c>
      <c r="C1042" s="57" t="s">
        <v>5581</v>
      </c>
      <c r="D1042" s="58" t="s">
        <v>394</v>
      </c>
      <c r="E1042" s="58" t="s">
        <v>3922</v>
      </c>
      <c r="F1042" s="48" t="s">
        <v>3923</v>
      </c>
      <c r="G1042" s="48" t="s">
        <v>14</v>
      </c>
      <c r="H1042" s="48" t="s">
        <v>13</v>
      </c>
      <c r="I1042" s="48" t="s">
        <v>3924</v>
      </c>
      <c r="J1042" s="48" t="s">
        <v>5692</v>
      </c>
      <c r="K1042" s="48" t="s">
        <v>4087</v>
      </c>
      <c r="L1042" s="48" t="s">
        <v>4082</v>
      </c>
      <c r="M1042" s="57" t="s">
        <v>5639</v>
      </c>
      <c r="N1042" s="48" t="s">
        <v>3924</v>
      </c>
    </row>
    <row r="1043" spans="1:14" ht="75" customHeight="1" thickTop="1" thickBot="1">
      <c r="A1043" s="34">
        <v>1041</v>
      </c>
      <c r="B1043" s="34">
        <v>1094</v>
      </c>
      <c r="C1043" s="57" t="s">
        <v>5590</v>
      </c>
      <c r="D1043" s="58" t="s">
        <v>394</v>
      </c>
      <c r="E1043" s="58" t="s">
        <v>3922</v>
      </c>
      <c r="F1043" s="48" t="s">
        <v>3923</v>
      </c>
      <c r="G1043" s="48" t="s">
        <v>14</v>
      </c>
      <c r="H1043" s="48" t="s">
        <v>13</v>
      </c>
      <c r="I1043" s="48" t="s">
        <v>3924</v>
      </c>
      <c r="J1043" s="48" t="s">
        <v>5692</v>
      </c>
      <c r="K1043" s="48" t="s">
        <v>3976</v>
      </c>
      <c r="L1043" s="48" t="s">
        <v>4082</v>
      </c>
      <c r="M1043" s="57" t="s">
        <v>5565</v>
      </c>
      <c r="N1043" s="48" t="s">
        <v>3924</v>
      </c>
    </row>
    <row r="1044" spans="1:14" ht="75" customHeight="1" thickTop="1" thickBot="1">
      <c r="A1044" s="34">
        <v>1042</v>
      </c>
      <c r="B1044" s="26">
        <v>1095</v>
      </c>
      <c r="C1044" s="57" t="s">
        <v>5595</v>
      </c>
      <c r="D1044" s="58" t="s">
        <v>394</v>
      </c>
      <c r="E1044" s="58" t="s">
        <v>3922</v>
      </c>
      <c r="F1044" s="48" t="s">
        <v>3923</v>
      </c>
      <c r="G1044" s="48" t="s">
        <v>14</v>
      </c>
      <c r="H1044" s="48" t="s">
        <v>13</v>
      </c>
      <c r="I1044" s="48" t="s">
        <v>3924</v>
      </c>
      <c r="J1044" s="48" t="s">
        <v>5693</v>
      </c>
      <c r="K1044" s="48" t="s">
        <v>4087</v>
      </c>
      <c r="L1044" s="48" t="s">
        <v>4082</v>
      </c>
      <c r="M1044" s="57" t="s">
        <v>5659</v>
      </c>
      <c r="N1044" s="48" t="s">
        <v>3924</v>
      </c>
    </row>
    <row r="1045" spans="1:14" ht="75" customHeight="1" thickTop="1" thickBot="1">
      <c r="A1045" s="26">
        <v>1043</v>
      </c>
      <c r="B1045" s="34">
        <v>1096</v>
      </c>
      <c r="C1045" s="57" t="s">
        <v>5595</v>
      </c>
      <c r="D1045" s="58" t="s">
        <v>394</v>
      </c>
      <c r="E1045" s="58" t="s">
        <v>3922</v>
      </c>
      <c r="F1045" s="48" t="s">
        <v>3923</v>
      </c>
      <c r="G1045" s="48" t="s">
        <v>14</v>
      </c>
      <c r="H1045" s="48" t="s">
        <v>13</v>
      </c>
      <c r="I1045" s="48" t="s">
        <v>3924</v>
      </c>
      <c r="J1045" s="48" t="s">
        <v>5693</v>
      </c>
      <c r="K1045" s="48" t="s">
        <v>3966</v>
      </c>
      <c r="L1045" s="48" t="s">
        <v>4082</v>
      </c>
      <c r="M1045" s="57" t="s">
        <v>5565</v>
      </c>
      <c r="N1045" s="48" t="s">
        <v>3924</v>
      </c>
    </row>
    <row r="1046" spans="1:14" ht="75" customHeight="1" thickTop="1" thickBot="1">
      <c r="A1046" s="34">
        <v>1044</v>
      </c>
      <c r="B1046" s="26">
        <v>1097</v>
      </c>
      <c r="C1046" s="57" t="s">
        <v>5603</v>
      </c>
      <c r="D1046" s="58" t="s">
        <v>394</v>
      </c>
      <c r="E1046" s="58" t="s">
        <v>3922</v>
      </c>
      <c r="F1046" s="48" t="s">
        <v>3923</v>
      </c>
      <c r="G1046" s="48" t="s">
        <v>14</v>
      </c>
      <c r="H1046" s="48" t="s">
        <v>13</v>
      </c>
      <c r="I1046" s="48" t="s">
        <v>3924</v>
      </c>
      <c r="J1046" s="48" t="s">
        <v>5694</v>
      </c>
      <c r="K1046" s="48" t="s">
        <v>3966</v>
      </c>
      <c r="L1046" s="48" t="s">
        <v>4082</v>
      </c>
      <c r="M1046" s="57" t="s">
        <v>5695</v>
      </c>
      <c r="N1046" s="48" t="s">
        <v>3924</v>
      </c>
    </row>
    <row r="1047" spans="1:14" ht="75" customHeight="1" thickTop="1" thickBot="1">
      <c r="A1047" s="34">
        <v>1045</v>
      </c>
      <c r="B1047" s="34">
        <v>1098</v>
      </c>
      <c r="C1047" s="57" t="s">
        <v>5603</v>
      </c>
      <c r="D1047" s="58" t="s">
        <v>394</v>
      </c>
      <c r="E1047" s="58" t="s">
        <v>3922</v>
      </c>
      <c r="F1047" s="48" t="s">
        <v>3923</v>
      </c>
      <c r="G1047" s="48" t="s">
        <v>14</v>
      </c>
      <c r="H1047" s="48" t="s">
        <v>13</v>
      </c>
      <c r="I1047" s="48" t="s">
        <v>3924</v>
      </c>
      <c r="J1047" s="48" t="s">
        <v>5694</v>
      </c>
      <c r="K1047" s="48" t="s">
        <v>4190</v>
      </c>
      <c r="L1047" s="48" t="s">
        <v>3927</v>
      </c>
      <c r="M1047" s="57" t="s">
        <v>5696</v>
      </c>
      <c r="N1047" s="48" t="s">
        <v>3924</v>
      </c>
    </row>
    <row r="1048" spans="1:14" ht="75" customHeight="1" thickTop="1" thickBot="1">
      <c r="A1048" s="26">
        <v>1046</v>
      </c>
      <c r="B1048" s="26">
        <v>1099</v>
      </c>
      <c r="C1048" s="57" t="s">
        <v>5606</v>
      </c>
      <c r="D1048" s="58" t="s">
        <v>394</v>
      </c>
      <c r="E1048" s="58" t="s">
        <v>3922</v>
      </c>
      <c r="F1048" s="48" t="s">
        <v>3923</v>
      </c>
      <c r="G1048" s="48" t="s">
        <v>14</v>
      </c>
      <c r="H1048" s="48" t="s">
        <v>13</v>
      </c>
      <c r="I1048" s="48" t="s">
        <v>3924</v>
      </c>
      <c r="J1048" s="48" t="s">
        <v>5697</v>
      </c>
      <c r="K1048" s="48" t="s">
        <v>3929</v>
      </c>
      <c r="L1048" s="48" t="s">
        <v>4082</v>
      </c>
      <c r="M1048" s="57" t="s">
        <v>5659</v>
      </c>
      <c r="N1048" s="48" t="s">
        <v>3924</v>
      </c>
    </row>
    <row r="1049" spans="1:14" ht="75" customHeight="1" thickTop="1" thickBot="1">
      <c r="A1049" s="34">
        <v>1047</v>
      </c>
      <c r="B1049" s="34">
        <v>1100</v>
      </c>
      <c r="C1049" s="57" t="s">
        <v>5608</v>
      </c>
      <c r="D1049" s="58" t="s">
        <v>394</v>
      </c>
      <c r="E1049" s="58" t="s">
        <v>3922</v>
      </c>
      <c r="F1049" s="48" t="s">
        <v>3923</v>
      </c>
      <c r="G1049" s="48" t="s">
        <v>14</v>
      </c>
      <c r="H1049" s="48" t="s">
        <v>13</v>
      </c>
      <c r="I1049" s="48" t="s">
        <v>3924</v>
      </c>
      <c r="J1049" s="48" t="s">
        <v>5697</v>
      </c>
      <c r="K1049" s="48" t="s">
        <v>3941</v>
      </c>
      <c r="L1049" s="48" t="s">
        <v>4082</v>
      </c>
      <c r="M1049" s="57" t="s">
        <v>5698</v>
      </c>
      <c r="N1049" s="48" t="s">
        <v>3924</v>
      </c>
    </row>
    <row r="1050" spans="1:14" ht="75" customHeight="1" thickTop="1" thickBot="1">
      <c r="A1050" s="34">
        <v>1048</v>
      </c>
      <c r="B1050" s="26">
        <v>1101</v>
      </c>
      <c r="C1050" s="57" t="s">
        <v>5608</v>
      </c>
      <c r="D1050" s="58" t="s">
        <v>394</v>
      </c>
      <c r="E1050" s="58" t="s">
        <v>3922</v>
      </c>
      <c r="F1050" s="48" t="s">
        <v>3923</v>
      </c>
      <c r="G1050" s="48" t="s">
        <v>14</v>
      </c>
      <c r="H1050" s="48" t="s">
        <v>13</v>
      </c>
      <c r="I1050" s="48" t="s">
        <v>3924</v>
      </c>
      <c r="J1050" s="48" t="s">
        <v>5697</v>
      </c>
      <c r="K1050" s="48" t="s">
        <v>3929</v>
      </c>
      <c r="L1050" s="48" t="s">
        <v>4082</v>
      </c>
      <c r="M1050" s="57" t="s">
        <v>5698</v>
      </c>
      <c r="N1050" s="48" t="s">
        <v>3924</v>
      </c>
    </row>
    <row r="1051" spans="1:14" ht="75" customHeight="1" thickTop="1" thickBot="1">
      <c r="A1051" s="26">
        <v>1049</v>
      </c>
      <c r="B1051" s="34">
        <v>1102</v>
      </c>
      <c r="C1051" s="57" t="s">
        <v>5613</v>
      </c>
      <c r="D1051" s="58" t="s">
        <v>394</v>
      </c>
      <c r="E1051" s="58" t="s">
        <v>3922</v>
      </c>
      <c r="F1051" s="48" t="s">
        <v>3923</v>
      </c>
      <c r="G1051" s="48" t="s">
        <v>14</v>
      </c>
      <c r="H1051" s="48" t="s">
        <v>13</v>
      </c>
      <c r="I1051" s="48" t="s">
        <v>3924</v>
      </c>
      <c r="J1051" s="48" t="s">
        <v>5699</v>
      </c>
      <c r="K1051" s="48" t="s">
        <v>3929</v>
      </c>
      <c r="L1051" s="48" t="s">
        <v>4082</v>
      </c>
      <c r="M1051" s="57" t="s">
        <v>5700</v>
      </c>
      <c r="N1051" s="48" t="s">
        <v>3924</v>
      </c>
    </row>
    <row r="1052" spans="1:14" ht="75" customHeight="1" thickTop="1" thickBot="1">
      <c r="A1052" s="34">
        <v>1050</v>
      </c>
      <c r="B1052" s="26">
        <v>1103</v>
      </c>
      <c r="C1052" s="57" t="s">
        <v>5619</v>
      </c>
      <c r="D1052" s="58" t="s">
        <v>394</v>
      </c>
      <c r="E1052" s="58" t="s">
        <v>3922</v>
      </c>
      <c r="F1052" s="48" t="s">
        <v>3923</v>
      </c>
      <c r="G1052" s="48" t="s">
        <v>14</v>
      </c>
      <c r="H1052" s="48" t="s">
        <v>13</v>
      </c>
      <c r="I1052" s="48" t="s">
        <v>3924</v>
      </c>
      <c r="J1052" s="48" t="s">
        <v>5701</v>
      </c>
      <c r="K1052" s="48" t="s">
        <v>3941</v>
      </c>
      <c r="L1052" s="48" t="s">
        <v>4239</v>
      </c>
      <c r="M1052" s="57" t="s">
        <v>5702</v>
      </c>
      <c r="N1052" s="48" t="s">
        <v>3924</v>
      </c>
    </row>
    <row r="1053" spans="1:14" ht="75" customHeight="1" thickTop="1" thickBot="1">
      <c r="A1053" s="34">
        <v>1051</v>
      </c>
      <c r="B1053" s="34">
        <v>1104</v>
      </c>
      <c r="C1053" s="57" t="s">
        <v>5622</v>
      </c>
      <c r="D1053" s="58" t="s">
        <v>394</v>
      </c>
      <c r="E1053" s="58" t="s">
        <v>3922</v>
      </c>
      <c r="F1053" s="48" t="s">
        <v>3923</v>
      </c>
      <c r="G1053" s="48" t="s">
        <v>14</v>
      </c>
      <c r="H1053" s="48" t="s">
        <v>13</v>
      </c>
      <c r="I1053" s="48" t="s">
        <v>3924</v>
      </c>
      <c r="J1053" s="48" t="s">
        <v>5701</v>
      </c>
      <c r="K1053" s="48" t="s">
        <v>4040</v>
      </c>
      <c r="L1053" s="48" t="s">
        <v>4011</v>
      </c>
      <c r="M1053" s="57" t="s">
        <v>5703</v>
      </c>
      <c r="N1053" s="48" t="s">
        <v>3924</v>
      </c>
    </row>
    <row r="1054" spans="1:14" ht="75" customHeight="1" thickTop="1" thickBot="1">
      <c r="A1054" s="26">
        <v>1052</v>
      </c>
      <c r="B1054" s="26">
        <v>1105</v>
      </c>
      <c r="C1054" s="57" t="s">
        <v>5625</v>
      </c>
      <c r="D1054" s="58" t="s">
        <v>394</v>
      </c>
      <c r="E1054" s="58" t="s">
        <v>3922</v>
      </c>
      <c r="F1054" s="48" t="s">
        <v>3923</v>
      </c>
      <c r="G1054" s="48" t="s">
        <v>14</v>
      </c>
      <c r="H1054" s="48" t="s">
        <v>13</v>
      </c>
      <c r="I1054" s="48" t="s">
        <v>3924</v>
      </c>
      <c r="J1054" s="48" t="s">
        <v>5701</v>
      </c>
      <c r="K1054" s="48" t="s">
        <v>3941</v>
      </c>
      <c r="L1054" s="48" t="s">
        <v>3963</v>
      </c>
      <c r="M1054" s="57" t="s">
        <v>5704</v>
      </c>
      <c r="N1054" s="48" t="s">
        <v>3924</v>
      </c>
    </row>
    <row r="1055" spans="1:14" ht="75" customHeight="1" thickTop="1" thickBot="1">
      <c r="A1055" s="34">
        <v>1053</v>
      </c>
      <c r="B1055" s="34">
        <v>1106</v>
      </c>
      <c r="C1055" s="57" t="s">
        <v>5705</v>
      </c>
      <c r="D1055" s="58" t="s">
        <v>394</v>
      </c>
      <c r="E1055" s="58" t="s">
        <v>3922</v>
      </c>
      <c r="F1055" s="48" t="s">
        <v>3923</v>
      </c>
      <c r="G1055" s="48" t="s">
        <v>14</v>
      </c>
      <c r="H1055" s="48" t="s">
        <v>13</v>
      </c>
      <c r="I1055" s="48" t="s">
        <v>3924</v>
      </c>
      <c r="J1055" s="48" t="s">
        <v>5706</v>
      </c>
      <c r="K1055" s="48" t="s">
        <v>4040</v>
      </c>
      <c r="L1055" s="48" t="s">
        <v>3927</v>
      </c>
      <c r="M1055" s="57" t="s">
        <v>1476</v>
      </c>
      <c r="N1055" s="48" t="s">
        <v>3924</v>
      </c>
    </row>
    <row r="1056" spans="1:14" ht="75" customHeight="1" thickTop="1" thickBot="1">
      <c r="A1056" s="34">
        <v>1054</v>
      </c>
      <c r="B1056" s="26">
        <v>1107</v>
      </c>
      <c r="C1056" s="57" t="s">
        <v>5707</v>
      </c>
      <c r="D1056" s="58" t="s">
        <v>394</v>
      </c>
      <c r="E1056" s="58" t="s">
        <v>3922</v>
      </c>
      <c r="F1056" s="48" t="s">
        <v>3923</v>
      </c>
      <c r="G1056" s="48" t="s">
        <v>14</v>
      </c>
      <c r="H1056" s="48" t="s">
        <v>13</v>
      </c>
      <c r="I1056" s="48" t="s">
        <v>3924</v>
      </c>
      <c r="J1056" s="48" t="s">
        <v>5706</v>
      </c>
      <c r="K1056" s="48" t="s">
        <v>4040</v>
      </c>
      <c r="L1056" s="48" t="s">
        <v>3963</v>
      </c>
      <c r="M1056" s="57" t="s">
        <v>651</v>
      </c>
      <c r="N1056" s="48" t="s">
        <v>3924</v>
      </c>
    </row>
    <row r="1057" spans="1:14" ht="75" customHeight="1" thickTop="1" thickBot="1">
      <c r="A1057" s="26">
        <v>1055</v>
      </c>
      <c r="B1057" s="34">
        <v>1108</v>
      </c>
      <c r="C1057" s="57" t="s">
        <v>5707</v>
      </c>
      <c r="D1057" s="58" t="s">
        <v>394</v>
      </c>
      <c r="E1057" s="58" t="s">
        <v>3922</v>
      </c>
      <c r="F1057" s="48" t="s">
        <v>3923</v>
      </c>
      <c r="G1057" s="48" t="s">
        <v>14</v>
      </c>
      <c r="H1057" s="48" t="s">
        <v>13</v>
      </c>
      <c r="I1057" s="48" t="s">
        <v>3924</v>
      </c>
      <c r="J1057" s="48" t="s">
        <v>5708</v>
      </c>
      <c r="K1057" s="48" t="s">
        <v>3947</v>
      </c>
      <c r="L1057" s="48" t="s">
        <v>4082</v>
      </c>
      <c r="M1057" s="57" t="s">
        <v>5639</v>
      </c>
      <c r="N1057" s="48" t="s">
        <v>3924</v>
      </c>
    </row>
    <row r="1058" spans="1:14" ht="75" customHeight="1" thickTop="1" thickBot="1">
      <c r="A1058" s="34">
        <v>1056</v>
      </c>
      <c r="B1058" s="26">
        <v>1109</v>
      </c>
      <c r="C1058" s="57" t="s">
        <v>5709</v>
      </c>
      <c r="D1058" s="58" t="s">
        <v>394</v>
      </c>
      <c r="E1058" s="58" t="s">
        <v>3922</v>
      </c>
      <c r="F1058" s="48" t="s">
        <v>3923</v>
      </c>
      <c r="G1058" s="48" t="s">
        <v>14</v>
      </c>
      <c r="H1058" s="48" t="s">
        <v>13</v>
      </c>
      <c r="I1058" s="48" t="s">
        <v>3924</v>
      </c>
      <c r="J1058" s="48" t="s">
        <v>5708</v>
      </c>
      <c r="K1058" s="48" t="s">
        <v>3947</v>
      </c>
      <c r="L1058" s="48" t="s">
        <v>4082</v>
      </c>
      <c r="M1058" s="57" t="s">
        <v>5710</v>
      </c>
      <c r="N1058" s="48" t="s">
        <v>3924</v>
      </c>
    </row>
    <row r="1059" spans="1:14" ht="75" customHeight="1" thickTop="1" thickBot="1">
      <c r="A1059" s="34">
        <v>1057</v>
      </c>
      <c r="B1059" s="34">
        <v>1110</v>
      </c>
      <c r="C1059" s="57" t="s">
        <v>5709</v>
      </c>
      <c r="D1059" s="58" t="s">
        <v>394</v>
      </c>
      <c r="E1059" s="58" t="s">
        <v>3922</v>
      </c>
      <c r="F1059" s="48" t="s">
        <v>3923</v>
      </c>
      <c r="G1059" s="48" t="s">
        <v>14</v>
      </c>
      <c r="H1059" s="48" t="s">
        <v>13</v>
      </c>
      <c r="I1059" s="48" t="s">
        <v>3924</v>
      </c>
      <c r="J1059" s="48" t="s">
        <v>5711</v>
      </c>
      <c r="K1059" s="48" t="s">
        <v>4010</v>
      </c>
      <c r="L1059" s="48" t="s">
        <v>4082</v>
      </c>
      <c r="M1059" s="57" t="s">
        <v>5710</v>
      </c>
      <c r="N1059" s="48" t="s">
        <v>3924</v>
      </c>
    </row>
    <row r="1060" spans="1:14" ht="75" customHeight="1" thickTop="1" thickBot="1">
      <c r="A1060" s="26">
        <v>1058</v>
      </c>
      <c r="B1060" s="26">
        <v>1111</v>
      </c>
      <c r="C1060" s="57" t="s">
        <v>5712</v>
      </c>
      <c r="D1060" s="58" t="s">
        <v>394</v>
      </c>
      <c r="E1060" s="58" t="s">
        <v>3922</v>
      </c>
      <c r="F1060" s="48" t="s">
        <v>3923</v>
      </c>
      <c r="G1060" s="48" t="s">
        <v>14</v>
      </c>
      <c r="H1060" s="48" t="s">
        <v>13</v>
      </c>
      <c r="I1060" s="48" t="s">
        <v>3924</v>
      </c>
      <c r="J1060" s="48" t="s">
        <v>5711</v>
      </c>
      <c r="K1060" s="48" t="s">
        <v>3941</v>
      </c>
      <c r="L1060" s="48" t="s">
        <v>4082</v>
      </c>
      <c r="M1060" s="57" t="s">
        <v>5582</v>
      </c>
      <c r="N1060" s="48" t="s">
        <v>3924</v>
      </c>
    </row>
    <row r="1061" spans="1:14" ht="75" customHeight="1" thickTop="1" thickBot="1">
      <c r="A1061" s="34">
        <v>1059</v>
      </c>
      <c r="B1061" s="34">
        <v>1112</v>
      </c>
      <c r="C1061" s="57" t="s">
        <v>5713</v>
      </c>
      <c r="D1061" s="58" t="s">
        <v>394</v>
      </c>
      <c r="E1061" s="58" t="s">
        <v>3922</v>
      </c>
      <c r="F1061" s="48" t="s">
        <v>3923</v>
      </c>
      <c r="G1061" s="48" t="s">
        <v>14</v>
      </c>
      <c r="H1061" s="48" t="s">
        <v>13</v>
      </c>
      <c r="I1061" s="48" t="s">
        <v>3924</v>
      </c>
      <c r="J1061" s="48" t="s">
        <v>5708</v>
      </c>
      <c r="K1061" s="48" t="s">
        <v>4221</v>
      </c>
      <c r="L1061" s="48" t="s">
        <v>3927</v>
      </c>
      <c r="M1061" s="57" t="s">
        <v>5714</v>
      </c>
      <c r="N1061" s="48" t="s">
        <v>3924</v>
      </c>
    </row>
    <row r="1062" spans="1:14" ht="75" customHeight="1" thickTop="1" thickBot="1">
      <c r="A1062" s="34">
        <v>1060</v>
      </c>
      <c r="B1062" s="26">
        <v>1113</v>
      </c>
      <c r="C1062" s="57" t="s">
        <v>5715</v>
      </c>
      <c r="D1062" s="58" t="s">
        <v>394</v>
      </c>
      <c r="E1062" s="58" t="s">
        <v>3922</v>
      </c>
      <c r="F1062" s="48" t="s">
        <v>3923</v>
      </c>
      <c r="G1062" s="48" t="s">
        <v>14</v>
      </c>
      <c r="H1062" s="48" t="s">
        <v>13</v>
      </c>
      <c r="I1062" s="48" t="s">
        <v>3924</v>
      </c>
      <c r="J1062" s="48" t="s">
        <v>5716</v>
      </c>
      <c r="K1062" s="48" t="s">
        <v>3929</v>
      </c>
      <c r="L1062" s="48" t="s">
        <v>4082</v>
      </c>
      <c r="M1062" s="57" t="s">
        <v>5717</v>
      </c>
      <c r="N1062" s="48" t="s">
        <v>3924</v>
      </c>
    </row>
    <row r="1063" spans="1:14" ht="75" customHeight="1" thickTop="1" thickBot="1">
      <c r="A1063" s="26">
        <v>1061</v>
      </c>
      <c r="B1063" s="34">
        <v>1114</v>
      </c>
      <c r="C1063" s="57" t="s">
        <v>5715</v>
      </c>
      <c r="D1063" s="58" t="s">
        <v>394</v>
      </c>
      <c r="E1063" s="58" t="s">
        <v>3922</v>
      </c>
      <c r="F1063" s="48" t="s">
        <v>3923</v>
      </c>
      <c r="G1063" s="48" t="s">
        <v>14</v>
      </c>
      <c r="H1063" s="48" t="s">
        <v>13</v>
      </c>
      <c r="I1063" s="48" t="s">
        <v>3924</v>
      </c>
      <c r="J1063" s="48" t="s">
        <v>5716</v>
      </c>
      <c r="K1063" s="48" t="s">
        <v>3941</v>
      </c>
      <c r="L1063" s="48" t="s">
        <v>4082</v>
      </c>
      <c r="M1063" s="57" t="s">
        <v>5718</v>
      </c>
      <c r="N1063" s="48" t="s">
        <v>3924</v>
      </c>
    </row>
    <row r="1064" spans="1:14" ht="75" customHeight="1" thickTop="1" thickBot="1">
      <c r="A1064" s="34">
        <v>1062</v>
      </c>
      <c r="B1064" s="26">
        <v>1115</v>
      </c>
      <c r="C1064" s="57" t="s">
        <v>5719</v>
      </c>
      <c r="D1064" s="58" t="s">
        <v>394</v>
      </c>
      <c r="E1064" s="58" t="s">
        <v>3922</v>
      </c>
      <c r="F1064" s="48" t="s">
        <v>3923</v>
      </c>
      <c r="G1064" s="48" t="s">
        <v>16</v>
      </c>
      <c r="H1064" s="48" t="s">
        <v>13</v>
      </c>
      <c r="I1064" s="48" t="s">
        <v>3924</v>
      </c>
      <c r="J1064" s="48" t="s">
        <v>5720</v>
      </c>
      <c r="K1064" s="48" t="s">
        <v>4040</v>
      </c>
      <c r="L1064" s="48" t="s">
        <v>4284</v>
      </c>
      <c r="M1064" s="57" t="s">
        <v>4330</v>
      </c>
      <c r="N1064" s="48" t="s">
        <v>3924</v>
      </c>
    </row>
    <row r="1065" spans="1:14" ht="75" customHeight="1" thickTop="1" thickBot="1">
      <c r="A1065" s="34">
        <v>1063</v>
      </c>
      <c r="B1065" s="34">
        <v>1116</v>
      </c>
      <c r="C1065" s="57" t="s">
        <v>5719</v>
      </c>
      <c r="D1065" s="58" t="s">
        <v>394</v>
      </c>
      <c r="E1065" s="58" t="s">
        <v>3922</v>
      </c>
      <c r="F1065" s="48" t="s">
        <v>3923</v>
      </c>
      <c r="G1065" s="48" t="s">
        <v>16</v>
      </c>
      <c r="H1065" s="48" t="s">
        <v>13</v>
      </c>
      <c r="I1065" s="48" t="s">
        <v>3924</v>
      </c>
      <c r="J1065" s="48" t="s">
        <v>5721</v>
      </c>
      <c r="K1065" s="48" t="s">
        <v>4040</v>
      </c>
      <c r="L1065" s="48" t="s">
        <v>4284</v>
      </c>
      <c r="M1065" s="57" t="s">
        <v>5428</v>
      </c>
      <c r="N1065" s="48" t="s">
        <v>3924</v>
      </c>
    </row>
    <row r="1066" spans="1:14" ht="75" customHeight="1" thickTop="1" thickBot="1">
      <c r="A1066" s="26">
        <v>1064</v>
      </c>
      <c r="B1066" s="26">
        <v>1117</v>
      </c>
      <c r="C1066" s="57" t="s">
        <v>5722</v>
      </c>
      <c r="D1066" s="58" t="s">
        <v>394</v>
      </c>
      <c r="E1066" s="58" t="s">
        <v>3922</v>
      </c>
      <c r="F1066" s="48" t="s">
        <v>3923</v>
      </c>
      <c r="G1066" s="48" t="s">
        <v>16</v>
      </c>
      <c r="H1066" s="48" t="s">
        <v>13</v>
      </c>
      <c r="I1066" s="48" t="s">
        <v>3924</v>
      </c>
      <c r="J1066" s="48" t="s">
        <v>5721</v>
      </c>
      <c r="K1066" s="48" t="s">
        <v>4040</v>
      </c>
      <c r="L1066" s="48" t="s">
        <v>4284</v>
      </c>
      <c r="M1066" s="57" t="s">
        <v>5723</v>
      </c>
      <c r="N1066" s="48" t="s">
        <v>3924</v>
      </c>
    </row>
    <row r="1067" spans="1:14" ht="75" customHeight="1" thickTop="1" thickBot="1">
      <c r="A1067" s="34">
        <v>1065</v>
      </c>
      <c r="B1067" s="34">
        <v>1118</v>
      </c>
      <c r="C1067" s="57" t="s">
        <v>5724</v>
      </c>
      <c r="D1067" s="58" t="s">
        <v>394</v>
      </c>
      <c r="E1067" s="58" t="s">
        <v>3922</v>
      </c>
      <c r="F1067" s="48" t="s">
        <v>3923</v>
      </c>
      <c r="G1067" s="48" t="s">
        <v>16</v>
      </c>
      <c r="H1067" s="48" t="s">
        <v>13</v>
      </c>
      <c r="I1067" s="48" t="s">
        <v>3924</v>
      </c>
      <c r="J1067" s="48" t="s">
        <v>5725</v>
      </c>
      <c r="K1067" s="48" t="s">
        <v>4040</v>
      </c>
      <c r="L1067" s="48" t="s">
        <v>4284</v>
      </c>
      <c r="M1067" s="57" t="s">
        <v>5726</v>
      </c>
      <c r="N1067" s="48" t="s">
        <v>3924</v>
      </c>
    </row>
    <row r="1068" spans="1:14" ht="75" customHeight="1" thickTop="1" thickBot="1">
      <c r="A1068" s="34">
        <v>1066</v>
      </c>
      <c r="B1068" s="26">
        <v>1119</v>
      </c>
      <c r="C1068" s="57" t="s">
        <v>5727</v>
      </c>
      <c r="D1068" s="58" t="s">
        <v>394</v>
      </c>
      <c r="E1068" s="58" t="s">
        <v>3922</v>
      </c>
      <c r="F1068" s="48" t="s">
        <v>3923</v>
      </c>
      <c r="G1068" s="48" t="s">
        <v>16</v>
      </c>
      <c r="H1068" s="48" t="s">
        <v>13</v>
      </c>
      <c r="I1068" s="48" t="s">
        <v>3924</v>
      </c>
      <c r="J1068" s="48" t="s">
        <v>5728</v>
      </c>
      <c r="K1068" s="48" t="s">
        <v>4040</v>
      </c>
      <c r="L1068" s="48" t="s">
        <v>4125</v>
      </c>
      <c r="M1068" s="57" t="s">
        <v>822</v>
      </c>
      <c r="N1068" s="48" t="s">
        <v>3924</v>
      </c>
    </row>
    <row r="1069" spans="1:14" ht="75" customHeight="1" thickTop="1" thickBot="1">
      <c r="A1069" s="26">
        <v>1067</v>
      </c>
      <c r="B1069" s="34">
        <v>1120</v>
      </c>
      <c r="C1069" s="57" t="s">
        <v>5729</v>
      </c>
      <c r="D1069" s="58" t="s">
        <v>394</v>
      </c>
      <c r="E1069" s="58" t="s">
        <v>3922</v>
      </c>
      <c r="F1069" s="48" t="s">
        <v>3923</v>
      </c>
      <c r="G1069" s="48" t="s">
        <v>16</v>
      </c>
      <c r="H1069" s="48" t="s">
        <v>13</v>
      </c>
      <c r="I1069" s="48" t="s">
        <v>3924</v>
      </c>
      <c r="J1069" s="48" t="s">
        <v>5728</v>
      </c>
      <c r="K1069" s="48" t="s">
        <v>4040</v>
      </c>
      <c r="L1069" s="48" t="s">
        <v>5730</v>
      </c>
      <c r="M1069" s="57" t="s">
        <v>5731</v>
      </c>
      <c r="N1069" s="48" t="s">
        <v>3924</v>
      </c>
    </row>
    <row r="1070" spans="1:14" ht="75" customHeight="1" thickTop="1" thickBot="1">
      <c r="A1070" s="34">
        <v>1068</v>
      </c>
      <c r="B1070" s="26">
        <v>1121</v>
      </c>
      <c r="C1070" s="57" t="s">
        <v>5732</v>
      </c>
      <c r="D1070" s="58" t="s">
        <v>394</v>
      </c>
      <c r="E1070" s="58" t="s">
        <v>3922</v>
      </c>
      <c r="F1070" s="48" t="s">
        <v>3923</v>
      </c>
      <c r="G1070" s="48" t="s">
        <v>16</v>
      </c>
      <c r="H1070" s="48" t="s">
        <v>13</v>
      </c>
      <c r="I1070" s="48" t="s">
        <v>3924</v>
      </c>
      <c r="J1070" s="48" t="s">
        <v>5728</v>
      </c>
      <c r="K1070" s="48" t="s">
        <v>4040</v>
      </c>
      <c r="L1070" s="48" t="s">
        <v>5730</v>
      </c>
      <c r="M1070" s="57" t="s">
        <v>844</v>
      </c>
      <c r="N1070" s="48" t="s">
        <v>3924</v>
      </c>
    </row>
    <row r="1071" spans="1:14" ht="75" customHeight="1" thickTop="1" thickBot="1">
      <c r="A1071" s="34">
        <v>1069</v>
      </c>
      <c r="B1071" s="34">
        <v>1122</v>
      </c>
      <c r="C1071" s="57" t="s">
        <v>5732</v>
      </c>
      <c r="D1071" s="58" t="s">
        <v>394</v>
      </c>
      <c r="E1071" s="58" t="s">
        <v>3922</v>
      </c>
      <c r="F1071" s="48" t="s">
        <v>3923</v>
      </c>
      <c r="G1071" s="48" t="s">
        <v>74</v>
      </c>
      <c r="H1071" s="48" t="s">
        <v>13</v>
      </c>
      <c r="I1071" s="48" t="s">
        <v>3924</v>
      </c>
      <c r="J1071" s="48" t="s">
        <v>5733</v>
      </c>
      <c r="K1071" s="48" t="s">
        <v>4040</v>
      </c>
      <c r="L1071" s="48" t="s">
        <v>4277</v>
      </c>
      <c r="M1071" s="57" t="s">
        <v>5734</v>
      </c>
      <c r="N1071" s="48" t="s">
        <v>3924</v>
      </c>
    </row>
    <row r="1072" spans="1:14" ht="75" customHeight="1" thickTop="1" thickBot="1">
      <c r="A1072" s="26">
        <v>1070</v>
      </c>
      <c r="B1072" s="26">
        <v>1123</v>
      </c>
      <c r="C1072" s="57" t="s">
        <v>5735</v>
      </c>
      <c r="D1072" s="58" t="s">
        <v>394</v>
      </c>
      <c r="E1072" s="58" t="s">
        <v>3922</v>
      </c>
      <c r="F1072" s="48" t="s">
        <v>3923</v>
      </c>
      <c r="G1072" s="48" t="s">
        <v>16</v>
      </c>
      <c r="H1072" s="48" t="s">
        <v>13</v>
      </c>
      <c r="I1072" s="48" t="s">
        <v>3924</v>
      </c>
      <c r="J1072" s="48" t="s">
        <v>5733</v>
      </c>
      <c r="K1072" s="48" t="s">
        <v>4040</v>
      </c>
      <c r="L1072" s="48" t="s">
        <v>5736</v>
      </c>
      <c r="M1072" s="57" t="s">
        <v>5737</v>
      </c>
      <c r="N1072" s="48" t="s">
        <v>3924</v>
      </c>
    </row>
    <row r="1073" spans="1:14" ht="75" customHeight="1" thickTop="1" thickBot="1">
      <c r="A1073" s="34">
        <v>1071</v>
      </c>
      <c r="B1073" s="34">
        <v>1124</v>
      </c>
      <c r="C1073" s="57" t="s">
        <v>5738</v>
      </c>
      <c r="D1073" s="58" t="s">
        <v>394</v>
      </c>
      <c r="E1073" s="58" t="s">
        <v>3922</v>
      </c>
      <c r="F1073" s="48" t="s">
        <v>3923</v>
      </c>
      <c r="G1073" s="48" t="s">
        <v>16</v>
      </c>
      <c r="H1073" s="48" t="s">
        <v>13</v>
      </c>
      <c r="I1073" s="48" t="s">
        <v>3924</v>
      </c>
      <c r="J1073" s="48" t="s">
        <v>5733</v>
      </c>
      <c r="K1073" s="48" t="s">
        <v>3976</v>
      </c>
      <c r="L1073" s="48" t="s">
        <v>3927</v>
      </c>
      <c r="M1073" s="57" t="s">
        <v>5739</v>
      </c>
      <c r="N1073" s="48" t="s">
        <v>3924</v>
      </c>
    </row>
    <row r="1074" spans="1:14" ht="75" customHeight="1" thickTop="1" thickBot="1">
      <c r="A1074" s="34">
        <v>1072</v>
      </c>
      <c r="B1074" s="26">
        <v>1125</v>
      </c>
      <c r="C1074" s="57" t="s">
        <v>5740</v>
      </c>
      <c r="D1074" s="58" t="s">
        <v>394</v>
      </c>
      <c r="E1074" s="58" t="s">
        <v>3922</v>
      </c>
      <c r="F1074" s="48" t="s">
        <v>3923</v>
      </c>
      <c r="G1074" s="48" t="s">
        <v>16</v>
      </c>
      <c r="H1074" s="48" t="s">
        <v>13</v>
      </c>
      <c r="I1074" s="48" t="s">
        <v>3924</v>
      </c>
      <c r="J1074" s="48" t="s">
        <v>5741</v>
      </c>
      <c r="K1074" s="48" t="s">
        <v>3947</v>
      </c>
      <c r="L1074" s="48" t="s">
        <v>5742</v>
      </c>
      <c r="M1074" s="57" t="s">
        <v>822</v>
      </c>
      <c r="N1074" s="48" t="s">
        <v>3924</v>
      </c>
    </row>
    <row r="1075" spans="1:14" ht="75" customHeight="1" thickTop="1" thickBot="1">
      <c r="A1075" s="26">
        <v>1073</v>
      </c>
      <c r="B1075" s="34">
        <v>1126</v>
      </c>
      <c r="C1075" s="57" t="s">
        <v>5743</v>
      </c>
      <c r="D1075" s="58" t="s">
        <v>394</v>
      </c>
      <c r="E1075" s="58" t="s">
        <v>3922</v>
      </c>
      <c r="F1075" s="48" t="s">
        <v>3923</v>
      </c>
      <c r="G1075" s="48" t="s">
        <v>16</v>
      </c>
      <c r="H1075" s="48" t="s">
        <v>13</v>
      </c>
      <c r="I1075" s="48" t="s">
        <v>3924</v>
      </c>
      <c r="J1075" s="48" t="s">
        <v>5741</v>
      </c>
      <c r="K1075" s="48" t="s">
        <v>3947</v>
      </c>
      <c r="L1075" s="48" t="s">
        <v>4203</v>
      </c>
      <c r="M1075" s="57" t="s">
        <v>5744</v>
      </c>
      <c r="N1075" s="48" t="s">
        <v>3924</v>
      </c>
    </row>
    <row r="1076" spans="1:14" ht="75" customHeight="1" thickTop="1" thickBot="1">
      <c r="A1076" s="34">
        <v>1074</v>
      </c>
      <c r="B1076" s="26">
        <v>1127</v>
      </c>
      <c r="C1076" s="57" t="s">
        <v>5745</v>
      </c>
      <c r="D1076" s="58" t="s">
        <v>394</v>
      </c>
      <c r="E1076" s="58" t="s">
        <v>3922</v>
      </c>
      <c r="F1076" s="48" t="s">
        <v>3923</v>
      </c>
      <c r="G1076" s="48" t="s">
        <v>16</v>
      </c>
      <c r="H1076" s="48" t="s">
        <v>13</v>
      </c>
      <c r="I1076" s="48" t="s">
        <v>3924</v>
      </c>
      <c r="J1076" s="48" t="s">
        <v>5746</v>
      </c>
      <c r="K1076" s="48" t="s">
        <v>3947</v>
      </c>
      <c r="L1076" s="48" t="s">
        <v>5747</v>
      </c>
      <c r="M1076" s="57" t="s">
        <v>567</v>
      </c>
      <c r="N1076" s="48" t="s">
        <v>3924</v>
      </c>
    </row>
    <row r="1077" spans="1:14" ht="75" customHeight="1" thickTop="1" thickBot="1">
      <c r="A1077" s="34">
        <v>1075</v>
      </c>
      <c r="B1077" s="34">
        <v>1128</v>
      </c>
      <c r="C1077" s="57" t="s">
        <v>5748</v>
      </c>
      <c r="D1077" s="58" t="s">
        <v>394</v>
      </c>
      <c r="E1077" s="58" t="s">
        <v>3922</v>
      </c>
      <c r="F1077" s="48" t="s">
        <v>3923</v>
      </c>
      <c r="G1077" s="48" t="s">
        <v>16</v>
      </c>
      <c r="H1077" s="48" t="s">
        <v>13</v>
      </c>
      <c r="I1077" s="48" t="s">
        <v>3924</v>
      </c>
      <c r="J1077" s="48" t="s">
        <v>5749</v>
      </c>
      <c r="K1077" s="48" t="s">
        <v>3947</v>
      </c>
      <c r="L1077" s="48" t="s">
        <v>5549</v>
      </c>
      <c r="M1077" s="57" t="s">
        <v>5750</v>
      </c>
      <c r="N1077" s="48" t="s">
        <v>3924</v>
      </c>
    </row>
    <row r="1078" spans="1:14" ht="75" customHeight="1" thickTop="1" thickBot="1">
      <c r="A1078" s="26">
        <v>1076</v>
      </c>
      <c r="B1078" s="26">
        <v>1129</v>
      </c>
      <c r="C1078" s="57" t="s">
        <v>5748</v>
      </c>
      <c r="D1078" s="58" t="s">
        <v>394</v>
      </c>
      <c r="E1078" s="58" t="s">
        <v>3922</v>
      </c>
      <c r="F1078" s="48" t="s">
        <v>3923</v>
      </c>
      <c r="G1078" s="48" t="s">
        <v>16</v>
      </c>
      <c r="H1078" s="48" t="s">
        <v>13</v>
      </c>
      <c r="I1078" s="48" t="s">
        <v>3924</v>
      </c>
      <c r="J1078" s="48" t="s">
        <v>5749</v>
      </c>
      <c r="K1078" s="48" t="s">
        <v>4341</v>
      </c>
      <c r="L1078" s="48" t="s">
        <v>3924</v>
      </c>
      <c r="M1078" s="57" t="s">
        <v>889</v>
      </c>
      <c r="N1078" s="48" t="s">
        <v>3924</v>
      </c>
    </row>
    <row r="1079" spans="1:14" ht="75" customHeight="1" thickTop="1" thickBot="1">
      <c r="A1079" s="34">
        <v>1077</v>
      </c>
      <c r="B1079" s="34">
        <v>1130</v>
      </c>
      <c r="C1079" s="57" t="s">
        <v>5751</v>
      </c>
      <c r="D1079" s="58" t="s">
        <v>394</v>
      </c>
      <c r="E1079" s="58" t="s">
        <v>3922</v>
      </c>
      <c r="F1079" s="48" t="s">
        <v>3923</v>
      </c>
      <c r="G1079" s="48" t="s">
        <v>16</v>
      </c>
      <c r="H1079" s="48" t="s">
        <v>13</v>
      </c>
      <c r="I1079" s="48" t="s">
        <v>3924</v>
      </c>
      <c r="J1079" s="48" t="s">
        <v>5749</v>
      </c>
      <c r="K1079" s="48" t="s">
        <v>3941</v>
      </c>
      <c r="L1079" s="48" t="s">
        <v>4277</v>
      </c>
      <c r="M1079" s="57" t="s">
        <v>5752</v>
      </c>
      <c r="N1079" s="48" t="s">
        <v>3924</v>
      </c>
    </row>
    <row r="1080" spans="1:14" ht="75" customHeight="1" thickTop="1" thickBot="1">
      <c r="A1080" s="34">
        <v>1078</v>
      </c>
      <c r="B1080" s="26">
        <v>1131</v>
      </c>
      <c r="C1080" s="57" t="s">
        <v>5753</v>
      </c>
      <c r="D1080" s="58" t="s">
        <v>394</v>
      </c>
      <c r="E1080" s="58" t="s">
        <v>3922</v>
      </c>
      <c r="F1080" s="48" t="s">
        <v>3923</v>
      </c>
      <c r="G1080" s="48" t="s">
        <v>16</v>
      </c>
      <c r="H1080" s="48" t="s">
        <v>13</v>
      </c>
      <c r="I1080" s="48" t="s">
        <v>3924</v>
      </c>
      <c r="J1080" s="48" t="s">
        <v>5754</v>
      </c>
      <c r="K1080" s="48" t="s">
        <v>3941</v>
      </c>
      <c r="L1080" s="48" t="s">
        <v>4011</v>
      </c>
      <c r="M1080" s="57" t="s">
        <v>5755</v>
      </c>
      <c r="N1080" s="48" t="s">
        <v>3924</v>
      </c>
    </row>
    <row r="1081" spans="1:14" ht="75" customHeight="1" thickTop="1" thickBot="1">
      <c r="A1081" s="26">
        <v>1079</v>
      </c>
      <c r="B1081" s="34">
        <v>1132</v>
      </c>
      <c r="C1081" s="57" t="s">
        <v>5756</v>
      </c>
      <c r="D1081" s="58" t="s">
        <v>394</v>
      </c>
      <c r="E1081" s="58" t="s">
        <v>3922</v>
      </c>
      <c r="F1081" s="48" t="s">
        <v>3923</v>
      </c>
      <c r="G1081" s="48" t="s">
        <v>16</v>
      </c>
      <c r="H1081" s="48" t="s">
        <v>13</v>
      </c>
      <c r="I1081" s="48" t="s">
        <v>3924</v>
      </c>
      <c r="J1081" s="48" t="s">
        <v>5754</v>
      </c>
      <c r="K1081" s="48" t="s">
        <v>3941</v>
      </c>
      <c r="L1081" s="48" t="s">
        <v>4011</v>
      </c>
      <c r="M1081" s="57" t="s">
        <v>4330</v>
      </c>
      <c r="N1081" s="48" t="s">
        <v>3924</v>
      </c>
    </row>
    <row r="1082" spans="1:14" ht="75" customHeight="1" thickTop="1" thickBot="1">
      <c r="A1082" s="34">
        <v>1080</v>
      </c>
      <c r="B1082" s="26">
        <v>1133</v>
      </c>
      <c r="C1082" s="57" t="s">
        <v>5757</v>
      </c>
      <c r="D1082" s="58" t="s">
        <v>394</v>
      </c>
      <c r="E1082" s="58" t="s">
        <v>3922</v>
      </c>
      <c r="F1082" s="48" t="s">
        <v>3923</v>
      </c>
      <c r="G1082" s="48" t="s">
        <v>16</v>
      </c>
      <c r="H1082" s="48" t="s">
        <v>13</v>
      </c>
      <c r="I1082" s="48" t="s">
        <v>3924</v>
      </c>
      <c r="J1082" s="48" t="s">
        <v>5754</v>
      </c>
      <c r="K1082" s="48" t="s">
        <v>3941</v>
      </c>
      <c r="L1082" s="48" t="s">
        <v>4011</v>
      </c>
      <c r="M1082" s="57" t="s">
        <v>5758</v>
      </c>
      <c r="N1082" s="48" t="s">
        <v>3924</v>
      </c>
    </row>
    <row r="1083" spans="1:14" ht="75" customHeight="1" thickTop="1" thickBot="1">
      <c r="A1083" s="34">
        <v>1081</v>
      </c>
      <c r="B1083" s="34">
        <v>1134</v>
      </c>
      <c r="C1083" s="57" t="s">
        <v>5759</v>
      </c>
      <c r="D1083" s="58" t="s">
        <v>394</v>
      </c>
      <c r="E1083" s="58" t="s">
        <v>3922</v>
      </c>
      <c r="F1083" s="48" t="s">
        <v>3923</v>
      </c>
      <c r="G1083" s="48" t="s">
        <v>16</v>
      </c>
      <c r="H1083" s="48" t="s">
        <v>13</v>
      </c>
      <c r="I1083" s="48" t="s">
        <v>3924</v>
      </c>
      <c r="J1083" s="48" t="s">
        <v>5760</v>
      </c>
      <c r="K1083" s="48" t="s">
        <v>3941</v>
      </c>
      <c r="L1083" s="48" t="s">
        <v>4011</v>
      </c>
      <c r="M1083" s="57" t="s">
        <v>5761</v>
      </c>
      <c r="N1083" s="48" t="s">
        <v>3924</v>
      </c>
    </row>
    <row r="1084" spans="1:14" ht="75" customHeight="1" thickTop="1" thickBot="1">
      <c r="A1084" s="26">
        <v>1082</v>
      </c>
      <c r="B1084" s="26">
        <v>1135</v>
      </c>
      <c r="C1084" s="57" t="s">
        <v>5762</v>
      </c>
      <c r="D1084" s="58" t="s">
        <v>394</v>
      </c>
      <c r="E1084" s="58" t="s">
        <v>3922</v>
      </c>
      <c r="F1084" s="48" t="s">
        <v>3923</v>
      </c>
      <c r="G1084" s="48" t="s">
        <v>16</v>
      </c>
      <c r="H1084" s="48" t="s">
        <v>13</v>
      </c>
      <c r="I1084" s="48" t="s">
        <v>3924</v>
      </c>
      <c r="J1084" s="48" t="s">
        <v>5760</v>
      </c>
      <c r="K1084" s="48" t="s">
        <v>5763</v>
      </c>
      <c r="L1084" s="48" t="s">
        <v>3924</v>
      </c>
      <c r="M1084" s="57" t="s">
        <v>5764</v>
      </c>
      <c r="N1084" s="48" t="s">
        <v>3924</v>
      </c>
    </row>
    <row r="1085" spans="1:14" ht="75" customHeight="1" thickTop="1" thickBot="1">
      <c r="A1085" s="34">
        <v>1083</v>
      </c>
      <c r="B1085" s="34">
        <v>1136</v>
      </c>
      <c r="C1085" s="57" t="s">
        <v>5765</v>
      </c>
      <c r="D1085" s="58" t="s">
        <v>394</v>
      </c>
      <c r="E1085" s="58" t="s">
        <v>3922</v>
      </c>
      <c r="F1085" s="48" t="s">
        <v>3923</v>
      </c>
      <c r="G1085" s="48" t="s">
        <v>16</v>
      </c>
      <c r="H1085" s="48" t="s">
        <v>13</v>
      </c>
      <c r="I1085" s="48" t="s">
        <v>3924</v>
      </c>
      <c r="J1085" s="48" t="s">
        <v>5766</v>
      </c>
      <c r="K1085" s="48" t="s">
        <v>3966</v>
      </c>
      <c r="L1085" s="48" t="s">
        <v>3963</v>
      </c>
      <c r="M1085" s="57" t="s">
        <v>5767</v>
      </c>
      <c r="N1085" s="48" t="s">
        <v>5768</v>
      </c>
    </row>
    <row r="1086" spans="1:14" ht="75" customHeight="1" thickTop="1" thickBot="1">
      <c r="A1086" s="34">
        <v>1084</v>
      </c>
      <c r="B1086" s="26">
        <v>1137</v>
      </c>
      <c r="C1086" s="57" t="s">
        <v>5769</v>
      </c>
      <c r="D1086" s="58" t="s">
        <v>394</v>
      </c>
      <c r="E1086" s="58" t="s">
        <v>3922</v>
      </c>
      <c r="F1086" s="48" t="s">
        <v>3923</v>
      </c>
      <c r="G1086" s="48" t="s">
        <v>16</v>
      </c>
      <c r="H1086" s="48" t="s">
        <v>13</v>
      </c>
      <c r="I1086" s="48" t="s">
        <v>3924</v>
      </c>
      <c r="J1086" s="48" t="s">
        <v>5766</v>
      </c>
      <c r="K1086" s="48" t="s">
        <v>3929</v>
      </c>
      <c r="L1086" s="48" t="s">
        <v>4277</v>
      </c>
      <c r="M1086" s="57" t="s">
        <v>5770</v>
      </c>
      <c r="N1086" s="48" t="s">
        <v>3924</v>
      </c>
    </row>
    <row r="1087" spans="1:14" ht="75" customHeight="1" thickTop="1" thickBot="1">
      <c r="A1087" s="26">
        <v>1085</v>
      </c>
      <c r="B1087" s="34">
        <v>1138</v>
      </c>
      <c r="C1087" s="57" t="s">
        <v>5771</v>
      </c>
      <c r="D1087" s="58" t="s">
        <v>394</v>
      </c>
      <c r="E1087" s="58" t="s">
        <v>3922</v>
      </c>
      <c r="F1087" s="48" t="s">
        <v>3923</v>
      </c>
      <c r="G1087" s="48" t="s">
        <v>16</v>
      </c>
      <c r="H1087" s="48" t="s">
        <v>13</v>
      </c>
      <c r="I1087" s="48" t="s">
        <v>3924</v>
      </c>
      <c r="J1087" s="48" t="s">
        <v>5772</v>
      </c>
      <c r="K1087" s="48" t="s">
        <v>3929</v>
      </c>
      <c r="L1087" s="48" t="s">
        <v>3986</v>
      </c>
      <c r="M1087" s="57" t="s">
        <v>4550</v>
      </c>
      <c r="N1087" s="48" t="s">
        <v>3924</v>
      </c>
    </row>
    <row r="1088" spans="1:14" ht="75" customHeight="1" thickTop="1" thickBot="1">
      <c r="A1088" s="34">
        <v>1086</v>
      </c>
      <c r="B1088" s="26">
        <v>1139</v>
      </c>
      <c r="C1088" s="57" t="s">
        <v>5773</v>
      </c>
      <c r="D1088" s="58" t="s">
        <v>394</v>
      </c>
      <c r="E1088" s="58" t="s">
        <v>3922</v>
      </c>
      <c r="F1088" s="48" t="s">
        <v>3923</v>
      </c>
      <c r="G1088" s="48" t="s">
        <v>16</v>
      </c>
      <c r="H1088" s="48" t="s">
        <v>13</v>
      </c>
      <c r="I1088" s="48" t="s">
        <v>3924</v>
      </c>
      <c r="J1088" s="48" t="s">
        <v>5772</v>
      </c>
      <c r="K1088" s="48" t="s">
        <v>3929</v>
      </c>
      <c r="L1088" s="48" t="s">
        <v>5774</v>
      </c>
      <c r="M1088" s="57" t="s">
        <v>5775</v>
      </c>
      <c r="N1088" s="48" t="s">
        <v>3924</v>
      </c>
    </row>
    <row r="1089" spans="1:14" ht="75" customHeight="1" thickTop="1" thickBot="1">
      <c r="A1089" s="34">
        <v>1087</v>
      </c>
      <c r="B1089" s="34">
        <v>1140</v>
      </c>
      <c r="C1089" s="57" t="s">
        <v>5776</v>
      </c>
      <c r="D1089" s="58" t="s">
        <v>394</v>
      </c>
      <c r="E1089" s="58" t="s">
        <v>3922</v>
      </c>
      <c r="F1089" s="48" t="s">
        <v>3923</v>
      </c>
      <c r="G1089" s="48" t="s">
        <v>16</v>
      </c>
      <c r="H1089" s="48" t="s">
        <v>13</v>
      </c>
      <c r="I1089" s="48" t="s">
        <v>3924</v>
      </c>
      <c r="J1089" s="48" t="s">
        <v>5777</v>
      </c>
      <c r="K1089" s="48" t="s">
        <v>3929</v>
      </c>
      <c r="L1089" s="48" t="s">
        <v>4284</v>
      </c>
      <c r="M1089" s="57" t="s">
        <v>5778</v>
      </c>
      <c r="N1089" s="48" t="s">
        <v>3924</v>
      </c>
    </row>
    <row r="1090" spans="1:14" ht="75" customHeight="1" thickTop="1" thickBot="1">
      <c r="A1090" s="26">
        <v>1088</v>
      </c>
      <c r="B1090" s="26">
        <v>1141</v>
      </c>
      <c r="C1090" s="57" t="s">
        <v>5779</v>
      </c>
      <c r="D1090" s="58" t="s">
        <v>394</v>
      </c>
      <c r="E1090" s="58" t="s">
        <v>3922</v>
      </c>
      <c r="F1090" s="48" t="s">
        <v>3923</v>
      </c>
      <c r="G1090" s="48" t="s">
        <v>16</v>
      </c>
      <c r="H1090" s="48" t="s">
        <v>13</v>
      </c>
      <c r="I1090" s="48" t="s">
        <v>3924</v>
      </c>
      <c r="J1090" s="48" t="s">
        <v>5780</v>
      </c>
      <c r="K1090" s="48" t="s">
        <v>3929</v>
      </c>
      <c r="L1090" s="48" t="s">
        <v>4396</v>
      </c>
      <c r="M1090" s="57" t="s">
        <v>5781</v>
      </c>
      <c r="N1090" s="48" t="s">
        <v>3924</v>
      </c>
    </row>
    <row r="1091" spans="1:14" ht="75" customHeight="1" thickTop="1" thickBot="1">
      <c r="A1091" s="34">
        <v>1089</v>
      </c>
      <c r="B1091" s="34">
        <v>1142</v>
      </c>
      <c r="C1091" s="57" t="s">
        <v>5782</v>
      </c>
      <c r="D1091" s="58" t="s">
        <v>394</v>
      </c>
      <c r="E1091" s="58" t="s">
        <v>3922</v>
      </c>
      <c r="F1091" s="48" t="s">
        <v>3923</v>
      </c>
      <c r="G1091" s="48" t="s">
        <v>16</v>
      </c>
      <c r="H1091" s="48" t="s">
        <v>13</v>
      </c>
      <c r="I1091" s="48" t="s">
        <v>3924</v>
      </c>
      <c r="J1091" s="48" t="s">
        <v>5780</v>
      </c>
      <c r="K1091" s="48" t="s">
        <v>3929</v>
      </c>
      <c r="L1091" s="48" t="s">
        <v>4396</v>
      </c>
      <c r="M1091" s="57" t="s">
        <v>5783</v>
      </c>
      <c r="N1091" s="48" t="s">
        <v>3924</v>
      </c>
    </row>
    <row r="1092" spans="1:14" ht="75" customHeight="1" thickTop="1" thickBot="1">
      <c r="A1092" s="34">
        <v>1090</v>
      </c>
      <c r="B1092" s="26">
        <v>1143</v>
      </c>
      <c r="C1092" s="57" t="s">
        <v>5784</v>
      </c>
      <c r="D1092" s="58" t="s">
        <v>394</v>
      </c>
      <c r="E1092" s="58" t="s">
        <v>3922</v>
      </c>
      <c r="F1092" s="48" t="s">
        <v>3923</v>
      </c>
      <c r="G1092" s="48" t="s">
        <v>16</v>
      </c>
      <c r="H1092" s="48" t="s">
        <v>13</v>
      </c>
      <c r="I1092" s="48" t="s">
        <v>3924</v>
      </c>
      <c r="J1092" s="48" t="s">
        <v>5785</v>
      </c>
      <c r="K1092" s="48" t="s">
        <v>3976</v>
      </c>
      <c r="L1092" s="48" t="s">
        <v>3963</v>
      </c>
      <c r="M1092" s="57" t="s">
        <v>5786</v>
      </c>
      <c r="N1092" s="48" t="s">
        <v>3924</v>
      </c>
    </row>
    <row r="1093" spans="1:14" ht="75" customHeight="1" thickTop="1" thickBot="1">
      <c r="A1093" s="26">
        <v>1091</v>
      </c>
      <c r="B1093" s="34">
        <v>1144</v>
      </c>
      <c r="C1093" s="57" t="s">
        <v>5787</v>
      </c>
      <c r="D1093" s="56" t="s">
        <v>394</v>
      </c>
      <c r="E1093" s="56" t="s">
        <v>3922</v>
      </c>
      <c r="F1093" s="26" t="s">
        <v>3923</v>
      </c>
      <c r="G1093" s="26" t="s">
        <v>16</v>
      </c>
      <c r="H1093" s="26" t="s">
        <v>13</v>
      </c>
      <c r="I1093" s="26" t="s">
        <v>3924</v>
      </c>
      <c r="J1093" s="26" t="s">
        <v>5788</v>
      </c>
      <c r="K1093" s="26" t="s">
        <v>3976</v>
      </c>
      <c r="L1093" s="26" t="s">
        <v>3986</v>
      </c>
      <c r="M1093" s="55" t="s">
        <v>4514</v>
      </c>
      <c r="N1093" s="26" t="s">
        <v>3924</v>
      </c>
    </row>
    <row r="1094" spans="1:14" ht="75" customHeight="1" thickTop="1" thickBot="1">
      <c r="A1094" s="34">
        <v>1092</v>
      </c>
      <c r="B1094" s="26">
        <v>1145</v>
      </c>
      <c r="C1094" s="57" t="s">
        <v>5787</v>
      </c>
      <c r="D1094" s="56" t="s">
        <v>394</v>
      </c>
      <c r="E1094" s="56" t="s">
        <v>3922</v>
      </c>
      <c r="F1094" s="26" t="s">
        <v>3923</v>
      </c>
      <c r="G1094" s="26" t="s">
        <v>16</v>
      </c>
      <c r="H1094" s="26" t="s">
        <v>13</v>
      </c>
      <c r="I1094" s="26" t="s">
        <v>3924</v>
      </c>
      <c r="J1094" s="26" t="s">
        <v>5788</v>
      </c>
      <c r="K1094" s="26" t="s">
        <v>3976</v>
      </c>
      <c r="L1094" s="26" t="s">
        <v>3986</v>
      </c>
      <c r="M1094" s="55" t="s">
        <v>567</v>
      </c>
      <c r="N1094" s="26" t="s">
        <v>3924</v>
      </c>
    </row>
    <row r="1095" spans="1:14" ht="75" customHeight="1" thickTop="1" thickBot="1">
      <c r="A1095" s="34">
        <v>1093</v>
      </c>
      <c r="B1095" s="34">
        <v>1146</v>
      </c>
      <c r="C1095" s="57" t="s">
        <v>5787</v>
      </c>
      <c r="D1095" s="56" t="s">
        <v>394</v>
      </c>
      <c r="E1095" s="56" t="s">
        <v>3922</v>
      </c>
      <c r="F1095" s="26" t="s">
        <v>3923</v>
      </c>
      <c r="G1095" s="26" t="s">
        <v>16</v>
      </c>
      <c r="H1095" s="26" t="s">
        <v>13</v>
      </c>
      <c r="I1095" s="26" t="s">
        <v>3924</v>
      </c>
      <c r="J1095" s="26" t="s">
        <v>5788</v>
      </c>
      <c r="K1095" s="26" t="s">
        <v>3976</v>
      </c>
      <c r="L1095" s="26" t="s">
        <v>3986</v>
      </c>
      <c r="M1095" s="55" t="s">
        <v>5789</v>
      </c>
      <c r="N1095" s="26" t="s">
        <v>3924</v>
      </c>
    </row>
    <row r="1096" spans="1:14" ht="75" customHeight="1" thickTop="1" thickBot="1">
      <c r="A1096" s="26">
        <v>1094</v>
      </c>
      <c r="B1096" s="26">
        <v>1147</v>
      </c>
      <c r="C1096" s="57" t="s">
        <v>5790</v>
      </c>
      <c r="D1096" s="56" t="s">
        <v>394</v>
      </c>
      <c r="E1096" s="56" t="s">
        <v>3922</v>
      </c>
      <c r="F1096" s="26" t="s">
        <v>3923</v>
      </c>
      <c r="G1096" s="26" t="s">
        <v>16</v>
      </c>
      <c r="H1096" s="26" t="s">
        <v>13</v>
      </c>
      <c r="I1096" s="26" t="s">
        <v>3924</v>
      </c>
      <c r="J1096" s="26" t="s">
        <v>5791</v>
      </c>
      <c r="K1096" s="26" t="s">
        <v>4087</v>
      </c>
      <c r="L1096" s="26" t="s">
        <v>5792</v>
      </c>
      <c r="M1096" s="55" t="s">
        <v>5793</v>
      </c>
      <c r="N1096" s="26" t="s">
        <v>3924</v>
      </c>
    </row>
    <row r="1097" spans="1:14" ht="75" customHeight="1" thickTop="1" thickBot="1">
      <c r="A1097" s="34">
        <v>1095</v>
      </c>
      <c r="B1097" s="34">
        <v>1148</v>
      </c>
      <c r="C1097" s="57" t="s">
        <v>5790</v>
      </c>
      <c r="D1097" s="56" t="s">
        <v>394</v>
      </c>
      <c r="E1097" s="56" t="s">
        <v>3922</v>
      </c>
      <c r="F1097" s="26" t="s">
        <v>3923</v>
      </c>
      <c r="G1097" s="26" t="s">
        <v>16</v>
      </c>
      <c r="H1097" s="26" t="s">
        <v>13</v>
      </c>
      <c r="I1097" s="26" t="s">
        <v>3924</v>
      </c>
      <c r="J1097" s="26" t="s">
        <v>5791</v>
      </c>
      <c r="K1097" s="26" t="s">
        <v>3976</v>
      </c>
      <c r="L1097" s="26" t="s">
        <v>3986</v>
      </c>
      <c r="M1097" s="55" t="s">
        <v>5794</v>
      </c>
      <c r="N1097" s="26" t="s">
        <v>3924</v>
      </c>
    </row>
    <row r="1098" spans="1:14" ht="75" customHeight="1" thickTop="1" thickBot="1">
      <c r="A1098" s="34">
        <v>1096</v>
      </c>
      <c r="B1098" s="34">
        <v>1149</v>
      </c>
      <c r="C1098" s="57" t="s">
        <v>5795</v>
      </c>
      <c r="D1098" s="56" t="s">
        <v>394</v>
      </c>
      <c r="E1098" s="56" t="s">
        <v>3922</v>
      </c>
      <c r="F1098" s="26" t="s">
        <v>3923</v>
      </c>
      <c r="G1098" s="26" t="s">
        <v>16</v>
      </c>
      <c r="H1098" s="26" t="s">
        <v>13</v>
      </c>
      <c r="I1098" s="26" t="s">
        <v>3924</v>
      </c>
      <c r="J1098" s="26" t="s">
        <v>5791</v>
      </c>
      <c r="K1098" s="26" t="s">
        <v>3976</v>
      </c>
      <c r="L1098" s="26" t="s">
        <v>3927</v>
      </c>
      <c r="M1098" s="55" t="s">
        <v>5796</v>
      </c>
      <c r="N1098" s="26" t="s">
        <v>3924</v>
      </c>
    </row>
    <row r="1099" spans="1:14" ht="75" customHeight="1" thickTop="1" thickBot="1">
      <c r="A1099" s="26">
        <v>1097</v>
      </c>
      <c r="B1099" s="26">
        <v>1150</v>
      </c>
      <c r="C1099" s="57" t="s">
        <v>5797</v>
      </c>
      <c r="D1099" s="56" t="s">
        <v>394</v>
      </c>
      <c r="E1099" s="56" t="s">
        <v>3922</v>
      </c>
      <c r="F1099" s="26" t="s">
        <v>3923</v>
      </c>
      <c r="G1099" s="26" t="s">
        <v>16</v>
      </c>
      <c r="H1099" s="26" t="s">
        <v>13</v>
      </c>
      <c r="I1099" s="26" t="s">
        <v>3924</v>
      </c>
      <c r="J1099" s="26" t="s">
        <v>5798</v>
      </c>
      <c r="K1099" s="26" t="s">
        <v>3976</v>
      </c>
      <c r="L1099" s="26" t="s">
        <v>3986</v>
      </c>
      <c r="M1099" s="55" t="s">
        <v>5799</v>
      </c>
      <c r="N1099" s="26" t="s">
        <v>3924</v>
      </c>
    </row>
    <row r="1100" spans="1:14" ht="75" customHeight="1" thickTop="1" thickBot="1">
      <c r="A1100" s="34">
        <v>1098</v>
      </c>
      <c r="B1100" s="34">
        <v>1151</v>
      </c>
      <c r="C1100" s="57" t="s">
        <v>5797</v>
      </c>
      <c r="D1100" s="56" t="s">
        <v>394</v>
      </c>
      <c r="E1100" s="56" t="s">
        <v>3922</v>
      </c>
      <c r="F1100" s="26" t="s">
        <v>3923</v>
      </c>
      <c r="G1100" s="26" t="s">
        <v>16</v>
      </c>
      <c r="H1100" s="26" t="s">
        <v>13</v>
      </c>
      <c r="I1100" s="26" t="s">
        <v>3924</v>
      </c>
      <c r="J1100" s="26" t="s">
        <v>5798</v>
      </c>
      <c r="K1100" s="26" t="s">
        <v>3976</v>
      </c>
      <c r="L1100" s="26" t="s">
        <v>3963</v>
      </c>
      <c r="M1100" s="55" t="s">
        <v>4159</v>
      </c>
      <c r="N1100" s="26" t="s">
        <v>3924</v>
      </c>
    </row>
    <row r="1101" spans="1:14" ht="75" customHeight="1" thickTop="1" thickBot="1">
      <c r="A1101" s="34">
        <v>1099</v>
      </c>
      <c r="B1101" s="26">
        <v>1152</v>
      </c>
      <c r="C1101" s="57" t="s">
        <v>5800</v>
      </c>
      <c r="D1101" s="56" t="s">
        <v>394</v>
      </c>
      <c r="E1101" s="56" t="s">
        <v>3922</v>
      </c>
      <c r="F1101" s="26" t="s">
        <v>3923</v>
      </c>
      <c r="G1101" s="26" t="s">
        <v>16</v>
      </c>
      <c r="H1101" s="26" t="s">
        <v>13</v>
      </c>
      <c r="I1101" s="26" t="s">
        <v>3924</v>
      </c>
      <c r="J1101" s="26" t="s">
        <v>5801</v>
      </c>
      <c r="K1101" s="26" t="s">
        <v>3976</v>
      </c>
      <c r="L1101" s="26" t="s">
        <v>3986</v>
      </c>
      <c r="M1101" s="55" t="s">
        <v>5802</v>
      </c>
      <c r="N1101" s="26" t="s">
        <v>3924</v>
      </c>
    </row>
    <row r="1102" spans="1:14" ht="75" customHeight="1" thickTop="1" thickBot="1">
      <c r="A1102" s="26">
        <v>1100</v>
      </c>
      <c r="B1102" s="34">
        <v>1153</v>
      </c>
      <c r="C1102" s="57" t="s">
        <v>5800</v>
      </c>
      <c r="D1102" s="56" t="s">
        <v>394</v>
      </c>
      <c r="E1102" s="56" t="s">
        <v>3922</v>
      </c>
      <c r="F1102" s="26" t="s">
        <v>3923</v>
      </c>
      <c r="G1102" s="26" t="s">
        <v>16</v>
      </c>
      <c r="H1102" s="26" t="s">
        <v>13</v>
      </c>
      <c r="I1102" s="26" t="s">
        <v>3924</v>
      </c>
      <c r="J1102" s="26" t="s">
        <v>5801</v>
      </c>
      <c r="K1102" s="26" t="s">
        <v>4087</v>
      </c>
      <c r="L1102" s="26" t="s">
        <v>3927</v>
      </c>
      <c r="M1102" s="55" t="s">
        <v>1341</v>
      </c>
      <c r="N1102" s="26" t="s">
        <v>3924</v>
      </c>
    </row>
    <row r="1103" spans="1:14" ht="75" customHeight="1" thickTop="1" thickBot="1">
      <c r="A1103" s="34">
        <v>1101</v>
      </c>
      <c r="B1103" s="26">
        <v>1154</v>
      </c>
      <c r="C1103" s="57" t="s">
        <v>5803</v>
      </c>
      <c r="D1103" s="56" t="s">
        <v>394</v>
      </c>
      <c r="E1103" s="56" t="s">
        <v>3922</v>
      </c>
      <c r="F1103" s="26" t="s">
        <v>3923</v>
      </c>
      <c r="G1103" s="26" t="s">
        <v>16</v>
      </c>
      <c r="H1103" s="26" t="s">
        <v>13</v>
      </c>
      <c r="I1103" s="26" t="s">
        <v>3924</v>
      </c>
      <c r="J1103" s="26" t="s">
        <v>5801</v>
      </c>
      <c r="K1103" s="26" t="s">
        <v>3941</v>
      </c>
      <c r="L1103" s="26" t="s">
        <v>4284</v>
      </c>
      <c r="M1103" s="55" t="s">
        <v>638</v>
      </c>
      <c r="N1103" s="26" t="s">
        <v>3924</v>
      </c>
    </row>
    <row r="1104" spans="1:14" ht="75" customHeight="1" thickTop="1" thickBot="1">
      <c r="A1104" s="34">
        <v>1102</v>
      </c>
      <c r="B1104" s="34">
        <v>1155</v>
      </c>
      <c r="C1104" s="57" t="s">
        <v>5803</v>
      </c>
      <c r="D1104" s="56" t="s">
        <v>394</v>
      </c>
      <c r="E1104" s="56" t="s">
        <v>3922</v>
      </c>
      <c r="F1104" s="26" t="s">
        <v>3923</v>
      </c>
      <c r="G1104" s="26" t="s">
        <v>16</v>
      </c>
      <c r="H1104" s="26" t="s">
        <v>13</v>
      </c>
      <c r="I1104" s="26" t="s">
        <v>3924</v>
      </c>
      <c r="J1104" s="26" t="s">
        <v>5804</v>
      </c>
      <c r="K1104" s="26" t="s">
        <v>3966</v>
      </c>
      <c r="L1104" s="26" t="s">
        <v>3927</v>
      </c>
      <c r="M1104" s="55" t="s">
        <v>5805</v>
      </c>
      <c r="N1104" s="26" t="s">
        <v>3924</v>
      </c>
    </row>
    <row r="1105" spans="1:14" ht="75" customHeight="1" thickTop="1" thickBot="1">
      <c r="A1105" s="26">
        <v>1103</v>
      </c>
      <c r="B1105" s="34">
        <v>1156</v>
      </c>
      <c r="C1105" s="57" t="s">
        <v>5785</v>
      </c>
      <c r="D1105" s="56" t="s">
        <v>394</v>
      </c>
      <c r="E1105" s="56" t="s">
        <v>3922</v>
      </c>
      <c r="F1105" s="26" t="s">
        <v>3923</v>
      </c>
      <c r="G1105" s="26" t="s">
        <v>16</v>
      </c>
      <c r="H1105" s="26" t="s">
        <v>13</v>
      </c>
      <c r="I1105" s="26" t="s">
        <v>3924</v>
      </c>
      <c r="J1105" s="26" t="s">
        <v>5804</v>
      </c>
      <c r="K1105" s="26" t="s">
        <v>4010</v>
      </c>
      <c r="L1105" s="26" t="s">
        <v>4203</v>
      </c>
      <c r="M1105" s="55" t="s">
        <v>4240</v>
      </c>
      <c r="N1105" s="26" t="s">
        <v>3924</v>
      </c>
    </row>
    <row r="1106" spans="1:14" ht="75" customHeight="1" thickTop="1" thickBot="1">
      <c r="A1106" s="34">
        <v>1104</v>
      </c>
      <c r="B1106" s="26">
        <v>1157</v>
      </c>
      <c r="C1106" s="57" t="s">
        <v>5788</v>
      </c>
      <c r="D1106" s="56" t="s">
        <v>394</v>
      </c>
      <c r="E1106" s="56" t="s">
        <v>3922</v>
      </c>
      <c r="F1106" s="26" t="s">
        <v>3923</v>
      </c>
      <c r="G1106" s="26" t="s">
        <v>16</v>
      </c>
      <c r="H1106" s="26" t="s">
        <v>13</v>
      </c>
      <c r="I1106" s="26" t="s">
        <v>3924</v>
      </c>
      <c r="J1106" s="26" t="s">
        <v>5804</v>
      </c>
      <c r="K1106" s="26" t="s">
        <v>4010</v>
      </c>
      <c r="L1106" s="26" t="s">
        <v>4203</v>
      </c>
      <c r="M1106" s="55" t="s">
        <v>5806</v>
      </c>
      <c r="N1106" s="26" t="s">
        <v>3924</v>
      </c>
    </row>
    <row r="1107" spans="1:14" ht="75" customHeight="1" thickTop="1" thickBot="1">
      <c r="A1107" s="34">
        <v>1105</v>
      </c>
      <c r="B1107" s="34">
        <v>1158</v>
      </c>
      <c r="C1107" s="57" t="s">
        <v>5788</v>
      </c>
      <c r="D1107" s="56" t="s">
        <v>394</v>
      </c>
      <c r="E1107" s="56" t="s">
        <v>3922</v>
      </c>
      <c r="F1107" s="26" t="s">
        <v>3923</v>
      </c>
      <c r="G1107" s="26" t="s">
        <v>16</v>
      </c>
      <c r="H1107" s="26" t="s">
        <v>13</v>
      </c>
      <c r="I1107" s="26" t="s">
        <v>3924</v>
      </c>
      <c r="J1107" s="26" t="s">
        <v>5807</v>
      </c>
      <c r="K1107" s="26" t="s">
        <v>4010</v>
      </c>
      <c r="L1107" s="26" t="s">
        <v>4203</v>
      </c>
      <c r="M1107" s="55" t="s">
        <v>4501</v>
      </c>
      <c r="N1107" s="26" t="s">
        <v>3924</v>
      </c>
    </row>
    <row r="1108" spans="1:14" ht="75" customHeight="1" thickTop="1" thickBot="1">
      <c r="A1108" s="26">
        <v>1106</v>
      </c>
      <c r="B1108" s="26">
        <v>1159</v>
      </c>
      <c r="C1108" s="57" t="s">
        <v>5791</v>
      </c>
      <c r="D1108" s="56" t="s">
        <v>394</v>
      </c>
      <c r="E1108" s="56" t="s">
        <v>3922</v>
      </c>
      <c r="F1108" s="26" t="s">
        <v>3923</v>
      </c>
      <c r="G1108" s="26" t="s">
        <v>16</v>
      </c>
      <c r="H1108" s="26" t="s">
        <v>13</v>
      </c>
      <c r="I1108" s="26" t="s">
        <v>3924</v>
      </c>
      <c r="J1108" s="26" t="s">
        <v>5807</v>
      </c>
      <c r="K1108" s="26" t="s">
        <v>4010</v>
      </c>
      <c r="L1108" s="26" t="s">
        <v>4277</v>
      </c>
      <c r="M1108" s="55" t="s">
        <v>5808</v>
      </c>
      <c r="N1108" s="26" t="s">
        <v>3924</v>
      </c>
    </row>
    <row r="1109" spans="1:14" ht="75" customHeight="1" thickTop="1" thickBot="1">
      <c r="A1109" s="34">
        <v>1107</v>
      </c>
      <c r="B1109" s="34">
        <v>1160</v>
      </c>
      <c r="C1109" s="57" t="s">
        <v>5791</v>
      </c>
      <c r="D1109" s="56" t="s">
        <v>394</v>
      </c>
      <c r="E1109" s="56" t="s">
        <v>3922</v>
      </c>
      <c r="F1109" s="26" t="s">
        <v>3923</v>
      </c>
      <c r="G1109" s="26" t="s">
        <v>16</v>
      </c>
      <c r="H1109" s="26" t="s">
        <v>13</v>
      </c>
      <c r="I1109" s="26" t="s">
        <v>3924</v>
      </c>
      <c r="J1109" s="26" t="s">
        <v>5807</v>
      </c>
      <c r="K1109" s="26" t="s">
        <v>4010</v>
      </c>
      <c r="L1109" s="26" t="s">
        <v>4277</v>
      </c>
      <c r="M1109" s="55" t="s">
        <v>4240</v>
      </c>
      <c r="N1109" s="26" t="s">
        <v>3924</v>
      </c>
    </row>
    <row r="1110" spans="1:14" ht="75" customHeight="1" thickTop="1" thickBot="1">
      <c r="A1110" s="34">
        <v>1108</v>
      </c>
      <c r="B1110" s="26">
        <v>1161</v>
      </c>
      <c r="C1110" s="57" t="s">
        <v>5791</v>
      </c>
      <c r="D1110" s="56" t="s">
        <v>394</v>
      </c>
      <c r="E1110" s="56" t="s">
        <v>3922</v>
      </c>
      <c r="F1110" s="26" t="s">
        <v>3923</v>
      </c>
      <c r="G1110" s="26" t="s">
        <v>16</v>
      </c>
      <c r="H1110" s="26" t="s">
        <v>13</v>
      </c>
      <c r="I1110" s="26" t="s">
        <v>3924</v>
      </c>
      <c r="J1110" s="26" t="s">
        <v>5809</v>
      </c>
      <c r="K1110" s="26" t="s">
        <v>4010</v>
      </c>
      <c r="L1110" s="26" t="s">
        <v>4277</v>
      </c>
      <c r="M1110" s="55" t="s">
        <v>611</v>
      </c>
      <c r="N1110" s="26" t="s">
        <v>3924</v>
      </c>
    </row>
    <row r="1111" spans="1:14" ht="75" customHeight="1" thickTop="1" thickBot="1">
      <c r="A1111" s="26">
        <v>1109</v>
      </c>
      <c r="B1111" s="34">
        <v>1162</v>
      </c>
      <c r="C1111" s="57" t="s">
        <v>5798</v>
      </c>
      <c r="D1111" s="56" t="s">
        <v>394</v>
      </c>
      <c r="E1111" s="56" t="s">
        <v>3922</v>
      </c>
      <c r="F1111" s="26" t="s">
        <v>3923</v>
      </c>
      <c r="G1111" s="26" t="s">
        <v>16</v>
      </c>
      <c r="H1111" s="26" t="s">
        <v>13</v>
      </c>
      <c r="I1111" s="26" t="s">
        <v>3924</v>
      </c>
      <c r="J1111" s="26" t="s">
        <v>5809</v>
      </c>
      <c r="K1111" s="26" t="s">
        <v>4010</v>
      </c>
      <c r="L1111" s="26" t="s">
        <v>4284</v>
      </c>
      <c r="M1111" s="55" t="s">
        <v>2202</v>
      </c>
      <c r="N1111" s="26" t="s">
        <v>3924</v>
      </c>
    </row>
    <row r="1112" spans="1:14" ht="75" customHeight="1" thickTop="1" thickBot="1">
      <c r="A1112" s="34">
        <v>1110</v>
      </c>
      <c r="B1112" s="34">
        <v>1163</v>
      </c>
      <c r="C1112" s="57" t="s">
        <v>5798</v>
      </c>
      <c r="D1112" s="56" t="s">
        <v>394</v>
      </c>
      <c r="E1112" s="56" t="s">
        <v>3922</v>
      </c>
      <c r="F1112" s="26" t="s">
        <v>3923</v>
      </c>
      <c r="G1112" s="26" t="s">
        <v>16</v>
      </c>
      <c r="H1112" s="26" t="s">
        <v>13</v>
      </c>
      <c r="I1112" s="26" t="s">
        <v>3924</v>
      </c>
      <c r="J1112" s="26" t="s">
        <v>5809</v>
      </c>
      <c r="K1112" s="26" t="s">
        <v>4010</v>
      </c>
      <c r="L1112" s="26" t="s">
        <v>3927</v>
      </c>
      <c r="M1112" s="55" t="s">
        <v>5810</v>
      </c>
      <c r="N1112" s="26" t="s">
        <v>3924</v>
      </c>
    </row>
    <row r="1113" spans="1:14" ht="75" customHeight="1" thickTop="1" thickBot="1">
      <c r="A1113" s="34">
        <v>1111</v>
      </c>
      <c r="B1113" s="26">
        <v>1164</v>
      </c>
      <c r="C1113" s="57" t="s">
        <v>5801</v>
      </c>
      <c r="D1113" s="56" t="s">
        <v>394</v>
      </c>
      <c r="E1113" s="56" t="s">
        <v>3922</v>
      </c>
      <c r="F1113" s="26" t="s">
        <v>3923</v>
      </c>
      <c r="G1113" s="26" t="s">
        <v>16</v>
      </c>
      <c r="H1113" s="26" t="s">
        <v>13</v>
      </c>
      <c r="I1113" s="26" t="s">
        <v>3924</v>
      </c>
      <c r="J1113" s="26" t="s">
        <v>5811</v>
      </c>
      <c r="K1113" s="26" t="s">
        <v>3966</v>
      </c>
      <c r="L1113" s="26" t="s">
        <v>3963</v>
      </c>
      <c r="M1113" s="55" t="s">
        <v>5812</v>
      </c>
      <c r="N1113" s="26" t="s">
        <v>3924</v>
      </c>
    </row>
    <row r="1114" spans="1:14" ht="75" customHeight="1" thickTop="1" thickBot="1">
      <c r="A1114" s="26">
        <v>1112</v>
      </c>
      <c r="B1114" s="34">
        <v>1165</v>
      </c>
      <c r="C1114" s="57" t="s">
        <v>5801</v>
      </c>
      <c r="D1114" s="56" t="s">
        <v>394</v>
      </c>
      <c r="E1114" s="56" t="s">
        <v>3922</v>
      </c>
      <c r="F1114" s="26" t="s">
        <v>3923</v>
      </c>
      <c r="G1114" s="26" t="s">
        <v>16</v>
      </c>
      <c r="H1114" s="26" t="s">
        <v>13</v>
      </c>
      <c r="I1114" s="26" t="s">
        <v>3924</v>
      </c>
      <c r="J1114" s="26" t="s">
        <v>5811</v>
      </c>
      <c r="K1114" s="26" t="s">
        <v>3966</v>
      </c>
      <c r="L1114" s="26" t="s">
        <v>3986</v>
      </c>
      <c r="M1114" s="55" t="s">
        <v>5726</v>
      </c>
      <c r="N1114" s="26" t="s">
        <v>3924</v>
      </c>
    </row>
    <row r="1115" spans="1:14" ht="75" customHeight="1" thickTop="1" thickBot="1">
      <c r="A1115" s="34">
        <v>1113</v>
      </c>
      <c r="B1115" s="26">
        <v>1166</v>
      </c>
      <c r="C1115" s="57" t="s">
        <v>5804</v>
      </c>
      <c r="D1115" s="56" t="s">
        <v>394</v>
      </c>
      <c r="E1115" s="56" t="s">
        <v>3922</v>
      </c>
      <c r="F1115" s="26" t="s">
        <v>3923</v>
      </c>
      <c r="G1115" s="26" t="s">
        <v>16</v>
      </c>
      <c r="H1115" s="26" t="s">
        <v>13</v>
      </c>
      <c r="I1115" s="26" t="s">
        <v>3924</v>
      </c>
      <c r="J1115" s="26" t="s">
        <v>5813</v>
      </c>
      <c r="K1115" s="26" t="s">
        <v>3947</v>
      </c>
      <c r="L1115" s="26" t="s">
        <v>4284</v>
      </c>
      <c r="M1115" s="55" t="s">
        <v>5814</v>
      </c>
      <c r="N1115" s="26" t="s">
        <v>3924</v>
      </c>
    </row>
    <row r="1116" spans="1:14" ht="75" customHeight="1" thickTop="1" thickBot="1">
      <c r="A1116" s="34">
        <v>1114</v>
      </c>
      <c r="B1116" s="34">
        <v>1167</v>
      </c>
      <c r="C1116" s="57" t="s">
        <v>5804</v>
      </c>
      <c r="D1116" s="56" t="s">
        <v>394</v>
      </c>
      <c r="E1116" s="56" t="s">
        <v>3922</v>
      </c>
      <c r="F1116" s="26" t="s">
        <v>3923</v>
      </c>
      <c r="G1116" s="26" t="s">
        <v>16</v>
      </c>
      <c r="H1116" s="26" t="s">
        <v>13</v>
      </c>
      <c r="I1116" s="26" t="s">
        <v>3924</v>
      </c>
      <c r="J1116" s="26" t="s">
        <v>5813</v>
      </c>
      <c r="K1116" s="26" t="s">
        <v>3947</v>
      </c>
      <c r="L1116" s="26" t="s">
        <v>3963</v>
      </c>
      <c r="M1116" s="55" t="s">
        <v>5815</v>
      </c>
      <c r="N1116" s="26" t="s">
        <v>3924</v>
      </c>
    </row>
    <row r="1117" spans="1:14" ht="75" customHeight="1" thickTop="1" thickBot="1">
      <c r="A1117" s="26">
        <v>1115</v>
      </c>
      <c r="B1117" s="26">
        <v>1168</v>
      </c>
      <c r="C1117" s="57" t="s">
        <v>5807</v>
      </c>
      <c r="D1117" s="56" t="s">
        <v>394</v>
      </c>
      <c r="E1117" s="56" t="s">
        <v>3922</v>
      </c>
      <c r="F1117" s="26" t="s">
        <v>3923</v>
      </c>
      <c r="G1117" s="26" t="s">
        <v>16</v>
      </c>
      <c r="H1117" s="26" t="s">
        <v>13</v>
      </c>
      <c r="I1117" s="26" t="s">
        <v>3924</v>
      </c>
      <c r="J1117" s="26" t="s">
        <v>5813</v>
      </c>
      <c r="K1117" s="26" t="s">
        <v>3947</v>
      </c>
      <c r="L1117" s="26" t="s">
        <v>4203</v>
      </c>
      <c r="M1117" s="55" t="s">
        <v>845</v>
      </c>
      <c r="N1117" s="26" t="s">
        <v>3924</v>
      </c>
    </row>
    <row r="1118" spans="1:14" ht="75" customHeight="1" thickTop="1" thickBot="1">
      <c r="A1118" s="34">
        <v>1116</v>
      </c>
      <c r="B1118" s="34">
        <v>1169</v>
      </c>
      <c r="C1118" s="57" t="s">
        <v>5807</v>
      </c>
      <c r="D1118" s="56" t="s">
        <v>394</v>
      </c>
      <c r="E1118" s="56" t="s">
        <v>3922</v>
      </c>
      <c r="F1118" s="26" t="s">
        <v>3923</v>
      </c>
      <c r="G1118" s="26" t="s">
        <v>16</v>
      </c>
      <c r="H1118" s="26" t="s">
        <v>13</v>
      </c>
      <c r="I1118" s="26" t="s">
        <v>3924</v>
      </c>
      <c r="J1118" s="26" t="s">
        <v>5816</v>
      </c>
      <c r="K1118" s="26" t="s">
        <v>3947</v>
      </c>
      <c r="L1118" s="26" t="s">
        <v>4277</v>
      </c>
      <c r="M1118" s="55" t="s">
        <v>611</v>
      </c>
      <c r="N1118" s="26" t="s">
        <v>3924</v>
      </c>
    </row>
    <row r="1119" spans="1:14" ht="75" customHeight="1" thickTop="1" thickBot="1">
      <c r="A1119" s="34">
        <v>1117</v>
      </c>
      <c r="B1119" s="34">
        <v>1170</v>
      </c>
      <c r="C1119" s="57" t="s">
        <v>5809</v>
      </c>
      <c r="D1119" s="56" t="s">
        <v>394</v>
      </c>
      <c r="E1119" s="56" t="s">
        <v>3922</v>
      </c>
      <c r="F1119" s="26" t="s">
        <v>3923</v>
      </c>
      <c r="G1119" s="26" t="s">
        <v>16</v>
      </c>
      <c r="H1119" s="26" t="s">
        <v>13</v>
      </c>
      <c r="I1119" s="26" t="s">
        <v>3924</v>
      </c>
      <c r="J1119" s="26" t="s">
        <v>5816</v>
      </c>
      <c r="K1119" s="26" t="s">
        <v>3947</v>
      </c>
      <c r="L1119" s="26" t="s">
        <v>3927</v>
      </c>
      <c r="M1119" s="55" t="s">
        <v>5817</v>
      </c>
      <c r="N1119" s="26" t="s">
        <v>3924</v>
      </c>
    </row>
    <row r="1120" spans="1:14" ht="75" customHeight="1" thickTop="1" thickBot="1">
      <c r="A1120" s="26">
        <v>1118</v>
      </c>
      <c r="B1120" s="26">
        <v>1171</v>
      </c>
      <c r="C1120" s="57" t="s">
        <v>5811</v>
      </c>
      <c r="D1120" s="56" t="s">
        <v>394</v>
      </c>
      <c r="E1120" s="56" t="s">
        <v>3922</v>
      </c>
      <c r="F1120" s="26" t="s">
        <v>3923</v>
      </c>
      <c r="G1120" s="26" t="s">
        <v>16</v>
      </c>
      <c r="H1120" s="26" t="s">
        <v>13</v>
      </c>
      <c r="I1120" s="26" t="s">
        <v>3924</v>
      </c>
      <c r="J1120" s="26" t="s">
        <v>5816</v>
      </c>
      <c r="K1120" s="26" t="s">
        <v>3941</v>
      </c>
      <c r="L1120" s="26" t="s">
        <v>3986</v>
      </c>
      <c r="M1120" s="55" t="s">
        <v>1105</v>
      </c>
      <c r="N1120" s="26" t="s">
        <v>3924</v>
      </c>
    </row>
    <row r="1121" spans="1:14" ht="75" customHeight="1" thickTop="1" thickBot="1">
      <c r="A1121" s="34">
        <v>1119</v>
      </c>
      <c r="B1121" s="34">
        <v>1172</v>
      </c>
      <c r="C1121" s="57" t="s">
        <v>5811</v>
      </c>
      <c r="D1121" s="56" t="s">
        <v>394</v>
      </c>
      <c r="E1121" s="56" t="s">
        <v>3922</v>
      </c>
      <c r="F1121" s="26" t="s">
        <v>3923</v>
      </c>
      <c r="G1121" s="26" t="s">
        <v>16</v>
      </c>
      <c r="H1121" s="26" t="s">
        <v>13</v>
      </c>
      <c r="I1121" s="26" t="s">
        <v>3924</v>
      </c>
      <c r="J1121" s="26" t="s">
        <v>5818</v>
      </c>
      <c r="K1121" s="26" t="s">
        <v>3941</v>
      </c>
      <c r="L1121" s="26" t="s">
        <v>4239</v>
      </c>
      <c r="M1121" s="55" t="s">
        <v>5819</v>
      </c>
      <c r="N1121" s="26" t="s">
        <v>3924</v>
      </c>
    </row>
    <row r="1122" spans="1:14" ht="75" customHeight="1" thickTop="1" thickBot="1">
      <c r="A1122" s="34">
        <v>1120</v>
      </c>
      <c r="B1122" s="26">
        <v>1173</v>
      </c>
      <c r="C1122" s="57" t="s">
        <v>5813</v>
      </c>
      <c r="D1122" s="56" t="s">
        <v>394</v>
      </c>
      <c r="E1122" s="56" t="s">
        <v>3922</v>
      </c>
      <c r="F1122" s="26" t="s">
        <v>3923</v>
      </c>
      <c r="G1122" s="26" t="s">
        <v>16</v>
      </c>
      <c r="H1122" s="26" t="s">
        <v>13</v>
      </c>
      <c r="I1122" s="26" t="s">
        <v>3924</v>
      </c>
      <c r="J1122" s="26" t="s">
        <v>5818</v>
      </c>
      <c r="K1122" s="26" t="s">
        <v>4087</v>
      </c>
      <c r="L1122" s="26" t="s">
        <v>3963</v>
      </c>
      <c r="M1122" s="55" t="s">
        <v>821</v>
      </c>
      <c r="N1122" s="26" t="s">
        <v>3924</v>
      </c>
    </row>
    <row r="1123" spans="1:14" ht="75" customHeight="1" thickTop="1" thickBot="1">
      <c r="A1123" s="26">
        <v>1121</v>
      </c>
      <c r="B1123" s="34">
        <v>1174</v>
      </c>
      <c r="C1123" s="57" t="s">
        <v>5813</v>
      </c>
      <c r="D1123" s="56" t="s">
        <v>394</v>
      </c>
      <c r="E1123" s="56" t="s">
        <v>3922</v>
      </c>
      <c r="F1123" s="26" t="s">
        <v>3923</v>
      </c>
      <c r="G1123" s="26" t="s">
        <v>16</v>
      </c>
      <c r="H1123" s="26" t="s">
        <v>13</v>
      </c>
      <c r="I1123" s="26" t="s">
        <v>3924</v>
      </c>
      <c r="J1123" s="26" t="s">
        <v>5818</v>
      </c>
      <c r="K1123" s="26" t="s">
        <v>4087</v>
      </c>
      <c r="L1123" s="26" t="s">
        <v>4277</v>
      </c>
      <c r="M1123" s="55" t="s">
        <v>5820</v>
      </c>
      <c r="N1123" s="26" t="s">
        <v>3924</v>
      </c>
    </row>
    <row r="1124" spans="1:14" ht="75" customHeight="1" thickTop="1" thickBot="1">
      <c r="A1124" s="34">
        <v>1122</v>
      </c>
      <c r="B1124" s="26">
        <v>1175</v>
      </c>
      <c r="C1124" s="57" t="s">
        <v>5816</v>
      </c>
      <c r="D1124" s="56" t="s">
        <v>394</v>
      </c>
      <c r="E1124" s="56" t="s">
        <v>3922</v>
      </c>
      <c r="F1124" s="26" t="s">
        <v>3923</v>
      </c>
      <c r="G1124" s="26" t="s">
        <v>16</v>
      </c>
      <c r="H1124" s="26" t="s">
        <v>13</v>
      </c>
      <c r="I1124" s="26" t="s">
        <v>3924</v>
      </c>
      <c r="J1124" s="26" t="s">
        <v>5821</v>
      </c>
      <c r="K1124" s="26" t="s">
        <v>3941</v>
      </c>
      <c r="L1124" s="26" t="s">
        <v>4239</v>
      </c>
      <c r="M1124" s="55" t="s">
        <v>5822</v>
      </c>
      <c r="N1124" s="26" t="s">
        <v>3924</v>
      </c>
    </row>
    <row r="1125" spans="1:14" ht="75" customHeight="1" thickTop="1" thickBot="1">
      <c r="A1125" s="34">
        <v>1123</v>
      </c>
      <c r="B1125" s="34">
        <v>1176</v>
      </c>
      <c r="C1125" s="57" t="s">
        <v>5816</v>
      </c>
      <c r="D1125" s="56" t="s">
        <v>394</v>
      </c>
      <c r="E1125" s="56" t="s">
        <v>3922</v>
      </c>
      <c r="F1125" s="26" t="s">
        <v>3923</v>
      </c>
      <c r="G1125" s="26" t="s">
        <v>16</v>
      </c>
      <c r="H1125" s="26" t="s">
        <v>13</v>
      </c>
      <c r="I1125" s="26" t="s">
        <v>3924</v>
      </c>
      <c r="J1125" s="26" t="s">
        <v>5821</v>
      </c>
      <c r="K1125" s="26" t="s">
        <v>3926</v>
      </c>
      <c r="L1125" s="26" t="s">
        <v>3963</v>
      </c>
      <c r="M1125" s="55" t="s">
        <v>5823</v>
      </c>
      <c r="N1125" s="26" t="s">
        <v>3924</v>
      </c>
    </row>
    <row r="1126" spans="1:14" ht="75" customHeight="1" thickTop="1" thickBot="1">
      <c r="A1126" s="26">
        <v>1124</v>
      </c>
      <c r="B1126" s="34">
        <v>1177</v>
      </c>
      <c r="C1126" s="57" t="s">
        <v>5818</v>
      </c>
      <c r="D1126" s="56" t="s">
        <v>394</v>
      </c>
      <c r="E1126" s="56" t="s">
        <v>3922</v>
      </c>
      <c r="F1126" s="26" t="s">
        <v>3923</v>
      </c>
      <c r="G1126" s="26" t="s">
        <v>16</v>
      </c>
      <c r="H1126" s="26" t="s">
        <v>13</v>
      </c>
      <c r="I1126" s="26" t="s">
        <v>3924</v>
      </c>
      <c r="J1126" s="26" t="s">
        <v>5821</v>
      </c>
      <c r="K1126" s="26" t="s">
        <v>4040</v>
      </c>
      <c r="L1126" s="26" t="s">
        <v>4082</v>
      </c>
      <c r="M1126" s="55" t="s">
        <v>5824</v>
      </c>
      <c r="N1126" s="26" t="s">
        <v>3924</v>
      </c>
    </row>
    <row r="1127" spans="1:14" ht="75" customHeight="1" thickTop="1" thickBot="1">
      <c r="A1127" s="34">
        <v>1125</v>
      </c>
      <c r="B1127" s="26">
        <v>1178</v>
      </c>
      <c r="C1127" s="57" t="s">
        <v>5821</v>
      </c>
      <c r="D1127" s="56" t="s">
        <v>394</v>
      </c>
      <c r="E1127" s="56" t="s">
        <v>3922</v>
      </c>
      <c r="F1127" s="26" t="s">
        <v>3923</v>
      </c>
      <c r="G1127" s="26" t="s">
        <v>16</v>
      </c>
      <c r="H1127" s="26" t="s">
        <v>13</v>
      </c>
      <c r="I1127" s="26" t="s">
        <v>3924</v>
      </c>
      <c r="J1127" s="26" t="s">
        <v>5825</v>
      </c>
      <c r="K1127" s="26" t="s">
        <v>4087</v>
      </c>
      <c r="L1127" s="26" t="s">
        <v>3963</v>
      </c>
      <c r="M1127" s="55" t="s">
        <v>5826</v>
      </c>
      <c r="N1127" s="26" t="s">
        <v>3924</v>
      </c>
    </row>
    <row r="1128" spans="1:14" ht="75" customHeight="1" thickTop="1" thickBot="1">
      <c r="A1128" s="34">
        <v>1126</v>
      </c>
      <c r="B1128" s="34">
        <v>1179</v>
      </c>
      <c r="C1128" s="57" t="s">
        <v>5825</v>
      </c>
      <c r="D1128" s="56" t="s">
        <v>394</v>
      </c>
      <c r="E1128" s="56" t="s">
        <v>3922</v>
      </c>
      <c r="F1128" s="26" t="s">
        <v>3923</v>
      </c>
      <c r="G1128" s="26" t="s">
        <v>16</v>
      </c>
      <c r="H1128" s="26" t="s">
        <v>13</v>
      </c>
      <c r="I1128" s="26" t="s">
        <v>3924</v>
      </c>
      <c r="J1128" s="26" t="s">
        <v>5825</v>
      </c>
      <c r="K1128" s="26" t="s">
        <v>3941</v>
      </c>
      <c r="L1128" s="26" t="s">
        <v>3986</v>
      </c>
      <c r="M1128" s="55" t="s">
        <v>5827</v>
      </c>
      <c r="N1128" s="26" t="s">
        <v>3924</v>
      </c>
    </row>
    <row r="1129" spans="1:14" ht="75" customHeight="1" thickTop="1" thickBot="1">
      <c r="A1129" s="26">
        <v>1127</v>
      </c>
      <c r="B1129" s="26">
        <v>1180</v>
      </c>
      <c r="C1129" s="57" t="s">
        <v>5825</v>
      </c>
      <c r="D1129" s="56" t="s">
        <v>394</v>
      </c>
      <c r="E1129" s="56" t="s">
        <v>3922</v>
      </c>
      <c r="F1129" s="26" t="s">
        <v>3923</v>
      </c>
      <c r="G1129" s="26" t="s">
        <v>16</v>
      </c>
      <c r="H1129" s="26" t="s">
        <v>13</v>
      </c>
      <c r="I1129" s="26" t="s">
        <v>3924</v>
      </c>
      <c r="J1129" s="26" t="s">
        <v>5828</v>
      </c>
      <c r="K1129" s="26" t="s">
        <v>4190</v>
      </c>
      <c r="L1129" s="26" t="s">
        <v>3927</v>
      </c>
      <c r="M1129" s="55" t="s">
        <v>850</v>
      </c>
      <c r="N1129" s="26" t="s">
        <v>3924</v>
      </c>
    </row>
    <row r="1130" spans="1:14" ht="75" customHeight="1" thickTop="1" thickBot="1">
      <c r="A1130" s="34">
        <v>1128</v>
      </c>
      <c r="B1130" s="34">
        <v>1181</v>
      </c>
      <c r="C1130" s="57" t="s">
        <v>5828</v>
      </c>
      <c r="D1130" s="56" t="s">
        <v>394</v>
      </c>
      <c r="E1130" s="56" t="s">
        <v>3922</v>
      </c>
      <c r="F1130" s="26" t="s">
        <v>3923</v>
      </c>
      <c r="G1130" s="26" t="s">
        <v>16</v>
      </c>
      <c r="H1130" s="26" t="s">
        <v>13</v>
      </c>
      <c r="I1130" s="26" t="s">
        <v>3924</v>
      </c>
      <c r="J1130" s="26" t="s">
        <v>5828</v>
      </c>
      <c r="K1130" s="26" t="s">
        <v>4010</v>
      </c>
      <c r="L1130" s="26" t="s">
        <v>3927</v>
      </c>
      <c r="M1130" s="55" t="s">
        <v>5829</v>
      </c>
      <c r="N1130" s="26" t="s">
        <v>3924</v>
      </c>
    </row>
    <row r="1131" spans="1:14" ht="75" customHeight="1" thickTop="1" thickBot="1">
      <c r="A1131" s="34">
        <v>1129</v>
      </c>
      <c r="B1131" s="26">
        <v>1182</v>
      </c>
      <c r="C1131" s="57" t="s">
        <v>5828</v>
      </c>
      <c r="D1131" s="56" t="s">
        <v>394</v>
      </c>
      <c r="E1131" s="56" t="s">
        <v>3922</v>
      </c>
      <c r="F1131" s="26" t="s">
        <v>3923</v>
      </c>
      <c r="G1131" s="26" t="s">
        <v>16</v>
      </c>
      <c r="H1131" s="26" t="s">
        <v>13</v>
      </c>
      <c r="I1131" s="26" t="s">
        <v>3924</v>
      </c>
      <c r="J1131" s="26" t="s">
        <v>5830</v>
      </c>
      <c r="K1131" s="26" t="s">
        <v>3941</v>
      </c>
      <c r="L1131" s="26" t="s">
        <v>4239</v>
      </c>
      <c r="M1131" s="55" t="s">
        <v>5831</v>
      </c>
      <c r="N1131" s="26" t="s">
        <v>3924</v>
      </c>
    </row>
    <row r="1132" spans="1:14" ht="75" customHeight="1" thickTop="1" thickBot="1">
      <c r="A1132" s="26">
        <v>1130</v>
      </c>
      <c r="B1132" s="34">
        <v>1183</v>
      </c>
      <c r="C1132" s="57" t="s">
        <v>5830</v>
      </c>
      <c r="D1132" s="56" t="s">
        <v>394</v>
      </c>
      <c r="E1132" s="56" t="s">
        <v>3922</v>
      </c>
      <c r="F1132" s="26" t="s">
        <v>3923</v>
      </c>
      <c r="G1132" s="26" t="s">
        <v>16</v>
      </c>
      <c r="H1132" s="26" t="s">
        <v>13</v>
      </c>
      <c r="I1132" s="26" t="s">
        <v>3924</v>
      </c>
      <c r="J1132" s="26" t="s">
        <v>5830</v>
      </c>
      <c r="K1132" s="26" t="s">
        <v>4087</v>
      </c>
      <c r="L1132" s="26" t="s">
        <v>3963</v>
      </c>
      <c r="M1132" s="55" t="s">
        <v>5832</v>
      </c>
      <c r="N1132" s="26" t="s">
        <v>3924</v>
      </c>
    </row>
    <row r="1133" spans="1:14" ht="75" customHeight="1" thickTop="1" thickBot="1">
      <c r="A1133" s="34">
        <v>1131</v>
      </c>
      <c r="B1133" s="34">
        <v>1184</v>
      </c>
      <c r="C1133" s="57" t="s">
        <v>5830</v>
      </c>
      <c r="D1133" s="56" t="s">
        <v>394</v>
      </c>
      <c r="E1133" s="56" t="s">
        <v>3922</v>
      </c>
      <c r="F1133" s="26" t="s">
        <v>3923</v>
      </c>
      <c r="G1133" s="26" t="s">
        <v>16</v>
      </c>
      <c r="H1133" s="26" t="s">
        <v>13</v>
      </c>
      <c r="I1133" s="26" t="s">
        <v>3924</v>
      </c>
      <c r="J1133" s="26" t="s">
        <v>5833</v>
      </c>
      <c r="K1133" s="26" t="s">
        <v>3941</v>
      </c>
      <c r="L1133" s="26" t="s">
        <v>3986</v>
      </c>
      <c r="M1133" s="55" t="s">
        <v>5834</v>
      </c>
      <c r="N1133" s="26" t="s">
        <v>3924</v>
      </c>
    </row>
    <row r="1134" spans="1:14" ht="75" customHeight="1" thickTop="1" thickBot="1">
      <c r="A1134" s="34">
        <v>1132</v>
      </c>
      <c r="B1134" s="26">
        <v>1185</v>
      </c>
      <c r="C1134" s="57" t="s">
        <v>5833</v>
      </c>
      <c r="D1134" s="56" t="s">
        <v>394</v>
      </c>
      <c r="E1134" s="56" t="s">
        <v>3922</v>
      </c>
      <c r="F1134" s="26" t="s">
        <v>3923</v>
      </c>
      <c r="G1134" s="26" t="s">
        <v>16</v>
      </c>
      <c r="H1134" s="26" t="s">
        <v>13</v>
      </c>
      <c r="I1134" s="26" t="s">
        <v>3924</v>
      </c>
      <c r="J1134" s="26" t="s">
        <v>5835</v>
      </c>
      <c r="K1134" s="26" t="s">
        <v>3941</v>
      </c>
      <c r="L1134" s="26" t="s">
        <v>4239</v>
      </c>
      <c r="M1134" s="55" t="s">
        <v>5836</v>
      </c>
      <c r="N1134" s="26" t="s">
        <v>3924</v>
      </c>
    </row>
    <row r="1135" spans="1:14" ht="75" customHeight="1" thickTop="1" thickBot="1">
      <c r="A1135" s="26">
        <v>1133</v>
      </c>
      <c r="B1135" s="34">
        <v>1186</v>
      </c>
      <c r="C1135" s="57" t="s">
        <v>5833</v>
      </c>
      <c r="D1135" s="56" t="s">
        <v>394</v>
      </c>
      <c r="E1135" s="56" t="s">
        <v>3922</v>
      </c>
      <c r="F1135" s="26" t="s">
        <v>3923</v>
      </c>
      <c r="G1135" s="26" t="s">
        <v>16</v>
      </c>
      <c r="H1135" s="26" t="s">
        <v>13</v>
      </c>
      <c r="I1135" s="26" t="s">
        <v>3924</v>
      </c>
      <c r="J1135" s="26" t="s">
        <v>5835</v>
      </c>
      <c r="K1135" s="26" t="s">
        <v>3941</v>
      </c>
      <c r="L1135" s="26" t="s">
        <v>4239</v>
      </c>
      <c r="M1135" s="55" t="s">
        <v>5837</v>
      </c>
      <c r="N1135" s="26" t="s">
        <v>3924</v>
      </c>
    </row>
    <row r="1136" spans="1:14" ht="75" customHeight="1" thickTop="1" thickBot="1">
      <c r="A1136" s="34">
        <v>1134</v>
      </c>
      <c r="B1136" s="26">
        <v>1187</v>
      </c>
      <c r="C1136" s="57" t="s">
        <v>5833</v>
      </c>
      <c r="D1136" s="56" t="s">
        <v>394</v>
      </c>
      <c r="E1136" s="56" t="s">
        <v>3922</v>
      </c>
      <c r="F1136" s="26" t="s">
        <v>3923</v>
      </c>
      <c r="G1136" s="26" t="s">
        <v>16</v>
      </c>
      <c r="H1136" s="26" t="s">
        <v>13</v>
      </c>
      <c r="I1136" s="26" t="s">
        <v>3924</v>
      </c>
      <c r="J1136" s="26" t="s">
        <v>5838</v>
      </c>
      <c r="K1136" s="26" t="s">
        <v>3947</v>
      </c>
      <c r="L1136" s="26" t="s">
        <v>3927</v>
      </c>
      <c r="M1136" s="55" t="s">
        <v>5839</v>
      </c>
      <c r="N1136" s="26" t="s">
        <v>3924</v>
      </c>
    </row>
    <row r="1137" spans="1:14" ht="75" customHeight="1" thickTop="1" thickBot="1">
      <c r="A1137" s="34">
        <v>1135</v>
      </c>
      <c r="B1137" s="34">
        <v>1188</v>
      </c>
      <c r="C1137" s="57" t="s">
        <v>5840</v>
      </c>
      <c r="D1137" s="56" t="s">
        <v>394</v>
      </c>
      <c r="E1137" s="56" t="s">
        <v>3922</v>
      </c>
      <c r="F1137" s="26" t="s">
        <v>3923</v>
      </c>
      <c r="G1137" s="26" t="s">
        <v>16</v>
      </c>
      <c r="H1137" s="26" t="s">
        <v>13</v>
      </c>
      <c r="I1137" s="26" t="s">
        <v>3924</v>
      </c>
      <c r="J1137" s="26" t="s">
        <v>5838</v>
      </c>
      <c r="K1137" s="26" t="s">
        <v>3947</v>
      </c>
      <c r="L1137" s="26" t="s">
        <v>3927</v>
      </c>
      <c r="M1137" s="55" t="s">
        <v>844</v>
      </c>
      <c r="N1137" s="26" t="s">
        <v>3924</v>
      </c>
    </row>
    <row r="1138" spans="1:14" ht="75" customHeight="1" thickTop="1" thickBot="1">
      <c r="A1138" s="26">
        <v>1136</v>
      </c>
      <c r="B1138" s="26">
        <v>1189</v>
      </c>
      <c r="C1138" s="57" t="s">
        <v>5840</v>
      </c>
      <c r="D1138" s="56" t="s">
        <v>394</v>
      </c>
      <c r="E1138" s="56" t="s">
        <v>3922</v>
      </c>
      <c r="F1138" s="26" t="s">
        <v>3923</v>
      </c>
      <c r="G1138" s="26" t="s">
        <v>16</v>
      </c>
      <c r="H1138" s="26" t="s">
        <v>13</v>
      </c>
      <c r="I1138" s="26" t="s">
        <v>3924</v>
      </c>
      <c r="J1138" s="26" t="s">
        <v>5841</v>
      </c>
      <c r="K1138" s="26" t="s">
        <v>3941</v>
      </c>
      <c r="L1138" s="26" t="s">
        <v>4239</v>
      </c>
      <c r="M1138" s="55" t="s">
        <v>638</v>
      </c>
      <c r="N1138" s="26" t="s">
        <v>3924</v>
      </c>
    </row>
    <row r="1139" spans="1:14" ht="75" customHeight="1" thickTop="1" thickBot="1">
      <c r="A1139" s="34">
        <v>1137</v>
      </c>
      <c r="B1139" s="34">
        <v>1190</v>
      </c>
      <c r="C1139" s="57" t="s">
        <v>5835</v>
      </c>
      <c r="D1139" s="56" t="s">
        <v>394</v>
      </c>
      <c r="E1139" s="56" t="s">
        <v>3922</v>
      </c>
      <c r="F1139" s="26" t="s">
        <v>3923</v>
      </c>
      <c r="G1139" s="26" t="s">
        <v>16</v>
      </c>
      <c r="H1139" s="26" t="s">
        <v>13</v>
      </c>
      <c r="I1139" s="26" t="s">
        <v>3924</v>
      </c>
      <c r="J1139" s="26" t="s">
        <v>5841</v>
      </c>
      <c r="K1139" s="26" t="s">
        <v>3947</v>
      </c>
      <c r="L1139" s="26" t="s">
        <v>4277</v>
      </c>
      <c r="M1139" s="55" t="s">
        <v>4234</v>
      </c>
      <c r="N1139" s="26" t="s">
        <v>3924</v>
      </c>
    </row>
    <row r="1140" spans="1:14" ht="75" customHeight="1" thickTop="1" thickBot="1">
      <c r="A1140" s="34">
        <v>1138</v>
      </c>
      <c r="B1140" s="34">
        <v>1191</v>
      </c>
      <c r="C1140" s="57" t="s">
        <v>5835</v>
      </c>
      <c r="D1140" s="56" t="s">
        <v>394</v>
      </c>
      <c r="E1140" s="56" t="s">
        <v>3922</v>
      </c>
      <c r="F1140" s="26" t="s">
        <v>3923</v>
      </c>
      <c r="G1140" s="26" t="s">
        <v>16</v>
      </c>
      <c r="H1140" s="26" t="s">
        <v>13</v>
      </c>
      <c r="I1140" s="26" t="s">
        <v>3924</v>
      </c>
      <c r="J1140" s="26" t="s">
        <v>5842</v>
      </c>
      <c r="K1140" s="26" t="s">
        <v>3947</v>
      </c>
      <c r="L1140" s="26" t="s">
        <v>4277</v>
      </c>
      <c r="M1140" s="55" t="s">
        <v>5843</v>
      </c>
      <c r="N1140" s="26" t="s">
        <v>3924</v>
      </c>
    </row>
    <row r="1141" spans="1:14" ht="75" customHeight="1" thickTop="1" thickBot="1">
      <c r="A1141" s="26">
        <v>1139</v>
      </c>
      <c r="B1141" s="26">
        <v>1192</v>
      </c>
      <c r="C1141" s="57" t="s">
        <v>5838</v>
      </c>
      <c r="D1141" s="56" t="s">
        <v>394</v>
      </c>
      <c r="E1141" s="56" t="s">
        <v>3922</v>
      </c>
      <c r="F1141" s="26" t="s">
        <v>3923</v>
      </c>
      <c r="G1141" s="26" t="s">
        <v>16</v>
      </c>
      <c r="H1141" s="26" t="s">
        <v>13</v>
      </c>
      <c r="I1141" s="26" t="s">
        <v>3924</v>
      </c>
      <c r="J1141" s="26" t="s">
        <v>5844</v>
      </c>
      <c r="K1141" s="26" t="s">
        <v>4040</v>
      </c>
      <c r="L1141" s="26" t="s">
        <v>4082</v>
      </c>
      <c r="M1141" s="55" t="s">
        <v>5845</v>
      </c>
      <c r="N1141" s="26" t="s">
        <v>3924</v>
      </c>
    </row>
    <row r="1142" spans="1:14" ht="75" customHeight="1" thickTop="1" thickBot="1">
      <c r="A1142" s="34">
        <v>1140</v>
      </c>
      <c r="B1142" s="34">
        <v>1193</v>
      </c>
      <c r="C1142" s="57" t="s">
        <v>5838</v>
      </c>
      <c r="D1142" s="56" t="s">
        <v>394</v>
      </c>
      <c r="E1142" s="56" t="s">
        <v>3922</v>
      </c>
      <c r="F1142" s="26" t="s">
        <v>3923</v>
      </c>
      <c r="G1142" s="26" t="s">
        <v>16</v>
      </c>
      <c r="H1142" s="26" t="s">
        <v>13</v>
      </c>
      <c r="I1142" s="26" t="s">
        <v>3924</v>
      </c>
      <c r="J1142" s="26" t="s">
        <v>5844</v>
      </c>
      <c r="K1142" s="26" t="s">
        <v>3929</v>
      </c>
      <c r="L1142" s="26" t="s">
        <v>3963</v>
      </c>
      <c r="M1142" s="55" t="s">
        <v>638</v>
      </c>
      <c r="N1142" s="26" t="s">
        <v>3924</v>
      </c>
    </row>
    <row r="1143" spans="1:14" ht="75" customHeight="1" thickTop="1" thickBot="1">
      <c r="A1143" s="34">
        <v>1141</v>
      </c>
      <c r="B1143" s="26">
        <v>1194</v>
      </c>
      <c r="C1143" s="57" t="s">
        <v>5841</v>
      </c>
      <c r="D1143" s="56" t="s">
        <v>394</v>
      </c>
      <c r="E1143" s="56" t="s">
        <v>3922</v>
      </c>
      <c r="F1143" s="26" t="s">
        <v>3923</v>
      </c>
      <c r="G1143" s="26" t="s">
        <v>16</v>
      </c>
      <c r="H1143" s="26" t="s">
        <v>13</v>
      </c>
      <c r="I1143" s="26" t="s">
        <v>3924</v>
      </c>
      <c r="J1143" s="26" t="s">
        <v>5846</v>
      </c>
      <c r="K1143" s="26" t="s">
        <v>3929</v>
      </c>
      <c r="L1143" s="26" t="s">
        <v>3963</v>
      </c>
      <c r="M1143" s="55" t="s">
        <v>5847</v>
      </c>
      <c r="N1143" s="26" t="s">
        <v>3924</v>
      </c>
    </row>
    <row r="1144" spans="1:14" ht="75" customHeight="1" thickTop="1" thickBot="1">
      <c r="A1144" s="26">
        <v>1142</v>
      </c>
      <c r="B1144" s="34">
        <v>1195</v>
      </c>
      <c r="C1144" s="57" t="s">
        <v>5841</v>
      </c>
      <c r="D1144" s="56" t="s">
        <v>394</v>
      </c>
      <c r="E1144" s="56" t="s">
        <v>3922</v>
      </c>
      <c r="F1144" s="26" t="s">
        <v>3923</v>
      </c>
      <c r="G1144" s="26" t="s">
        <v>16</v>
      </c>
      <c r="H1144" s="26" t="s">
        <v>13</v>
      </c>
      <c r="I1144" s="26" t="s">
        <v>3924</v>
      </c>
      <c r="J1144" s="26" t="s">
        <v>5846</v>
      </c>
      <c r="K1144" s="26" t="s">
        <v>3929</v>
      </c>
      <c r="L1144" s="26" t="s">
        <v>3963</v>
      </c>
      <c r="M1144" s="55" t="s">
        <v>845</v>
      </c>
      <c r="N1144" s="26" t="s">
        <v>3924</v>
      </c>
    </row>
    <row r="1145" spans="1:14" ht="75" customHeight="1" thickTop="1" thickBot="1">
      <c r="A1145" s="34">
        <v>1143</v>
      </c>
      <c r="B1145" s="26">
        <v>1196</v>
      </c>
      <c r="C1145" s="57" t="s">
        <v>5842</v>
      </c>
      <c r="D1145" s="56" t="s">
        <v>394</v>
      </c>
      <c r="E1145" s="56" t="s">
        <v>3922</v>
      </c>
      <c r="F1145" s="26" t="s">
        <v>3923</v>
      </c>
      <c r="G1145" s="26" t="s">
        <v>16</v>
      </c>
      <c r="H1145" s="26" t="s">
        <v>13</v>
      </c>
      <c r="I1145" s="26" t="s">
        <v>3924</v>
      </c>
      <c r="J1145" s="26" t="s">
        <v>5846</v>
      </c>
      <c r="K1145" s="26" t="s">
        <v>3929</v>
      </c>
      <c r="L1145" s="26" t="s">
        <v>3986</v>
      </c>
      <c r="M1145" s="55" t="s">
        <v>5775</v>
      </c>
      <c r="N1145" s="26" t="s">
        <v>3924</v>
      </c>
    </row>
    <row r="1146" spans="1:14" ht="75" customHeight="1" thickTop="1" thickBot="1">
      <c r="A1146" s="34">
        <v>1144</v>
      </c>
      <c r="B1146" s="34">
        <v>1197</v>
      </c>
      <c r="C1146" s="57" t="s">
        <v>5842</v>
      </c>
      <c r="D1146" s="56" t="s">
        <v>394</v>
      </c>
      <c r="E1146" s="56" t="s">
        <v>3922</v>
      </c>
      <c r="F1146" s="26" t="s">
        <v>3923</v>
      </c>
      <c r="G1146" s="26" t="s">
        <v>16</v>
      </c>
      <c r="H1146" s="26" t="s">
        <v>13</v>
      </c>
      <c r="I1146" s="26" t="s">
        <v>3924</v>
      </c>
      <c r="J1146" s="26" t="s">
        <v>5848</v>
      </c>
      <c r="K1146" s="26" t="s">
        <v>3929</v>
      </c>
      <c r="L1146" s="26" t="s">
        <v>3986</v>
      </c>
      <c r="M1146" s="55" t="s">
        <v>1105</v>
      </c>
      <c r="N1146" s="26" t="s">
        <v>3924</v>
      </c>
    </row>
    <row r="1147" spans="1:14" ht="75" customHeight="1" thickTop="1" thickBot="1">
      <c r="A1147" s="26">
        <v>1145</v>
      </c>
      <c r="B1147" s="34">
        <v>1198</v>
      </c>
      <c r="C1147" s="57" t="s">
        <v>5844</v>
      </c>
      <c r="D1147" s="56" t="s">
        <v>394</v>
      </c>
      <c r="E1147" s="56" t="s">
        <v>3922</v>
      </c>
      <c r="F1147" s="26" t="s">
        <v>3923</v>
      </c>
      <c r="G1147" s="26" t="s">
        <v>16</v>
      </c>
      <c r="H1147" s="26" t="s">
        <v>13</v>
      </c>
      <c r="I1147" s="26" t="s">
        <v>3924</v>
      </c>
      <c r="J1147" s="26" t="s">
        <v>5849</v>
      </c>
      <c r="K1147" s="26" t="s">
        <v>3929</v>
      </c>
      <c r="L1147" s="26" t="s">
        <v>3927</v>
      </c>
      <c r="M1147" s="55" t="s">
        <v>5739</v>
      </c>
      <c r="N1147" s="26" t="s">
        <v>3924</v>
      </c>
    </row>
    <row r="1148" spans="1:14" ht="75" customHeight="1" thickTop="1" thickBot="1">
      <c r="A1148" s="34">
        <v>1146</v>
      </c>
      <c r="B1148" s="26">
        <v>1199</v>
      </c>
      <c r="C1148" s="57" t="s">
        <v>5844</v>
      </c>
      <c r="D1148" s="56" t="s">
        <v>394</v>
      </c>
      <c r="E1148" s="56" t="s">
        <v>3922</v>
      </c>
      <c r="F1148" s="26" t="s">
        <v>3923</v>
      </c>
      <c r="G1148" s="26" t="s">
        <v>16</v>
      </c>
      <c r="H1148" s="26" t="s">
        <v>13</v>
      </c>
      <c r="I1148" s="26" t="s">
        <v>3924</v>
      </c>
      <c r="J1148" s="26" t="s">
        <v>5849</v>
      </c>
      <c r="K1148" s="26" t="s">
        <v>3966</v>
      </c>
      <c r="L1148" s="26" t="s">
        <v>3963</v>
      </c>
      <c r="M1148" s="55" t="s">
        <v>5850</v>
      </c>
      <c r="N1148" s="26" t="s">
        <v>3924</v>
      </c>
    </row>
    <row r="1149" spans="1:14" ht="75" customHeight="1" thickTop="1" thickBot="1">
      <c r="A1149" s="34">
        <v>1147</v>
      </c>
      <c r="B1149" s="34">
        <v>1200</v>
      </c>
      <c r="C1149" s="57" t="s">
        <v>5846</v>
      </c>
      <c r="D1149" s="56" t="s">
        <v>394</v>
      </c>
      <c r="E1149" s="56" t="s">
        <v>3922</v>
      </c>
      <c r="F1149" s="26" t="s">
        <v>3923</v>
      </c>
      <c r="G1149" s="26" t="s">
        <v>16</v>
      </c>
      <c r="H1149" s="26" t="s">
        <v>13</v>
      </c>
      <c r="I1149" s="26" t="s">
        <v>3924</v>
      </c>
      <c r="J1149" s="26" t="s">
        <v>5851</v>
      </c>
      <c r="K1149" s="26" t="s">
        <v>5852</v>
      </c>
      <c r="L1149" s="26" t="s">
        <v>3927</v>
      </c>
      <c r="M1149" s="55" t="s">
        <v>5853</v>
      </c>
      <c r="N1149" s="26" t="s">
        <v>3924</v>
      </c>
    </row>
    <row r="1150" spans="1:14" ht="75" customHeight="1" thickTop="1" thickBot="1">
      <c r="A1150" s="26">
        <v>1148</v>
      </c>
      <c r="B1150" s="26">
        <v>1201</v>
      </c>
      <c r="C1150" s="57" t="s">
        <v>5846</v>
      </c>
      <c r="D1150" s="56" t="s">
        <v>394</v>
      </c>
      <c r="E1150" s="56" t="s">
        <v>3922</v>
      </c>
      <c r="F1150" s="26" t="s">
        <v>3923</v>
      </c>
      <c r="G1150" s="26" t="s">
        <v>16</v>
      </c>
      <c r="H1150" s="26" t="s">
        <v>13</v>
      </c>
      <c r="I1150" s="26" t="s">
        <v>3924</v>
      </c>
      <c r="J1150" s="26" t="s">
        <v>5851</v>
      </c>
      <c r="K1150" s="26" t="s">
        <v>3966</v>
      </c>
      <c r="L1150" s="26" t="s">
        <v>3927</v>
      </c>
      <c r="M1150" s="55" t="s">
        <v>5854</v>
      </c>
      <c r="N1150" s="26" t="s">
        <v>3924</v>
      </c>
    </row>
    <row r="1151" spans="1:14" ht="75" customHeight="1" thickTop="1" thickBot="1">
      <c r="A1151" s="34">
        <v>1149</v>
      </c>
      <c r="B1151" s="34">
        <v>1202</v>
      </c>
      <c r="C1151" s="57" t="s">
        <v>5848</v>
      </c>
      <c r="D1151" s="56" t="s">
        <v>394</v>
      </c>
      <c r="E1151" s="56" t="s">
        <v>3922</v>
      </c>
      <c r="F1151" s="26" t="s">
        <v>3923</v>
      </c>
      <c r="G1151" s="26" t="s">
        <v>16</v>
      </c>
      <c r="H1151" s="26" t="s">
        <v>13</v>
      </c>
      <c r="I1151" s="26" t="s">
        <v>3924</v>
      </c>
      <c r="J1151" s="26" t="s">
        <v>5855</v>
      </c>
      <c r="K1151" s="26" t="s">
        <v>3941</v>
      </c>
      <c r="L1151" s="26" t="s">
        <v>4011</v>
      </c>
      <c r="M1151" s="55" t="s">
        <v>638</v>
      </c>
      <c r="N1151" s="26" t="s">
        <v>3924</v>
      </c>
    </row>
    <row r="1152" spans="1:14" ht="75" customHeight="1" thickTop="1" thickBot="1">
      <c r="A1152" s="34">
        <v>1150</v>
      </c>
      <c r="B1152" s="26">
        <v>1203</v>
      </c>
      <c r="C1152" s="57" t="s">
        <v>5848</v>
      </c>
      <c r="D1152" s="56" t="s">
        <v>394</v>
      </c>
      <c r="E1152" s="56" t="s">
        <v>3922</v>
      </c>
      <c r="F1152" s="26" t="s">
        <v>3923</v>
      </c>
      <c r="G1152" s="26" t="s">
        <v>16</v>
      </c>
      <c r="H1152" s="26" t="s">
        <v>13</v>
      </c>
      <c r="I1152" s="26" t="s">
        <v>3924</v>
      </c>
      <c r="J1152" s="26" t="s">
        <v>5855</v>
      </c>
      <c r="K1152" s="26" t="s">
        <v>3941</v>
      </c>
      <c r="L1152" s="26" t="s">
        <v>3927</v>
      </c>
      <c r="M1152" s="55" t="s">
        <v>1341</v>
      </c>
      <c r="N1152" s="26" t="s">
        <v>3924</v>
      </c>
    </row>
    <row r="1153" spans="1:14" ht="75" customHeight="1" thickTop="1" thickBot="1">
      <c r="A1153" s="26">
        <v>1151</v>
      </c>
      <c r="B1153" s="34">
        <v>1204</v>
      </c>
      <c r="C1153" s="57" t="s">
        <v>5848</v>
      </c>
      <c r="D1153" s="56" t="s">
        <v>394</v>
      </c>
      <c r="E1153" s="56" t="s">
        <v>3922</v>
      </c>
      <c r="F1153" s="26" t="s">
        <v>3923</v>
      </c>
      <c r="G1153" s="26" t="s">
        <v>16</v>
      </c>
      <c r="H1153" s="26" t="s">
        <v>13</v>
      </c>
      <c r="I1153" s="26" t="s">
        <v>3924</v>
      </c>
      <c r="J1153" s="26" t="s">
        <v>5855</v>
      </c>
      <c r="K1153" s="26" t="s">
        <v>3941</v>
      </c>
      <c r="L1153" s="26" t="s">
        <v>3927</v>
      </c>
      <c r="M1153" s="55" t="s">
        <v>5856</v>
      </c>
      <c r="N1153" s="26" t="s">
        <v>3924</v>
      </c>
    </row>
    <row r="1154" spans="1:14" ht="75" customHeight="1" thickTop="1" thickBot="1">
      <c r="A1154" s="34">
        <v>1152</v>
      </c>
      <c r="B1154" s="34">
        <v>1205</v>
      </c>
      <c r="C1154" s="57" t="s">
        <v>5849</v>
      </c>
      <c r="D1154" s="56" t="s">
        <v>394</v>
      </c>
      <c r="E1154" s="56" t="s">
        <v>3922</v>
      </c>
      <c r="F1154" s="26" t="s">
        <v>3923</v>
      </c>
      <c r="G1154" s="26" t="s">
        <v>16</v>
      </c>
      <c r="H1154" s="26" t="s">
        <v>13</v>
      </c>
      <c r="I1154" s="26" t="s">
        <v>3924</v>
      </c>
      <c r="J1154" s="26" t="s">
        <v>5857</v>
      </c>
      <c r="K1154" s="26" t="s">
        <v>3941</v>
      </c>
      <c r="L1154" s="26" t="s">
        <v>3927</v>
      </c>
      <c r="M1154" s="55" t="s">
        <v>844</v>
      </c>
      <c r="N1154" s="26" t="s">
        <v>3924</v>
      </c>
    </row>
    <row r="1155" spans="1:14" ht="75" customHeight="1" thickTop="1" thickBot="1">
      <c r="A1155" s="34">
        <v>1153</v>
      </c>
      <c r="B1155" s="26">
        <v>1206</v>
      </c>
      <c r="C1155" s="57" t="s">
        <v>5851</v>
      </c>
      <c r="D1155" s="56" t="s">
        <v>394</v>
      </c>
      <c r="E1155" s="56" t="s">
        <v>3922</v>
      </c>
      <c r="F1155" s="26" t="s">
        <v>3923</v>
      </c>
      <c r="G1155" s="26" t="s">
        <v>16</v>
      </c>
      <c r="H1155" s="26" t="s">
        <v>13</v>
      </c>
      <c r="I1155" s="26" t="s">
        <v>3924</v>
      </c>
      <c r="J1155" s="26" t="s">
        <v>5857</v>
      </c>
      <c r="K1155" s="26" t="s">
        <v>4341</v>
      </c>
      <c r="L1155" s="26" t="s">
        <v>3927</v>
      </c>
      <c r="M1155" s="55" t="s">
        <v>4068</v>
      </c>
      <c r="N1155" s="26" t="s">
        <v>3924</v>
      </c>
    </row>
    <row r="1156" spans="1:14" ht="75" customHeight="1" thickTop="1" thickBot="1">
      <c r="A1156" s="26">
        <v>1154</v>
      </c>
      <c r="B1156" s="34">
        <v>1207</v>
      </c>
      <c r="C1156" s="57" t="s">
        <v>5855</v>
      </c>
      <c r="D1156" s="56" t="s">
        <v>394</v>
      </c>
      <c r="E1156" s="56" t="s">
        <v>3922</v>
      </c>
      <c r="F1156" s="26" t="s">
        <v>3923</v>
      </c>
      <c r="G1156" s="26" t="s">
        <v>16</v>
      </c>
      <c r="H1156" s="26" t="s">
        <v>13</v>
      </c>
      <c r="I1156" s="26" t="s">
        <v>3924</v>
      </c>
      <c r="J1156" s="26" t="s">
        <v>5857</v>
      </c>
      <c r="K1156" s="26" t="s">
        <v>3947</v>
      </c>
      <c r="L1156" s="26" t="s">
        <v>3927</v>
      </c>
      <c r="M1156" s="55" t="s">
        <v>5858</v>
      </c>
      <c r="N1156" s="26" t="s">
        <v>3924</v>
      </c>
    </row>
    <row r="1157" spans="1:14" ht="75" customHeight="1" thickTop="1" thickBot="1">
      <c r="A1157" s="34">
        <v>1155</v>
      </c>
      <c r="B1157" s="26">
        <v>1208</v>
      </c>
      <c r="C1157" s="57" t="s">
        <v>5855</v>
      </c>
      <c r="D1157" s="56" t="s">
        <v>394</v>
      </c>
      <c r="E1157" s="56" t="s">
        <v>3922</v>
      </c>
      <c r="F1157" s="26" t="s">
        <v>3923</v>
      </c>
      <c r="G1157" s="26" t="s">
        <v>16</v>
      </c>
      <c r="H1157" s="26" t="s">
        <v>13</v>
      </c>
      <c r="I1157" s="26" t="s">
        <v>3924</v>
      </c>
      <c r="J1157" s="26" t="s">
        <v>5859</v>
      </c>
      <c r="K1157" s="26" t="s">
        <v>3947</v>
      </c>
      <c r="L1157" s="26" t="s">
        <v>3927</v>
      </c>
      <c r="M1157" s="55" t="s">
        <v>567</v>
      </c>
      <c r="N1157" s="26" t="s">
        <v>3924</v>
      </c>
    </row>
    <row r="1158" spans="1:14" ht="75" customHeight="1" thickTop="1" thickBot="1">
      <c r="A1158" s="34">
        <v>1156</v>
      </c>
      <c r="B1158" s="34">
        <v>1209</v>
      </c>
      <c r="C1158" s="57" t="s">
        <v>5855</v>
      </c>
      <c r="D1158" s="56" t="s">
        <v>394</v>
      </c>
      <c r="E1158" s="56" t="s">
        <v>3922</v>
      </c>
      <c r="F1158" s="26" t="s">
        <v>3923</v>
      </c>
      <c r="G1158" s="26" t="s">
        <v>16</v>
      </c>
      <c r="H1158" s="26" t="s">
        <v>13</v>
      </c>
      <c r="I1158" s="26" t="s">
        <v>3924</v>
      </c>
      <c r="J1158" s="26" t="s">
        <v>5859</v>
      </c>
      <c r="K1158" s="26" t="s">
        <v>3947</v>
      </c>
      <c r="L1158" s="26" t="s">
        <v>3963</v>
      </c>
      <c r="M1158" s="55" t="s">
        <v>5858</v>
      </c>
      <c r="N1158" s="26" t="s">
        <v>3924</v>
      </c>
    </row>
    <row r="1159" spans="1:14" ht="75" customHeight="1" thickTop="1" thickBot="1">
      <c r="A1159" s="26">
        <v>1157</v>
      </c>
      <c r="B1159" s="26">
        <v>1210</v>
      </c>
      <c r="C1159" s="57" t="s">
        <v>5860</v>
      </c>
      <c r="D1159" s="56" t="s">
        <v>394</v>
      </c>
      <c r="E1159" s="56" t="s">
        <v>3922</v>
      </c>
      <c r="F1159" s="26" t="s">
        <v>3923</v>
      </c>
      <c r="G1159" s="26" t="s">
        <v>16</v>
      </c>
      <c r="H1159" s="26" t="s">
        <v>13</v>
      </c>
      <c r="I1159" s="26" t="s">
        <v>3924</v>
      </c>
      <c r="J1159" s="26" t="s">
        <v>5861</v>
      </c>
      <c r="K1159" s="26" t="s">
        <v>3947</v>
      </c>
      <c r="L1159" s="26" t="s">
        <v>3963</v>
      </c>
      <c r="M1159" s="55" t="s">
        <v>844</v>
      </c>
      <c r="N1159" s="26" t="s">
        <v>3924</v>
      </c>
    </row>
    <row r="1160" spans="1:14" ht="75" customHeight="1" thickTop="1" thickBot="1">
      <c r="A1160" s="34">
        <v>1158</v>
      </c>
      <c r="B1160" s="34">
        <v>1211</v>
      </c>
      <c r="C1160" s="57" t="s">
        <v>5862</v>
      </c>
      <c r="D1160" s="56" t="s">
        <v>394</v>
      </c>
      <c r="E1160" s="56" t="s">
        <v>3922</v>
      </c>
      <c r="F1160" s="26" t="s">
        <v>3923</v>
      </c>
      <c r="G1160" s="26" t="s">
        <v>16</v>
      </c>
      <c r="H1160" s="26" t="s">
        <v>13</v>
      </c>
      <c r="I1160" s="26" t="s">
        <v>3924</v>
      </c>
      <c r="J1160" s="26" t="s">
        <v>5861</v>
      </c>
      <c r="K1160" s="26" t="s">
        <v>4040</v>
      </c>
      <c r="L1160" s="26" t="s">
        <v>3927</v>
      </c>
      <c r="M1160" s="55" t="s">
        <v>5863</v>
      </c>
      <c r="N1160" s="26" t="s">
        <v>3924</v>
      </c>
    </row>
    <row r="1161" spans="1:14" ht="75" customHeight="1" thickTop="1" thickBot="1">
      <c r="A1161" s="34">
        <v>1159</v>
      </c>
      <c r="B1161" s="34">
        <v>1212</v>
      </c>
      <c r="C1161" s="57" t="s">
        <v>5862</v>
      </c>
      <c r="D1161" s="56" t="s">
        <v>394</v>
      </c>
      <c r="E1161" s="56" t="s">
        <v>3922</v>
      </c>
      <c r="F1161" s="26" t="s">
        <v>3923</v>
      </c>
      <c r="G1161" s="26" t="s">
        <v>16</v>
      </c>
      <c r="H1161" s="26" t="s">
        <v>13</v>
      </c>
      <c r="I1161" s="26" t="s">
        <v>3924</v>
      </c>
      <c r="J1161" s="26" t="s">
        <v>5864</v>
      </c>
      <c r="K1161" s="26" t="s">
        <v>3947</v>
      </c>
      <c r="L1161" s="26" t="s">
        <v>3986</v>
      </c>
      <c r="M1161" s="55" t="s">
        <v>5858</v>
      </c>
      <c r="N1161" s="26" t="s">
        <v>3924</v>
      </c>
    </row>
    <row r="1162" spans="1:14" ht="75" customHeight="1" thickTop="1" thickBot="1">
      <c r="A1162" s="26">
        <v>1160</v>
      </c>
      <c r="B1162" s="26">
        <v>1213</v>
      </c>
      <c r="C1162" s="57" t="s">
        <v>5862</v>
      </c>
      <c r="D1162" s="56" t="s">
        <v>394</v>
      </c>
      <c r="E1162" s="56" t="s">
        <v>3922</v>
      </c>
      <c r="F1162" s="26" t="s">
        <v>3923</v>
      </c>
      <c r="G1162" s="26" t="s">
        <v>16</v>
      </c>
      <c r="H1162" s="26" t="s">
        <v>13</v>
      </c>
      <c r="I1162" s="26" t="s">
        <v>3924</v>
      </c>
      <c r="J1162" s="26" t="s">
        <v>5864</v>
      </c>
      <c r="K1162" s="26" t="s">
        <v>4040</v>
      </c>
      <c r="L1162" s="26" t="s">
        <v>3927</v>
      </c>
      <c r="M1162" s="55" t="s">
        <v>4213</v>
      </c>
      <c r="N1162" s="26" t="s">
        <v>3924</v>
      </c>
    </row>
    <row r="1163" spans="1:14" ht="75" customHeight="1" thickTop="1" thickBot="1">
      <c r="A1163" s="34">
        <v>1161</v>
      </c>
      <c r="B1163" s="34">
        <v>1214</v>
      </c>
      <c r="C1163" s="57" t="s">
        <v>5865</v>
      </c>
      <c r="D1163" s="56" t="s">
        <v>394</v>
      </c>
      <c r="E1163" s="56" t="s">
        <v>3922</v>
      </c>
      <c r="F1163" s="26" t="s">
        <v>3923</v>
      </c>
      <c r="G1163" s="26" t="s">
        <v>16</v>
      </c>
      <c r="H1163" s="26" t="s">
        <v>13</v>
      </c>
      <c r="I1163" s="26" t="s">
        <v>3924</v>
      </c>
      <c r="J1163" s="26" t="s">
        <v>5866</v>
      </c>
      <c r="K1163" s="26" t="s">
        <v>4040</v>
      </c>
      <c r="L1163" s="26" t="s">
        <v>3986</v>
      </c>
      <c r="M1163" s="55" t="s">
        <v>844</v>
      </c>
      <c r="N1163" s="26" t="s">
        <v>3924</v>
      </c>
    </row>
    <row r="1164" spans="1:14" ht="75" customHeight="1" thickTop="1" thickBot="1">
      <c r="A1164" s="34">
        <v>1162</v>
      </c>
      <c r="B1164" s="26">
        <v>1215</v>
      </c>
      <c r="C1164" s="57" t="s">
        <v>5865</v>
      </c>
      <c r="D1164" s="56" t="s">
        <v>394</v>
      </c>
      <c r="E1164" s="56" t="s">
        <v>3922</v>
      </c>
      <c r="F1164" s="26" t="s">
        <v>3923</v>
      </c>
      <c r="G1164" s="26" t="s">
        <v>16</v>
      </c>
      <c r="H1164" s="26" t="s">
        <v>13</v>
      </c>
      <c r="I1164" s="26" t="s">
        <v>3924</v>
      </c>
      <c r="J1164" s="26" t="s">
        <v>5867</v>
      </c>
      <c r="K1164" s="26" t="s">
        <v>4040</v>
      </c>
      <c r="L1164" s="26" t="s">
        <v>3963</v>
      </c>
      <c r="M1164" s="55" t="s">
        <v>5868</v>
      </c>
      <c r="N1164" s="26" t="s">
        <v>3924</v>
      </c>
    </row>
    <row r="1165" spans="1:14" ht="75" customHeight="1" thickTop="1" thickBot="1">
      <c r="A1165" s="26">
        <v>1163</v>
      </c>
      <c r="B1165" s="34">
        <v>1216</v>
      </c>
      <c r="C1165" s="57" t="s">
        <v>5869</v>
      </c>
      <c r="D1165" s="56" t="s">
        <v>394</v>
      </c>
      <c r="E1165" s="56" t="s">
        <v>3922</v>
      </c>
      <c r="F1165" s="26" t="s">
        <v>3923</v>
      </c>
      <c r="G1165" s="26" t="s">
        <v>16</v>
      </c>
      <c r="H1165" s="26" t="s">
        <v>13</v>
      </c>
      <c r="I1165" s="26" t="s">
        <v>3924</v>
      </c>
      <c r="J1165" s="26" t="s">
        <v>5867</v>
      </c>
      <c r="K1165" s="26" t="s">
        <v>4040</v>
      </c>
      <c r="L1165" s="26" t="s">
        <v>3986</v>
      </c>
      <c r="M1165" s="55" t="s">
        <v>5870</v>
      </c>
      <c r="N1165" s="26" t="s">
        <v>3924</v>
      </c>
    </row>
    <row r="1166" spans="1:14" ht="75" customHeight="1" thickTop="1" thickBot="1">
      <c r="A1166" s="34">
        <v>1164</v>
      </c>
      <c r="B1166" s="26">
        <v>1217</v>
      </c>
      <c r="C1166" s="57" t="s">
        <v>5869</v>
      </c>
      <c r="D1166" s="56" t="s">
        <v>394</v>
      </c>
      <c r="E1166" s="56" t="s">
        <v>3922</v>
      </c>
      <c r="F1166" s="26" t="s">
        <v>3923</v>
      </c>
      <c r="G1166" s="26" t="s">
        <v>16</v>
      </c>
      <c r="H1166" s="26" t="s">
        <v>13</v>
      </c>
      <c r="I1166" s="26" t="s">
        <v>3924</v>
      </c>
      <c r="J1166" s="26" t="s">
        <v>5871</v>
      </c>
      <c r="K1166" s="26" t="s">
        <v>4040</v>
      </c>
      <c r="L1166" s="26" t="s">
        <v>4125</v>
      </c>
      <c r="M1166" s="55" t="s">
        <v>844</v>
      </c>
      <c r="N1166" s="26" t="s">
        <v>3924</v>
      </c>
    </row>
    <row r="1167" spans="1:14" ht="75" customHeight="1" thickTop="1" thickBot="1">
      <c r="A1167" s="34">
        <v>1165</v>
      </c>
      <c r="B1167" s="34">
        <v>1218</v>
      </c>
      <c r="C1167" s="57" t="s">
        <v>5872</v>
      </c>
      <c r="D1167" s="56" t="s">
        <v>394</v>
      </c>
      <c r="E1167" s="56" t="s">
        <v>3922</v>
      </c>
      <c r="F1167" s="26" t="s">
        <v>3923</v>
      </c>
      <c r="G1167" s="26" t="s">
        <v>16</v>
      </c>
      <c r="H1167" s="26" t="s">
        <v>13</v>
      </c>
      <c r="I1167" s="26" t="s">
        <v>3924</v>
      </c>
      <c r="J1167" s="26" t="s">
        <v>5871</v>
      </c>
      <c r="K1167" s="26" t="s">
        <v>4040</v>
      </c>
      <c r="L1167" s="26" t="s">
        <v>4284</v>
      </c>
      <c r="M1167" s="55" t="s">
        <v>1341</v>
      </c>
      <c r="N1167" s="26" t="s">
        <v>3924</v>
      </c>
    </row>
    <row r="1168" spans="1:14" ht="75" customHeight="1" thickTop="1" thickBot="1">
      <c r="A1168" s="26">
        <v>1166</v>
      </c>
      <c r="B1168" s="34">
        <v>1219</v>
      </c>
      <c r="C1168" s="57" t="s">
        <v>5872</v>
      </c>
      <c r="D1168" s="56" t="s">
        <v>394</v>
      </c>
      <c r="E1168" s="56" t="s">
        <v>3922</v>
      </c>
      <c r="F1168" s="26" t="s">
        <v>3923</v>
      </c>
      <c r="G1168" s="26" t="s">
        <v>16</v>
      </c>
      <c r="H1168" s="26" t="s">
        <v>13</v>
      </c>
      <c r="I1168" s="26" t="s">
        <v>3924</v>
      </c>
      <c r="J1168" s="26" t="s">
        <v>5871</v>
      </c>
      <c r="K1168" s="26" t="s">
        <v>4040</v>
      </c>
      <c r="L1168" s="26" t="s">
        <v>3963</v>
      </c>
      <c r="M1168" s="55" t="s">
        <v>5806</v>
      </c>
      <c r="N1168" s="26" t="s">
        <v>3924</v>
      </c>
    </row>
    <row r="1169" spans="1:14" ht="75" customHeight="1" thickTop="1" thickBot="1">
      <c r="A1169" s="34">
        <v>1167</v>
      </c>
      <c r="B1169" s="26">
        <v>1220</v>
      </c>
      <c r="C1169" s="57" t="s">
        <v>5872</v>
      </c>
      <c r="D1169" s="56" t="s">
        <v>394</v>
      </c>
      <c r="E1169" s="56" t="s">
        <v>3922</v>
      </c>
      <c r="F1169" s="26" t="s">
        <v>3923</v>
      </c>
      <c r="G1169" s="26" t="s">
        <v>16</v>
      </c>
      <c r="H1169" s="26" t="s">
        <v>13</v>
      </c>
      <c r="I1169" s="26" t="s">
        <v>3924</v>
      </c>
      <c r="J1169" s="26" t="s">
        <v>5871</v>
      </c>
      <c r="K1169" s="26" t="s">
        <v>4040</v>
      </c>
      <c r="L1169" s="26" t="s">
        <v>3963</v>
      </c>
      <c r="M1169" s="55" t="s">
        <v>1341</v>
      </c>
      <c r="N1169" s="26" t="s">
        <v>3924</v>
      </c>
    </row>
    <row r="1170" spans="1:14" ht="75" customHeight="1" thickTop="1" thickBot="1">
      <c r="A1170" s="34">
        <v>1168</v>
      </c>
      <c r="B1170" s="34">
        <v>1221</v>
      </c>
      <c r="C1170" s="57" t="s">
        <v>5873</v>
      </c>
      <c r="D1170" s="56" t="s">
        <v>394</v>
      </c>
      <c r="E1170" s="56" t="s">
        <v>3922</v>
      </c>
      <c r="F1170" s="26" t="s">
        <v>3923</v>
      </c>
      <c r="G1170" s="26" t="s">
        <v>16</v>
      </c>
      <c r="H1170" s="26" t="s">
        <v>13</v>
      </c>
      <c r="I1170" s="26" t="s">
        <v>3924</v>
      </c>
      <c r="J1170" s="26" t="s">
        <v>5874</v>
      </c>
      <c r="K1170" s="26" t="s">
        <v>4190</v>
      </c>
      <c r="L1170" s="26" t="s">
        <v>3927</v>
      </c>
      <c r="M1170" s="55" t="s">
        <v>5875</v>
      </c>
      <c r="N1170" s="26" t="s">
        <v>3924</v>
      </c>
    </row>
    <row r="1171" spans="1:14" ht="75" customHeight="1" thickTop="1" thickBot="1">
      <c r="A1171" s="26">
        <v>1169</v>
      </c>
      <c r="B1171" s="26">
        <v>1222</v>
      </c>
      <c r="C1171" s="57" t="s">
        <v>5876</v>
      </c>
      <c r="D1171" s="56" t="s">
        <v>394</v>
      </c>
      <c r="E1171" s="56" t="s">
        <v>3994</v>
      </c>
      <c r="F1171" s="26" t="s">
        <v>3995</v>
      </c>
      <c r="G1171" s="26" t="s">
        <v>16</v>
      </c>
      <c r="H1171" s="26" t="s">
        <v>13</v>
      </c>
      <c r="I1171" s="26" t="s">
        <v>3924</v>
      </c>
      <c r="J1171" s="26" t="s">
        <v>5877</v>
      </c>
      <c r="K1171" s="26" t="s">
        <v>3947</v>
      </c>
      <c r="L1171" s="26" t="s">
        <v>3924</v>
      </c>
      <c r="M1171" s="55" t="s">
        <v>5878</v>
      </c>
      <c r="N1171" s="26" t="s">
        <v>3924</v>
      </c>
    </row>
    <row r="1172" spans="1:14" ht="75" customHeight="1" thickTop="1" thickBot="1">
      <c r="A1172" s="34">
        <v>1170</v>
      </c>
      <c r="B1172" s="34">
        <v>1223</v>
      </c>
      <c r="C1172" s="57" t="s">
        <v>5879</v>
      </c>
      <c r="D1172" s="56" t="s">
        <v>394</v>
      </c>
      <c r="E1172" s="56" t="s">
        <v>3922</v>
      </c>
      <c r="F1172" s="26" t="s">
        <v>3923</v>
      </c>
      <c r="G1172" s="26" t="s">
        <v>74</v>
      </c>
      <c r="H1172" s="26" t="s">
        <v>13</v>
      </c>
      <c r="I1172" s="26" t="s">
        <v>3924</v>
      </c>
      <c r="J1172" s="26" t="s">
        <v>5880</v>
      </c>
      <c r="K1172" s="26" t="s">
        <v>3947</v>
      </c>
      <c r="L1172" s="26" t="s">
        <v>3927</v>
      </c>
      <c r="M1172" s="55" t="s">
        <v>5881</v>
      </c>
      <c r="N1172" s="26" t="s">
        <v>3924</v>
      </c>
    </row>
    <row r="1173" spans="1:14" ht="75" customHeight="1" thickTop="1" thickBot="1">
      <c r="A1173" s="34">
        <v>1171</v>
      </c>
      <c r="B1173" s="26">
        <v>1224</v>
      </c>
      <c r="C1173" s="57" t="s">
        <v>5882</v>
      </c>
      <c r="D1173" s="56" t="s">
        <v>394</v>
      </c>
      <c r="E1173" s="56" t="s">
        <v>3922</v>
      </c>
      <c r="F1173" s="26" t="s">
        <v>3923</v>
      </c>
      <c r="G1173" s="26" t="s">
        <v>74</v>
      </c>
      <c r="H1173" s="26" t="s">
        <v>13</v>
      </c>
      <c r="I1173" s="26" t="s">
        <v>3924</v>
      </c>
      <c r="J1173" s="26" t="s">
        <v>5883</v>
      </c>
      <c r="K1173" s="26" t="s">
        <v>3947</v>
      </c>
      <c r="L1173" s="26" t="s">
        <v>3927</v>
      </c>
      <c r="M1173" s="55" t="s">
        <v>5037</v>
      </c>
      <c r="N1173" s="26" t="s">
        <v>3924</v>
      </c>
    </row>
    <row r="1174" spans="1:14" ht="75" customHeight="1" thickTop="1" thickBot="1">
      <c r="A1174" s="26">
        <v>1172</v>
      </c>
      <c r="B1174" s="34">
        <v>1225</v>
      </c>
      <c r="C1174" s="57" t="s">
        <v>5884</v>
      </c>
      <c r="D1174" s="56" t="s">
        <v>394</v>
      </c>
      <c r="E1174" s="56" t="s">
        <v>3922</v>
      </c>
      <c r="F1174" s="26" t="s">
        <v>3923</v>
      </c>
      <c r="G1174" s="26" t="s">
        <v>74</v>
      </c>
      <c r="H1174" s="26" t="s">
        <v>13</v>
      </c>
      <c r="I1174" s="26" t="s">
        <v>3924</v>
      </c>
      <c r="J1174" s="26" t="s">
        <v>5883</v>
      </c>
      <c r="K1174" s="26" t="s">
        <v>3947</v>
      </c>
      <c r="L1174" s="26" t="s">
        <v>3927</v>
      </c>
      <c r="M1174" s="55" t="s">
        <v>5020</v>
      </c>
      <c r="N1174" s="26" t="s">
        <v>3924</v>
      </c>
    </row>
    <row r="1175" spans="1:14" ht="75" customHeight="1" thickTop="1" thickBot="1">
      <c r="A1175" s="34">
        <v>1173</v>
      </c>
      <c r="B1175" s="34">
        <v>1226</v>
      </c>
      <c r="C1175" s="57" t="s">
        <v>5885</v>
      </c>
      <c r="D1175" s="56" t="s">
        <v>394</v>
      </c>
      <c r="E1175" s="56" t="s">
        <v>3922</v>
      </c>
      <c r="F1175" s="26" t="s">
        <v>3923</v>
      </c>
      <c r="G1175" s="26" t="s">
        <v>74</v>
      </c>
      <c r="H1175" s="26" t="s">
        <v>13</v>
      </c>
      <c r="I1175" s="26" t="s">
        <v>3924</v>
      </c>
      <c r="J1175" s="26" t="s">
        <v>5883</v>
      </c>
      <c r="K1175" s="26" t="s">
        <v>3947</v>
      </c>
      <c r="L1175" s="26" t="s">
        <v>3927</v>
      </c>
      <c r="M1175" s="55" t="s">
        <v>5886</v>
      </c>
      <c r="N1175" s="26" t="s">
        <v>3924</v>
      </c>
    </row>
    <row r="1176" spans="1:14" ht="75" customHeight="1" thickTop="1" thickBot="1">
      <c r="A1176" s="34">
        <v>1174</v>
      </c>
      <c r="B1176" s="26">
        <v>1227</v>
      </c>
      <c r="C1176" s="57" t="s">
        <v>5887</v>
      </c>
      <c r="D1176" s="56" t="s">
        <v>394</v>
      </c>
      <c r="E1176" s="56" t="s">
        <v>3922</v>
      </c>
      <c r="F1176" s="26" t="s">
        <v>3923</v>
      </c>
      <c r="G1176" s="26" t="s">
        <v>74</v>
      </c>
      <c r="H1176" s="26" t="s">
        <v>13</v>
      </c>
      <c r="I1176" s="26" t="s">
        <v>3924</v>
      </c>
      <c r="J1176" s="26" t="s">
        <v>5888</v>
      </c>
      <c r="K1176" s="26" t="s">
        <v>3926</v>
      </c>
      <c r="L1176" s="26" t="s">
        <v>3927</v>
      </c>
      <c r="M1176" s="55" t="s">
        <v>5889</v>
      </c>
      <c r="N1176" s="26" t="s">
        <v>3924</v>
      </c>
    </row>
    <row r="1177" spans="1:14" ht="75" customHeight="1" thickTop="1" thickBot="1">
      <c r="A1177" s="26">
        <v>1175</v>
      </c>
      <c r="B1177" s="34">
        <v>1228</v>
      </c>
      <c r="C1177" s="57" t="s">
        <v>5890</v>
      </c>
      <c r="D1177" s="56" t="s">
        <v>394</v>
      </c>
      <c r="E1177" s="56" t="s">
        <v>3922</v>
      </c>
      <c r="F1177" s="26" t="s">
        <v>3923</v>
      </c>
      <c r="G1177" s="26" t="s">
        <v>74</v>
      </c>
      <c r="H1177" s="26" t="s">
        <v>13</v>
      </c>
      <c r="I1177" s="26" t="s">
        <v>3924</v>
      </c>
      <c r="J1177" s="26" t="s">
        <v>5888</v>
      </c>
      <c r="K1177" s="26" t="s">
        <v>4387</v>
      </c>
      <c r="L1177" s="26" t="s">
        <v>3927</v>
      </c>
      <c r="M1177" s="55" t="s">
        <v>5891</v>
      </c>
      <c r="N1177" s="26" t="s">
        <v>3924</v>
      </c>
    </row>
    <row r="1178" spans="1:14" ht="75" customHeight="1" thickTop="1" thickBot="1">
      <c r="A1178" s="34">
        <v>1176</v>
      </c>
      <c r="B1178" s="26">
        <v>1229</v>
      </c>
      <c r="C1178" s="57" t="s">
        <v>5890</v>
      </c>
      <c r="D1178" s="56" t="s">
        <v>394</v>
      </c>
      <c r="E1178" s="56" t="s">
        <v>3922</v>
      </c>
      <c r="F1178" s="26" t="s">
        <v>3923</v>
      </c>
      <c r="G1178" s="26" t="s">
        <v>74</v>
      </c>
      <c r="H1178" s="26" t="s">
        <v>13</v>
      </c>
      <c r="I1178" s="26" t="s">
        <v>3924</v>
      </c>
      <c r="J1178" s="26" t="s">
        <v>5888</v>
      </c>
      <c r="K1178" s="26" t="s">
        <v>3926</v>
      </c>
      <c r="L1178" s="26" t="s">
        <v>3927</v>
      </c>
      <c r="M1178" s="55" t="s">
        <v>5892</v>
      </c>
      <c r="N1178" s="26" t="s">
        <v>3924</v>
      </c>
    </row>
    <row r="1179" spans="1:14" ht="75" customHeight="1" thickTop="1" thickBot="1">
      <c r="A1179" s="34">
        <v>1177</v>
      </c>
      <c r="B1179" s="34">
        <v>1230</v>
      </c>
      <c r="C1179" s="57" t="s">
        <v>5893</v>
      </c>
      <c r="D1179" s="56" t="s">
        <v>394</v>
      </c>
      <c r="E1179" s="56" t="s">
        <v>3922</v>
      </c>
      <c r="F1179" s="26" t="s">
        <v>3923</v>
      </c>
      <c r="G1179" s="26" t="s">
        <v>74</v>
      </c>
      <c r="H1179" s="26" t="s">
        <v>13</v>
      </c>
      <c r="I1179" s="26" t="s">
        <v>3924</v>
      </c>
      <c r="J1179" s="26" t="s">
        <v>5888</v>
      </c>
      <c r="K1179" s="26" t="s">
        <v>4040</v>
      </c>
      <c r="L1179" s="26" t="s">
        <v>3927</v>
      </c>
      <c r="M1179" s="55" t="s">
        <v>5894</v>
      </c>
      <c r="N1179" s="26" t="s">
        <v>3924</v>
      </c>
    </row>
    <row r="1180" spans="1:14" ht="75" customHeight="1" thickTop="1" thickBot="1">
      <c r="A1180" s="26">
        <v>1178</v>
      </c>
      <c r="B1180" s="26">
        <v>1231</v>
      </c>
      <c r="C1180" s="57" t="s">
        <v>5893</v>
      </c>
      <c r="D1180" s="56" t="s">
        <v>394</v>
      </c>
      <c r="E1180" s="56" t="s">
        <v>3922</v>
      </c>
      <c r="F1180" s="26" t="s">
        <v>3923</v>
      </c>
      <c r="G1180" s="26" t="s">
        <v>74</v>
      </c>
      <c r="H1180" s="26" t="s">
        <v>13</v>
      </c>
      <c r="I1180" s="26" t="s">
        <v>3924</v>
      </c>
      <c r="J1180" s="26" t="s">
        <v>5895</v>
      </c>
      <c r="K1180" s="26" t="s">
        <v>4040</v>
      </c>
      <c r="L1180" s="26" t="s">
        <v>3927</v>
      </c>
      <c r="M1180" s="55" t="s">
        <v>5896</v>
      </c>
      <c r="N1180" s="26" t="s">
        <v>3924</v>
      </c>
    </row>
    <row r="1181" spans="1:14" ht="75" customHeight="1" thickTop="1" thickBot="1">
      <c r="A1181" s="34">
        <v>1179</v>
      </c>
      <c r="B1181" s="34">
        <v>1232</v>
      </c>
      <c r="C1181" s="57" t="s">
        <v>5897</v>
      </c>
      <c r="D1181" s="56" t="s">
        <v>394</v>
      </c>
      <c r="E1181" s="56" t="s">
        <v>3922</v>
      </c>
      <c r="F1181" s="26" t="s">
        <v>3923</v>
      </c>
      <c r="G1181" s="26" t="s">
        <v>74</v>
      </c>
      <c r="H1181" s="26" t="s">
        <v>13</v>
      </c>
      <c r="I1181" s="26" t="s">
        <v>3924</v>
      </c>
      <c r="J1181" s="26" t="s">
        <v>5895</v>
      </c>
      <c r="K1181" s="26" t="s">
        <v>3954</v>
      </c>
      <c r="L1181" s="26" t="s">
        <v>3927</v>
      </c>
      <c r="M1181" s="55" t="s">
        <v>5898</v>
      </c>
      <c r="N1181" s="26" t="s">
        <v>3924</v>
      </c>
    </row>
    <row r="1182" spans="1:14" ht="75" customHeight="1" thickTop="1" thickBot="1">
      <c r="A1182" s="34">
        <v>1180</v>
      </c>
      <c r="B1182" s="34">
        <v>1233</v>
      </c>
      <c r="C1182" s="57" t="s">
        <v>5897</v>
      </c>
      <c r="D1182" s="56" t="s">
        <v>394</v>
      </c>
      <c r="E1182" s="56" t="s">
        <v>3922</v>
      </c>
      <c r="F1182" s="26" t="s">
        <v>3923</v>
      </c>
      <c r="G1182" s="26" t="s">
        <v>74</v>
      </c>
      <c r="H1182" s="26" t="s">
        <v>13</v>
      </c>
      <c r="I1182" s="26" t="s">
        <v>3924</v>
      </c>
      <c r="J1182" s="26" t="s">
        <v>5895</v>
      </c>
      <c r="K1182" s="26" t="s">
        <v>5899</v>
      </c>
      <c r="L1182" s="26" t="s">
        <v>3927</v>
      </c>
      <c r="M1182" s="55" t="s">
        <v>5900</v>
      </c>
      <c r="N1182" s="26" t="s">
        <v>3924</v>
      </c>
    </row>
    <row r="1183" spans="1:14" ht="75" customHeight="1" thickTop="1" thickBot="1">
      <c r="A1183" s="26">
        <v>1181</v>
      </c>
      <c r="B1183" s="26">
        <v>1234</v>
      </c>
      <c r="C1183" s="57" t="s">
        <v>5901</v>
      </c>
      <c r="D1183" s="56" t="s">
        <v>394</v>
      </c>
      <c r="E1183" s="56" t="s">
        <v>3922</v>
      </c>
      <c r="F1183" s="26" t="s">
        <v>3923</v>
      </c>
      <c r="G1183" s="26" t="s">
        <v>74</v>
      </c>
      <c r="H1183" s="26" t="s">
        <v>13</v>
      </c>
      <c r="I1183" s="26" t="s">
        <v>3924</v>
      </c>
      <c r="J1183" s="26" t="s">
        <v>5895</v>
      </c>
      <c r="K1183" s="26" t="s">
        <v>3929</v>
      </c>
      <c r="L1183" s="26" t="s">
        <v>3927</v>
      </c>
      <c r="M1183" s="55" t="s">
        <v>5902</v>
      </c>
      <c r="N1183" s="26" t="s">
        <v>3924</v>
      </c>
    </row>
    <row r="1184" spans="1:14" ht="75" customHeight="1" thickTop="1" thickBot="1">
      <c r="A1184" s="34">
        <v>1182</v>
      </c>
      <c r="B1184" s="34">
        <v>1235</v>
      </c>
      <c r="C1184" s="57" t="s">
        <v>5903</v>
      </c>
      <c r="D1184" s="56" t="s">
        <v>394</v>
      </c>
      <c r="E1184" s="56" t="s">
        <v>3922</v>
      </c>
      <c r="F1184" s="26" t="s">
        <v>3923</v>
      </c>
      <c r="G1184" s="26" t="s">
        <v>74</v>
      </c>
      <c r="H1184" s="26" t="s">
        <v>13</v>
      </c>
      <c r="I1184" s="26" t="s">
        <v>3924</v>
      </c>
      <c r="J1184" s="26" t="s">
        <v>5904</v>
      </c>
      <c r="K1184" s="26" t="s">
        <v>4010</v>
      </c>
      <c r="L1184" s="26" t="s">
        <v>3927</v>
      </c>
      <c r="M1184" s="55" t="s">
        <v>5905</v>
      </c>
      <c r="N1184" s="26" t="s">
        <v>3924</v>
      </c>
    </row>
    <row r="1185" spans="1:14" ht="75" customHeight="1" thickTop="1" thickBot="1">
      <c r="A1185" s="34">
        <v>1183</v>
      </c>
      <c r="B1185" s="26">
        <v>1236</v>
      </c>
      <c r="C1185" s="57" t="s">
        <v>5903</v>
      </c>
      <c r="D1185" s="56" t="s">
        <v>394</v>
      </c>
      <c r="E1185" s="56" t="s">
        <v>3922</v>
      </c>
      <c r="F1185" s="26" t="s">
        <v>3923</v>
      </c>
      <c r="G1185" s="26" t="s">
        <v>74</v>
      </c>
      <c r="H1185" s="26" t="s">
        <v>13</v>
      </c>
      <c r="I1185" s="26" t="s">
        <v>3924</v>
      </c>
      <c r="J1185" s="26" t="s">
        <v>5904</v>
      </c>
      <c r="K1185" s="26" t="s">
        <v>3929</v>
      </c>
      <c r="L1185" s="26" t="s">
        <v>3927</v>
      </c>
      <c r="M1185" s="55" t="s">
        <v>5906</v>
      </c>
      <c r="N1185" s="26" t="s">
        <v>3924</v>
      </c>
    </row>
    <row r="1186" spans="1:14" ht="75" customHeight="1" thickTop="1" thickBot="1">
      <c r="A1186" s="26">
        <v>1184</v>
      </c>
      <c r="B1186" s="34">
        <v>1237</v>
      </c>
      <c r="C1186" s="57" t="s">
        <v>5907</v>
      </c>
      <c r="D1186" s="56" t="s">
        <v>394</v>
      </c>
      <c r="E1186" s="56" t="s">
        <v>3922</v>
      </c>
      <c r="F1186" s="26" t="s">
        <v>3923</v>
      </c>
      <c r="G1186" s="26" t="s">
        <v>74</v>
      </c>
      <c r="H1186" s="26" t="s">
        <v>13</v>
      </c>
      <c r="I1186" s="26" t="s">
        <v>3924</v>
      </c>
      <c r="J1186" s="26" t="s">
        <v>5904</v>
      </c>
      <c r="K1186" s="26" t="s">
        <v>3926</v>
      </c>
      <c r="L1186" s="26" t="s">
        <v>3927</v>
      </c>
      <c r="M1186" s="55" t="s">
        <v>5900</v>
      </c>
      <c r="N1186" s="26" t="s">
        <v>3924</v>
      </c>
    </row>
    <row r="1187" spans="1:14" ht="75" customHeight="1" thickTop="1" thickBot="1">
      <c r="A1187" s="34">
        <v>1185</v>
      </c>
      <c r="B1187" s="26">
        <v>1238</v>
      </c>
      <c r="C1187" s="57" t="s">
        <v>5907</v>
      </c>
      <c r="D1187" s="56" t="s">
        <v>394</v>
      </c>
      <c r="E1187" s="56" t="s">
        <v>3922</v>
      </c>
      <c r="F1187" s="26" t="s">
        <v>3923</v>
      </c>
      <c r="G1187" s="26" t="s">
        <v>74</v>
      </c>
      <c r="H1187" s="26" t="s">
        <v>13</v>
      </c>
      <c r="I1187" s="26" t="s">
        <v>3924</v>
      </c>
      <c r="J1187" s="26" t="s">
        <v>5904</v>
      </c>
      <c r="K1187" s="26" t="s">
        <v>3926</v>
      </c>
      <c r="L1187" s="26" t="s">
        <v>3927</v>
      </c>
      <c r="M1187" s="55" t="s">
        <v>5905</v>
      </c>
      <c r="N1187" s="26" t="s">
        <v>3924</v>
      </c>
    </row>
    <row r="1188" spans="1:14" ht="75" customHeight="1" thickTop="1" thickBot="1">
      <c r="A1188" s="34">
        <v>1186</v>
      </c>
      <c r="B1188" s="34">
        <v>1239</v>
      </c>
      <c r="C1188" s="57" t="s">
        <v>5908</v>
      </c>
      <c r="D1188" s="56" t="s">
        <v>394</v>
      </c>
      <c r="E1188" s="56" t="s">
        <v>3922</v>
      </c>
      <c r="F1188" s="26" t="s">
        <v>3923</v>
      </c>
      <c r="G1188" s="26" t="s">
        <v>74</v>
      </c>
      <c r="H1188" s="26" t="s">
        <v>13</v>
      </c>
      <c r="I1188" s="26" t="s">
        <v>3924</v>
      </c>
      <c r="J1188" s="26" t="s">
        <v>5909</v>
      </c>
      <c r="K1188" s="26" t="s">
        <v>4040</v>
      </c>
      <c r="L1188" s="26" t="s">
        <v>3927</v>
      </c>
      <c r="M1188" s="55" t="s">
        <v>5910</v>
      </c>
      <c r="N1188" s="26" t="s">
        <v>3924</v>
      </c>
    </row>
    <row r="1189" spans="1:14" ht="75" customHeight="1" thickTop="1" thickBot="1">
      <c r="A1189" s="26">
        <v>1187</v>
      </c>
      <c r="B1189" s="34">
        <v>1240</v>
      </c>
      <c r="C1189" s="57" t="s">
        <v>5911</v>
      </c>
      <c r="D1189" s="56" t="s">
        <v>394</v>
      </c>
      <c r="E1189" s="56" t="s">
        <v>3922</v>
      </c>
      <c r="F1189" s="26" t="s">
        <v>3923</v>
      </c>
      <c r="G1189" s="26" t="s">
        <v>74</v>
      </c>
      <c r="H1189" s="26" t="s">
        <v>13</v>
      </c>
      <c r="I1189" s="26" t="s">
        <v>3924</v>
      </c>
      <c r="J1189" s="26" t="s">
        <v>5909</v>
      </c>
      <c r="K1189" s="26" t="s">
        <v>3929</v>
      </c>
      <c r="L1189" s="26" t="s">
        <v>3927</v>
      </c>
      <c r="M1189" s="55" t="s">
        <v>5912</v>
      </c>
      <c r="N1189" s="26" t="s">
        <v>3924</v>
      </c>
    </row>
    <row r="1190" spans="1:14" ht="75" customHeight="1" thickTop="1" thickBot="1">
      <c r="A1190" s="34">
        <v>1188</v>
      </c>
      <c r="B1190" s="26">
        <v>1241</v>
      </c>
      <c r="C1190" s="57" t="s">
        <v>5911</v>
      </c>
      <c r="D1190" s="56" t="s">
        <v>394</v>
      </c>
      <c r="E1190" s="56" t="s">
        <v>3922</v>
      </c>
      <c r="F1190" s="26" t="s">
        <v>3923</v>
      </c>
      <c r="G1190" s="26" t="s">
        <v>74</v>
      </c>
      <c r="H1190" s="26" t="s">
        <v>13</v>
      </c>
      <c r="I1190" s="26" t="s">
        <v>3924</v>
      </c>
      <c r="J1190" s="26" t="s">
        <v>5909</v>
      </c>
      <c r="K1190" s="26" t="s">
        <v>4225</v>
      </c>
      <c r="L1190" s="26" t="s">
        <v>3927</v>
      </c>
      <c r="M1190" s="55" t="s">
        <v>5913</v>
      </c>
      <c r="N1190" s="26" t="s">
        <v>3924</v>
      </c>
    </row>
    <row r="1191" spans="1:14" ht="75" customHeight="1" thickTop="1" thickBot="1">
      <c r="A1191" s="34">
        <v>1189</v>
      </c>
      <c r="B1191" s="34">
        <v>1242</v>
      </c>
      <c r="C1191" s="57" t="s">
        <v>5914</v>
      </c>
      <c r="D1191" s="56" t="s">
        <v>394</v>
      </c>
      <c r="E1191" s="56" t="s">
        <v>3922</v>
      </c>
      <c r="F1191" s="26" t="s">
        <v>3923</v>
      </c>
      <c r="G1191" s="26" t="s">
        <v>74</v>
      </c>
      <c r="H1191" s="26" t="s">
        <v>13</v>
      </c>
      <c r="I1191" s="26" t="s">
        <v>3924</v>
      </c>
      <c r="J1191" s="26" t="s">
        <v>5909</v>
      </c>
      <c r="K1191" s="26" t="s">
        <v>3926</v>
      </c>
      <c r="L1191" s="26" t="s">
        <v>3927</v>
      </c>
      <c r="M1191" s="55" t="s">
        <v>5915</v>
      </c>
      <c r="N1191" s="26" t="s">
        <v>3924</v>
      </c>
    </row>
    <row r="1192" spans="1:14" ht="75" customHeight="1" thickTop="1" thickBot="1">
      <c r="A1192" s="26">
        <v>1190</v>
      </c>
      <c r="B1192" s="26">
        <v>1243</v>
      </c>
      <c r="C1192" s="57" t="s">
        <v>5916</v>
      </c>
      <c r="D1192" s="56" t="s">
        <v>394</v>
      </c>
      <c r="E1192" s="56" t="s">
        <v>3922</v>
      </c>
      <c r="F1192" s="26" t="s">
        <v>3923</v>
      </c>
      <c r="G1192" s="26" t="s">
        <v>74</v>
      </c>
      <c r="H1192" s="26" t="s">
        <v>13</v>
      </c>
      <c r="I1192" s="26" t="s">
        <v>3924</v>
      </c>
      <c r="J1192" s="26" t="s">
        <v>5917</v>
      </c>
      <c r="K1192" s="26" t="s">
        <v>4040</v>
      </c>
      <c r="L1192" s="26" t="s">
        <v>3927</v>
      </c>
      <c r="M1192" s="55" t="s">
        <v>5918</v>
      </c>
      <c r="N1192" s="26" t="s">
        <v>3924</v>
      </c>
    </row>
    <row r="1193" spans="1:14" ht="75" customHeight="1" thickTop="1" thickBot="1">
      <c r="A1193" s="34">
        <v>1191</v>
      </c>
      <c r="B1193" s="34">
        <v>1244</v>
      </c>
      <c r="C1193" s="57" t="s">
        <v>5919</v>
      </c>
      <c r="D1193" s="56" t="s">
        <v>394</v>
      </c>
      <c r="E1193" s="56" t="s">
        <v>3922</v>
      </c>
      <c r="F1193" s="26" t="s">
        <v>3923</v>
      </c>
      <c r="G1193" s="26" t="s">
        <v>74</v>
      </c>
      <c r="H1193" s="26" t="s">
        <v>13</v>
      </c>
      <c r="I1193" s="26" t="s">
        <v>3924</v>
      </c>
      <c r="J1193" s="26" t="s">
        <v>5917</v>
      </c>
      <c r="K1193" s="26" t="s">
        <v>3947</v>
      </c>
      <c r="L1193" s="26" t="s">
        <v>3927</v>
      </c>
      <c r="M1193" s="55" t="s">
        <v>5263</v>
      </c>
      <c r="N1193" s="26" t="s">
        <v>3924</v>
      </c>
    </row>
    <row r="1194" spans="1:14" ht="75" customHeight="1" thickTop="1" thickBot="1">
      <c r="A1194" s="34">
        <v>1192</v>
      </c>
      <c r="B1194" s="26">
        <v>1245</v>
      </c>
      <c r="C1194" s="57" t="s">
        <v>5920</v>
      </c>
      <c r="D1194" s="56" t="s">
        <v>394</v>
      </c>
      <c r="E1194" s="56" t="s">
        <v>3922</v>
      </c>
      <c r="F1194" s="26" t="s">
        <v>3923</v>
      </c>
      <c r="G1194" s="26" t="s">
        <v>74</v>
      </c>
      <c r="H1194" s="26" t="s">
        <v>13</v>
      </c>
      <c r="I1194" s="26" t="s">
        <v>3924</v>
      </c>
      <c r="J1194" s="26" t="s">
        <v>5917</v>
      </c>
      <c r="K1194" s="26" t="s">
        <v>4225</v>
      </c>
      <c r="L1194" s="26" t="s">
        <v>3927</v>
      </c>
      <c r="M1194" s="55" t="s">
        <v>5921</v>
      </c>
      <c r="N1194" s="26" t="s">
        <v>3924</v>
      </c>
    </row>
    <row r="1195" spans="1:14" ht="75" customHeight="1" thickTop="1" thickBot="1">
      <c r="A1195" s="26">
        <v>1193</v>
      </c>
      <c r="B1195" s="34">
        <v>1246</v>
      </c>
      <c r="C1195" s="57" t="s">
        <v>5922</v>
      </c>
      <c r="D1195" s="56" t="s">
        <v>394</v>
      </c>
      <c r="E1195" s="56" t="s">
        <v>3922</v>
      </c>
      <c r="F1195" s="26" t="s">
        <v>3923</v>
      </c>
      <c r="G1195" s="26" t="s">
        <v>74</v>
      </c>
      <c r="H1195" s="26" t="s">
        <v>13</v>
      </c>
      <c r="I1195" s="26" t="s">
        <v>3924</v>
      </c>
      <c r="J1195" s="26" t="s">
        <v>5917</v>
      </c>
      <c r="K1195" s="26" t="s">
        <v>3926</v>
      </c>
      <c r="L1195" s="26" t="s">
        <v>3927</v>
      </c>
      <c r="M1195" s="55" t="s">
        <v>5923</v>
      </c>
      <c r="N1195" s="26" t="s">
        <v>3924</v>
      </c>
    </row>
    <row r="1196" spans="1:14" ht="75" customHeight="1" thickTop="1" thickBot="1">
      <c r="A1196" s="34">
        <v>1194</v>
      </c>
      <c r="B1196" s="34">
        <v>1247</v>
      </c>
      <c r="C1196" s="57" t="s">
        <v>5924</v>
      </c>
      <c r="D1196" s="56" t="s">
        <v>394</v>
      </c>
      <c r="E1196" s="56" t="s">
        <v>3922</v>
      </c>
      <c r="F1196" s="26" t="s">
        <v>3923</v>
      </c>
      <c r="G1196" s="26" t="s">
        <v>74</v>
      </c>
      <c r="H1196" s="26" t="s">
        <v>13</v>
      </c>
      <c r="I1196" s="26" t="s">
        <v>3924</v>
      </c>
      <c r="J1196" s="26" t="s">
        <v>5925</v>
      </c>
      <c r="K1196" s="26" t="s">
        <v>4040</v>
      </c>
      <c r="L1196" s="26" t="s">
        <v>3927</v>
      </c>
      <c r="M1196" s="55" t="s">
        <v>5926</v>
      </c>
      <c r="N1196" s="26" t="s">
        <v>3924</v>
      </c>
    </row>
    <row r="1197" spans="1:14" ht="75" customHeight="1" thickTop="1" thickBot="1">
      <c r="A1197" s="34">
        <v>1195</v>
      </c>
      <c r="B1197" s="26">
        <v>1248</v>
      </c>
      <c r="C1197" s="57" t="s">
        <v>5927</v>
      </c>
      <c r="D1197" s="56" t="s">
        <v>394</v>
      </c>
      <c r="E1197" s="56" t="s">
        <v>3922</v>
      </c>
      <c r="F1197" s="26" t="s">
        <v>3923</v>
      </c>
      <c r="G1197" s="26" t="s">
        <v>74</v>
      </c>
      <c r="H1197" s="26" t="s">
        <v>13</v>
      </c>
      <c r="I1197" s="26" t="s">
        <v>3924</v>
      </c>
      <c r="J1197" s="26" t="s">
        <v>5925</v>
      </c>
      <c r="K1197" s="26" t="s">
        <v>4225</v>
      </c>
      <c r="L1197" s="26" t="s">
        <v>3927</v>
      </c>
      <c r="M1197" s="55" t="s">
        <v>5928</v>
      </c>
      <c r="N1197" s="26" t="s">
        <v>3924</v>
      </c>
    </row>
    <row r="1198" spans="1:14" ht="75" customHeight="1" thickTop="1" thickBot="1">
      <c r="A1198" s="26">
        <v>1196</v>
      </c>
      <c r="B1198" s="34">
        <v>1249</v>
      </c>
      <c r="C1198" s="57" t="s">
        <v>5880</v>
      </c>
      <c r="D1198" s="56" t="s">
        <v>394</v>
      </c>
      <c r="E1198" s="56" t="s">
        <v>3922</v>
      </c>
      <c r="F1198" s="26" t="s">
        <v>3923</v>
      </c>
      <c r="G1198" s="26" t="s">
        <v>74</v>
      </c>
      <c r="H1198" s="26" t="s">
        <v>13</v>
      </c>
      <c r="I1198" s="26" t="s">
        <v>3924</v>
      </c>
      <c r="J1198" s="26" t="s">
        <v>5925</v>
      </c>
      <c r="K1198" s="26" t="s">
        <v>3947</v>
      </c>
      <c r="L1198" s="26" t="s">
        <v>3927</v>
      </c>
      <c r="M1198" s="55" t="s">
        <v>5929</v>
      </c>
      <c r="N1198" s="26" t="s">
        <v>3924</v>
      </c>
    </row>
    <row r="1199" spans="1:14" ht="75" customHeight="1" thickTop="1" thickBot="1">
      <c r="A1199" s="34">
        <v>1197</v>
      </c>
      <c r="B1199" s="26">
        <v>1250</v>
      </c>
      <c r="C1199" s="57" t="s">
        <v>5930</v>
      </c>
      <c r="D1199" s="56" t="s">
        <v>394</v>
      </c>
      <c r="E1199" s="56" t="s">
        <v>3922</v>
      </c>
      <c r="F1199" s="26" t="s">
        <v>3923</v>
      </c>
      <c r="G1199" s="26" t="s">
        <v>14</v>
      </c>
      <c r="H1199" s="26" t="s">
        <v>13</v>
      </c>
      <c r="I1199" s="26" t="s">
        <v>3924</v>
      </c>
      <c r="J1199" s="26" t="s">
        <v>5931</v>
      </c>
      <c r="K1199" s="26" t="s">
        <v>3947</v>
      </c>
      <c r="L1199" s="26" t="s">
        <v>4082</v>
      </c>
      <c r="M1199" s="55" t="s">
        <v>5932</v>
      </c>
      <c r="N1199" s="26" t="s">
        <v>3924</v>
      </c>
    </row>
    <row r="1200" spans="1:14" ht="75" customHeight="1" thickTop="1" thickBot="1">
      <c r="A1200" s="34">
        <v>1198</v>
      </c>
      <c r="B1200" s="34">
        <v>1251</v>
      </c>
      <c r="C1200" s="57" t="s">
        <v>5931</v>
      </c>
      <c r="D1200" s="56" t="s">
        <v>394</v>
      </c>
      <c r="E1200" s="56" t="s">
        <v>3922</v>
      </c>
      <c r="F1200" s="26" t="s">
        <v>3923</v>
      </c>
      <c r="G1200" s="26" t="s">
        <v>14</v>
      </c>
      <c r="H1200" s="26" t="s">
        <v>13</v>
      </c>
      <c r="I1200" s="26" t="s">
        <v>3924</v>
      </c>
      <c r="J1200" s="26" t="s">
        <v>5933</v>
      </c>
      <c r="K1200" s="26" t="s">
        <v>3954</v>
      </c>
      <c r="L1200" s="26" t="s">
        <v>4082</v>
      </c>
      <c r="M1200" s="55" t="s">
        <v>5934</v>
      </c>
      <c r="N1200" s="26" t="s">
        <v>3924</v>
      </c>
    </row>
    <row r="1201" spans="1:14" ht="75" customHeight="1" thickTop="1" thickBot="1">
      <c r="A1201" s="26">
        <v>1199</v>
      </c>
      <c r="B1201" s="26">
        <v>1252</v>
      </c>
      <c r="C1201" s="57" t="s">
        <v>5933</v>
      </c>
      <c r="D1201" s="56" t="s">
        <v>394</v>
      </c>
      <c r="E1201" s="56" t="s">
        <v>3922</v>
      </c>
      <c r="F1201" s="26" t="s">
        <v>3923</v>
      </c>
      <c r="G1201" s="26" t="s">
        <v>14</v>
      </c>
      <c r="H1201" s="26" t="s">
        <v>13</v>
      </c>
      <c r="I1201" s="26" t="s">
        <v>3924</v>
      </c>
      <c r="J1201" s="26" t="s">
        <v>5935</v>
      </c>
      <c r="K1201" s="26" t="s">
        <v>4032</v>
      </c>
      <c r="L1201" s="26" t="s">
        <v>4033</v>
      </c>
      <c r="M1201" s="55" t="s">
        <v>5936</v>
      </c>
      <c r="N1201" s="26" t="s">
        <v>3924</v>
      </c>
    </row>
    <row r="1202" spans="1:14" ht="75" customHeight="1" thickTop="1" thickBot="1">
      <c r="A1202" s="34">
        <v>1200</v>
      </c>
      <c r="B1202" s="34">
        <v>1253</v>
      </c>
      <c r="C1202" s="57" t="s">
        <v>5935</v>
      </c>
      <c r="D1202" s="56" t="s">
        <v>394</v>
      </c>
      <c r="E1202" s="56" t="s">
        <v>3922</v>
      </c>
      <c r="F1202" s="26" t="s">
        <v>3923</v>
      </c>
      <c r="G1202" s="26" t="s">
        <v>14</v>
      </c>
      <c r="H1202" s="26" t="s">
        <v>13</v>
      </c>
      <c r="I1202" s="26" t="s">
        <v>3924</v>
      </c>
      <c r="J1202" s="26" t="s">
        <v>5937</v>
      </c>
      <c r="K1202" s="26" t="s">
        <v>3941</v>
      </c>
      <c r="L1202" s="26" t="s">
        <v>4082</v>
      </c>
      <c r="M1202" s="55" t="s">
        <v>5938</v>
      </c>
      <c r="N1202" s="26" t="s">
        <v>3924</v>
      </c>
    </row>
    <row r="1203" spans="1:14" ht="75" customHeight="1" thickTop="1" thickBot="1">
      <c r="A1203" s="34">
        <v>1201</v>
      </c>
      <c r="B1203" s="34">
        <v>1254</v>
      </c>
      <c r="C1203" s="57" t="s">
        <v>5939</v>
      </c>
      <c r="D1203" s="56" t="s">
        <v>394</v>
      </c>
      <c r="E1203" s="56" t="s">
        <v>3922</v>
      </c>
      <c r="F1203" s="26" t="s">
        <v>3923</v>
      </c>
      <c r="G1203" s="26" t="s">
        <v>14</v>
      </c>
      <c r="H1203" s="26" t="s">
        <v>13</v>
      </c>
      <c r="I1203" s="26" t="s">
        <v>3924</v>
      </c>
      <c r="J1203" s="26" t="s">
        <v>5937</v>
      </c>
      <c r="K1203" s="26" t="s">
        <v>3976</v>
      </c>
      <c r="L1203" s="26" t="s">
        <v>4082</v>
      </c>
      <c r="M1203" s="55" t="s">
        <v>5940</v>
      </c>
      <c r="N1203" s="26" t="s">
        <v>3924</v>
      </c>
    </row>
    <row r="1204" spans="1:14" ht="75" customHeight="1" thickTop="1" thickBot="1">
      <c r="A1204" s="26">
        <v>1202</v>
      </c>
      <c r="B1204" s="26">
        <v>1255</v>
      </c>
      <c r="C1204" s="57" t="s">
        <v>5941</v>
      </c>
      <c r="D1204" s="56" t="s">
        <v>394</v>
      </c>
      <c r="E1204" s="56" t="s">
        <v>3922</v>
      </c>
      <c r="F1204" s="26" t="s">
        <v>3923</v>
      </c>
      <c r="G1204" s="26" t="s">
        <v>14</v>
      </c>
      <c r="H1204" s="26" t="s">
        <v>13</v>
      </c>
      <c r="I1204" s="26" t="s">
        <v>3924</v>
      </c>
      <c r="J1204" s="26" t="s">
        <v>5937</v>
      </c>
      <c r="K1204" s="26" t="s">
        <v>3929</v>
      </c>
      <c r="L1204" s="26" t="s">
        <v>4082</v>
      </c>
      <c r="M1204" s="55" t="s">
        <v>5940</v>
      </c>
      <c r="N1204" s="26" t="s">
        <v>3924</v>
      </c>
    </row>
    <row r="1205" spans="1:14" ht="75" customHeight="1" thickTop="1" thickBot="1">
      <c r="A1205" s="34">
        <v>1203</v>
      </c>
      <c r="B1205" s="34">
        <v>1256</v>
      </c>
      <c r="C1205" s="57" t="s">
        <v>5937</v>
      </c>
      <c r="D1205" s="56" t="s">
        <v>394</v>
      </c>
      <c r="E1205" s="56" t="s">
        <v>3922</v>
      </c>
      <c r="F1205" s="26" t="s">
        <v>3923</v>
      </c>
      <c r="G1205" s="26" t="s">
        <v>14</v>
      </c>
      <c r="H1205" s="26" t="s">
        <v>13</v>
      </c>
      <c r="I1205" s="26" t="s">
        <v>3924</v>
      </c>
      <c r="J1205" s="26" t="s">
        <v>5942</v>
      </c>
      <c r="K1205" s="26" t="s">
        <v>3966</v>
      </c>
      <c r="L1205" s="26" t="s">
        <v>4082</v>
      </c>
      <c r="M1205" s="55" t="s">
        <v>5940</v>
      </c>
      <c r="N1205" s="26" t="s">
        <v>3924</v>
      </c>
    </row>
    <row r="1206" spans="1:14" ht="75" customHeight="1" thickTop="1" thickBot="1">
      <c r="A1206" s="34">
        <v>1204</v>
      </c>
      <c r="B1206" s="26">
        <v>1257</v>
      </c>
      <c r="C1206" s="57" t="s">
        <v>5942</v>
      </c>
      <c r="D1206" s="56" t="s">
        <v>394</v>
      </c>
      <c r="E1206" s="56" t="s">
        <v>3922</v>
      </c>
      <c r="F1206" s="26" t="s">
        <v>3923</v>
      </c>
      <c r="G1206" s="26" t="s">
        <v>14</v>
      </c>
      <c r="H1206" s="26" t="s">
        <v>13</v>
      </c>
      <c r="I1206" s="26" t="s">
        <v>3924</v>
      </c>
      <c r="J1206" s="26" t="s">
        <v>5943</v>
      </c>
      <c r="K1206" s="26" t="s">
        <v>4010</v>
      </c>
      <c r="L1206" s="26" t="s">
        <v>4082</v>
      </c>
      <c r="M1206" s="55" t="s">
        <v>5940</v>
      </c>
      <c r="N1206" s="26" t="s">
        <v>3924</v>
      </c>
    </row>
    <row r="1207" spans="1:14" ht="75" customHeight="1" thickTop="1" thickBot="1">
      <c r="A1207" s="26">
        <v>1205</v>
      </c>
      <c r="B1207" s="34">
        <v>1258</v>
      </c>
      <c r="C1207" s="57" t="s">
        <v>5944</v>
      </c>
      <c r="D1207" s="56" t="s">
        <v>394</v>
      </c>
      <c r="E1207" s="56" t="s">
        <v>3922</v>
      </c>
      <c r="F1207" s="26" t="s">
        <v>3923</v>
      </c>
      <c r="G1207" s="26" t="s">
        <v>14</v>
      </c>
      <c r="H1207" s="26" t="s">
        <v>13</v>
      </c>
      <c r="I1207" s="26" t="s">
        <v>3924</v>
      </c>
      <c r="J1207" s="26" t="s">
        <v>5945</v>
      </c>
      <c r="K1207" s="26" t="s">
        <v>3929</v>
      </c>
      <c r="L1207" s="26" t="s">
        <v>4082</v>
      </c>
      <c r="M1207" s="55" t="s">
        <v>5938</v>
      </c>
      <c r="N1207" s="26" t="s">
        <v>3924</v>
      </c>
    </row>
    <row r="1208" spans="1:14" ht="75" customHeight="1" thickTop="1" thickBot="1">
      <c r="A1208" s="34">
        <v>1206</v>
      </c>
      <c r="B1208" s="26">
        <v>1259</v>
      </c>
      <c r="C1208" s="57" t="s">
        <v>5945</v>
      </c>
      <c r="D1208" s="56" t="s">
        <v>394</v>
      </c>
      <c r="E1208" s="56" t="s">
        <v>3922</v>
      </c>
      <c r="F1208" s="26" t="s">
        <v>3923</v>
      </c>
      <c r="G1208" s="26" t="s">
        <v>14</v>
      </c>
      <c r="H1208" s="26" t="s">
        <v>13</v>
      </c>
      <c r="I1208" s="26" t="s">
        <v>3924</v>
      </c>
      <c r="J1208" s="26" t="s">
        <v>5946</v>
      </c>
      <c r="K1208" s="26" t="s">
        <v>4010</v>
      </c>
      <c r="L1208" s="26" t="s">
        <v>4082</v>
      </c>
      <c r="M1208" s="55" t="s">
        <v>5947</v>
      </c>
      <c r="N1208" s="26" t="s">
        <v>3924</v>
      </c>
    </row>
    <row r="1209" spans="1:14" ht="75" customHeight="1" thickTop="1" thickBot="1">
      <c r="A1209" s="34">
        <v>1207</v>
      </c>
      <c r="B1209" s="34">
        <v>1260</v>
      </c>
      <c r="C1209" s="57" t="s">
        <v>5948</v>
      </c>
      <c r="D1209" s="56" t="s">
        <v>394</v>
      </c>
      <c r="E1209" s="56" t="s">
        <v>3922</v>
      </c>
      <c r="F1209" s="26" t="s">
        <v>3923</v>
      </c>
      <c r="G1209" s="26" t="s">
        <v>14</v>
      </c>
      <c r="H1209" s="26" t="s">
        <v>13</v>
      </c>
      <c r="I1209" s="26" t="s">
        <v>3924</v>
      </c>
      <c r="J1209" s="26" t="s">
        <v>5946</v>
      </c>
      <c r="K1209" s="26" t="s">
        <v>4040</v>
      </c>
      <c r="L1209" s="26" t="s">
        <v>4082</v>
      </c>
      <c r="M1209" s="55" t="s">
        <v>5947</v>
      </c>
      <c r="N1209" s="26" t="s">
        <v>3924</v>
      </c>
    </row>
    <row r="1210" spans="1:14" ht="75" customHeight="1" thickTop="1" thickBot="1">
      <c r="A1210" s="26">
        <v>1208</v>
      </c>
      <c r="B1210" s="34">
        <v>1261</v>
      </c>
      <c r="C1210" s="57" t="s">
        <v>5948</v>
      </c>
      <c r="D1210" s="56" t="s">
        <v>394</v>
      </c>
      <c r="E1210" s="56" t="s">
        <v>3922</v>
      </c>
      <c r="F1210" s="26" t="s">
        <v>3923</v>
      </c>
      <c r="G1210" s="26" t="s">
        <v>14</v>
      </c>
      <c r="H1210" s="26" t="s">
        <v>13</v>
      </c>
      <c r="I1210" s="26" t="s">
        <v>3924</v>
      </c>
      <c r="J1210" s="26" t="s">
        <v>5946</v>
      </c>
      <c r="K1210" s="26" t="s">
        <v>4087</v>
      </c>
      <c r="L1210" s="26" t="s">
        <v>4082</v>
      </c>
      <c r="M1210" s="55" t="s">
        <v>5947</v>
      </c>
      <c r="N1210" s="26" t="s">
        <v>3924</v>
      </c>
    </row>
    <row r="1211" spans="1:14" ht="75" customHeight="1" thickTop="1" thickBot="1">
      <c r="A1211" s="34">
        <v>1209</v>
      </c>
      <c r="B1211" s="26">
        <v>1262</v>
      </c>
      <c r="C1211" s="57" t="s">
        <v>5948</v>
      </c>
      <c r="D1211" s="56" t="s">
        <v>394</v>
      </c>
      <c r="E1211" s="56" t="s">
        <v>3922</v>
      </c>
      <c r="F1211" s="26" t="s">
        <v>3923</v>
      </c>
      <c r="G1211" s="26" t="s">
        <v>14</v>
      </c>
      <c r="H1211" s="26" t="s">
        <v>13</v>
      </c>
      <c r="I1211" s="26" t="s">
        <v>3924</v>
      </c>
      <c r="J1211" s="26" t="s">
        <v>5949</v>
      </c>
      <c r="K1211" s="26" t="s">
        <v>4225</v>
      </c>
      <c r="L1211" s="26" t="s">
        <v>4082</v>
      </c>
      <c r="M1211" s="55" t="s">
        <v>5947</v>
      </c>
      <c r="N1211" s="26" t="s">
        <v>3924</v>
      </c>
    </row>
    <row r="1212" spans="1:14" ht="75" customHeight="1" thickTop="1" thickBot="1">
      <c r="A1212" s="34">
        <v>1210</v>
      </c>
      <c r="B1212" s="34">
        <v>1263</v>
      </c>
      <c r="C1212" s="57" t="s">
        <v>5946</v>
      </c>
      <c r="D1212" s="56" t="s">
        <v>394</v>
      </c>
      <c r="E1212" s="56" t="s">
        <v>3922</v>
      </c>
      <c r="F1212" s="26" t="s">
        <v>3923</v>
      </c>
      <c r="G1212" s="26" t="s">
        <v>14</v>
      </c>
      <c r="H1212" s="26" t="s">
        <v>13</v>
      </c>
      <c r="I1212" s="26" t="s">
        <v>3924</v>
      </c>
      <c r="J1212" s="26" t="s">
        <v>5949</v>
      </c>
      <c r="K1212" s="26" t="s">
        <v>4010</v>
      </c>
      <c r="L1212" s="26" t="s">
        <v>4082</v>
      </c>
      <c r="M1212" s="55" t="s">
        <v>5950</v>
      </c>
      <c r="N1212" s="26" t="s">
        <v>3924</v>
      </c>
    </row>
    <row r="1213" spans="1:14" ht="75" customHeight="1" thickTop="1" thickBot="1">
      <c r="A1213" s="26">
        <v>1211</v>
      </c>
      <c r="B1213" s="26">
        <v>1264</v>
      </c>
      <c r="C1213" s="57" t="s">
        <v>5949</v>
      </c>
      <c r="D1213" s="56" t="s">
        <v>394</v>
      </c>
      <c r="E1213" s="56" t="s">
        <v>3922</v>
      </c>
      <c r="F1213" s="26" t="s">
        <v>3923</v>
      </c>
      <c r="G1213" s="26" t="s">
        <v>14</v>
      </c>
      <c r="H1213" s="26" t="s">
        <v>13</v>
      </c>
      <c r="I1213" s="26" t="s">
        <v>3924</v>
      </c>
      <c r="J1213" s="26" t="s">
        <v>5951</v>
      </c>
      <c r="K1213" s="26" t="s">
        <v>4040</v>
      </c>
      <c r="L1213" s="26" t="s">
        <v>4082</v>
      </c>
      <c r="M1213" s="55" t="s">
        <v>5952</v>
      </c>
      <c r="N1213" s="26" t="s">
        <v>3924</v>
      </c>
    </row>
    <row r="1214" spans="1:14" ht="75" customHeight="1" thickTop="1" thickBot="1">
      <c r="A1214" s="34">
        <v>1212</v>
      </c>
      <c r="B1214" s="34">
        <v>1265</v>
      </c>
      <c r="C1214" s="57" t="s">
        <v>5953</v>
      </c>
      <c r="D1214" s="56" t="s">
        <v>394</v>
      </c>
      <c r="E1214" s="56" t="s">
        <v>3922</v>
      </c>
      <c r="F1214" s="26" t="s">
        <v>3923</v>
      </c>
      <c r="G1214" s="26" t="s">
        <v>14</v>
      </c>
      <c r="H1214" s="26" t="s">
        <v>13</v>
      </c>
      <c r="I1214" s="26" t="s">
        <v>3924</v>
      </c>
      <c r="J1214" s="26" t="s">
        <v>5954</v>
      </c>
      <c r="K1214" s="26" t="s">
        <v>4087</v>
      </c>
      <c r="L1214" s="26" t="s">
        <v>4082</v>
      </c>
      <c r="M1214" s="55" t="s">
        <v>5952</v>
      </c>
      <c r="N1214" s="26" t="s">
        <v>3924</v>
      </c>
    </row>
    <row r="1215" spans="1:14" ht="75" customHeight="1" thickTop="1" thickBot="1">
      <c r="A1215" s="34">
        <v>1213</v>
      </c>
      <c r="B1215" s="26">
        <v>1266</v>
      </c>
      <c r="C1215" s="57" t="s">
        <v>5953</v>
      </c>
      <c r="D1215" s="56" t="s">
        <v>394</v>
      </c>
      <c r="E1215" s="56" t="s">
        <v>3922</v>
      </c>
      <c r="F1215" s="26" t="s">
        <v>3923</v>
      </c>
      <c r="G1215" s="26" t="s">
        <v>14</v>
      </c>
      <c r="H1215" s="26" t="s">
        <v>13</v>
      </c>
      <c r="I1215" s="26" t="s">
        <v>3924</v>
      </c>
      <c r="J1215" s="26" t="s">
        <v>5955</v>
      </c>
      <c r="K1215" s="26" t="s">
        <v>4225</v>
      </c>
      <c r="L1215" s="26" t="s">
        <v>4082</v>
      </c>
      <c r="M1215" s="55" t="s">
        <v>5952</v>
      </c>
      <c r="N1215" s="26" t="s">
        <v>3924</v>
      </c>
    </row>
    <row r="1216" spans="1:14" ht="75" customHeight="1" thickTop="1" thickBot="1">
      <c r="A1216" s="26">
        <v>1214</v>
      </c>
      <c r="B1216" s="34">
        <v>1267</v>
      </c>
      <c r="C1216" s="57" t="s">
        <v>5955</v>
      </c>
      <c r="D1216" s="56" t="s">
        <v>394</v>
      </c>
      <c r="E1216" s="56" t="s">
        <v>3922</v>
      </c>
      <c r="F1216" s="26" t="s">
        <v>3923</v>
      </c>
      <c r="G1216" s="26" t="s">
        <v>14</v>
      </c>
      <c r="H1216" s="26" t="s">
        <v>13</v>
      </c>
      <c r="I1216" s="26" t="s">
        <v>3924</v>
      </c>
      <c r="J1216" s="26" t="s">
        <v>5956</v>
      </c>
      <c r="K1216" s="26" t="s">
        <v>3947</v>
      </c>
      <c r="L1216" s="26" t="s">
        <v>3927</v>
      </c>
      <c r="M1216" s="55" t="s">
        <v>5957</v>
      </c>
      <c r="N1216" s="26" t="s">
        <v>3924</v>
      </c>
    </row>
    <row r="1217" spans="1:14" ht="75" customHeight="1" thickTop="1" thickBot="1">
      <c r="A1217" s="34">
        <v>1215</v>
      </c>
      <c r="B1217" s="34">
        <v>1268</v>
      </c>
      <c r="C1217" s="57" t="s">
        <v>5956</v>
      </c>
      <c r="D1217" s="56" t="s">
        <v>394</v>
      </c>
      <c r="E1217" s="56" t="s">
        <v>3922</v>
      </c>
      <c r="F1217" s="26" t="s">
        <v>3923</v>
      </c>
      <c r="G1217" s="26" t="s">
        <v>14</v>
      </c>
      <c r="H1217" s="26" t="s">
        <v>13</v>
      </c>
      <c r="I1217" s="26" t="s">
        <v>3924</v>
      </c>
      <c r="J1217" s="26" t="s">
        <v>5958</v>
      </c>
      <c r="K1217" s="26" t="s">
        <v>3941</v>
      </c>
      <c r="L1217" s="26" t="s">
        <v>4239</v>
      </c>
      <c r="M1217" s="55" t="s">
        <v>5959</v>
      </c>
      <c r="N1217" s="26" t="s">
        <v>3924</v>
      </c>
    </row>
    <row r="1218" spans="1:14" ht="75" customHeight="1" thickTop="1" thickBot="1">
      <c r="A1218" s="34">
        <v>1216</v>
      </c>
      <c r="B1218" s="26">
        <v>1269</v>
      </c>
      <c r="C1218" s="57" t="s">
        <v>5958</v>
      </c>
      <c r="D1218" s="56" t="s">
        <v>394</v>
      </c>
      <c r="E1218" s="56" t="s">
        <v>3922</v>
      </c>
      <c r="F1218" s="26" t="s">
        <v>3923</v>
      </c>
      <c r="G1218" s="26" t="s">
        <v>14</v>
      </c>
      <c r="H1218" s="26" t="s">
        <v>13</v>
      </c>
      <c r="I1218" s="26" t="s">
        <v>3924</v>
      </c>
      <c r="J1218" s="26" t="s">
        <v>5960</v>
      </c>
      <c r="K1218" s="26" t="s">
        <v>4087</v>
      </c>
      <c r="L1218" s="26" t="s">
        <v>4011</v>
      </c>
      <c r="M1218" s="55" t="s">
        <v>1173</v>
      </c>
      <c r="N1218" s="26" t="s">
        <v>3924</v>
      </c>
    </row>
    <row r="1219" spans="1:14" ht="75" customHeight="1" thickTop="1" thickBot="1">
      <c r="A1219" s="26">
        <v>1217</v>
      </c>
      <c r="B1219" s="34">
        <v>1270</v>
      </c>
      <c r="C1219" s="57" t="s">
        <v>5960</v>
      </c>
      <c r="D1219" s="56" t="s">
        <v>394</v>
      </c>
      <c r="E1219" s="56" t="s">
        <v>3922</v>
      </c>
      <c r="F1219" s="26" t="s">
        <v>3923</v>
      </c>
      <c r="G1219" s="26" t="s">
        <v>14</v>
      </c>
      <c r="H1219" s="26" t="s">
        <v>13</v>
      </c>
      <c r="I1219" s="26" t="s">
        <v>3924</v>
      </c>
      <c r="J1219" s="26" t="s">
        <v>5961</v>
      </c>
      <c r="K1219" s="26" t="s">
        <v>4225</v>
      </c>
      <c r="L1219" s="26" t="s">
        <v>4011</v>
      </c>
      <c r="M1219" s="55" t="s">
        <v>5962</v>
      </c>
      <c r="N1219" s="26" t="s">
        <v>3924</v>
      </c>
    </row>
    <row r="1220" spans="1:14" ht="75" customHeight="1" thickTop="1" thickBot="1">
      <c r="A1220" s="34">
        <v>1218</v>
      </c>
      <c r="B1220" s="26">
        <v>1271</v>
      </c>
      <c r="C1220" s="57" t="s">
        <v>5961</v>
      </c>
      <c r="D1220" s="56" t="s">
        <v>394</v>
      </c>
      <c r="E1220" s="56" t="s">
        <v>3922</v>
      </c>
      <c r="F1220" s="26" t="s">
        <v>3923</v>
      </c>
      <c r="G1220" s="26" t="s">
        <v>14</v>
      </c>
      <c r="H1220" s="26" t="s">
        <v>13</v>
      </c>
      <c r="I1220" s="26" t="s">
        <v>3924</v>
      </c>
      <c r="J1220" s="26" t="s">
        <v>5963</v>
      </c>
      <c r="K1220" s="26" t="s">
        <v>4087</v>
      </c>
      <c r="L1220" s="26" t="s">
        <v>4082</v>
      </c>
      <c r="M1220" s="55" t="s">
        <v>5938</v>
      </c>
      <c r="N1220" s="26" t="s">
        <v>3924</v>
      </c>
    </row>
    <row r="1221" spans="1:14" ht="75" customHeight="1" thickTop="1" thickBot="1">
      <c r="A1221" s="34">
        <v>1219</v>
      </c>
      <c r="B1221" s="34">
        <v>1272</v>
      </c>
      <c r="C1221" s="57" t="s">
        <v>5964</v>
      </c>
      <c r="D1221" s="56" t="s">
        <v>394</v>
      </c>
      <c r="E1221" s="56" t="s">
        <v>3922</v>
      </c>
      <c r="F1221" s="26" t="s">
        <v>3923</v>
      </c>
      <c r="G1221" s="26" t="s">
        <v>14</v>
      </c>
      <c r="H1221" s="26" t="s">
        <v>13</v>
      </c>
      <c r="I1221" s="26" t="s">
        <v>3924</v>
      </c>
      <c r="J1221" s="26" t="s">
        <v>5963</v>
      </c>
      <c r="K1221" s="26" t="s">
        <v>3947</v>
      </c>
      <c r="L1221" s="26" t="s">
        <v>4306</v>
      </c>
      <c r="M1221" s="55" t="s">
        <v>5965</v>
      </c>
      <c r="N1221" s="26" t="s">
        <v>3924</v>
      </c>
    </row>
    <row r="1222" spans="1:14" ht="75" customHeight="1" thickTop="1" thickBot="1">
      <c r="A1222" s="26">
        <v>1220</v>
      </c>
      <c r="B1222" s="26">
        <v>1273</v>
      </c>
      <c r="C1222" s="57" t="s">
        <v>5963</v>
      </c>
      <c r="D1222" s="56" t="s">
        <v>394</v>
      </c>
      <c r="E1222" s="56" t="s">
        <v>3922</v>
      </c>
      <c r="F1222" s="26" t="s">
        <v>3923</v>
      </c>
      <c r="G1222" s="26" t="s">
        <v>14</v>
      </c>
      <c r="H1222" s="26" t="s">
        <v>13</v>
      </c>
      <c r="I1222" s="26" t="s">
        <v>3924</v>
      </c>
      <c r="J1222" s="26" t="s">
        <v>5966</v>
      </c>
      <c r="K1222" s="26" t="s">
        <v>4010</v>
      </c>
      <c r="L1222" s="26" t="s">
        <v>4306</v>
      </c>
      <c r="M1222" s="55" t="s">
        <v>5967</v>
      </c>
      <c r="N1222" s="26" t="s">
        <v>3924</v>
      </c>
    </row>
    <row r="1223" spans="1:14" ht="75" customHeight="1" thickTop="1" thickBot="1">
      <c r="A1223" s="34">
        <v>1221</v>
      </c>
      <c r="B1223" s="34">
        <v>1274</v>
      </c>
      <c r="C1223" s="57" t="s">
        <v>5966</v>
      </c>
      <c r="D1223" s="56" t="s">
        <v>394</v>
      </c>
      <c r="E1223" s="56" t="s">
        <v>3922</v>
      </c>
      <c r="F1223" s="26" t="s">
        <v>3923</v>
      </c>
      <c r="G1223" s="26" t="s">
        <v>14</v>
      </c>
      <c r="H1223" s="26" t="s">
        <v>13</v>
      </c>
      <c r="I1223" s="26" t="s">
        <v>3924</v>
      </c>
      <c r="J1223" s="26" t="s">
        <v>5966</v>
      </c>
      <c r="K1223" s="26" t="s">
        <v>3926</v>
      </c>
      <c r="L1223" s="26" t="s">
        <v>3963</v>
      </c>
      <c r="M1223" s="55" t="s">
        <v>5968</v>
      </c>
      <c r="N1223" s="26" t="s">
        <v>3924</v>
      </c>
    </row>
    <row r="1224" spans="1:14" ht="75" customHeight="1" thickTop="1" thickBot="1">
      <c r="A1224" s="34">
        <v>1222</v>
      </c>
      <c r="B1224" s="34">
        <v>1275</v>
      </c>
      <c r="C1224" s="57" t="s">
        <v>5966</v>
      </c>
      <c r="D1224" s="56" t="s">
        <v>394</v>
      </c>
      <c r="E1224" s="56" t="s">
        <v>3922</v>
      </c>
      <c r="F1224" s="26" t="s">
        <v>3923</v>
      </c>
      <c r="G1224" s="26" t="s">
        <v>14</v>
      </c>
      <c r="H1224" s="26" t="s">
        <v>13</v>
      </c>
      <c r="I1224" s="26" t="s">
        <v>3924</v>
      </c>
      <c r="J1224" s="26" t="s">
        <v>5969</v>
      </c>
      <c r="K1224" s="26" t="s">
        <v>3941</v>
      </c>
      <c r="L1224" s="26" t="s">
        <v>4306</v>
      </c>
      <c r="M1224" s="55" t="s">
        <v>5967</v>
      </c>
      <c r="N1224" s="26" t="s">
        <v>3924</v>
      </c>
    </row>
    <row r="1225" spans="1:14" ht="75" customHeight="1" thickTop="1" thickBot="1">
      <c r="A1225" s="26">
        <v>1223</v>
      </c>
      <c r="B1225" s="26">
        <v>1276</v>
      </c>
      <c r="C1225" s="57" t="s">
        <v>5970</v>
      </c>
      <c r="D1225" s="56" t="s">
        <v>394</v>
      </c>
      <c r="E1225" s="56" t="s">
        <v>3922</v>
      </c>
      <c r="F1225" s="26" t="s">
        <v>3923</v>
      </c>
      <c r="G1225" s="26" t="s">
        <v>14</v>
      </c>
      <c r="H1225" s="26" t="s">
        <v>13</v>
      </c>
      <c r="I1225" s="26" t="s">
        <v>3924</v>
      </c>
      <c r="J1225" s="26" t="s">
        <v>5969</v>
      </c>
      <c r="K1225" s="26" t="s">
        <v>3947</v>
      </c>
      <c r="L1225" s="26" t="s">
        <v>3927</v>
      </c>
      <c r="M1225" s="55" t="s">
        <v>5971</v>
      </c>
      <c r="N1225" s="26" t="s">
        <v>3924</v>
      </c>
    </row>
    <row r="1226" spans="1:14" ht="75" customHeight="1" thickTop="1" thickBot="1">
      <c r="A1226" s="34">
        <v>1224</v>
      </c>
      <c r="B1226" s="34">
        <v>1277</v>
      </c>
      <c r="C1226" s="57" t="s">
        <v>5972</v>
      </c>
      <c r="D1226" s="56" t="s">
        <v>394</v>
      </c>
      <c r="E1226" s="56" t="s">
        <v>3922</v>
      </c>
      <c r="F1226" s="26" t="s">
        <v>3923</v>
      </c>
      <c r="G1226" s="26" t="s">
        <v>14</v>
      </c>
      <c r="H1226" s="26" t="s">
        <v>13</v>
      </c>
      <c r="I1226" s="26" t="s">
        <v>3924</v>
      </c>
      <c r="J1226" s="26" t="s">
        <v>5969</v>
      </c>
      <c r="K1226" s="26" t="s">
        <v>3929</v>
      </c>
      <c r="L1226" s="26" t="s">
        <v>4306</v>
      </c>
      <c r="M1226" s="55" t="s">
        <v>5967</v>
      </c>
      <c r="N1226" s="26" t="s">
        <v>3924</v>
      </c>
    </row>
    <row r="1227" spans="1:14" ht="75" customHeight="1" thickTop="1" thickBot="1">
      <c r="A1227" s="34">
        <v>1225</v>
      </c>
      <c r="B1227" s="26">
        <v>1278</v>
      </c>
      <c r="C1227" s="57" t="s">
        <v>5969</v>
      </c>
      <c r="D1227" s="56" t="s">
        <v>394</v>
      </c>
      <c r="E1227" s="56" t="s">
        <v>3922</v>
      </c>
      <c r="F1227" s="26" t="s">
        <v>3923</v>
      </c>
      <c r="G1227" s="26" t="s">
        <v>14</v>
      </c>
      <c r="H1227" s="26" t="s">
        <v>13</v>
      </c>
      <c r="I1227" s="26" t="s">
        <v>3924</v>
      </c>
      <c r="J1227" s="26" t="s">
        <v>5973</v>
      </c>
      <c r="K1227" s="26" t="s">
        <v>3947</v>
      </c>
      <c r="L1227" s="26" t="s">
        <v>3963</v>
      </c>
      <c r="M1227" s="55" t="s">
        <v>5971</v>
      </c>
      <c r="N1227" s="26" t="s">
        <v>3924</v>
      </c>
    </row>
    <row r="1228" spans="1:14" ht="75" customHeight="1" thickTop="1" thickBot="1">
      <c r="A1228" s="26">
        <v>1226</v>
      </c>
      <c r="B1228" s="34">
        <v>1279</v>
      </c>
      <c r="C1228" s="57" t="s">
        <v>5969</v>
      </c>
      <c r="D1228" s="56" t="s">
        <v>394</v>
      </c>
      <c r="E1228" s="56" t="s">
        <v>3922</v>
      </c>
      <c r="F1228" s="26" t="s">
        <v>3923</v>
      </c>
      <c r="G1228" s="26" t="s">
        <v>14</v>
      </c>
      <c r="H1228" s="26" t="s">
        <v>13</v>
      </c>
      <c r="I1228" s="26" t="s">
        <v>3924</v>
      </c>
      <c r="J1228" s="26" t="s">
        <v>5973</v>
      </c>
      <c r="K1228" s="26" t="s">
        <v>5974</v>
      </c>
      <c r="L1228" s="26" t="s">
        <v>4306</v>
      </c>
      <c r="M1228" s="55" t="s">
        <v>5967</v>
      </c>
      <c r="N1228" s="26" t="s">
        <v>3924</v>
      </c>
    </row>
    <row r="1229" spans="1:14" ht="75" customHeight="1" thickTop="1" thickBot="1">
      <c r="A1229" s="34">
        <v>1227</v>
      </c>
      <c r="B1229" s="26">
        <v>1280</v>
      </c>
      <c r="C1229" s="57" t="s">
        <v>5973</v>
      </c>
      <c r="D1229" s="56" t="s">
        <v>394</v>
      </c>
      <c r="E1229" s="56" t="s">
        <v>3922</v>
      </c>
      <c r="F1229" s="26" t="s">
        <v>3923</v>
      </c>
      <c r="G1229" s="26" t="s">
        <v>14</v>
      </c>
      <c r="H1229" s="26" t="s">
        <v>13</v>
      </c>
      <c r="I1229" s="26" t="s">
        <v>3924</v>
      </c>
      <c r="J1229" s="26" t="s">
        <v>5975</v>
      </c>
      <c r="K1229" s="26" t="s">
        <v>3941</v>
      </c>
      <c r="L1229" s="26" t="s">
        <v>4239</v>
      </c>
      <c r="M1229" s="55" t="s">
        <v>5976</v>
      </c>
      <c r="N1229" s="26" t="s">
        <v>3924</v>
      </c>
    </row>
    <row r="1230" spans="1:14" ht="75" customHeight="1" thickTop="1" thickBot="1">
      <c r="A1230" s="34">
        <v>1228</v>
      </c>
      <c r="B1230" s="34">
        <v>1281</v>
      </c>
      <c r="C1230" s="57" t="s">
        <v>5977</v>
      </c>
      <c r="D1230" s="56" t="s">
        <v>394</v>
      </c>
      <c r="E1230" s="56" t="s">
        <v>3922</v>
      </c>
      <c r="F1230" s="26" t="s">
        <v>3923</v>
      </c>
      <c r="G1230" s="26" t="s">
        <v>14</v>
      </c>
      <c r="H1230" s="26" t="s">
        <v>13</v>
      </c>
      <c r="I1230" s="26" t="s">
        <v>3924</v>
      </c>
      <c r="J1230" s="26" t="s">
        <v>5977</v>
      </c>
      <c r="K1230" s="26" t="s">
        <v>4033</v>
      </c>
      <c r="L1230" s="26" t="s">
        <v>3924</v>
      </c>
      <c r="M1230" s="55" t="s">
        <v>5978</v>
      </c>
      <c r="N1230" s="26" t="s">
        <v>3924</v>
      </c>
    </row>
    <row r="1231" spans="1:14" ht="75" customHeight="1" thickTop="1" thickBot="1">
      <c r="A1231" s="26">
        <v>1229</v>
      </c>
      <c r="B1231" s="34">
        <v>1282</v>
      </c>
      <c r="C1231" s="57" t="s">
        <v>5977</v>
      </c>
      <c r="D1231" s="56" t="s">
        <v>394</v>
      </c>
      <c r="E1231" s="56" t="s">
        <v>3922</v>
      </c>
      <c r="F1231" s="26" t="s">
        <v>3923</v>
      </c>
      <c r="G1231" s="26" t="s">
        <v>14</v>
      </c>
      <c r="H1231" s="26" t="s">
        <v>13</v>
      </c>
      <c r="I1231" s="26" t="s">
        <v>3924</v>
      </c>
      <c r="J1231" s="26" t="s">
        <v>5979</v>
      </c>
      <c r="K1231" s="26" t="s">
        <v>3947</v>
      </c>
      <c r="L1231" s="26" t="s">
        <v>4082</v>
      </c>
      <c r="M1231" s="55" t="s">
        <v>5938</v>
      </c>
      <c r="N1231" s="26" t="s">
        <v>3924</v>
      </c>
    </row>
    <row r="1232" spans="1:14" ht="75" customHeight="1" thickTop="1" thickBot="1">
      <c r="A1232" s="34">
        <v>1230</v>
      </c>
      <c r="B1232" s="26">
        <v>1283</v>
      </c>
      <c r="C1232" s="57" t="s">
        <v>5979</v>
      </c>
      <c r="D1232" s="56" t="s">
        <v>394</v>
      </c>
      <c r="E1232" s="56" t="s">
        <v>3922</v>
      </c>
      <c r="F1232" s="26" t="s">
        <v>3923</v>
      </c>
      <c r="G1232" s="26" t="s">
        <v>14</v>
      </c>
      <c r="H1232" s="26" t="s">
        <v>13</v>
      </c>
      <c r="I1232" s="26" t="s">
        <v>3924</v>
      </c>
      <c r="J1232" s="26" t="s">
        <v>5980</v>
      </c>
      <c r="K1232" s="26" t="s">
        <v>3954</v>
      </c>
      <c r="L1232" s="26" t="s">
        <v>4082</v>
      </c>
      <c r="M1232" s="55" t="s">
        <v>5981</v>
      </c>
      <c r="N1232" s="26" t="s">
        <v>3924</v>
      </c>
    </row>
    <row r="1233" spans="1:14" ht="75" customHeight="1" thickTop="1" thickBot="1">
      <c r="A1233" s="34">
        <v>1231</v>
      </c>
      <c r="B1233" s="34">
        <v>1284</v>
      </c>
      <c r="C1233" s="57" t="s">
        <v>5980</v>
      </c>
      <c r="D1233" s="56" t="s">
        <v>394</v>
      </c>
      <c r="E1233" s="56" t="s">
        <v>3922</v>
      </c>
      <c r="F1233" s="26" t="s">
        <v>3923</v>
      </c>
      <c r="G1233" s="26" t="s">
        <v>14</v>
      </c>
      <c r="H1233" s="26" t="s">
        <v>13</v>
      </c>
      <c r="I1233" s="26" t="s">
        <v>3924</v>
      </c>
      <c r="J1233" s="26" t="s">
        <v>5982</v>
      </c>
      <c r="K1233" s="26" t="s">
        <v>4010</v>
      </c>
      <c r="L1233" s="26" t="s">
        <v>3927</v>
      </c>
      <c r="M1233" s="55" t="s">
        <v>5983</v>
      </c>
      <c r="N1233" s="26" t="s">
        <v>3924</v>
      </c>
    </row>
    <row r="1234" spans="1:14" ht="75" customHeight="1" thickTop="1" thickBot="1">
      <c r="A1234" s="26">
        <v>1232</v>
      </c>
      <c r="B1234" s="26">
        <v>1285</v>
      </c>
      <c r="C1234" s="57" t="s">
        <v>5982</v>
      </c>
      <c r="D1234" s="56" t="s">
        <v>394</v>
      </c>
      <c r="E1234" s="56" t="s">
        <v>3922</v>
      </c>
      <c r="F1234" s="26" t="s">
        <v>3923</v>
      </c>
      <c r="G1234" s="26" t="s">
        <v>14</v>
      </c>
      <c r="H1234" s="26" t="s">
        <v>13</v>
      </c>
      <c r="I1234" s="26" t="s">
        <v>3924</v>
      </c>
      <c r="J1234" s="26" t="s">
        <v>5984</v>
      </c>
      <c r="K1234" s="26" t="s">
        <v>4010</v>
      </c>
      <c r="L1234" s="26" t="s">
        <v>3963</v>
      </c>
      <c r="M1234" s="55" t="s">
        <v>5985</v>
      </c>
      <c r="N1234" s="26" t="s">
        <v>3924</v>
      </c>
    </row>
    <row r="1235" spans="1:14" ht="75" customHeight="1" thickTop="1" thickBot="1">
      <c r="A1235" s="34">
        <v>1233</v>
      </c>
      <c r="B1235" s="34">
        <v>1286</v>
      </c>
      <c r="C1235" s="57" t="s">
        <v>5984</v>
      </c>
      <c r="D1235" s="56" t="s">
        <v>394</v>
      </c>
      <c r="E1235" s="56" t="s">
        <v>3922</v>
      </c>
      <c r="F1235" s="26" t="s">
        <v>3923</v>
      </c>
      <c r="G1235" s="26" t="s">
        <v>14</v>
      </c>
      <c r="H1235" s="26" t="s">
        <v>13</v>
      </c>
      <c r="I1235" s="26" t="s">
        <v>3924</v>
      </c>
      <c r="J1235" s="26" t="s">
        <v>5986</v>
      </c>
      <c r="K1235" s="26" t="s">
        <v>3926</v>
      </c>
      <c r="L1235" s="26" t="s">
        <v>4082</v>
      </c>
      <c r="M1235" s="55" t="s">
        <v>5938</v>
      </c>
      <c r="N1235" s="26" t="s">
        <v>3924</v>
      </c>
    </row>
    <row r="1236" spans="1:14" ht="75" customHeight="1" thickTop="1" thickBot="1">
      <c r="A1236" s="34">
        <v>1234</v>
      </c>
      <c r="B1236" s="26">
        <v>1287</v>
      </c>
      <c r="C1236" s="57" t="s">
        <v>5984</v>
      </c>
      <c r="D1236" s="56" t="s">
        <v>394</v>
      </c>
      <c r="E1236" s="56" t="s">
        <v>3922</v>
      </c>
      <c r="F1236" s="26" t="s">
        <v>3923</v>
      </c>
      <c r="G1236" s="26" t="s">
        <v>14</v>
      </c>
      <c r="H1236" s="26" t="s">
        <v>13</v>
      </c>
      <c r="I1236" s="26" t="s">
        <v>3924</v>
      </c>
      <c r="J1236" s="26" t="s">
        <v>5986</v>
      </c>
      <c r="K1236" s="26" t="s">
        <v>3976</v>
      </c>
      <c r="L1236" s="26" t="s">
        <v>4082</v>
      </c>
      <c r="M1236" s="55" t="s">
        <v>5940</v>
      </c>
      <c r="N1236" s="26" t="s">
        <v>3924</v>
      </c>
    </row>
    <row r="1237" spans="1:14" ht="75" customHeight="1" thickTop="1" thickBot="1">
      <c r="A1237" s="26">
        <v>1235</v>
      </c>
      <c r="B1237" s="34">
        <v>1288</v>
      </c>
      <c r="C1237" s="57" t="s">
        <v>5987</v>
      </c>
      <c r="D1237" s="56" t="s">
        <v>394</v>
      </c>
      <c r="E1237" s="56" t="s">
        <v>3922</v>
      </c>
      <c r="F1237" s="26" t="s">
        <v>3923</v>
      </c>
      <c r="G1237" s="26" t="s">
        <v>14</v>
      </c>
      <c r="H1237" s="26" t="s">
        <v>13</v>
      </c>
      <c r="I1237" s="26" t="s">
        <v>3924</v>
      </c>
      <c r="J1237" s="26" t="s">
        <v>5988</v>
      </c>
      <c r="K1237" s="26" t="s">
        <v>4087</v>
      </c>
      <c r="L1237" s="26" t="s">
        <v>4011</v>
      </c>
      <c r="M1237" s="55" t="s">
        <v>5989</v>
      </c>
      <c r="N1237" s="26" t="s">
        <v>3924</v>
      </c>
    </row>
    <row r="1238" spans="1:14" ht="75" customHeight="1" thickTop="1" thickBot="1">
      <c r="A1238" s="34">
        <v>1236</v>
      </c>
      <c r="B1238" s="34">
        <v>1289</v>
      </c>
      <c r="C1238" s="57" t="s">
        <v>5990</v>
      </c>
      <c r="D1238" s="56" t="s">
        <v>394</v>
      </c>
      <c r="E1238" s="56" t="s">
        <v>3922</v>
      </c>
      <c r="F1238" s="26" t="s">
        <v>3923</v>
      </c>
      <c r="G1238" s="26" t="s">
        <v>14</v>
      </c>
      <c r="H1238" s="26" t="s">
        <v>13</v>
      </c>
      <c r="I1238" s="26" t="s">
        <v>3924</v>
      </c>
      <c r="J1238" s="26" t="s">
        <v>5991</v>
      </c>
      <c r="K1238" s="26" t="s">
        <v>5992</v>
      </c>
      <c r="L1238" s="26" t="s">
        <v>3924</v>
      </c>
      <c r="M1238" s="55" t="s">
        <v>5993</v>
      </c>
      <c r="N1238" s="26" t="s">
        <v>3924</v>
      </c>
    </row>
    <row r="1239" spans="1:14" ht="75" customHeight="1" thickTop="1" thickBot="1">
      <c r="A1239" s="34">
        <v>1237</v>
      </c>
      <c r="B1239" s="26">
        <v>1290</v>
      </c>
      <c r="C1239" s="57" t="s">
        <v>5994</v>
      </c>
      <c r="D1239" s="56" t="s">
        <v>394</v>
      </c>
      <c r="E1239" s="56" t="s">
        <v>3922</v>
      </c>
      <c r="F1239" s="26" t="s">
        <v>3923</v>
      </c>
      <c r="G1239" s="26" t="s">
        <v>14</v>
      </c>
      <c r="H1239" s="26" t="s">
        <v>13</v>
      </c>
      <c r="I1239" s="26" t="s">
        <v>3924</v>
      </c>
      <c r="J1239" s="26" t="s">
        <v>5995</v>
      </c>
      <c r="K1239" s="26" t="s">
        <v>5996</v>
      </c>
      <c r="L1239" s="26" t="s">
        <v>3924</v>
      </c>
      <c r="M1239" s="55" t="s">
        <v>613</v>
      </c>
      <c r="N1239" s="26" t="s">
        <v>3924</v>
      </c>
    </row>
    <row r="1240" spans="1:14" ht="75" customHeight="1" thickTop="1" thickBot="1">
      <c r="A1240" s="26">
        <v>1238</v>
      </c>
      <c r="B1240" s="34">
        <v>1291</v>
      </c>
      <c r="C1240" s="57" t="s">
        <v>5997</v>
      </c>
      <c r="D1240" s="56" t="s">
        <v>394</v>
      </c>
      <c r="E1240" s="56" t="s">
        <v>3922</v>
      </c>
      <c r="F1240" s="26" t="s">
        <v>3923</v>
      </c>
      <c r="G1240" s="26" t="s">
        <v>14</v>
      </c>
      <c r="H1240" s="26" t="s">
        <v>13</v>
      </c>
      <c r="I1240" s="26" t="s">
        <v>3924</v>
      </c>
      <c r="J1240" s="26" t="s">
        <v>5995</v>
      </c>
      <c r="K1240" s="26" t="s">
        <v>3947</v>
      </c>
      <c r="L1240" s="26" t="s">
        <v>4082</v>
      </c>
      <c r="M1240" s="55" t="s">
        <v>5950</v>
      </c>
      <c r="N1240" s="26" t="s">
        <v>3924</v>
      </c>
    </row>
    <row r="1241" spans="1:14" ht="75" customHeight="1" thickTop="1" thickBot="1">
      <c r="A1241" s="34">
        <v>1239</v>
      </c>
      <c r="B1241" s="26">
        <v>1292</v>
      </c>
      <c r="C1241" s="57" t="s">
        <v>5997</v>
      </c>
      <c r="D1241" s="56" t="s">
        <v>394</v>
      </c>
      <c r="E1241" s="56" t="s">
        <v>3922</v>
      </c>
      <c r="F1241" s="26" t="s">
        <v>3923</v>
      </c>
      <c r="G1241" s="26" t="s">
        <v>14</v>
      </c>
      <c r="H1241" s="26" t="s">
        <v>13</v>
      </c>
      <c r="I1241" s="26" t="s">
        <v>3924</v>
      </c>
      <c r="J1241" s="26" t="s">
        <v>5995</v>
      </c>
      <c r="K1241" s="26" t="s">
        <v>3929</v>
      </c>
      <c r="L1241" s="26" t="s">
        <v>4082</v>
      </c>
      <c r="M1241" s="55" t="s">
        <v>5950</v>
      </c>
      <c r="N1241" s="26" t="s">
        <v>3924</v>
      </c>
    </row>
    <row r="1242" spans="1:14" ht="75" customHeight="1" thickTop="1" thickBot="1">
      <c r="A1242" s="34">
        <v>1240</v>
      </c>
      <c r="B1242" s="34">
        <v>1293</v>
      </c>
      <c r="C1242" s="57" t="s">
        <v>5998</v>
      </c>
      <c r="D1242" s="56" t="s">
        <v>394</v>
      </c>
      <c r="E1242" s="56" t="s">
        <v>3922</v>
      </c>
      <c r="F1242" s="26" t="s">
        <v>3923</v>
      </c>
      <c r="G1242" s="26" t="s">
        <v>14</v>
      </c>
      <c r="H1242" s="26" t="s">
        <v>13</v>
      </c>
      <c r="I1242" s="26" t="s">
        <v>3924</v>
      </c>
      <c r="J1242" s="26" t="s">
        <v>5999</v>
      </c>
      <c r="K1242" s="26" t="s">
        <v>4087</v>
      </c>
      <c r="L1242" s="26" t="s">
        <v>4082</v>
      </c>
      <c r="M1242" s="55" t="s">
        <v>5950</v>
      </c>
      <c r="N1242" s="26" t="s">
        <v>3924</v>
      </c>
    </row>
    <row r="1243" spans="1:14" ht="75" customHeight="1" thickTop="1" thickBot="1">
      <c r="A1243" s="26">
        <v>1241</v>
      </c>
      <c r="B1243" s="26">
        <v>1294</v>
      </c>
      <c r="C1243" s="57" t="s">
        <v>5995</v>
      </c>
      <c r="D1243" s="56" t="s">
        <v>394</v>
      </c>
      <c r="E1243" s="56" t="s">
        <v>3922</v>
      </c>
      <c r="F1243" s="26" t="s">
        <v>3923</v>
      </c>
      <c r="G1243" s="26" t="s">
        <v>14</v>
      </c>
      <c r="H1243" s="26" t="s">
        <v>13</v>
      </c>
      <c r="I1243" s="26" t="s">
        <v>3924</v>
      </c>
      <c r="J1243" s="26" t="s">
        <v>5999</v>
      </c>
      <c r="K1243" s="26" t="s">
        <v>3929</v>
      </c>
      <c r="L1243" s="26" t="s">
        <v>3927</v>
      </c>
      <c r="M1243" s="55" t="s">
        <v>6000</v>
      </c>
      <c r="N1243" s="26" t="s">
        <v>3924</v>
      </c>
    </row>
    <row r="1244" spans="1:14" ht="75" customHeight="1" thickTop="1" thickBot="1">
      <c r="A1244" s="34">
        <v>1242</v>
      </c>
      <c r="B1244" s="34">
        <v>1295</v>
      </c>
      <c r="C1244" s="57" t="s">
        <v>5999</v>
      </c>
      <c r="D1244" s="56" t="s">
        <v>394</v>
      </c>
      <c r="E1244" s="56" t="s">
        <v>3922</v>
      </c>
      <c r="F1244" s="26" t="s">
        <v>3923</v>
      </c>
      <c r="G1244" s="26" t="s">
        <v>14</v>
      </c>
      <c r="H1244" s="26" t="s">
        <v>13</v>
      </c>
      <c r="I1244" s="26" t="s">
        <v>3924</v>
      </c>
      <c r="J1244" s="26" t="s">
        <v>6001</v>
      </c>
      <c r="K1244" s="26" t="s">
        <v>4225</v>
      </c>
      <c r="L1244" s="26" t="s">
        <v>4082</v>
      </c>
      <c r="M1244" s="55" t="s">
        <v>6002</v>
      </c>
      <c r="N1244" s="26" t="s">
        <v>3924</v>
      </c>
    </row>
    <row r="1245" spans="1:14" ht="75" customHeight="1" thickTop="1" thickBot="1">
      <c r="A1245" s="34">
        <v>1243</v>
      </c>
      <c r="B1245" s="34">
        <v>1296</v>
      </c>
      <c r="C1245" s="57" t="s">
        <v>6003</v>
      </c>
      <c r="D1245" s="56" t="s">
        <v>394</v>
      </c>
      <c r="E1245" s="56" t="s">
        <v>3922</v>
      </c>
      <c r="F1245" s="26" t="s">
        <v>3923</v>
      </c>
      <c r="G1245" s="26" t="s">
        <v>14</v>
      </c>
      <c r="H1245" s="26" t="s">
        <v>13</v>
      </c>
      <c r="I1245" s="26" t="s">
        <v>3924</v>
      </c>
      <c r="J1245" s="26" t="s">
        <v>6001</v>
      </c>
      <c r="K1245" s="26" t="s">
        <v>6004</v>
      </c>
      <c r="L1245" s="26" t="s">
        <v>3924</v>
      </c>
      <c r="M1245" s="55" t="s">
        <v>6005</v>
      </c>
      <c r="N1245" s="26" t="s">
        <v>3924</v>
      </c>
    </row>
    <row r="1246" spans="1:14" ht="75" customHeight="1" thickTop="1" thickBot="1">
      <c r="A1246" s="26">
        <v>1244</v>
      </c>
      <c r="B1246" s="26">
        <v>1297</v>
      </c>
      <c r="C1246" s="57" t="s">
        <v>6001</v>
      </c>
      <c r="D1246" s="56" t="s">
        <v>394</v>
      </c>
      <c r="E1246" s="56" t="s">
        <v>3922</v>
      </c>
      <c r="F1246" s="26" t="s">
        <v>3923</v>
      </c>
      <c r="G1246" s="26" t="s">
        <v>14</v>
      </c>
      <c r="H1246" s="26" t="s">
        <v>13</v>
      </c>
      <c r="I1246" s="26" t="s">
        <v>3924</v>
      </c>
      <c r="J1246" s="26" t="s">
        <v>6006</v>
      </c>
      <c r="K1246" s="26" t="s">
        <v>4087</v>
      </c>
      <c r="L1246" s="26" t="s">
        <v>3927</v>
      </c>
      <c r="M1246" s="55" t="s">
        <v>6007</v>
      </c>
      <c r="N1246" s="26" t="s">
        <v>3924</v>
      </c>
    </row>
    <row r="1247" spans="1:14" ht="75" customHeight="1" thickTop="1" thickBot="1">
      <c r="A1247" s="34">
        <v>1245</v>
      </c>
      <c r="B1247" s="34">
        <v>1298</v>
      </c>
      <c r="C1247" s="57" t="s">
        <v>6008</v>
      </c>
      <c r="D1247" s="56" t="s">
        <v>394</v>
      </c>
      <c r="E1247" s="56" t="s">
        <v>3922</v>
      </c>
      <c r="F1247" s="26" t="s">
        <v>3923</v>
      </c>
      <c r="G1247" s="26" t="s">
        <v>14</v>
      </c>
      <c r="H1247" s="26" t="s">
        <v>13</v>
      </c>
      <c r="I1247" s="26" t="s">
        <v>3924</v>
      </c>
      <c r="J1247" s="26" t="s">
        <v>6009</v>
      </c>
      <c r="K1247" s="26" t="s">
        <v>3954</v>
      </c>
      <c r="L1247" s="26" t="s">
        <v>4082</v>
      </c>
      <c r="M1247" s="55" t="s">
        <v>6010</v>
      </c>
      <c r="N1247" s="26" t="s">
        <v>3924</v>
      </c>
    </row>
    <row r="1248" spans="1:14" ht="75" customHeight="1" thickTop="1" thickBot="1">
      <c r="A1248" s="34">
        <v>1246</v>
      </c>
      <c r="B1248" s="26">
        <v>1299</v>
      </c>
      <c r="C1248" s="57" t="s">
        <v>6011</v>
      </c>
      <c r="D1248" s="56" t="s">
        <v>394</v>
      </c>
      <c r="E1248" s="56" t="s">
        <v>3922</v>
      </c>
      <c r="F1248" s="26" t="s">
        <v>3923</v>
      </c>
      <c r="G1248" s="26" t="s">
        <v>14</v>
      </c>
      <c r="H1248" s="26" t="s">
        <v>13</v>
      </c>
      <c r="I1248" s="26" t="s">
        <v>3924</v>
      </c>
      <c r="J1248" s="26" t="s">
        <v>6009</v>
      </c>
      <c r="K1248" s="26" t="s">
        <v>3966</v>
      </c>
      <c r="L1248" s="26" t="s">
        <v>3963</v>
      </c>
      <c r="M1248" s="55" t="s">
        <v>6012</v>
      </c>
      <c r="N1248" s="26" t="s">
        <v>3924</v>
      </c>
    </row>
    <row r="1249" spans="1:14" ht="75" customHeight="1" thickTop="1" thickBot="1">
      <c r="A1249" s="26">
        <v>1247</v>
      </c>
      <c r="B1249" s="34">
        <v>1300</v>
      </c>
      <c r="C1249" s="57" t="s">
        <v>6009</v>
      </c>
      <c r="D1249" s="56" t="s">
        <v>394</v>
      </c>
      <c r="E1249" s="56" t="s">
        <v>3922</v>
      </c>
      <c r="F1249" s="26" t="s">
        <v>3923</v>
      </c>
      <c r="G1249" s="26" t="s">
        <v>14</v>
      </c>
      <c r="H1249" s="26" t="s">
        <v>13</v>
      </c>
      <c r="I1249" s="26" t="s">
        <v>3924</v>
      </c>
      <c r="J1249" s="26" t="s">
        <v>6013</v>
      </c>
      <c r="K1249" s="26" t="s">
        <v>3966</v>
      </c>
      <c r="L1249" s="26" t="s">
        <v>3963</v>
      </c>
      <c r="M1249" s="55" t="s">
        <v>6014</v>
      </c>
      <c r="N1249" s="26" t="s">
        <v>3924</v>
      </c>
    </row>
    <row r="1250" spans="1:14" ht="75" customHeight="1" thickTop="1" thickBot="1">
      <c r="A1250" s="34">
        <v>1248</v>
      </c>
      <c r="B1250" s="26">
        <v>1301</v>
      </c>
      <c r="C1250" s="57" t="s">
        <v>6013</v>
      </c>
      <c r="D1250" s="56" t="s">
        <v>394</v>
      </c>
      <c r="E1250" s="56" t="s">
        <v>3922</v>
      </c>
      <c r="F1250" s="26" t="s">
        <v>3923</v>
      </c>
      <c r="G1250" s="26" t="s">
        <v>14</v>
      </c>
      <c r="H1250" s="26" t="s">
        <v>13</v>
      </c>
      <c r="I1250" s="26" t="s">
        <v>3924</v>
      </c>
      <c r="J1250" s="26" t="s">
        <v>6015</v>
      </c>
      <c r="K1250" s="26" t="s">
        <v>6016</v>
      </c>
      <c r="L1250" s="26" t="s">
        <v>3924</v>
      </c>
      <c r="M1250" s="55" t="s">
        <v>6017</v>
      </c>
      <c r="N1250" s="26" t="s">
        <v>3924</v>
      </c>
    </row>
    <row r="1251" spans="1:14" ht="75" customHeight="1" thickTop="1" thickBot="1">
      <c r="A1251" s="34">
        <v>1249</v>
      </c>
      <c r="B1251" s="34">
        <v>1302</v>
      </c>
      <c r="C1251" s="57" t="s">
        <v>6015</v>
      </c>
      <c r="D1251" s="56" t="s">
        <v>394</v>
      </c>
      <c r="E1251" s="56" t="s">
        <v>3922</v>
      </c>
      <c r="F1251" s="26" t="s">
        <v>3923</v>
      </c>
      <c r="G1251" s="26" t="s">
        <v>14</v>
      </c>
      <c r="H1251" s="26" t="s">
        <v>13</v>
      </c>
      <c r="I1251" s="26" t="s">
        <v>3924</v>
      </c>
      <c r="J1251" s="26" t="s">
        <v>6015</v>
      </c>
      <c r="K1251" s="26" t="s">
        <v>3966</v>
      </c>
      <c r="L1251" s="26" t="s">
        <v>4082</v>
      </c>
      <c r="M1251" s="55" t="s">
        <v>6002</v>
      </c>
      <c r="N1251" s="26" t="s">
        <v>3924</v>
      </c>
    </row>
    <row r="1252" spans="1:14" ht="75" customHeight="1" thickTop="1" thickBot="1">
      <c r="A1252" s="26">
        <v>1250</v>
      </c>
      <c r="B1252" s="34">
        <v>1303</v>
      </c>
      <c r="C1252" s="57" t="s">
        <v>6015</v>
      </c>
      <c r="D1252" s="56" t="s">
        <v>394</v>
      </c>
      <c r="E1252" s="56" t="s">
        <v>3922</v>
      </c>
      <c r="F1252" s="26" t="s">
        <v>3923</v>
      </c>
      <c r="G1252" s="26" t="s">
        <v>14</v>
      </c>
      <c r="H1252" s="26" t="s">
        <v>13</v>
      </c>
      <c r="I1252" s="26" t="s">
        <v>3924</v>
      </c>
      <c r="J1252" s="26" t="s">
        <v>6018</v>
      </c>
      <c r="K1252" s="26" t="s">
        <v>6019</v>
      </c>
      <c r="L1252" s="26" t="s">
        <v>4082</v>
      </c>
      <c r="M1252" s="55" t="s">
        <v>5940</v>
      </c>
      <c r="N1252" s="26" t="s">
        <v>3924</v>
      </c>
    </row>
    <row r="1253" spans="1:14" ht="75" customHeight="1" thickTop="1" thickBot="1">
      <c r="A1253" s="34">
        <v>1251</v>
      </c>
      <c r="B1253" s="26">
        <v>1304</v>
      </c>
      <c r="C1253" s="57" t="s">
        <v>6018</v>
      </c>
      <c r="D1253" s="56" t="s">
        <v>394</v>
      </c>
      <c r="E1253" s="56" t="s">
        <v>3922</v>
      </c>
      <c r="F1253" s="26" t="s">
        <v>3923</v>
      </c>
      <c r="G1253" s="26" t="s">
        <v>14</v>
      </c>
      <c r="H1253" s="26" t="s">
        <v>13</v>
      </c>
      <c r="I1253" s="26" t="s">
        <v>3924</v>
      </c>
      <c r="J1253" s="26" t="s">
        <v>6020</v>
      </c>
      <c r="K1253" s="26" t="s">
        <v>4010</v>
      </c>
      <c r="L1253" s="26" t="s">
        <v>4082</v>
      </c>
      <c r="M1253" s="55" t="s">
        <v>5940</v>
      </c>
      <c r="N1253" s="26" t="s">
        <v>3924</v>
      </c>
    </row>
    <row r="1254" spans="1:14" ht="75" customHeight="1" thickTop="1" thickBot="1">
      <c r="A1254" s="34">
        <v>1252</v>
      </c>
      <c r="B1254" s="34">
        <v>1305</v>
      </c>
      <c r="C1254" s="57" t="s">
        <v>6020</v>
      </c>
      <c r="D1254" s="56" t="s">
        <v>394</v>
      </c>
      <c r="E1254" s="56" t="s">
        <v>3922</v>
      </c>
      <c r="F1254" s="26" t="s">
        <v>3923</v>
      </c>
      <c r="G1254" s="26" t="s">
        <v>14</v>
      </c>
      <c r="H1254" s="26" t="s">
        <v>13</v>
      </c>
      <c r="I1254" s="26" t="s">
        <v>3924</v>
      </c>
      <c r="J1254" s="26" t="s">
        <v>6020</v>
      </c>
      <c r="K1254" s="26" t="s">
        <v>3941</v>
      </c>
      <c r="L1254" s="26" t="s">
        <v>4082</v>
      </c>
      <c r="M1254" s="55" t="s">
        <v>5940</v>
      </c>
      <c r="N1254" s="26" t="s">
        <v>3924</v>
      </c>
    </row>
    <row r="1255" spans="1:14" ht="75" customHeight="1" thickTop="1" thickBot="1">
      <c r="A1255" s="26">
        <v>1253</v>
      </c>
      <c r="B1255" s="26">
        <v>1306</v>
      </c>
      <c r="C1255" s="57" t="s">
        <v>6021</v>
      </c>
      <c r="D1255" s="56" t="s">
        <v>394</v>
      </c>
      <c r="E1255" s="56" t="s">
        <v>3922</v>
      </c>
      <c r="F1255" s="26" t="s">
        <v>3923</v>
      </c>
      <c r="G1255" s="26" t="s">
        <v>14</v>
      </c>
      <c r="H1255" s="26" t="s">
        <v>13</v>
      </c>
      <c r="I1255" s="26" t="s">
        <v>3924</v>
      </c>
      <c r="J1255" s="26" t="s">
        <v>6021</v>
      </c>
      <c r="K1255" s="26" t="s">
        <v>4190</v>
      </c>
      <c r="L1255" s="26" t="s">
        <v>3924</v>
      </c>
      <c r="M1255" s="55" t="s">
        <v>6022</v>
      </c>
      <c r="N1255" s="26" t="s">
        <v>3924</v>
      </c>
    </row>
    <row r="1256" spans="1:14" ht="75" customHeight="1" thickTop="1" thickBot="1">
      <c r="A1256" s="34">
        <v>1254</v>
      </c>
      <c r="B1256" s="34">
        <v>1307</v>
      </c>
      <c r="C1256" s="57" t="s">
        <v>6023</v>
      </c>
      <c r="D1256" s="56" t="s">
        <v>394</v>
      </c>
      <c r="E1256" s="56" t="s">
        <v>3922</v>
      </c>
      <c r="F1256" s="26" t="s">
        <v>3923</v>
      </c>
      <c r="G1256" s="26" t="s">
        <v>14</v>
      </c>
      <c r="H1256" s="26" t="s">
        <v>13</v>
      </c>
      <c r="I1256" s="26" t="s">
        <v>3924</v>
      </c>
      <c r="J1256" s="26" t="s">
        <v>6023</v>
      </c>
      <c r="K1256" s="26" t="s">
        <v>4087</v>
      </c>
      <c r="L1256" s="26" t="s">
        <v>4082</v>
      </c>
      <c r="M1256" s="55" t="s">
        <v>5940</v>
      </c>
      <c r="N1256" s="26" t="s">
        <v>3924</v>
      </c>
    </row>
    <row r="1257" spans="1:14" ht="75" customHeight="1" thickTop="1" thickBot="1">
      <c r="A1257" s="34">
        <v>1255</v>
      </c>
      <c r="B1257" s="26">
        <v>1308</v>
      </c>
      <c r="C1257" s="57" t="s">
        <v>6023</v>
      </c>
      <c r="D1257" s="56" t="s">
        <v>394</v>
      </c>
      <c r="E1257" s="56" t="s">
        <v>3922</v>
      </c>
      <c r="F1257" s="26" t="s">
        <v>3923</v>
      </c>
      <c r="G1257" s="26" t="s">
        <v>14</v>
      </c>
      <c r="H1257" s="26" t="s">
        <v>13</v>
      </c>
      <c r="I1257" s="26" t="s">
        <v>3924</v>
      </c>
      <c r="J1257" s="26" t="s">
        <v>6024</v>
      </c>
      <c r="K1257" s="26" t="s">
        <v>3941</v>
      </c>
      <c r="L1257" s="26" t="s">
        <v>4082</v>
      </c>
      <c r="M1257" s="55" t="s">
        <v>5938</v>
      </c>
      <c r="N1257" s="26" t="s">
        <v>3924</v>
      </c>
    </row>
    <row r="1258" spans="1:14" ht="75" customHeight="1" thickTop="1" thickBot="1">
      <c r="A1258" s="26">
        <v>1256</v>
      </c>
      <c r="B1258" s="34">
        <v>1309</v>
      </c>
      <c r="C1258" s="57" t="s">
        <v>6024</v>
      </c>
      <c r="D1258" s="56" t="s">
        <v>394</v>
      </c>
      <c r="E1258" s="56" t="s">
        <v>3922</v>
      </c>
      <c r="F1258" s="26" t="s">
        <v>3923</v>
      </c>
      <c r="G1258" s="26" t="s">
        <v>14</v>
      </c>
      <c r="H1258" s="26" t="s">
        <v>13</v>
      </c>
      <c r="I1258" s="26" t="s">
        <v>3924</v>
      </c>
      <c r="J1258" s="26" t="s">
        <v>6025</v>
      </c>
      <c r="K1258" s="26" t="s">
        <v>3954</v>
      </c>
      <c r="L1258" s="26" t="s">
        <v>3924</v>
      </c>
      <c r="M1258" s="55" t="s">
        <v>6026</v>
      </c>
      <c r="N1258" s="26" t="s">
        <v>3924</v>
      </c>
    </row>
    <row r="1259" spans="1:14" ht="75" customHeight="1" thickTop="1" thickBot="1">
      <c r="A1259" s="34">
        <v>1257</v>
      </c>
      <c r="B1259" s="34">
        <v>1310</v>
      </c>
      <c r="C1259" s="57" t="s">
        <v>6027</v>
      </c>
      <c r="D1259" s="56" t="s">
        <v>394</v>
      </c>
      <c r="E1259" s="56" t="s">
        <v>3922</v>
      </c>
      <c r="F1259" s="26" t="s">
        <v>3923</v>
      </c>
      <c r="G1259" s="26" t="s">
        <v>14</v>
      </c>
      <c r="H1259" s="26" t="s">
        <v>13</v>
      </c>
      <c r="I1259" s="26" t="s">
        <v>3924</v>
      </c>
      <c r="J1259" s="26" t="s">
        <v>6028</v>
      </c>
      <c r="K1259" s="26" t="s">
        <v>4087</v>
      </c>
      <c r="L1259" s="26" t="s">
        <v>3927</v>
      </c>
      <c r="M1259" s="55" t="s">
        <v>6029</v>
      </c>
      <c r="N1259" s="26" t="s">
        <v>3924</v>
      </c>
    </row>
    <row r="1260" spans="1:14" ht="75" customHeight="1" thickTop="1" thickBot="1">
      <c r="A1260" s="34">
        <v>1258</v>
      </c>
      <c r="B1260" s="26">
        <v>1311</v>
      </c>
      <c r="C1260" s="57" t="s">
        <v>6028</v>
      </c>
      <c r="D1260" s="56" t="s">
        <v>394</v>
      </c>
      <c r="E1260" s="56" t="s">
        <v>3922</v>
      </c>
      <c r="F1260" s="26" t="s">
        <v>3923</v>
      </c>
      <c r="G1260" s="26" t="s">
        <v>14</v>
      </c>
      <c r="H1260" s="26" t="s">
        <v>13</v>
      </c>
      <c r="I1260" s="26" t="s">
        <v>3924</v>
      </c>
      <c r="J1260" s="26" t="s">
        <v>6028</v>
      </c>
      <c r="K1260" s="26" t="s">
        <v>4087</v>
      </c>
      <c r="L1260" s="26" t="s">
        <v>3927</v>
      </c>
      <c r="M1260" s="55" t="s">
        <v>6030</v>
      </c>
      <c r="N1260" s="26" t="s">
        <v>3924</v>
      </c>
    </row>
    <row r="1261" spans="1:14" ht="75" customHeight="1" thickTop="1" thickBot="1">
      <c r="A1261" s="26">
        <v>1259</v>
      </c>
      <c r="B1261" s="34">
        <v>1312</v>
      </c>
      <c r="C1261" s="57" t="s">
        <v>6031</v>
      </c>
      <c r="D1261" s="56" t="s">
        <v>394</v>
      </c>
      <c r="E1261" s="56" t="s">
        <v>3922</v>
      </c>
      <c r="F1261" s="26" t="s">
        <v>3923</v>
      </c>
      <c r="G1261" s="26" t="s">
        <v>14</v>
      </c>
      <c r="H1261" s="26" t="s">
        <v>13</v>
      </c>
      <c r="I1261" s="26" t="s">
        <v>3924</v>
      </c>
      <c r="J1261" s="26" t="s">
        <v>6031</v>
      </c>
      <c r="K1261" s="26" t="s">
        <v>4010</v>
      </c>
      <c r="L1261" s="26" t="s">
        <v>3927</v>
      </c>
      <c r="M1261" s="55" t="s">
        <v>6032</v>
      </c>
      <c r="N1261" s="26" t="s">
        <v>3924</v>
      </c>
    </row>
    <row r="1262" spans="1:14" ht="75" customHeight="1" thickTop="1" thickBot="1">
      <c r="A1262" s="34">
        <v>1260</v>
      </c>
      <c r="B1262" s="26">
        <v>1313</v>
      </c>
      <c r="C1262" s="57" t="s">
        <v>6033</v>
      </c>
      <c r="D1262" s="56" t="s">
        <v>394</v>
      </c>
      <c r="E1262" s="56" t="s">
        <v>3922</v>
      </c>
      <c r="F1262" s="26" t="s">
        <v>3923</v>
      </c>
      <c r="G1262" s="26" t="s">
        <v>14</v>
      </c>
      <c r="H1262" s="26" t="s">
        <v>13</v>
      </c>
      <c r="I1262" s="26" t="s">
        <v>3924</v>
      </c>
      <c r="J1262" s="26" t="s">
        <v>6033</v>
      </c>
      <c r="K1262" s="26" t="s">
        <v>4087</v>
      </c>
      <c r="L1262" s="26" t="s">
        <v>4011</v>
      </c>
      <c r="M1262" s="55" t="s">
        <v>6034</v>
      </c>
      <c r="N1262" s="26" t="s">
        <v>3924</v>
      </c>
    </row>
    <row r="1263" spans="1:14" ht="75" customHeight="1" thickTop="1" thickBot="1">
      <c r="A1263" s="34">
        <v>1261</v>
      </c>
      <c r="B1263" s="34">
        <v>1314</v>
      </c>
      <c r="C1263" s="57" t="s">
        <v>6033</v>
      </c>
      <c r="D1263" s="56" t="s">
        <v>394</v>
      </c>
      <c r="E1263" s="56" t="s">
        <v>3922</v>
      </c>
      <c r="F1263" s="26" t="s">
        <v>3923</v>
      </c>
      <c r="G1263" s="26" t="s">
        <v>14</v>
      </c>
      <c r="H1263" s="26" t="s">
        <v>13</v>
      </c>
      <c r="I1263" s="26" t="s">
        <v>3924</v>
      </c>
      <c r="J1263" s="26" t="s">
        <v>6035</v>
      </c>
      <c r="K1263" s="26" t="s">
        <v>4087</v>
      </c>
      <c r="L1263" s="26" t="s">
        <v>4011</v>
      </c>
      <c r="M1263" s="55" t="s">
        <v>6036</v>
      </c>
      <c r="N1263" s="26" t="s">
        <v>3924</v>
      </c>
    </row>
    <row r="1264" spans="1:14" ht="75" customHeight="1" thickTop="1" thickBot="1">
      <c r="A1264" s="26">
        <v>1262</v>
      </c>
      <c r="B1264" s="26">
        <v>1315</v>
      </c>
      <c r="C1264" s="57" t="s">
        <v>6037</v>
      </c>
      <c r="D1264" s="56" t="s">
        <v>394</v>
      </c>
      <c r="E1264" s="56" t="s">
        <v>3922</v>
      </c>
      <c r="F1264" s="26" t="s">
        <v>3923</v>
      </c>
      <c r="G1264" s="26" t="s">
        <v>14</v>
      </c>
      <c r="H1264" s="26" t="s">
        <v>13</v>
      </c>
      <c r="I1264" s="26" t="s">
        <v>3924</v>
      </c>
      <c r="J1264" s="26" t="s">
        <v>6035</v>
      </c>
      <c r="K1264" s="26" t="s">
        <v>3929</v>
      </c>
      <c r="L1264" s="26" t="s">
        <v>4082</v>
      </c>
      <c r="M1264" s="55" t="s">
        <v>5938</v>
      </c>
      <c r="N1264" s="26" t="s">
        <v>3924</v>
      </c>
    </row>
    <row r="1265" spans="1:14" ht="75" customHeight="1" thickTop="1" thickBot="1">
      <c r="A1265" s="34">
        <v>1263</v>
      </c>
      <c r="B1265" s="34">
        <v>1316</v>
      </c>
      <c r="C1265" s="57" t="s">
        <v>6035</v>
      </c>
      <c r="D1265" s="56" t="s">
        <v>394</v>
      </c>
      <c r="E1265" s="56" t="s">
        <v>3922</v>
      </c>
      <c r="F1265" s="26" t="s">
        <v>3923</v>
      </c>
      <c r="G1265" s="26" t="s">
        <v>14</v>
      </c>
      <c r="H1265" s="26" t="s">
        <v>13</v>
      </c>
      <c r="I1265" s="26" t="s">
        <v>3924</v>
      </c>
      <c r="J1265" s="26" t="s">
        <v>6038</v>
      </c>
      <c r="K1265" s="26" t="s">
        <v>4087</v>
      </c>
      <c r="L1265" s="26" t="s">
        <v>3927</v>
      </c>
      <c r="M1265" s="55" t="s">
        <v>6007</v>
      </c>
      <c r="N1265" s="26" t="s">
        <v>3924</v>
      </c>
    </row>
    <row r="1266" spans="1:14" ht="75" customHeight="1" thickTop="1" thickBot="1">
      <c r="A1266" s="34">
        <v>1264</v>
      </c>
      <c r="B1266" s="34">
        <v>1317</v>
      </c>
      <c r="C1266" s="57" t="s">
        <v>6039</v>
      </c>
      <c r="D1266" s="56" t="s">
        <v>394</v>
      </c>
      <c r="E1266" s="56" t="s">
        <v>3922</v>
      </c>
      <c r="F1266" s="26" t="s">
        <v>3923</v>
      </c>
      <c r="G1266" s="26" t="s">
        <v>14</v>
      </c>
      <c r="H1266" s="26" t="s">
        <v>13</v>
      </c>
      <c r="I1266" s="26" t="s">
        <v>3924</v>
      </c>
      <c r="J1266" s="26" t="s">
        <v>6040</v>
      </c>
      <c r="K1266" s="26" t="s">
        <v>3954</v>
      </c>
      <c r="L1266" s="26" t="s">
        <v>3924</v>
      </c>
      <c r="M1266" s="55" t="s">
        <v>5967</v>
      </c>
      <c r="N1266" s="26" t="s">
        <v>3924</v>
      </c>
    </row>
    <row r="1267" spans="1:14" ht="75" customHeight="1" thickTop="1" thickBot="1">
      <c r="A1267" s="26">
        <v>1265</v>
      </c>
      <c r="B1267" s="26">
        <v>1318</v>
      </c>
      <c r="C1267" s="57" t="s">
        <v>6038</v>
      </c>
      <c r="D1267" s="56" t="s">
        <v>394</v>
      </c>
      <c r="E1267" s="56" t="s">
        <v>3922</v>
      </c>
      <c r="F1267" s="26" t="s">
        <v>3923</v>
      </c>
      <c r="G1267" s="26" t="s">
        <v>14</v>
      </c>
      <c r="H1267" s="26" t="s">
        <v>13</v>
      </c>
      <c r="I1267" s="26" t="s">
        <v>3924</v>
      </c>
      <c r="J1267" s="26" t="s">
        <v>6040</v>
      </c>
      <c r="K1267" s="26" t="s">
        <v>3976</v>
      </c>
      <c r="L1267" s="26" t="s">
        <v>4082</v>
      </c>
      <c r="M1267" s="55" t="s">
        <v>5940</v>
      </c>
      <c r="N1267" s="26" t="s">
        <v>3924</v>
      </c>
    </row>
    <row r="1268" spans="1:14" ht="75" customHeight="1" thickTop="1" thickBot="1">
      <c r="A1268" s="34">
        <v>1266</v>
      </c>
      <c r="B1268" s="34">
        <v>1319</v>
      </c>
      <c r="C1268" s="57" t="s">
        <v>6040</v>
      </c>
      <c r="D1268" s="56" t="s">
        <v>394</v>
      </c>
      <c r="E1268" s="56" t="s">
        <v>3922</v>
      </c>
      <c r="F1268" s="26" t="s">
        <v>3923</v>
      </c>
      <c r="G1268" s="26" t="s">
        <v>14</v>
      </c>
      <c r="H1268" s="26" t="s">
        <v>13</v>
      </c>
      <c r="I1268" s="26" t="s">
        <v>3924</v>
      </c>
      <c r="J1268" s="26" t="s">
        <v>6041</v>
      </c>
      <c r="K1268" s="26" t="s">
        <v>3966</v>
      </c>
      <c r="L1268" s="26" t="s">
        <v>4082</v>
      </c>
      <c r="M1268" s="55" t="s">
        <v>5938</v>
      </c>
      <c r="N1268" s="26" t="s">
        <v>3924</v>
      </c>
    </row>
    <row r="1269" spans="1:14" ht="75" customHeight="1" thickTop="1" thickBot="1">
      <c r="A1269" s="34">
        <v>1267</v>
      </c>
      <c r="B1269" s="26">
        <v>1320</v>
      </c>
      <c r="C1269" s="57" t="s">
        <v>6041</v>
      </c>
      <c r="D1269" s="56" t="s">
        <v>394</v>
      </c>
      <c r="E1269" s="56" t="s">
        <v>3922</v>
      </c>
      <c r="F1269" s="26" t="s">
        <v>3923</v>
      </c>
      <c r="G1269" s="26" t="s">
        <v>14</v>
      </c>
      <c r="H1269" s="26" t="s">
        <v>13</v>
      </c>
      <c r="I1269" s="26" t="s">
        <v>3924</v>
      </c>
      <c r="J1269" s="26" t="s">
        <v>6042</v>
      </c>
      <c r="K1269" s="26" t="s">
        <v>3976</v>
      </c>
      <c r="L1269" s="26" t="s">
        <v>4082</v>
      </c>
      <c r="M1269" s="55" t="s">
        <v>6043</v>
      </c>
      <c r="N1269" s="26" t="s">
        <v>3924</v>
      </c>
    </row>
    <row r="1270" spans="1:14" ht="75" customHeight="1" thickTop="1" thickBot="1">
      <c r="A1270" s="26">
        <v>1268</v>
      </c>
      <c r="B1270" s="34">
        <v>1321</v>
      </c>
      <c r="C1270" s="57" t="s">
        <v>6042</v>
      </c>
      <c r="D1270" s="56" t="s">
        <v>394</v>
      </c>
      <c r="E1270" s="56" t="s">
        <v>3922</v>
      </c>
      <c r="F1270" s="26" t="s">
        <v>3923</v>
      </c>
      <c r="G1270" s="26" t="s">
        <v>14</v>
      </c>
      <c r="H1270" s="26" t="s">
        <v>13</v>
      </c>
      <c r="I1270" s="26" t="s">
        <v>3924</v>
      </c>
      <c r="J1270" s="26" t="s">
        <v>6044</v>
      </c>
      <c r="K1270" s="26" t="s">
        <v>3954</v>
      </c>
      <c r="L1270" s="26" t="s">
        <v>4082</v>
      </c>
      <c r="M1270" s="55" t="s">
        <v>6026</v>
      </c>
      <c r="N1270" s="26" t="s">
        <v>3924</v>
      </c>
    </row>
    <row r="1271" spans="1:14" ht="75" customHeight="1" thickTop="1" thickBot="1">
      <c r="A1271" s="34">
        <v>1269</v>
      </c>
      <c r="B1271" s="26">
        <v>1322</v>
      </c>
      <c r="C1271" s="57" t="s">
        <v>6044</v>
      </c>
      <c r="D1271" s="56" t="s">
        <v>394</v>
      </c>
      <c r="E1271" s="56" t="s">
        <v>3922</v>
      </c>
      <c r="F1271" s="26" t="s">
        <v>3923</v>
      </c>
      <c r="G1271" s="26" t="s">
        <v>14</v>
      </c>
      <c r="H1271" s="26" t="s">
        <v>13</v>
      </c>
      <c r="I1271" s="26" t="s">
        <v>3924</v>
      </c>
      <c r="J1271" s="26" t="s">
        <v>6045</v>
      </c>
      <c r="K1271" s="26" t="s">
        <v>3954</v>
      </c>
      <c r="L1271" s="26" t="s">
        <v>4306</v>
      </c>
      <c r="M1271" s="55" t="s">
        <v>5967</v>
      </c>
      <c r="N1271" s="26" t="s">
        <v>3924</v>
      </c>
    </row>
    <row r="1272" spans="1:14" ht="75" customHeight="1" thickTop="1" thickBot="1">
      <c r="A1272" s="34">
        <v>1270</v>
      </c>
      <c r="B1272" s="34">
        <v>1323</v>
      </c>
      <c r="C1272" s="57" t="s">
        <v>6045</v>
      </c>
      <c r="D1272" s="56" t="s">
        <v>394</v>
      </c>
      <c r="E1272" s="56" t="s">
        <v>3922</v>
      </c>
      <c r="F1272" s="26" t="s">
        <v>3923</v>
      </c>
      <c r="G1272" s="26" t="s">
        <v>14</v>
      </c>
      <c r="H1272" s="26" t="s">
        <v>13</v>
      </c>
      <c r="I1272" s="26" t="s">
        <v>3924</v>
      </c>
      <c r="J1272" s="26" t="s">
        <v>6046</v>
      </c>
      <c r="K1272" s="26" t="s">
        <v>3947</v>
      </c>
      <c r="L1272" s="26" t="s">
        <v>4082</v>
      </c>
      <c r="M1272" s="55" t="s">
        <v>5940</v>
      </c>
      <c r="N1272" s="26" t="s">
        <v>3924</v>
      </c>
    </row>
    <row r="1273" spans="1:14" ht="75" customHeight="1" thickTop="1" thickBot="1">
      <c r="A1273" s="26">
        <v>1271</v>
      </c>
      <c r="B1273" s="34">
        <v>1324</v>
      </c>
      <c r="C1273" s="57" t="s">
        <v>6046</v>
      </c>
      <c r="D1273" s="56" t="s">
        <v>394</v>
      </c>
      <c r="E1273" s="56" t="s">
        <v>3922</v>
      </c>
      <c r="F1273" s="26" t="s">
        <v>3923</v>
      </c>
      <c r="G1273" s="26" t="s">
        <v>14</v>
      </c>
      <c r="H1273" s="26" t="s">
        <v>13</v>
      </c>
      <c r="I1273" s="26" t="s">
        <v>3924</v>
      </c>
      <c r="J1273" s="26" t="s">
        <v>6046</v>
      </c>
      <c r="K1273" s="26" t="s">
        <v>4010</v>
      </c>
      <c r="L1273" s="26" t="s">
        <v>4082</v>
      </c>
      <c r="M1273" s="55" t="s">
        <v>5940</v>
      </c>
      <c r="N1273" s="26" t="s">
        <v>3924</v>
      </c>
    </row>
    <row r="1274" spans="1:14" ht="75" customHeight="1" thickTop="1" thickBot="1">
      <c r="A1274" s="34">
        <v>1272</v>
      </c>
      <c r="B1274" s="26">
        <v>1325</v>
      </c>
      <c r="C1274" s="57" t="s">
        <v>6046</v>
      </c>
      <c r="D1274" s="56" t="s">
        <v>394</v>
      </c>
      <c r="E1274" s="56" t="s">
        <v>3922</v>
      </c>
      <c r="F1274" s="26" t="s">
        <v>3923</v>
      </c>
      <c r="G1274" s="26" t="s">
        <v>14</v>
      </c>
      <c r="H1274" s="26" t="s">
        <v>13</v>
      </c>
      <c r="I1274" s="26" t="s">
        <v>3924</v>
      </c>
      <c r="J1274" s="26" t="s">
        <v>6047</v>
      </c>
      <c r="K1274" s="26" t="s">
        <v>3941</v>
      </c>
      <c r="L1274" s="26" t="s">
        <v>4082</v>
      </c>
      <c r="M1274" s="55" t="s">
        <v>5940</v>
      </c>
      <c r="N1274" s="26" t="s">
        <v>3924</v>
      </c>
    </row>
    <row r="1275" spans="1:14" ht="75" customHeight="1" thickTop="1" thickBot="1">
      <c r="A1275" s="34">
        <v>1273</v>
      </c>
      <c r="B1275" s="34">
        <v>1326</v>
      </c>
      <c r="C1275" s="57" t="s">
        <v>6048</v>
      </c>
      <c r="D1275" s="56" t="s">
        <v>394</v>
      </c>
      <c r="E1275" s="56" t="s">
        <v>3922</v>
      </c>
      <c r="F1275" s="26" t="s">
        <v>3923</v>
      </c>
      <c r="G1275" s="26" t="s">
        <v>14</v>
      </c>
      <c r="H1275" s="26" t="s">
        <v>13</v>
      </c>
      <c r="I1275" s="26" t="s">
        <v>3924</v>
      </c>
      <c r="J1275" s="26" t="s">
        <v>6048</v>
      </c>
      <c r="K1275" s="26" t="s">
        <v>3941</v>
      </c>
      <c r="L1275" s="26" t="s">
        <v>4011</v>
      </c>
      <c r="M1275" s="55" t="s">
        <v>652</v>
      </c>
      <c r="N1275" s="26" t="s">
        <v>3924</v>
      </c>
    </row>
    <row r="1276" spans="1:14" ht="75" customHeight="1" thickTop="1" thickBot="1">
      <c r="A1276" s="26">
        <v>1274</v>
      </c>
      <c r="B1276" s="26">
        <v>1327</v>
      </c>
      <c r="C1276" s="57" t="s">
        <v>6048</v>
      </c>
      <c r="D1276" s="56" t="s">
        <v>394</v>
      </c>
      <c r="E1276" s="56" t="s">
        <v>3922</v>
      </c>
      <c r="F1276" s="26" t="s">
        <v>3923</v>
      </c>
      <c r="G1276" s="26" t="s">
        <v>14</v>
      </c>
      <c r="H1276" s="26" t="s">
        <v>13</v>
      </c>
      <c r="I1276" s="26" t="s">
        <v>3924</v>
      </c>
      <c r="J1276" s="26" t="s">
        <v>6049</v>
      </c>
      <c r="K1276" s="26" t="s">
        <v>4225</v>
      </c>
      <c r="L1276" s="26" t="s">
        <v>4082</v>
      </c>
      <c r="M1276" s="55" t="s">
        <v>5938</v>
      </c>
      <c r="N1276" s="26" t="s">
        <v>3924</v>
      </c>
    </row>
    <row r="1277" spans="1:14" ht="75" customHeight="1" thickTop="1" thickBot="1">
      <c r="A1277" s="34">
        <v>1275</v>
      </c>
      <c r="B1277" s="34">
        <v>1328</v>
      </c>
      <c r="C1277" s="57" t="s">
        <v>6049</v>
      </c>
      <c r="D1277" s="56" t="s">
        <v>394</v>
      </c>
      <c r="E1277" s="56" t="s">
        <v>3922</v>
      </c>
      <c r="F1277" s="26" t="s">
        <v>3923</v>
      </c>
      <c r="G1277" s="26" t="s">
        <v>14</v>
      </c>
      <c r="H1277" s="26" t="s">
        <v>13</v>
      </c>
      <c r="I1277" s="26" t="s">
        <v>3924</v>
      </c>
      <c r="J1277" s="26" t="s">
        <v>6050</v>
      </c>
      <c r="K1277" s="26" t="s">
        <v>4087</v>
      </c>
      <c r="L1277" s="26" t="s">
        <v>4082</v>
      </c>
      <c r="M1277" s="55" t="s">
        <v>5940</v>
      </c>
      <c r="N1277" s="26" t="s">
        <v>3924</v>
      </c>
    </row>
    <row r="1278" spans="1:14" ht="75" customHeight="1" thickTop="1" thickBot="1">
      <c r="A1278" s="34">
        <v>1276</v>
      </c>
      <c r="B1278" s="26">
        <v>1329</v>
      </c>
      <c r="C1278" s="57" t="s">
        <v>6050</v>
      </c>
      <c r="D1278" s="56" t="s">
        <v>394</v>
      </c>
      <c r="E1278" s="56" t="s">
        <v>3922</v>
      </c>
      <c r="F1278" s="26" t="s">
        <v>3923</v>
      </c>
      <c r="G1278" s="26" t="s">
        <v>14</v>
      </c>
      <c r="H1278" s="26" t="s">
        <v>13</v>
      </c>
      <c r="I1278" s="26" t="s">
        <v>3924</v>
      </c>
      <c r="J1278" s="26" t="s">
        <v>6051</v>
      </c>
      <c r="K1278" s="26" t="s">
        <v>4190</v>
      </c>
      <c r="L1278" s="26" t="s">
        <v>3924</v>
      </c>
      <c r="M1278" s="55" t="s">
        <v>6052</v>
      </c>
      <c r="N1278" s="26" t="s">
        <v>3924</v>
      </c>
    </row>
    <row r="1279" spans="1:14" ht="75" customHeight="1" thickTop="1" thickBot="1">
      <c r="A1279" s="26">
        <v>1277</v>
      </c>
      <c r="B1279" s="34">
        <v>1330</v>
      </c>
      <c r="C1279" s="57" t="s">
        <v>6053</v>
      </c>
      <c r="D1279" s="56" t="s">
        <v>394</v>
      </c>
      <c r="E1279" s="56" t="s">
        <v>3994</v>
      </c>
      <c r="F1279" s="26" t="s">
        <v>3995</v>
      </c>
      <c r="G1279" s="26" t="s">
        <v>15</v>
      </c>
      <c r="H1279" s="26" t="s">
        <v>13</v>
      </c>
      <c r="I1279" s="26" t="s">
        <v>3924</v>
      </c>
      <c r="J1279" s="26" t="s">
        <v>6054</v>
      </c>
      <c r="K1279" s="26" t="s">
        <v>3929</v>
      </c>
      <c r="L1279" s="26" t="s">
        <v>3924</v>
      </c>
      <c r="M1279" s="55" t="s">
        <v>6055</v>
      </c>
      <c r="N1279" s="26" t="s">
        <v>3924</v>
      </c>
    </row>
    <row r="1280" spans="1:14" ht="75" customHeight="1" thickTop="1" thickBot="1">
      <c r="A1280" s="34">
        <v>1278</v>
      </c>
      <c r="B1280" s="34">
        <v>1331</v>
      </c>
      <c r="C1280" s="57" t="s">
        <v>6056</v>
      </c>
      <c r="D1280" s="56" t="s">
        <v>394</v>
      </c>
      <c r="E1280" s="56" t="s">
        <v>3931</v>
      </c>
      <c r="F1280" s="26" t="s">
        <v>3923</v>
      </c>
      <c r="G1280" s="26" t="s">
        <v>3932</v>
      </c>
      <c r="H1280" s="26" t="s">
        <v>13</v>
      </c>
      <c r="I1280" s="26" t="s">
        <v>3924</v>
      </c>
      <c r="J1280" s="26" t="s">
        <v>6057</v>
      </c>
      <c r="K1280" s="26" t="s">
        <v>3926</v>
      </c>
      <c r="L1280" s="26" t="s">
        <v>3986</v>
      </c>
      <c r="M1280" s="55" t="s">
        <v>6058</v>
      </c>
      <c r="N1280" s="26" t="s">
        <v>3924</v>
      </c>
    </row>
    <row r="1281" spans="1:14" ht="75" customHeight="1" thickTop="1" thickBot="1">
      <c r="A1281" s="34">
        <v>1279</v>
      </c>
      <c r="B1281" s="26">
        <v>1332</v>
      </c>
      <c r="C1281" s="57" t="s">
        <v>6059</v>
      </c>
      <c r="D1281" s="56" t="s">
        <v>394</v>
      </c>
      <c r="E1281" s="56" t="s">
        <v>3931</v>
      </c>
      <c r="F1281" s="26" t="s">
        <v>3923</v>
      </c>
      <c r="G1281" s="26" t="s">
        <v>3932</v>
      </c>
      <c r="H1281" s="26" t="s">
        <v>13</v>
      </c>
      <c r="I1281" s="26" t="s">
        <v>3924</v>
      </c>
      <c r="J1281" s="26" t="s">
        <v>6057</v>
      </c>
      <c r="K1281" s="26" t="s">
        <v>3926</v>
      </c>
      <c r="L1281" s="26" t="s">
        <v>3986</v>
      </c>
      <c r="M1281" s="55" t="s">
        <v>6060</v>
      </c>
      <c r="N1281" s="26" t="s">
        <v>3924</v>
      </c>
    </row>
    <row r="1282" spans="1:14" ht="75" customHeight="1" thickTop="1" thickBot="1">
      <c r="A1282" s="26">
        <v>1280</v>
      </c>
      <c r="B1282" s="34">
        <v>1333</v>
      </c>
      <c r="C1282" s="57" t="s">
        <v>6061</v>
      </c>
      <c r="D1282" s="56" t="s">
        <v>394</v>
      </c>
      <c r="E1282" s="56" t="s">
        <v>3931</v>
      </c>
      <c r="F1282" s="26" t="s">
        <v>3923</v>
      </c>
      <c r="G1282" s="26" t="s">
        <v>3932</v>
      </c>
      <c r="H1282" s="26" t="s">
        <v>13</v>
      </c>
      <c r="I1282" s="26" t="s">
        <v>3924</v>
      </c>
      <c r="J1282" s="26" t="s">
        <v>6057</v>
      </c>
      <c r="K1282" s="26" t="s">
        <v>4784</v>
      </c>
      <c r="L1282" s="26" t="s">
        <v>6062</v>
      </c>
      <c r="M1282" s="55" t="s">
        <v>6063</v>
      </c>
      <c r="N1282" s="26" t="s">
        <v>3924</v>
      </c>
    </row>
    <row r="1283" spans="1:14" ht="75" customHeight="1" thickTop="1" thickBot="1">
      <c r="A1283" s="34">
        <v>1281</v>
      </c>
      <c r="B1283" s="26">
        <v>1334</v>
      </c>
      <c r="C1283" s="57" t="s">
        <v>6061</v>
      </c>
      <c r="D1283" s="56" t="s">
        <v>394</v>
      </c>
      <c r="E1283" s="56" t="s">
        <v>3931</v>
      </c>
      <c r="F1283" s="26" t="s">
        <v>3923</v>
      </c>
      <c r="G1283" s="26" t="s">
        <v>3932</v>
      </c>
      <c r="H1283" s="26" t="s">
        <v>13</v>
      </c>
      <c r="I1283" s="26" t="s">
        <v>3924</v>
      </c>
      <c r="J1283" s="26" t="s">
        <v>6064</v>
      </c>
      <c r="K1283" s="26" t="s">
        <v>4387</v>
      </c>
      <c r="L1283" s="26" t="s">
        <v>3924</v>
      </c>
      <c r="M1283" s="55" t="s">
        <v>6065</v>
      </c>
      <c r="N1283" s="26" t="s">
        <v>3924</v>
      </c>
    </row>
    <row r="1284" spans="1:14" ht="75" customHeight="1" thickTop="1" thickBot="1">
      <c r="A1284" s="34">
        <v>1282</v>
      </c>
      <c r="B1284" s="34">
        <v>1335</v>
      </c>
      <c r="C1284" s="57" t="s">
        <v>6066</v>
      </c>
      <c r="D1284" s="56" t="s">
        <v>394</v>
      </c>
      <c r="E1284" s="56" t="s">
        <v>3931</v>
      </c>
      <c r="F1284" s="26" t="s">
        <v>3923</v>
      </c>
      <c r="G1284" s="26" t="s">
        <v>3932</v>
      </c>
      <c r="H1284" s="26" t="s">
        <v>13</v>
      </c>
      <c r="I1284" s="26" t="s">
        <v>3924</v>
      </c>
      <c r="J1284" s="26" t="s">
        <v>6064</v>
      </c>
      <c r="K1284" s="26" t="s">
        <v>4387</v>
      </c>
      <c r="L1284" s="26" t="s">
        <v>3924</v>
      </c>
      <c r="M1284" s="55" t="s">
        <v>6067</v>
      </c>
      <c r="N1284" s="26" t="s">
        <v>3924</v>
      </c>
    </row>
    <row r="1285" spans="1:14" ht="75" customHeight="1" thickTop="1" thickBot="1">
      <c r="A1285" s="26">
        <v>1283</v>
      </c>
      <c r="B1285" s="26">
        <v>1336</v>
      </c>
      <c r="C1285" s="57" t="s">
        <v>6066</v>
      </c>
      <c r="D1285" s="56" t="s">
        <v>394</v>
      </c>
      <c r="E1285" s="56" t="s">
        <v>3931</v>
      </c>
      <c r="F1285" s="26" t="s">
        <v>3923</v>
      </c>
      <c r="G1285" s="26" t="s">
        <v>3932</v>
      </c>
      <c r="H1285" s="26" t="s">
        <v>13</v>
      </c>
      <c r="I1285" s="26" t="s">
        <v>3924</v>
      </c>
      <c r="J1285" s="26" t="s">
        <v>6068</v>
      </c>
      <c r="K1285" s="26" t="s">
        <v>6069</v>
      </c>
      <c r="L1285" s="26" t="s">
        <v>3924</v>
      </c>
      <c r="M1285" s="55" t="s">
        <v>6070</v>
      </c>
      <c r="N1285" s="26" t="s">
        <v>3924</v>
      </c>
    </row>
    <row r="1286" spans="1:14" ht="75" customHeight="1" thickTop="1" thickBot="1">
      <c r="A1286" s="34">
        <v>1284</v>
      </c>
      <c r="B1286" s="34">
        <v>1337</v>
      </c>
      <c r="C1286" s="57" t="s">
        <v>6071</v>
      </c>
      <c r="D1286" s="56" t="s">
        <v>394</v>
      </c>
      <c r="E1286" s="56" t="s">
        <v>3931</v>
      </c>
      <c r="F1286" s="26" t="s">
        <v>3923</v>
      </c>
      <c r="G1286" s="26" t="s">
        <v>3932</v>
      </c>
      <c r="H1286" s="26" t="s">
        <v>13</v>
      </c>
      <c r="I1286" s="26" t="s">
        <v>3924</v>
      </c>
      <c r="J1286" s="26" t="s">
        <v>6072</v>
      </c>
      <c r="K1286" s="26" t="s">
        <v>4784</v>
      </c>
      <c r="L1286" s="26" t="s">
        <v>3924</v>
      </c>
      <c r="M1286" s="55" t="s">
        <v>6073</v>
      </c>
      <c r="N1286" s="26" t="s">
        <v>3924</v>
      </c>
    </row>
    <row r="1287" spans="1:14" ht="75" customHeight="1" thickTop="1" thickBot="1">
      <c r="A1287" s="34">
        <v>1285</v>
      </c>
      <c r="B1287" s="34">
        <v>1338</v>
      </c>
      <c r="C1287" s="57" t="s">
        <v>6074</v>
      </c>
      <c r="D1287" s="56" t="s">
        <v>394</v>
      </c>
      <c r="E1287" s="56" t="s">
        <v>3931</v>
      </c>
      <c r="F1287" s="26" t="s">
        <v>3923</v>
      </c>
      <c r="G1287" s="26" t="s">
        <v>3932</v>
      </c>
      <c r="H1287" s="26" t="s">
        <v>13</v>
      </c>
      <c r="I1287" s="26" t="s">
        <v>3924</v>
      </c>
      <c r="J1287" s="26" t="s">
        <v>6072</v>
      </c>
      <c r="K1287" s="26" t="s">
        <v>3966</v>
      </c>
      <c r="L1287" s="26" t="s">
        <v>6075</v>
      </c>
      <c r="M1287" s="55" t="s">
        <v>6076</v>
      </c>
      <c r="N1287" s="26" t="s">
        <v>3924</v>
      </c>
    </row>
    <row r="1288" spans="1:14" ht="75" customHeight="1" thickTop="1" thickBot="1">
      <c r="A1288" s="26">
        <v>1286</v>
      </c>
      <c r="B1288" s="26">
        <v>1339</v>
      </c>
      <c r="C1288" s="57" t="s">
        <v>6074</v>
      </c>
      <c r="D1288" s="56" t="s">
        <v>394</v>
      </c>
      <c r="E1288" s="56" t="s">
        <v>3931</v>
      </c>
      <c r="F1288" s="26" t="s">
        <v>3923</v>
      </c>
      <c r="G1288" s="26" t="s">
        <v>3932</v>
      </c>
      <c r="H1288" s="26" t="s">
        <v>13</v>
      </c>
      <c r="I1288" s="26" t="s">
        <v>3924</v>
      </c>
      <c r="J1288" s="26" t="s">
        <v>6072</v>
      </c>
      <c r="K1288" s="26" t="s">
        <v>4046</v>
      </c>
      <c r="L1288" s="26" t="s">
        <v>6077</v>
      </c>
      <c r="M1288" s="55" t="s">
        <v>6078</v>
      </c>
      <c r="N1288" s="26" t="s">
        <v>3924</v>
      </c>
    </row>
    <row r="1289" spans="1:14" ht="75" customHeight="1" thickTop="1" thickBot="1">
      <c r="A1289" s="34">
        <v>1287</v>
      </c>
      <c r="B1289" s="34">
        <v>1340</v>
      </c>
      <c r="C1289" s="57" t="s">
        <v>6079</v>
      </c>
      <c r="D1289" s="56" t="s">
        <v>394</v>
      </c>
      <c r="E1289" s="56" t="s">
        <v>3931</v>
      </c>
      <c r="F1289" s="26" t="s">
        <v>3923</v>
      </c>
      <c r="G1289" s="26" t="s">
        <v>3932</v>
      </c>
      <c r="H1289" s="26" t="s">
        <v>13</v>
      </c>
      <c r="I1289" s="26" t="s">
        <v>3924</v>
      </c>
      <c r="J1289" s="26" t="s">
        <v>6080</v>
      </c>
      <c r="K1289" s="26" t="s">
        <v>3941</v>
      </c>
      <c r="L1289" s="26" t="s">
        <v>3927</v>
      </c>
      <c r="M1289" s="55" t="s">
        <v>6081</v>
      </c>
      <c r="N1289" s="26" t="s">
        <v>3924</v>
      </c>
    </row>
    <row r="1290" spans="1:14" ht="75" customHeight="1" thickTop="1" thickBot="1">
      <c r="A1290" s="34">
        <v>1288</v>
      </c>
      <c r="B1290" s="26">
        <v>1341</v>
      </c>
      <c r="C1290" s="57" t="s">
        <v>6082</v>
      </c>
      <c r="D1290" s="56" t="s">
        <v>394</v>
      </c>
      <c r="E1290" s="56" t="s">
        <v>3931</v>
      </c>
      <c r="F1290" s="26" t="s">
        <v>3923</v>
      </c>
      <c r="G1290" s="26" t="s">
        <v>3932</v>
      </c>
      <c r="H1290" s="26" t="s">
        <v>13</v>
      </c>
      <c r="I1290" s="26" t="s">
        <v>3924</v>
      </c>
      <c r="J1290" s="26" t="s">
        <v>6072</v>
      </c>
      <c r="K1290" s="26" t="s">
        <v>4040</v>
      </c>
      <c r="L1290" s="26" t="s">
        <v>6083</v>
      </c>
      <c r="M1290" s="55" t="s">
        <v>6076</v>
      </c>
      <c r="N1290" s="26" t="s">
        <v>3924</v>
      </c>
    </row>
    <row r="1291" spans="1:14" ht="75" customHeight="1" thickTop="1" thickBot="1">
      <c r="A1291" s="26">
        <v>1289</v>
      </c>
      <c r="B1291" s="34">
        <v>1342</v>
      </c>
      <c r="C1291" s="57" t="s">
        <v>6084</v>
      </c>
      <c r="D1291" s="56" t="s">
        <v>394</v>
      </c>
      <c r="E1291" s="56" t="s">
        <v>3931</v>
      </c>
      <c r="F1291" s="26" t="s">
        <v>3923</v>
      </c>
      <c r="G1291" s="26" t="s">
        <v>3932</v>
      </c>
      <c r="H1291" s="26" t="s">
        <v>13</v>
      </c>
      <c r="I1291" s="26" t="s">
        <v>3924</v>
      </c>
      <c r="J1291" s="26" t="s">
        <v>6085</v>
      </c>
      <c r="K1291" s="26" t="s">
        <v>4032</v>
      </c>
      <c r="L1291" s="26" t="s">
        <v>6086</v>
      </c>
      <c r="M1291" s="55" t="s">
        <v>6087</v>
      </c>
      <c r="N1291" s="26" t="s">
        <v>3924</v>
      </c>
    </row>
    <row r="1292" spans="1:14" ht="75" customHeight="1" thickTop="1" thickBot="1">
      <c r="A1292" s="34">
        <v>1290</v>
      </c>
      <c r="B1292" s="26">
        <v>1343</v>
      </c>
      <c r="C1292" s="57" t="s">
        <v>6088</v>
      </c>
      <c r="D1292" s="56" t="s">
        <v>394</v>
      </c>
      <c r="E1292" s="56" t="s">
        <v>3931</v>
      </c>
      <c r="F1292" s="26" t="s">
        <v>3923</v>
      </c>
      <c r="G1292" s="26" t="s">
        <v>3932</v>
      </c>
      <c r="H1292" s="26" t="s">
        <v>13</v>
      </c>
      <c r="I1292" s="26" t="s">
        <v>3924</v>
      </c>
      <c r="J1292" s="26" t="s">
        <v>6085</v>
      </c>
      <c r="K1292" s="26" t="s">
        <v>3941</v>
      </c>
      <c r="L1292" s="26" t="s">
        <v>3924</v>
      </c>
      <c r="M1292" s="55" t="s">
        <v>6089</v>
      </c>
      <c r="N1292" s="26" t="s">
        <v>3924</v>
      </c>
    </row>
    <row r="1293" spans="1:14" ht="75" customHeight="1" thickTop="1" thickBot="1">
      <c r="A1293" s="34">
        <v>1291</v>
      </c>
      <c r="B1293" s="34">
        <v>1344</v>
      </c>
      <c r="C1293" s="57" t="s">
        <v>6088</v>
      </c>
      <c r="D1293" s="56" t="s">
        <v>394</v>
      </c>
      <c r="E1293" s="56" t="s">
        <v>3931</v>
      </c>
      <c r="F1293" s="26" t="s">
        <v>3923</v>
      </c>
      <c r="G1293" s="26" t="s">
        <v>3932</v>
      </c>
      <c r="H1293" s="26" t="s">
        <v>13</v>
      </c>
      <c r="I1293" s="26" t="s">
        <v>3924</v>
      </c>
      <c r="J1293" s="26" t="s">
        <v>6085</v>
      </c>
      <c r="K1293" s="26" t="s">
        <v>3941</v>
      </c>
      <c r="L1293" s="26" t="s">
        <v>3924</v>
      </c>
      <c r="M1293" s="55" t="s">
        <v>6090</v>
      </c>
      <c r="N1293" s="26" t="s">
        <v>3924</v>
      </c>
    </row>
    <row r="1294" spans="1:14" ht="75" customHeight="1" thickTop="1" thickBot="1">
      <c r="A1294" s="26">
        <v>1292</v>
      </c>
      <c r="B1294" s="34">
        <v>1345</v>
      </c>
      <c r="C1294" s="57" t="s">
        <v>6088</v>
      </c>
      <c r="D1294" s="56" t="s">
        <v>394</v>
      </c>
      <c r="E1294" s="56" t="s">
        <v>3931</v>
      </c>
      <c r="F1294" s="26" t="s">
        <v>3923</v>
      </c>
      <c r="G1294" s="26" t="s">
        <v>3932</v>
      </c>
      <c r="H1294" s="26" t="s">
        <v>13</v>
      </c>
      <c r="I1294" s="26" t="s">
        <v>3924</v>
      </c>
      <c r="J1294" s="26" t="s">
        <v>6085</v>
      </c>
      <c r="K1294" s="26" t="s">
        <v>3941</v>
      </c>
      <c r="L1294" s="26" t="s">
        <v>3924</v>
      </c>
      <c r="M1294" s="55" t="s">
        <v>6091</v>
      </c>
      <c r="N1294" s="26" t="s">
        <v>3924</v>
      </c>
    </row>
    <row r="1295" spans="1:14" ht="75" customHeight="1" thickTop="1" thickBot="1">
      <c r="A1295" s="34">
        <v>1293</v>
      </c>
      <c r="B1295" s="26">
        <v>1346</v>
      </c>
      <c r="C1295" s="57" t="s">
        <v>6092</v>
      </c>
      <c r="D1295" s="56" t="s">
        <v>394</v>
      </c>
      <c r="E1295" s="56" t="s">
        <v>3931</v>
      </c>
      <c r="F1295" s="26" t="s">
        <v>3923</v>
      </c>
      <c r="G1295" s="26" t="s">
        <v>3932</v>
      </c>
      <c r="H1295" s="26" t="s">
        <v>13</v>
      </c>
      <c r="I1295" s="26" t="s">
        <v>3924</v>
      </c>
      <c r="J1295" s="26" t="s">
        <v>6085</v>
      </c>
      <c r="K1295" s="26" t="s">
        <v>4087</v>
      </c>
      <c r="L1295" s="26" t="s">
        <v>4029</v>
      </c>
      <c r="M1295" s="55" t="s">
        <v>6093</v>
      </c>
      <c r="N1295" s="26" t="s">
        <v>3924</v>
      </c>
    </row>
    <row r="1296" spans="1:14" ht="75" customHeight="1" thickTop="1" thickBot="1">
      <c r="A1296" s="34">
        <v>1294</v>
      </c>
      <c r="B1296" s="34">
        <v>1347</v>
      </c>
      <c r="C1296" s="57" t="s">
        <v>6094</v>
      </c>
      <c r="D1296" s="56" t="s">
        <v>394</v>
      </c>
      <c r="E1296" s="56" t="s">
        <v>3931</v>
      </c>
      <c r="F1296" s="26" t="s">
        <v>3923</v>
      </c>
      <c r="G1296" s="26" t="s">
        <v>3932</v>
      </c>
      <c r="H1296" s="26" t="s">
        <v>13</v>
      </c>
      <c r="I1296" s="26" t="s">
        <v>3924</v>
      </c>
      <c r="J1296" s="26" t="s">
        <v>6085</v>
      </c>
      <c r="K1296" s="26" t="s">
        <v>4087</v>
      </c>
      <c r="L1296" s="26" t="s">
        <v>4029</v>
      </c>
      <c r="M1296" s="55" t="s">
        <v>6095</v>
      </c>
      <c r="N1296" s="26" t="s">
        <v>3924</v>
      </c>
    </row>
    <row r="1297" spans="1:14" ht="75" customHeight="1" thickTop="1" thickBot="1">
      <c r="A1297" s="26">
        <v>1295</v>
      </c>
      <c r="B1297" s="26">
        <v>1348</v>
      </c>
      <c r="C1297" s="57" t="s">
        <v>6096</v>
      </c>
      <c r="D1297" s="56" t="s">
        <v>394</v>
      </c>
      <c r="E1297" s="56" t="s">
        <v>3931</v>
      </c>
      <c r="F1297" s="26" t="s">
        <v>3923</v>
      </c>
      <c r="G1297" s="26" t="s">
        <v>3932</v>
      </c>
      <c r="H1297" s="26" t="s">
        <v>13</v>
      </c>
      <c r="I1297" s="26" t="s">
        <v>3924</v>
      </c>
      <c r="J1297" s="26" t="s">
        <v>6097</v>
      </c>
      <c r="K1297" s="26" t="s">
        <v>4087</v>
      </c>
      <c r="L1297" s="26" t="s">
        <v>4096</v>
      </c>
      <c r="M1297" s="55" t="s">
        <v>6098</v>
      </c>
      <c r="N1297" s="26" t="s">
        <v>3924</v>
      </c>
    </row>
    <row r="1298" spans="1:14" ht="75" customHeight="1" thickTop="1" thickBot="1">
      <c r="A1298" s="34">
        <v>1296</v>
      </c>
      <c r="B1298" s="34">
        <v>1349</v>
      </c>
      <c r="C1298" s="57" t="s">
        <v>6096</v>
      </c>
      <c r="D1298" s="56" t="s">
        <v>394</v>
      </c>
      <c r="E1298" s="56" t="s">
        <v>3931</v>
      </c>
      <c r="F1298" s="26" t="s">
        <v>3923</v>
      </c>
      <c r="G1298" s="26" t="s">
        <v>3932</v>
      </c>
      <c r="H1298" s="26" t="s">
        <v>13</v>
      </c>
      <c r="I1298" s="26" t="s">
        <v>3924</v>
      </c>
      <c r="J1298" s="26" t="s">
        <v>6097</v>
      </c>
      <c r="K1298" s="26" t="s">
        <v>4010</v>
      </c>
      <c r="L1298" s="26" t="s">
        <v>4096</v>
      </c>
      <c r="M1298" s="55" t="s">
        <v>6099</v>
      </c>
      <c r="N1298" s="26" t="s">
        <v>3924</v>
      </c>
    </row>
    <row r="1299" spans="1:14" ht="75" customHeight="1" thickTop="1" thickBot="1">
      <c r="A1299" s="34">
        <v>1297</v>
      </c>
      <c r="B1299" s="26">
        <v>1350</v>
      </c>
      <c r="C1299" s="57" t="s">
        <v>6100</v>
      </c>
      <c r="D1299" s="56" t="s">
        <v>394</v>
      </c>
      <c r="E1299" s="56" t="s">
        <v>3931</v>
      </c>
      <c r="F1299" s="26" t="s">
        <v>3923</v>
      </c>
      <c r="G1299" s="26" t="s">
        <v>3932</v>
      </c>
      <c r="H1299" s="26" t="s">
        <v>13</v>
      </c>
      <c r="I1299" s="26" t="s">
        <v>3924</v>
      </c>
      <c r="J1299" s="26" t="s">
        <v>6097</v>
      </c>
      <c r="K1299" s="26" t="s">
        <v>4341</v>
      </c>
      <c r="L1299" s="26" t="s">
        <v>3924</v>
      </c>
      <c r="M1299" s="55" t="s">
        <v>6101</v>
      </c>
      <c r="N1299" s="26" t="s">
        <v>3924</v>
      </c>
    </row>
    <row r="1300" spans="1:14" ht="75" customHeight="1" thickTop="1" thickBot="1">
      <c r="A1300" s="26">
        <v>1298</v>
      </c>
      <c r="B1300" s="34">
        <v>1351</v>
      </c>
      <c r="C1300" s="57" t="s">
        <v>6102</v>
      </c>
      <c r="D1300" s="56" t="s">
        <v>394</v>
      </c>
      <c r="E1300" s="56" t="s">
        <v>3931</v>
      </c>
      <c r="F1300" s="26" t="s">
        <v>3923</v>
      </c>
      <c r="G1300" s="26" t="s">
        <v>3932</v>
      </c>
      <c r="H1300" s="26" t="s">
        <v>13</v>
      </c>
      <c r="I1300" s="26" t="s">
        <v>3924</v>
      </c>
      <c r="J1300" s="26" t="s">
        <v>6103</v>
      </c>
      <c r="K1300" s="26" t="s">
        <v>4010</v>
      </c>
      <c r="L1300" s="26" t="s">
        <v>3924</v>
      </c>
      <c r="M1300" s="55" t="s">
        <v>6104</v>
      </c>
      <c r="N1300" s="26" t="s">
        <v>3924</v>
      </c>
    </row>
    <row r="1301" spans="1:14" ht="75" customHeight="1" thickTop="1" thickBot="1">
      <c r="A1301" s="34">
        <v>1299</v>
      </c>
      <c r="B1301" s="34">
        <v>1352</v>
      </c>
      <c r="C1301" s="57" t="s">
        <v>6105</v>
      </c>
      <c r="D1301" s="56" t="s">
        <v>394</v>
      </c>
      <c r="E1301" s="56" t="s">
        <v>3931</v>
      </c>
      <c r="F1301" s="26" t="s">
        <v>3923</v>
      </c>
      <c r="G1301" s="26" t="s">
        <v>3932</v>
      </c>
      <c r="H1301" s="26" t="s">
        <v>13</v>
      </c>
      <c r="I1301" s="26" t="s">
        <v>3924</v>
      </c>
      <c r="J1301" s="26" t="s">
        <v>6103</v>
      </c>
      <c r="K1301" s="26" t="s">
        <v>3926</v>
      </c>
      <c r="L1301" s="26" t="s">
        <v>3924</v>
      </c>
      <c r="M1301" s="55" t="s">
        <v>6104</v>
      </c>
      <c r="N1301" s="26" t="s">
        <v>3924</v>
      </c>
    </row>
    <row r="1302" spans="1:14" ht="75" customHeight="1" thickTop="1" thickBot="1">
      <c r="A1302" s="34">
        <v>1300</v>
      </c>
      <c r="B1302" s="26">
        <v>1353</v>
      </c>
      <c r="C1302" s="57" t="s">
        <v>6105</v>
      </c>
      <c r="D1302" s="56" t="s">
        <v>394</v>
      </c>
      <c r="E1302" s="56" t="s">
        <v>3931</v>
      </c>
      <c r="F1302" s="26" t="s">
        <v>3923</v>
      </c>
      <c r="G1302" s="26" t="s">
        <v>3932</v>
      </c>
      <c r="H1302" s="26" t="s">
        <v>13</v>
      </c>
      <c r="I1302" s="26" t="s">
        <v>3924</v>
      </c>
      <c r="J1302" s="26" t="s">
        <v>6103</v>
      </c>
      <c r="K1302" s="26" t="s">
        <v>4341</v>
      </c>
      <c r="L1302" s="26" t="s">
        <v>3924</v>
      </c>
      <c r="M1302" s="55" t="s">
        <v>6106</v>
      </c>
      <c r="N1302" s="26" t="s">
        <v>3924</v>
      </c>
    </row>
    <row r="1303" spans="1:14" ht="75" customHeight="1" thickTop="1" thickBot="1">
      <c r="A1303" s="26">
        <v>1301</v>
      </c>
      <c r="B1303" s="34">
        <v>1354</v>
      </c>
      <c r="C1303" s="57" t="s">
        <v>6107</v>
      </c>
      <c r="D1303" s="56" t="s">
        <v>394</v>
      </c>
      <c r="E1303" s="56" t="s">
        <v>3931</v>
      </c>
      <c r="F1303" s="26" t="s">
        <v>3923</v>
      </c>
      <c r="G1303" s="26" t="s">
        <v>3932</v>
      </c>
      <c r="H1303" s="26" t="s">
        <v>13</v>
      </c>
      <c r="I1303" s="26" t="s">
        <v>3924</v>
      </c>
      <c r="J1303" s="26" t="s">
        <v>6103</v>
      </c>
      <c r="K1303" s="26" t="s">
        <v>4387</v>
      </c>
      <c r="L1303" s="26" t="s">
        <v>3924</v>
      </c>
      <c r="M1303" s="55" t="s">
        <v>6108</v>
      </c>
      <c r="N1303" s="26" t="s">
        <v>3924</v>
      </c>
    </row>
    <row r="1304" spans="1:14" ht="75" customHeight="1" thickTop="1" thickBot="1">
      <c r="A1304" s="34">
        <v>1302</v>
      </c>
      <c r="B1304" s="26">
        <v>1355</v>
      </c>
      <c r="C1304" s="57" t="s">
        <v>6109</v>
      </c>
      <c r="D1304" s="56" t="s">
        <v>394</v>
      </c>
      <c r="E1304" s="56" t="s">
        <v>3931</v>
      </c>
      <c r="F1304" s="26" t="s">
        <v>3923</v>
      </c>
      <c r="G1304" s="26" t="s">
        <v>3932</v>
      </c>
      <c r="H1304" s="26" t="s">
        <v>13</v>
      </c>
      <c r="I1304" s="26" t="s">
        <v>3924</v>
      </c>
      <c r="J1304" s="26" t="s">
        <v>6110</v>
      </c>
      <c r="K1304" s="26" t="s">
        <v>4087</v>
      </c>
      <c r="L1304" s="26" t="s">
        <v>3924</v>
      </c>
      <c r="M1304" s="55" t="s">
        <v>6111</v>
      </c>
      <c r="N1304" s="26" t="s">
        <v>3924</v>
      </c>
    </row>
    <row r="1305" spans="1:14" ht="75" customHeight="1" thickTop="1" thickBot="1">
      <c r="A1305" s="34">
        <v>1303</v>
      </c>
      <c r="B1305" s="34">
        <v>1356</v>
      </c>
      <c r="C1305" s="57" t="s">
        <v>6112</v>
      </c>
      <c r="D1305" s="56" t="s">
        <v>394</v>
      </c>
      <c r="E1305" s="56" t="s">
        <v>3931</v>
      </c>
      <c r="F1305" s="26" t="s">
        <v>3923</v>
      </c>
      <c r="G1305" s="26" t="s">
        <v>3932</v>
      </c>
      <c r="H1305" s="26" t="s">
        <v>13</v>
      </c>
      <c r="I1305" s="26" t="s">
        <v>3924</v>
      </c>
      <c r="J1305" s="26" t="s">
        <v>6113</v>
      </c>
      <c r="K1305" s="26" t="s">
        <v>4387</v>
      </c>
      <c r="L1305" s="26" t="s">
        <v>4011</v>
      </c>
      <c r="M1305" s="55" t="s">
        <v>6114</v>
      </c>
      <c r="N1305" s="26" t="s">
        <v>3924</v>
      </c>
    </row>
    <row r="1306" spans="1:14" ht="75" customHeight="1" thickTop="1" thickBot="1">
      <c r="A1306" s="26">
        <v>1304</v>
      </c>
      <c r="B1306" s="26">
        <v>1357</v>
      </c>
      <c r="C1306" s="57" t="s">
        <v>6115</v>
      </c>
      <c r="D1306" s="56" t="s">
        <v>394</v>
      </c>
      <c r="E1306" s="56" t="s">
        <v>3931</v>
      </c>
      <c r="F1306" s="26" t="s">
        <v>3923</v>
      </c>
      <c r="G1306" s="26" t="s">
        <v>3932</v>
      </c>
      <c r="H1306" s="26" t="s">
        <v>13</v>
      </c>
      <c r="I1306" s="26" t="s">
        <v>3924</v>
      </c>
      <c r="J1306" s="26" t="s">
        <v>6113</v>
      </c>
      <c r="K1306" s="26" t="s">
        <v>4032</v>
      </c>
      <c r="L1306" s="26" t="s">
        <v>5363</v>
      </c>
      <c r="M1306" s="55" t="s">
        <v>6116</v>
      </c>
      <c r="N1306" s="26" t="s">
        <v>3924</v>
      </c>
    </row>
    <row r="1307" spans="1:14" ht="75" customHeight="1" thickTop="1" thickBot="1">
      <c r="A1307" s="34">
        <v>1305</v>
      </c>
      <c r="B1307" s="34">
        <v>1358</v>
      </c>
      <c r="C1307" s="57" t="s">
        <v>6117</v>
      </c>
      <c r="D1307" s="56" t="s">
        <v>394</v>
      </c>
      <c r="E1307" s="56" t="s">
        <v>3931</v>
      </c>
      <c r="F1307" s="26" t="s">
        <v>3923</v>
      </c>
      <c r="G1307" s="26" t="s">
        <v>3932</v>
      </c>
      <c r="H1307" s="26" t="s">
        <v>13</v>
      </c>
      <c r="I1307" s="26" t="s">
        <v>3924</v>
      </c>
      <c r="J1307" s="26" t="s">
        <v>6113</v>
      </c>
      <c r="K1307" s="26" t="s">
        <v>4010</v>
      </c>
      <c r="L1307" s="26" t="s">
        <v>5412</v>
      </c>
      <c r="M1307" s="55" t="s">
        <v>6118</v>
      </c>
      <c r="N1307" s="26" t="s">
        <v>3924</v>
      </c>
    </row>
    <row r="1308" spans="1:14" ht="75" customHeight="1" thickTop="1" thickBot="1">
      <c r="A1308" s="34">
        <v>1306</v>
      </c>
      <c r="B1308" s="34">
        <v>1359</v>
      </c>
      <c r="C1308" s="57" t="s">
        <v>6119</v>
      </c>
      <c r="D1308" s="56" t="s">
        <v>394</v>
      </c>
      <c r="E1308" s="56" t="s">
        <v>3931</v>
      </c>
      <c r="F1308" s="26" t="s">
        <v>3923</v>
      </c>
      <c r="G1308" s="26" t="s">
        <v>3932</v>
      </c>
      <c r="H1308" s="26" t="s">
        <v>13</v>
      </c>
      <c r="I1308" s="26" t="s">
        <v>3924</v>
      </c>
      <c r="J1308" s="26" t="s">
        <v>6113</v>
      </c>
      <c r="K1308" s="26" t="s">
        <v>4040</v>
      </c>
      <c r="L1308" s="26" t="s">
        <v>4412</v>
      </c>
      <c r="M1308" s="55" t="s">
        <v>6120</v>
      </c>
      <c r="N1308" s="26" t="s">
        <v>3924</v>
      </c>
    </row>
    <row r="1309" spans="1:14" ht="75" customHeight="1" thickTop="1" thickBot="1">
      <c r="A1309" s="26">
        <v>1307</v>
      </c>
      <c r="B1309" s="26">
        <v>1360</v>
      </c>
      <c r="C1309" s="57" t="s">
        <v>6121</v>
      </c>
      <c r="D1309" s="56" t="s">
        <v>394</v>
      </c>
      <c r="E1309" s="56" t="s">
        <v>3931</v>
      </c>
      <c r="F1309" s="26" t="s">
        <v>3923</v>
      </c>
      <c r="G1309" s="26" t="s">
        <v>3932</v>
      </c>
      <c r="H1309" s="26" t="s">
        <v>13</v>
      </c>
      <c r="I1309" s="26" t="s">
        <v>3924</v>
      </c>
      <c r="J1309" s="26" t="s">
        <v>6122</v>
      </c>
      <c r="K1309" s="26" t="s">
        <v>4004</v>
      </c>
      <c r="L1309" s="26" t="s">
        <v>3924</v>
      </c>
      <c r="M1309" s="55" t="s">
        <v>6123</v>
      </c>
      <c r="N1309" s="26" t="s">
        <v>3924</v>
      </c>
    </row>
    <row r="1310" spans="1:14" ht="75" customHeight="1" thickTop="1" thickBot="1">
      <c r="A1310" s="34">
        <v>1308</v>
      </c>
      <c r="B1310" s="34">
        <v>1361</v>
      </c>
      <c r="C1310" s="57" t="s">
        <v>6121</v>
      </c>
      <c r="D1310" s="56" t="s">
        <v>394</v>
      </c>
      <c r="E1310" s="56" t="s">
        <v>3931</v>
      </c>
      <c r="F1310" s="26" t="s">
        <v>3923</v>
      </c>
      <c r="G1310" s="26" t="s">
        <v>3932</v>
      </c>
      <c r="H1310" s="26" t="s">
        <v>13</v>
      </c>
      <c r="I1310" s="26" t="s">
        <v>3924</v>
      </c>
      <c r="J1310" s="26" t="s">
        <v>6122</v>
      </c>
      <c r="K1310" s="26" t="s">
        <v>4040</v>
      </c>
      <c r="L1310" s="26" t="s">
        <v>3963</v>
      </c>
      <c r="M1310" s="55" t="s">
        <v>6124</v>
      </c>
      <c r="N1310" s="26" t="s">
        <v>3924</v>
      </c>
    </row>
    <row r="1311" spans="1:14" ht="75" customHeight="1" thickTop="1" thickBot="1">
      <c r="A1311" s="34">
        <v>1309</v>
      </c>
      <c r="B1311" s="26">
        <v>1362</v>
      </c>
      <c r="C1311" s="57" t="s">
        <v>6125</v>
      </c>
      <c r="D1311" s="56" t="s">
        <v>394</v>
      </c>
      <c r="E1311" s="56" t="s">
        <v>3931</v>
      </c>
      <c r="F1311" s="26" t="s">
        <v>3923</v>
      </c>
      <c r="G1311" s="26" t="s">
        <v>3932</v>
      </c>
      <c r="H1311" s="26" t="s">
        <v>13</v>
      </c>
      <c r="I1311" s="26" t="s">
        <v>3924</v>
      </c>
      <c r="J1311" s="26" t="s">
        <v>6122</v>
      </c>
      <c r="K1311" s="26" t="s">
        <v>3929</v>
      </c>
      <c r="L1311" s="26" t="s">
        <v>3924</v>
      </c>
      <c r="M1311" s="55" t="s">
        <v>6126</v>
      </c>
      <c r="N1311" s="26" t="s">
        <v>3924</v>
      </c>
    </row>
    <row r="1312" spans="1:14" ht="75" customHeight="1" thickTop="1" thickBot="1">
      <c r="A1312" s="26">
        <v>1310</v>
      </c>
      <c r="B1312" s="34">
        <v>1363</v>
      </c>
      <c r="C1312" s="57" t="s">
        <v>6127</v>
      </c>
      <c r="D1312" s="56" t="s">
        <v>394</v>
      </c>
      <c r="E1312" s="56" t="s">
        <v>3931</v>
      </c>
      <c r="F1312" s="26" t="s">
        <v>3923</v>
      </c>
      <c r="G1312" s="26" t="s">
        <v>3932</v>
      </c>
      <c r="H1312" s="26" t="s">
        <v>13</v>
      </c>
      <c r="I1312" s="26" t="s">
        <v>3924</v>
      </c>
      <c r="J1312" s="26" t="s">
        <v>6068</v>
      </c>
      <c r="K1312" s="26" t="s">
        <v>4040</v>
      </c>
      <c r="L1312" s="26" t="s">
        <v>5087</v>
      </c>
      <c r="M1312" s="55" t="s">
        <v>6128</v>
      </c>
      <c r="N1312" s="26" t="s">
        <v>3924</v>
      </c>
    </row>
    <row r="1313" spans="1:14" ht="75" customHeight="1" thickTop="1" thickBot="1">
      <c r="A1313" s="34">
        <v>1311</v>
      </c>
      <c r="B1313" s="26">
        <v>1364</v>
      </c>
      <c r="C1313" s="57" t="s">
        <v>6127</v>
      </c>
      <c r="D1313" s="56" t="s">
        <v>394</v>
      </c>
      <c r="E1313" s="56" t="s">
        <v>3931</v>
      </c>
      <c r="F1313" s="26" t="s">
        <v>3923</v>
      </c>
      <c r="G1313" s="26" t="s">
        <v>3932</v>
      </c>
      <c r="H1313" s="26" t="s">
        <v>13</v>
      </c>
      <c r="I1313" s="26" t="s">
        <v>3924</v>
      </c>
      <c r="J1313" s="26" t="s">
        <v>6122</v>
      </c>
      <c r="K1313" s="26" t="s">
        <v>3947</v>
      </c>
      <c r="L1313" s="26" t="s">
        <v>6129</v>
      </c>
      <c r="M1313" s="55" t="s">
        <v>6130</v>
      </c>
      <c r="N1313" s="26" t="s">
        <v>3924</v>
      </c>
    </row>
    <row r="1314" spans="1:14" ht="75" customHeight="1" thickTop="1" thickBot="1">
      <c r="A1314" s="34">
        <v>1312</v>
      </c>
      <c r="B1314" s="34">
        <v>1365</v>
      </c>
      <c r="C1314" s="57" t="s">
        <v>6131</v>
      </c>
      <c r="D1314" s="56" t="s">
        <v>394</v>
      </c>
      <c r="E1314" s="56" t="s">
        <v>3931</v>
      </c>
      <c r="F1314" s="26" t="s">
        <v>3923</v>
      </c>
      <c r="G1314" s="26" t="s">
        <v>3932</v>
      </c>
      <c r="H1314" s="26" t="s">
        <v>13</v>
      </c>
      <c r="I1314" s="26" t="s">
        <v>3924</v>
      </c>
      <c r="J1314" s="26" t="s">
        <v>6068</v>
      </c>
      <c r="K1314" s="26" t="s">
        <v>3929</v>
      </c>
      <c r="L1314" s="26" t="s">
        <v>6129</v>
      </c>
      <c r="M1314" s="55" t="s">
        <v>6132</v>
      </c>
      <c r="N1314" s="26" t="s">
        <v>3924</v>
      </c>
    </row>
    <row r="1315" spans="1:14" ht="75" customHeight="1" thickTop="1" thickBot="1">
      <c r="A1315" s="26">
        <v>1313</v>
      </c>
      <c r="B1315" s="34">
        <v>1366</v>
      </c>
      <c r="C1315" s="57" t="s">
        <v>6131</v>
      </c>
      <c r="D1315" s="56" t="s">
        <v>394</v>
      </c>
      <c r="E1315" s="56" t="s">
        <v>3931</v>
      </c>
      <c r="F1315" s="26" t="s">
        <v>3923</v>
      </c>
      <c r="G1315" s="26" t="s">
        <v>3932</v>
      </c>
      <c r="H1315" s="26" t="s">
        <v>13</v>
      </c>
      <c r="I1315" s="26" t="s">
        <v>3924</v>
      </c>
      <c r="J1315" s="26" t="s">
        <v>6133</v>
      </c>
      <c r="K1315" s="26" t="s">
        <v>3929</v>
      </c>
      <c r="L1315" s="26" t="s">
        <v>5407</v>
      </c>
      <c r="M1315" s="55" t="s">
        <v>6134</v>
      </c>
      <c r="N1315" s="26" t="s">
        <v>3924</v>
      </c>
    </row>
    <row r="1316" spans="1:14" ht="75" customHeight="1" thickTop="1" thickBot="1">
      <c r="A1316" s="34">
        <v>1314</v>
      </c>
      <c r="B1316" s="26">
        <v>1367</v>
      </c>
      <c r="C1316" s="57" t="s">
        <v>6135</v>
      </c>
      <c r="D1316" s="56" t="s">
        <v>394</v>
      </c>
      <c r="E1316" s="56" t="s">
        <v>3931</v>
      </c>
      <c r="F1316" s="26" t="s">
        <v>3923</v>
      </c>
      <c r="G1316" s="26" t="s">
        <v>3932</v>
      </c>
      <c r="H1316" s="26" t="s">
        <v>13</v>
      </c>
      <c r="I1316" s="26" t="s">
        <v>3924</v>
      </c>
      <c r="J1316" s="26" t="s">
        <v>6133</v>
      </c>
      <c r="K1316" s="26" t="s">
        <v>4010</v>
      </c>
      <c r="L1316" s="26" t="s">
        <v>5412</v>
      </c>
      <c r="M1316" s="55" t="s">
        <v>6136</v>
      </c>
      <c r="N1316" s="26" t="s">
        <v>3924</v>
      </c>
    </row>
    <row r="1317" spans="1:14" ht="75" customHeight="1" thickTop="1" thickBot="1">
      <c r="A1317" s="34">
        <v>1315</v>
      </c>
      <c r="B1317" s="34">
        <v>1368</v>
      </c>
      <c r="C1317" s="57" t="s">
        <v>6137</v>
      </c>
      <c r="D1317" s="56" t="s">
        <v>394</v>
      </c>
      <c r="E1317" s="56" t="s">
        <v>3931</v>
      </c>
      <c r="F1317" s="26" t="s">
        <v>3923</v>
      </c>
      <c r="G1317" s="26" t="s">
        <v>3932</v>
      </c>
      <c r="H1317" s="26" t="s">
        <v>13</v>
      </c>
      <c r="I1317" s="26" t="s">
        <v>3924</v>
      </c>
      <c r="J1317" s="26" t="s">
        <v>6133</v>
      </c>
      <c r="K1317" s="26" t="s">
        <v>4040</v>
      </c>
      <c r="L1317" s="26" t="s">
        <v>3963</v>
      </c>
      <c r="M1317" s="55" t="s">
        <v>6138</v>
      </c>
      <c r="N1317" s="26" t="s">
        <v>3924</v>
      </c>
    </row>
    <row r="1318" spans="1:14" ht="75" customHeight="1" thickTop="1" thickBot="1">
      <c r="A1318" s="26">
        <v>1316</v>
      </c>
      <c r="B1318" s="26">
        <v>1369</v>
      </c>
      <c r="C1318" s="57" t="s">
        <v>6139</v>
      </c>
      <c r="D1318" s="56" t="s">
        <v>394</v>
      </c>
      <c r="E1318" s="56" t="s">
        <v>3931</v>
      </c>
      <c r="F1318" s="26" t="s">
        <v>3923</v>
      </c>
      <c r="G1318" s="26" t="s">
        <v>3932</v>
      </c>
      <c r="H1318" s="26" t="s">
        <v>13</v>
      </c>
      <c r="I1318" s="26" t="s">
        <v>3924</v>
      </c>
      <c r="J1318" s="26" t="s">
        <v>6133</v>
      </c>
      <c r="K1318" s="26" t="s">
        <v>3966</v>
      </c>
      <c r="L1318" s="26" t="s">
        <v>4435</v>
      </c>
      <c r="M1318" s="55" t="s">
        <v>6140</v>
      </c>
      <c r="N1318" s="26" t="s">
        <v>3924</v>
      </c>
    </row>
    <row r="1319" spans="1:14" ht="75" customHeight="1" thickTop="1" thickBot="1">
      <c r="A1319" s="34">
        <v>1317</v>
      </c>
      <c r="B1319" s="34">
        <v>1370</v>
      </c>
      <c r="C1319" s="57" t="s">
        <v>6139</v>
      </c>
      <c r="D1319" s="56" t="s">
        <v>394</v>
      </c>
      <c r="E1319" s="56" t="s">
        <v>3931</v>
      </c>
      <c r="F1319" s="26" t="s">
        <v>3923</v>
      </c>
      <c r="G1319" s="26" t="s">
        <v>3932</v>
      </c>
      <c r="H1319" s="26" t="s">
        <v>13</v>
      </c>
      <c r="I1319" s="26" t="s">
        <v>3924</v>
      </c>
      <c r="J1319" s="26" t="s">
        <v>6141</v>
      </c>
      <c r="K1319" s="26" t="s">
        <v>3976</v>
      </c>
      <c r="L1319" s="26" t="s">
        <v>4435</v>
      </c>
      <c r="M1319" s="55" t="s">
        <v>6142</v>
      </c>
      <c r="N1319" s="26" t="s">
        <v>3924</v>
      </c>
    </row>
    <row r="1320" spans="1:14" ht="75" customHeight="1" thickTop="1" thickBot="1">
      <c r="A1320" s="34">
        <v>1318</v>
      </c>
      <c r="B1320" s="26">
        <v>1371</v>
      </c>
      <c r="C1320" s="57" t="s">
        <v>6143</v>
      </c>
      <c r="D1320" s="56" t="s">
        <v>394</v>
      </c>
      <c r="E1320" s="56" t="s">
        <v>3931</v>
      </c>
      <c r="F1320" s="26" t="s">
        <v>3923</v>
      </c>
      <c r="G1320" s="26" t="s">
        <v>3932</v>
      </c>
      <c r="H1320" s="26" t="s">
        <v>13</v>
      </c>
      <c r="I1320" s="26" t="s">
        <v>3924</v>
      </c>
      <c r="J1320" s="26" t="s">
        <v>6141</v>
      </c>
      <c r="K1320" s="26" t="s">
        <v>4791</v>
      </c>
      <c r="L1320" s="26" t="s">
        <v>6144</v>
      </c>
      <c r="M1320" s="55" t="s">
        <v>6145</v>
      </c>
      <c r="N1320" s="26" t="s">
        <v>3924</v>
      </c>
    </row>
    <row r="1321" spans="1:14" ht="75" customHeight="1" thickTop="1" thickBot="1">
      <c r="A1321" s="26">
        <v>1319</v>
      </c>
      <c r="B1321" s="34">
        <v>1372</v>
      </c>
      <c r="C1321" s="57" t="s">
        <v>6146</v>
      </c>
      <c r="D1321" s="56" t="s">
        <v>394</v>
      </c>
      <c r="E1321" s="56" t="s">
        <v>3931</v>
      </c>
      <c r="F1321" s="26" t="s">
        <v>3923</v>
      </c>
      <c r="G1321" s="26" t="s">
        <v>3932</v>
      </c>
      <c r="H1321" s="26" t="s">
        <v>13</v>
      </c>
      <c r="I1321" s="26" t="s">
        <v>3924</v>
      </c>
      <c r="J1321" s="26" t="s">
        <v>6141</v>
      </c>
      <c r="K1321" s="26" t="s">
        <v>3929</v>
      </c>
      <c r="L1321" s="26" t="s">
        <v>3924</v>
      </c>
      <c r="M1321" s="55" t="s">
        <v>6147</v>
      </c>
      <c r="N1321" s="26" t="s">
        <v>3924</v>
      </c>
    </row>
    <row r="1322" spans="1:14" ht="75" customHeight="1" thickTop="1" thickBot="1">
      <c r="A1322" s="34">
        <v>1320</v>
      </c>
      <c r="B1322" s="34">
        <v>1373</v>
      </c>
      <c r="C1322" s="57" t="s">
        <v>6148</v>
      </c>
      <c r="D1322" s="56" t="s">
        <v>394</v>
      </c>
      <c r="E1322" s="56" t="s">
        <v>3931</v>
      </c>
      <c r="F1322" s="26" t="s">
        <v>3923</v>
      </c>
      <c r="G1322" s="26" t="s">
        <v>3932</v>
      </c>
      <c r="H1322" s="26" t="s">
        <v>13</v>
      </c>
      <c r="I1322" s="26" t="s">
        <v>3924</v>
      </c>
      <c r="J1322" s="26" t="s">
        <v>6149</v>
      </c>
      <c r="K1322" s="26" t="s">
        <v>6150</v>
      </c>
      <c r="L1322" s="26" t="s">
        <v>3924</v>
      </c>
      <c r="M1322" s="55" t="s">
        <v>6151</v>
      </c>
      <c r="N1322" s="26" t="s">
        <v>3924</v>
      </c>
    </row>
    <row r="1323" spans="1:14" ht="75" customHeight="1" thickTop="1" thickBot="1">
      <c r="A1323" s="34">
        <v>1321</v>
      </c>
      <c r="B1323" s="26">
        <v>1374</v>
      </c>
      <c r="C1323" s="57" t="s">
        <v>6152</v>
      </c>
      <c r="D1323" s="56" t="s">
        <v>394</v>
      </c>
      <c r="E1323" s="56" t="s">
        <v>3931</v>
      </c>
      <c r="F1323" s="26" t="s">
        <v>3923</v>
      </c>
      <c r="G1323" s="26" t="s">
        <v>3932</v>
      </c>
      <c r="H1323" s="26" t="s">
        <v>13</v>
      </c>
      <c r="I1323" s="26" t="s">
        <v>3924</v>
      </c>
      <c r="J1323" s="26" t="s">
        <v>6149</v>
      </c>
      <c r="K1323" s="26" t="s">
        <v>3966</v>
      </c>
      <c r="L1323" s="26" t="s">
        <v>3924</v>
      </c>
      <c r="M1323" s="55" t="s">
        <v>6153</v>
      </c>
      <c r="N1323" s="26" t="s">
        <v>3924</v>
      </c>
    </row>
    <row r="1324" spans="1:14" ht="75" customHeight="1" thickTop="1" thickBot="1">
      <c r="A1324" s="26">
        <v>1322</v>
      </c>
      <c r="B1324" s="34">
        <v>1375</v>
      </c>
      <c r="C1324" s="57" t="s">
        <v>6152</v>
      </c>
      <c r="D1324" s="56" t="s">
        <v>394</v>
      </c>
      <c r="E1324" s="56" t="s">
        <v>3931</v>
      </c>
      <c r="F1324" s="26" t="s">
        <v>3923</v>
      </c>
      <c r="G1324" s="26" t="s">
        <v>3932</v>
      </c>
      <c r="H1324" s="26" t="s">
        <v>13</v>
      </c>
      <c r="I1324" s="26" t="s">
        <v>3924</v>
      </c>
      <c r="J1324" s="26" t="s">
        <v>6149</v>
      </c>
      <c r="K1324" s="26" t="s">
        <v>3966</v>
      </c>
      <c r="L1324" s="26" t="s">
        <v>3924</v>
      </c>
      <c r="M1324" s="55" t="s">
        <v>6154</v>
      </c>
      <c r="N1324" s="26" t="s">
        <v>3924</v>
      </c>
    </row>
    <row r="1325" spans="1:14" ht="75" customHeight="1" thickTop="1" thickBot="1">
      <c r="A1325" s="34">
        <v>1323</v>
      </c>
      <c r="B1325" s="26">
        <v>1376</v>
      </c>
      <c r="C1325" s="57" t="s">
        <v>6152</v>
      </c>
      <c r="D1325" s="56" t="s">
        <v>394</v>
      </c>
      <c r="E1325" s="56" t="s">
        <v>3931</v>
      </c>
      <c r="F1325" s="26" t="s">
        <v>3923</v>
      </c>
      <c r="G1325" s="26" t="s">
        <v>3932</v>
      </c>
      <c r="H1325" s="26" t="s">
        <v>13</v>
      </c>
      <c r="I1325" s="26" t="s">
        <v>3924</v>
      </c>
      <c r="J1325" s="26" t="s">
        <v>6155</v>
      </c>
      <c r="K1325" s="26" t="s">
        <v>3966</v>
      </c>
      <c r="L1325" s="26" t="s">
        <v>3924</v>
      </c>
      <c r="M1325" s="55" t="s">
        <v>6156</v>
      </c>
      <c r="N1325" s="26" t="s">
        <v>3924</v>
      </c>
    </row>
    <row r="1326" spans="1:14" ht="75" customHeight="1" thickTop="1" thickBot="1">
      <c r="A1326" s="34">
        <v>1324</v>
      </c>
      <c r="B1326" s="34">
        <v>1377</v>
      </c>
      <c r="C1326" s="57" t="s">
        <v>6152</v>
      </c>
      <c r="D1326" s="56" t="s">
        <v>394</v>
      </c>
      <c r="E1326" s="56" t="s">
        <v>3931</v>
      </c>
      <c r="F1326" s="26" t="s">
        <v>3923</v>
      </c>
      <c r="G1326" s="26" t="s">
        <v>3932</v>
      </c>
      <c r="H1326" s="26" t="s">
        <v>13</v>
      </c>
      <c r="I1326" s="26" t="s">
        <v>3924</v>
      </c>
      <c r="J1326" s="26" t="s">
        <v>6157</v>
      </c>
      <c r="K1326" s="26" t="s">
        <v>3926</v>
      </c>
      <c r="L1326" s="26" t="s">
        <v>4449</v>
      </c>
      <c r="M1326" s="55" t="s">
        <v>6158</v>
      </c>
      <c r="N1326" s="26" t="s">
        <v>3924</v>
      </c>
    </row>
    <row r="1327" spans="1:14" ht="75" customHeight="1" thickTop="1" thickBot="1">
      <c r="A1327" s="26">
        <v>1325</v>
      </c>
      <c r="B1327" s="26">
        <v>1378</v>
      </c>
      <c r="C1327" s="57" t="s">
        <v>6159</v>
      </c>
      <c r="D1327" s="56" t="s">
        <v>394</v>
      </c>
      <c r="E1327" s="56" t="s">
        <v>3931</v>
      </c>
      <c r="F1327" s="26" t="s">
        <v>3923</v>
      </c>
      <c r="G1327" s="26" t="s">
        <v>3932</v>
      </c>
      <c r="H1327" s="26" t="s">
        <v>13</v>
      </c>
      <c r="I1327" s="26" t="s">
        <v>3924</v>
      </c>
      <c r="J1327" s="26" t="s">
        <v>6157</v>
      </c>
      <c r="K1327" s="26" t="s">
        <v>3926</v>
      </c>
      <c r="L1327" s="26" t="s">
        <v>6160</v>
      </c>
      <c r="M1327" s="55" t="s">
        <v>6161</v>
      </c>
      <c r="N1327" s="26" t="s">
        <v>3924</v>
      </c>
    </row>
    <row r="1328" spans="1:14" ht="75" customHeight="1" thickTop="1" thickBot="1">
      <c r="A1328" s="34">
        <v>1326</v>
      </c>
      <c r="B1328" s="34">
        <v>1379</v>
      </c>
      <c r="C1328" s="57" t="s">
        <v>6162</v>
      </c>
      <c r="D1328" s="56" t="s">
        <v>394</v>
      </c>
      <c r="E1328" s="56" t="s">
        <v>3931</v>
      </c>
      <c r="F1328" s="26" t="s">
        <v>3923</v>
      </c>
      <c r="G1328" s="26" t="s">
        <v>3932</v>
      </c>
      <c r="H1328" s="26" t="s">
        <v>13</v>
      </c>
      <c r="I1328" s="26" t="s">
        <v>3924</v>
      </c>
      <c r="J1328" s="26" t="s">
        <v>6163</v>
      </c>
      <c r="K1328" s="26" t="s">
        <v>6164</v>
      </c>
      <c r="L1328" s="26" t="s">
        <v>3924</v>
      </c>
      <c r="M1328" s="55" t="s">
        <v>6165</v>
      </c>
      <c r="N1328" s="26" t="s">
        <v>3924</v>
      </c>
    </row>
    <row r="1329" spans="1:14" ht="75" customHeight="1" thickTop="1" thickBot="1">
      <c r="A1329" s="34">
        <v>1327</v>
      </c>
      <c r="B1329" s="34">
        <v>1380</v>
      </c>
      <c r="C1329" s="57" t="s">
        <v>6166</v>
      </c>
      <c r="D1329" s="56" t="s">
        <v>394</v>
      </c>
      <c r="E1329" s="56" t="s">
        <v>3931</v>
      </c>
      <c r="F1329" s="26" t="s">
        <v>3923</v>
      </c>
      <c r="G1329" s="26" t="s">
        <v>3932</v>
      </c>
      <c r="H1329" s="26" t="s">
        <v>13</v>
      </c>
      <c r="I1329" s="26" t="s">
        <v>3924</v>
      </c>
      <c r="J1329" s="26" t="s">
        <v>6157</v>
      </c>
      <c r="K1329" s="26" t="s">
        <v>3926</v>
      </c>
      <c r="L1329" s="26" t="s">
        <v>3924</v>
      </c>
      <c r="M1329" s="55" t="s">
        <v>6167</v>
      </c>
      <c r="N1329" s="26" t="s">
        <v>3924</v>
      </c>
    </row>
    <row r="1330" spans="1:14" ht="75" customHeight="1" thickTop="1" thickBot="1">
      <c r="A1330" s="26">
        <v>1328</v>
      </c>
      <c r="B1330" s="26">
        <v>1381</v>
      </c>
      <c r="C1330" s="57" t="s">
        <v>6157</v>
      </c>
      <c r="D1330" s="56" t="s">
        <v>394</v>
      </c>
      <c r="E1330" s="56" t="s">
        <v>3931</v>
      </c>
      <c r="F1330" s="26" t="s">
        <v>3923</v>
      </c>
      <c r="G1330" s="26" t="s">
        <v>3932</v>
      </c>
      <c r="H1330" s="26" t="s">
        <v>13</v>
      </c>
      <c r="I1330" s="26" t="s">
        <v>3924</v>
      </c>
      <c r="J1330" s="26" t="s">
        <v>6110</v>
      </c>
      <c r="K1330" s="26" t="s">
        <v>4004</v>
      </c>
      <c r="L1330" s="26" t="s">
        <v>3924</v>
      </c>
      <c r="M1330" s="55" t="s">
        <v>6168</v>
      </c>
      <c r="N1330" s="26" t="s">
        <v>3924</v>
      </c>
    </row>
    <row r="1331" spans="1:14" ht="75" customHeight="1" thickTop="1" thickBot="1">
      <c r="A1331" s="34">
        <v>1329</v>
      </c>
      <c r="B1331" s="34">
        <v>1382</v>
      </c>
      <c r="C1331" s="57" t="s">
        <v>6155</v>
      </c>
      <c r="D1331" s="56" t="s">
        <v>394</v>
      </c>
      <c r="E1331" s="56" t="s">
        <v>3931</v>
      </c>
      <c r="F1331" s="26" t="s">
        <v>3923</v>
      </c>
      <c r="G1331" s="26" t="s">
        <v>3932</v>
      </c>
      <c r="H1331" s="26" t="s">
        <v>13</v>
      </c>
      <c r="I1331" s="26" t="s">
        <v>3924</v>
      </c>
      <c r="J1331" s="26" t="s">
        <v>6110</v>
      </c>
      <c r="K1331" s="26" t="s">
        <v>6164</v>
      </c>
      <c r="L1331" s="26" t="s">
        <v>3924</v>
      </c>
      <c r="M1331" s="55" t="s">
        <v>6169</v>
      </c>
      <c r="N1331" s="26" t="s">
        <v>3924</v>
      </c>
    </row>
    <row r="1332" spans="1:14" ht="75" customHeight="1" thickTop="1" thickBot="1">
      <c r="A1332" s="34">
        <v>1330</v>
      </c>
      <c r="B1332" s="26">
        <v>1383</v>
      </c>
      <c r="C1332" s="57" t="s">
        <v>6170</v>
      </c>
      <c r="D1332" s="56" t="s">
        <v>394</v>
      </c>
      <c r="E1332" s="56" t="s">
        <v>3931</v>
      </c>
      <c r="F1332" s="26" t="s">
        <v>3923</v>
      </c>
      <c r="G1332" s="26" t="s">
        <v>3932</v>
      </c>
      <c r="H1332" s="26" t="s">
        <v>13</v>
      </c>
      <c r="I1332" s="26" t="s">
        <v>3924</v>
      </c>
      <c r="J1332" s="26" t="s">
        <v>6171</v>
      </c>
      <c r="K1332" s="26" t="s">
        <v>6164</v>
      </c>
      <c r="L1332" s="26" t="s">
        <v>3924</v>
      </c>
      <c r="M1332" s="55" t="s">
        <v>6172</v>
      </c>
      <c r="N1332" s="26" t="s">
        <v>3924</v>
      </c>
    </row>
    <row r="1333" spans="1:14" ht="75" customHeight="1" thickTop="1" thickBot="1">
      <c r="A1333" s="26">
        <v>1331</v>
      </c>
      <c r="B1333" s="34">
        <v>1384</v>
      </c>
      <c r="C1333" s="57" t="s">
        <v>6170</v>
      </c>
      <c r="D1333" s="56" t="s">
        <v>394</v>
      </c>
      <c r="E1333" s="56" t="s">
        <v>3931</v>
      </c>
      <c r="F1333" s="26" t="s">
        <v>3923</v>
      </c>
      <c r="G1333" s="26" t="s">
        <v>3932</v>
      </c>
      <c r="H1333" s="26" t="s">
        <v>13</v>
      </c>
      <c r="I1333" s="26" t="s">
        <v>3924</v>
      </c>
      <c r="J1333" s="26" t="s">
        <v>6173</v>
      </c>
      <c r="K1333" s="26" t="s">
        <v>3947</v>
      </c>
      <c r="L1333" s="26" t="s">
        <v>3924</v>
      </c>
      <c r="M1333" s="55" t="s">
        <v>6174</v>
      </c>
      <c r="N1333" s="26" t="s">
        <v>3924</v>
      </c>
    </row>
    <row r="1334" spans="1:14" ht="75" customHeight="1" thickTop="1" thickBot="1">
      <c r="A1334" s="34">
        <v>1332</v>
      </c>
      <c r="B1334" s="26">
        <v>1385</v>
      </c>
      <c r="C1334" s="57" t="s">
        <v>6175</v>
      </c>
      <c r="D1334" s="56" t="s">
        <v>394</v>
      </c>
      <c r="E1334" s="56" t="s">
        <v>3931</v>
      </c>
      <c r="F1334" s="26" t="s">
        <v>3923</v>
      </c>
      <c r="G1334" s="26" t="s">
        <v>3932</v>
      </c>
      <c r="H1334" s="26" t="s">
        <v>13</v>
      </c>
      <c r="I1334" s="26" t="s">
        <v>3924</v>
      </c>
      <c r="J1334" s="26" t="s">
        <v>6173</v>
      </c>
      <c r="K1334" s="26" t="s">
        <v>6176</v>
      </c>
      <c r="L1334" s="26" t="s">
        <v>5087</v>
      </c>
      <c r="M1334" s="55" t="s">
        <v>6177</v>
      </c>
      <c r="N1334" s="26" t="s">
        <v>3924</v>
      </c>
    </row>
    <row r="1335" spans="1:14" ht="75" customHeight="1" thickTop="1" thickBot="1">
      <c r="A1335" s="34">
        <v>1333</v>
      </c>
      <c r="B1335" s="34">
        <v>1386</v>
      </c>
      <c r="C1335" s="57" t="s">
        <v>6175</v>
      </c>
      <c r="D1335" s="56" t="s">
        <v>394</v>
      </c>
      <c r="E1335" s="56" t="s">
        <v>3931</v>
      </c>
      <c r="F1335" s="26" t="s">
        <v>3923</v>
      </c>
      <c r="G1335" s="26" t="s">
        <v>3932</v>
      </c>
      <c r="H1335" s="26" t="s">
        <v>13</v>
      </c>
      <c r="I1335" s="26" t="s">
        <v>3924</v>
      </c>
      <c r="J1335" s="26" t="s">
        <v>6173</v>
      </c>
      <c r="K1335" s="26" t="s">
        <v>5349</v>
      </c>
      <c r="L1335" s="26" t="s">
        <v>6178</v>
      </c>
      <c r="M1335" s="55" t="s">
        <v>6179</v>
      </c>
      <c r="N1335" s="26" t="s">
        <v>3924</v>
      </c>
    </row>
    <row r="1336" spans="1:14" ht="75" customHeight="1" thickTop="1" thickBot="1">
      <c r="A1336" s="26">
        <v>1334</v>
      </c>
      <c r="B1336" s="34">
        <v>1387</v>
      </c>
      <c r="C1336" s="57" t="s">
        <v>6180</v>
      </c>
      <c r="D1336" s="56" t="s">
        <v>394</v>
      </c>
      <c r="E1336" s="56" t="s">
        <v>3931</v>
      </c>
      <c r="F1336" s="26" t="s">
        <v>3923</v>
      </c>
      <c r="G1336" s="26" t="s">
        <v>3932</v>
      </c>
      <c r="H1336" s="26" t="s">
        <v>13</v>
      </c>
      <c r="I1336" s="26" t="s">
        <v>3924</v>
      </c>
      <c r="J1336" s="26" t="s">
        <v>6173</v>
      </c>
      <c r="K1336" s="26" t="s">
        <v>3966</v>
      </c>
      <c r="L1336" s="26" t="s">
        <v>6181</v>
      </c>
      <c r="M1336" s="55" t="s">
        <v>6182</v>
      </c>
      <c r="N1336" s="26" t="s">
        <v>3924</v>
      </c>
    </row>
    <row r="1337" spans="1:14" ht="75" customHeight="1" thickTop="1" thickBot="1">
      <c r="A1337" s="34">
        <v>1335</v>
      </c>
      <c r="B1337" s="26">
        <v>1388</v>
      </c>
      <c r="C1337" s="57" t="s">
        <v>6149</v>
      </c>
      <c r="D1337" s="56" t="s">
        <v>394</v>
      </c>
      <c r="E1337" s="56" t="s">
        <v>3931</v>
      </c>
      <c r="F1337" s="26" t="s">
        <v>3923</v>
      </c>
      <c r="G1337" s="26" t="s">
        <v>3932</v>
      </c>
      <c r="H1337" s="26" t="s">
        <v>13</v>
      </c>
      <c r="I1337" s="26" t="s">
        <v>3924</v>
      </c>
      <c r="J1337" s="26" t="s">
        <v>6183</v>
      </c>
      <c r="K1337" s="26" t="s">
        <v>3926</v>
      </c>
      <c r="L1337" s="26" t="s">
        <v>3927</v>
      </c>
      <c r="M1337" s="55" t="s">
        <v>6184</v>
      </c>
      <c r="N1337" s="26" t="s">
        <v>3924</v>
      </c>
    </row>
    <row r="1338" spans="1:14" ht="75" customHeight="1" thickTop="1" thickBot="1">
      <c r="A1338" s="34">
        <v>1336</v>
      </c>
      <c r="B1338" s="34">
        <v>1389</v>
      </c>
      <c r="C1338" s="57" t="s">
        <v>6141</v>
      </c>
      <c r="D1338" s="56" t="s">
        <v>394</v>
      </c>
      <c r="E1338" s="56" t="s">
        <v>3931</v>
      </c>
      <c r="F1338" s="26" t="s">
        <v>3923</v>
      </c>
      <c r="G1338" s="26" t="s">
        <v>3932</v>
      </c>
      <c r="H1338" s="26" t="s">
        <v>13</v>
      </c>
      <c r="I1338" s="26" t="s">
        <v>3924</v>
      </c>
      <c r="J1338" s="26" t="s">
        <v>6171</v>
      </c>
      <c r="K1338" s="26" t="s">
        <v>4387</v>
      </c>
      <c r="L1338" s="26" t="s">
        <v>3924</v>
      </c>
      <c r="M1338" s="55" t="s">
        <v>6185</v>
      </c>
      <c r="N1338" s="26" t="s">
        <v>3924</v>
      </c>
    </row>
    <row r="1339" spans="1:14" ht="75" customHeight="1" thickTop="1" thickBot="1">
      <c r="A1339" s="26">
        <v>1337</v>
      </c>
      <c r="B1339" s="26">
        <v>1390</v>
      </c>
      <c r="C1339" s="57" t="s">
        <v>6110</v>
      </c>
      <c r="D1339" s="56" t="s">
        <v>394</v>
      </c>
      <c r="E1339" s="56" t="s">
        <v>3931</v>
      </c>
      <c r="F1339" s="26" t="s">
        <v>3923</v>
      </c>
      <c r="G1339" s="26" t="s">
        <v>3932</v>
      </c>
      <c r="H1339" s="26" t="s">
        <v>13</v>
      </c>
      <c r="I1339" s="26" t="s">
        <v>3924</v>
      </c>
      <c r="J1339" s="26" t="s">
        <v>6183</v>
      </c>
      <c r="K1339" s="26" t="s">
        <v>3966</v>
      </c>
      <c r="L1339" s="26" t="s">
        <v>3924</v>
      </c>
      <c r="M1339" s="55" t="s">
        <v>6186</v>
      </c>
      <c r="N1339" s="26" t="s">
        <v>3924</v>
      </c>
    </row>
    <row r="1340" spans="1:14" ht="75" customHeight="1" thickTop="1" thickBot="1">
      <c r="A1340" s="34">
        <v>1338</v>
      </c>
      <c r="B1340" s="34">
        <v>1391</v>
      </c>
      <c r="C1340" s="57" t="s">
        <v>6187</v>
      </c>
      <c r="D1340" s="56" t="s">
        <v>394</v>
      </c>
      <c r="E1340" s="56" t="s">
        <v>3931</v>
      </c>
      <c r="F1340" s="26" t="s">
        <v>3923</v>
      </c>
      <c r="G1340" s="26" t="s">
        <v>3932</v>
      </c>
      <c r="H1340" s="26" t="s">
        <v>13</v>
      </c>
      <c r="I1340" s="26" t="s">
        <v>3924</v>
      </c>
      <c r="J1340" s="26" t="s">
        <v>6187</v>
      </c>
      <c r="K1340" s="26" t="s">
        <v>3947</v>
      </c>
      <c r="L1340" s="26" t="s">
        <v>3924</v>
      </c>
      <c r="M1340" s="55" t="s">
        <v>6188</v>
      </c>
      <c r="N1340" s="26" t="s">
        <v>3924</v>
      </c>
    </row>
    <row r="1341" spans="1:14" ht="75" customHeight="1" thickTop="1" thickBot="1">
      <c r="A1341" s="34">
        <v>1339</v>
      </c>
      <c r="B1341" s="26">
        <v>1392</v>
      </c>
      <c r="C1341" s="57" t="s">
        <v>6189</v>
      </c>
      <c r="D1341" s="56" t="s">
        <v>394</v>
      </c>
      <c r="E1341" s="56" t="s">
        <v>3931</v>
      </c>
      <c r="F1341" s="26" t="s">
        <v>3923</v>
      </c>
      <c r="G1341" s="26" t="s">
        <v>3932</v>
      </c>
      <c r="H1341" s="26" t="s">
        <v>13</v>
      </c>
      <c r="I1341" s="26" t="s">
        <v>3924</v>
      </c>
      <c r="J1341" s="26" t="s">
        <v>6183</v>
      </c>
      <c r="K1341" s="26" t="s">
        <v>4341</v>
      </c>
      <c r="L1341" s="26" t="s">
        <v>3924</v>
      </c>
      <c r="M1341" s="55" t="s">
        <v>6190</v>
      </c>
      <c r="N1341" s="26" t="s">
        <v>3924</v>
      </c>
    </row>
    <row r="1342" spans="1:14" ht="75" customHeight="1" thickTop="1" thickBot="1">
      <c r="A1342" s="26">
        <v>1340</v>
      </c>
      <c r="B1342" s="34">
        <v>1393</v>
      </c>
      <c r="C1342" s="57" t="s">
        <v>6189</v>
      </c>
      <c r="D1342" s="56" t="s">
        <v>394</v>
      </c>
      <c r="E1342" s="56" t="s">
        <v>3931</v>
      </c>
      <c r="F1342" s="26" t="s">
        <v>3923</v>
      </c>
      <c r="G1342" s="26" t="s">
        <v>3932</v>
      </c>
      <c r="H1342" s="26" t="s">
        <v>13</v>
      </c>
      <c r="I1342" s="26" t="s">
        <v>3924</v>
      </c>
      <c r="J1342" s="26" t="s">
        <v>6183</v>
      </c>
      <c r="K1342" s="26" t="s">
        <v>4341</v>
      </c>
      <c r="L1342" s="26" t="s">
        <v>3924</v>
      </c>
      <c r="M1342" s="55" t="s">
        <v>6191</v>
      </c>
      <c r="N1342" s="26" t="s">
        <v>3924</v>
      </c>
    </row>
    <row r="1343" spans="1:14" ht="75" customHeight="1" thickTop="1" thickBot="1">
      <c r="A1343" s="34">
        <v>1341</v>
      </c>
      <c r="B1343" s="34">
        <v>1394</v>
      </c>
      <c r="C1343" s="57" t="s">
        <v>6189</v>
      </c>
      <c r="D1343" s="56" t="s">
        <v>394</v>
      </c>
      <c r="E1343" s="56" t="s">
        <v>3931</v>
      </c>
      <c r="F1343" s="26" t="s">
        <v>3923</v>
      </c>
      <c r="G1343" s="26" t="s">
        <v>3932</v>
      </c>
      <c r="H1343" s="26" t="s">
        <v>13</v>
      </c>
      <c r="I1343" s="26" t="s">
        <v>3924</v>
      </c>
      <c r="J1343" s="26" t="s">
        <v>6183</v>
      </c>
      <c r="K1343" s="26" t="s">
        <v>4341</v>
      </c>
      <c r="L1343" s="26" t="s">
        <v>3924</v>
      </c>
      <c r="M1343" s="55" t="s">
        <v>6192</v>
      </c>
      <c r="N1343" s="26" t="s">
        <v>3924</v>
      </c>
    </row>
    <row r="1344" spans="1:14" ht="75" customHeight="1" thickTop="1" thickBot="1">
      <c r="A1344" s="34">
        <v>1342</v>
      </c>
      <c r="B1344" s="26">
        <v>1395</v>
      </c>
      <c r="C1344" s="57" t="s">
        <v>6189</v>
      </c>
      <c r="D1344" s="56" t="s">
        <v>394</v>
      </c>
      <c r="E1344" s="56" t="s">
        <v>3931</v>
      </c>
      <c r="F1344" s="26" t="s">
        <v>3923</v>
      </c>
      <c r="G1344" s="26" t="s">
        <v>3932</v>
      </c>
      <c r="H1344" s="26" t="s">
        <v>13</v>
      </c>
      <c r="I1344" s="26" t="s">
        <v>3924</v>
      </c>
      <c r="J1344" s="26" t="s">
        <v>6193</v>
      </c>
      <c r="K1344" s="26" t="s">
        <v>4341</v>
      </c>
      <c r="L1344" s="26" t="s">
        <v>3924</v>
      </c>
      <c r="M1344" s="55" t="s">
        <v>6194</v>
      </c>
      <c r="N1344" s="26" t="s">
        <v>3924</v>
      </c>
    </row>
    <row r="1345" spans="1:14" ht="75" customHeight="1" thickTop="1" thickBot="1">
      <c r="A1345" s="26">
        <v>1343</v>
      </c>
      <c r="B1345" s="34">
        <v>1396</v>
      </c>
      <c r="C1345" s="57" t="s">
        <v>6189</v>
      </c>
      <c r="D1345" s="56" t="s">
        <v>394</v>
      </c>
      <c r="E1345" s="56" t="s">
        <v>3931</v>
      </c>
      <c r="F1345" s="26" t="s">
        <v>3923</v>
      </c>
      <c r="G1345" s="26" t="s">
        <v>3932</v>
      </c>
      <c r="H1345" s="26" t="s">
        <v>13</v>
      </c>
      <c r="I1345" s="26" t="s">
        <v>3924</v>
      </c>
      <c r="J1345" s="26" t="s">
        <v>6193</v>
      </c>
      <c r="K1345" s="26" t="s">
        <v>4341</v>
      </c>
      <c r="L1345" s="26" t="s">
        <v>3924</v>
      </c>
      <c r="M1345" s="55" t="s">
        <v>6195</v>
      </c>
      <c r="N1345" s="26" t="s">
        <v>3924</v>
      </c>
    </row>
    <row r="1346" spans="1:14" ht="75" customHeight="1" thickTop="1" thickBot="1">
      <c r="A1346" s="34">
        <v>1344</v>
      </c>
      <c r="B1346" s="26">
        <v>1397</v>
      </c>
      <c r="C1346" s="57" t="s">
        <v>6085</v>
      </c>
      <c r="D1346" s="56" t="s">
        <v>394</v>
      </c>
      <c r="E1346" s="56" t="s">
        <v>3931</v>
      </c>
      <c r="F1346" s="26" t="s">
        <v>3923</v>
      </c>
      <c r="G1346" s="26" t="s">
        <v>3932</v>
      </c>
      <c r="H1346" s="26" t="s">
        <v>13</v>
      </c>
      <c r="I1346" s="26" t="s">
        <v>3924</v>
      </c>
      <c r="J1346" s="26" t="s">
        <v>6193</v>
      </c>
      <c r="K1346" s="26" t="s">
        <v>4341</v>
      </c>
      <c r="L1346" s="26" t="s">
        <v>6196</v>
      </c>
      <c r="M1346" s="55" t="s">
        <v>6197</v>
      </c>
      <c r="N1346" s="26" t="s">
        <v>3924</v>
      </c>
    </row>
    <row r="1347" spans="1:14" ht="75" customHeight="1" thickTop="1" thickBot="1">
      <c r="A1347" s="34">
        <v>1345</v>
      </c>
      <c r="B1347" s="34">
        <v>1398</v>
      </c>
      <c r="C1347" s="57" t="s">
        <v>6085</v>
      </c>
      <c r="D1347" s="56" t="s">
        <v>394</v>
      </c>
      <c r="E1347" s="56" t="s">
        <v>3931</v>
      </c>
      <c r="F1347" s="26" t="s">
        <v>3923</v>
      </c>
      <c r="G1347" s="26" t="s">
        <v>3932</v>
      </c>
      <c r="H1347" s="26" t="s">
        <v>13</v>
      </c>
      <c r="I1347" s="26" t="s">
        <v>3924</v>
      </c>
      <c r="J1347" s="26" t="s">
        <v>6193</v>
      </c>
      <c r="K1347" s="26" t="s">
        <v>3929</v>
      </c>
      <c r="L1347" s="26" t="s">
        <v>5087</v>
      </c>
      <c r="M1347" s="55" t="s">
        <v>6198</v>
      </c>
      <c r="N1347" s="26" t="s">
        <v>3924</v>
      </c>
    </row>
    <row r="1348" spans="1:14" ht="75" customHeight="1" thickTop="1" thickBot="1">
      <c r="A1348" s="26">
        <v>1346</v>
      </c>
      <c r="B1348" s="26">
        <v>1399</v>
      </c>
      <c r="C1348" s="57" t="s">
        <v>6097</v>
      </c>
      <c r="D1348" s="56" t="s">
        <v>394</v>
      </c>
      <c r="E1348" s="56" t="s">
        <v>3931</v>
      </c>
      <c r="F1348" s="26" t="s">
        <v>3923</v>
      </c>
      <c r="G1348" s="26" t="s">
        <v>3932</v>
      </c>
      <c r="H1348" s="26" t="s">
        <v>13</v>
      </c>
      <c r="I1348" s="26" t="s">
        <v>3924</v>
      </c>
      <c r="J1348" s="26" t="s">
        <v>6193</v>
      </c>
      <c r="K1348" s="26" t="s">
        <v>4341</v>
      </c>
      <c r="L1348" s="26" t="s">
        <v>3924</v>
      </c>
      <c r="M1348" s="55" t="s">
        <v>6199</v>
      </c>
      <c r="N1348" s="26" t="s">
        <v>3924</v>
      </c>
    </row>
    <row r="1349" spans="1:14" ht="75" customHeight="1" thickTop="1" thickBot="1">
      <c r="A1349" s="34">
        <v>1347</v>
      </c>
      <c r="B1349" s="34">
        <v>1400</v>
      </c>
      <c r="C1349" s="57" t="s">
        <v>6097</v>
      </c>
      <c r="D1349" s="56" t="s">
        <v>394</v>
      </c>
      <c r="E1349" s="56" t="s">
        <v>3931</v>
      </c>
      <c r="F1349" s="26" t="s">
        <v>3923</v>
      </c>
      <c r="G1349" s="26" t="s">
        <v>3932</v>
      </c>
      <c r="H1349" s="26" t="s">
        <v>13</v>
      </c>
      <c r="I1349" s="26" t="s">
        <v>3924</v>
      </c>
      <c r="J1349" s="26" t="s">
        <v>6200</v>
      </c>
      <c r="K1349" s="26" t="s">
        <v>4341</v>
      </c>
      <c r="L1349" s="26" t="s">
        <v>3924</v>
      </c>
      <c r="M1349" s="55" t="s">
        <v>6201</v>
      </c>
      <c r="N1349" s="26" t="s">
        <v>3924</v>
      </c>
    </row>
    <row r="1350" spans="1:14" ht="75" customHeight="1" thickTop="1" thickBot="1">
      <c r="A1350" s="34">
        <v>1348</v>
      </c>
      <c r="B1350" s="34">
        <v>1401</v>
      </c>
      <c r="C1350" s="57" t="s">
        <v>6103</v>
      </c>
      <c r="D1350" s="56" t="s">
        <v>394</v>
      </c>
      <c r="E1350" s="56" t="s">
        <v>3931</v>
      </c>
      <c r="F1350" s="26" t="s">
        <v>3923</v>
      </c>
      <c r="G1350" s="26" t="s">
        <v>3932</v>
      </c>
      <c r="H1350" s="26" t="s">
        <v>13</v>
      </c>
      <c r="I1350" s="26" t="s">
        <v>3924</v>
      </c>
      <c r="J1350" s="26" t="s">
        <v>6200</v>
      </c>
      <c r="K1350" s="26" t="s">
        <v>4341</v>
      </c>
      <c r="L1350" s="26" t="s">
        <v>3924</v>
      </c>
      <c r="M1350" s="55" t="s">
        <v>6202</v>
      </c>
      <c r="N1350" s="26" t="s">
        <v>3924</v>
      </c>
    </row>
    <row r="1351" spans="1:14" ht="75" customHeight="1" thickTop="1" thickBot="1">
      <c r="A1351" s="26">
        <v>1349</v>
      </c>
      <c r="B1351" s="26">
        <v>1402</v>
      </c>
      <c r="C1351" s="57" t="s">
        <v>6103</v>
      </c>
      <c r="D1351" s="56" t="s">
        <v>394</v>
      </c>
      <c r="E1351" s="56" t="s">
        <v>3931</v>
      </c>
      <c r="F1351" s="26" t="s">
        <v>3923</v>
      </c>
      <c r="G1351" s="26" t="s">
        <v>3932</v>
      </c>
      <c r="H1351" s="26" t="s">
        <v>13</v>
      </c>
      <c r="I1351" s="26" t="s">
        <v>3924</v>
      </c>
      <c r="J1351" s="26" t="s">
        <v>6200</v>
      </c>
      <c r="K1351" s="26" t="s">
        <v>4010</v>
      </c>
      <c r="L1351" s="26" t="s">
        <v>3924</v>
      </c>
      <c r="M1351" s="55" t="s">
        <v>793</v>
      </c>
      <c r="N1351" s="26" t="s">
        <v>3924</v>
      </c>
    </row>
    <row r="1352" spans="1:14" ht="75" customHeight="1" thickTop="1" thickBot="1">
      <c r="A1352" s="34">
        <v>1350</v>
      </c>
      <c r="B1352" s="34">
        <v>1403</v>
      </c>
      <c r="C1352" s="57" t="s">
        <v>6103</v>
      </c>
      <c r="D1352" s="56" t="s">
        <v>394</v>
      </c>
      <c r="E1352" s="56" t="s">
        <v>3931</v>
      </c>
      <c r="F1352" s="26" t="s">
        <v>3923</v>
      </c>
      <c r="G1352" s="26" t="s">
        <v>3932</v>
      </c>
      <c r="H1352" s="26" t="s">
        <v>13</v>
      </c>
      <c r="I1352" s="26" t="s">
        <v>3924</v>
      </c>
      <c r="J1352" s="26" t="s">
        <v>6200</v>
      </c>
      <c r="K1352" s="26" t="s">
        <v>3941</v>
      </c>
      <c r="L1352" s="26" t="s">
        <v>3924</v>
      </c>
      <c r="M1352" s="55" t="s">
        <v>793</v>
      </c>
      <c r="N1352" s="26" t="s">
        <v>3924</v>
      </c>
    </row>
    <row r="1353" spans="1:14" ht="75" customHeight="1" thickTop="1" thickBot="1">
      <c r="A1353" s="34">
        <v>1351</v>
      </c>
      <c r="B1353" s="26">
        <v>1404</v>
      </c>
      <c r="C1353" s="57" t="s">
        <v>6113</v>
      </c>
      <c r="D1353" s="56" t="s">
        <v>394</v>
      </c>
      <c r="E1353" s="56" t="s">
        <v>3931</v>
      </c>
      <c r="F1353" s="26" t="s">
        <v>3923</v>
      </c>
      <c r="G1353" s="26" t="s">
        <v>3932</v>
      </c>
      <c r="H1353" s="26" t="s">
        <v>13</v>
      </c>
      <c r="I1353" s="26" t="s">
        <v>3924</v>
      </c>
      <c r="J1353" s="26" t="s">
        <v>6200</v>
      </c>
      <c r="K1353" s="26" t="s">
        <v>3941</v>
      </c>
      <c r="L1353" s="26" t="s">
        <v>3924</v>
      </c>
      <c r="M1353" s="55" t="s">
        <v>6203</v>
      </c>
      <c r="N1353" s="26" t="s">
        <v>3924</v>
      </c>
    </row>
    <row r="1354" spans="1:14" ht="75" customHeight="1" thickTop="1" thickBot="1">
      <c r="A1354" s="26">
        <v>1352</v>
      </c>
      <c r="B1354" s="34">
        <v>1405</v>
      </c>
      <c r="C1354" s="57" t="s">
        <v>6113</v>
      </c>
      <c r="D1354" s="56" t="s">
        <v>394</v>
      </c>
      <c r="E1354" s="56" t="s">
        <v>3931</v>
      </c>
      <c r="F1354" s="26" t="s">
        <v>3923</v>
      </c>
      <c r="G1354" s="26" t="s">
        <v>3932</v>
      </c>
      <c r="H1354" s="26" t="s">
        <v>13</v>
      </c>
      <c r="I1354" s="26" t="s">
        <v>3924</v>
      </c>
      <c r="J1354" s="26" t="s">
        <v>6204</v>
      </c>
      <c r="K1354" s="26" t="s">
        <v>3941</v>
      </c>
      <c r="L1354" s="26" t="s">
        <v>3924</v>
      </c>
      <c r="M1354" s="55" t="s">
        <v>6205</v>
      </c>
      <c r="N1354" s="26" t="s">
        <v>3924</v>
      </c>
    </row>
    <row r="1355" spans="1:14" ht="75" customHeight="1" thickTop="1" thickBot="1">
      <c r="A1355" s="34">
        <v>1353</v>
      </c>
      <c r="B1355" s="26">
        <v>1406</v>
      </c>
      <c r="C1355" s="57" t="s">
        <v>6113</v>
      </c>
      <c r="D1355" s="56" t="s">
        <v>394</v>
      </c>
      <c r="E1355" s="56" t="s">
        <v>3931</v>
      </c>
      <c r="F1355" s="26" t="s">
        <v>3923</v>
      </c>
      <c r="G1355" s="26" t="s">
        <v>3932</v>
      </c>
      <c r="H1355" s="26" t="s">
        <v>13</v>
      </c>
      <c r="I1355" s="26" t="s">
        <v>3924</v>
      </c>
      <c r="J1355" s="26" t="s">
        <v>6204</v>
      </c>
      <c r="K1355" s="26" t="s">
        <v>3941</v>
      </c>
      <c r="L1355" s="26" t="s">
        <v>3927</v>
      </c>
      <c r="M1355" s="55" t="s">
        <v>6206</v>
      </c>
      <c r="N1355" s="26" t="s">
        <v>3924</v>
      </c>
    </row>
    <row r="1356" spans="1:14" ht="75" customHeight="1" thickTop="1" thickBot="1">
      <c r="A1356" s="34">
        <v>1354</v>
      </c>
      <c r="B1356" s="34">
        <v>1407</v>
      </c>
      <c r="C1356" s="57" t="s">
        <v>6122</v>
      </c>
      <c r="D1356" s="56" t="s">
        <v>394</v>
      </c>
      <c r="E1356" s="56" t="s">
        <v>3931</v>
      </c>
      <c r="F1356" s="26" t="s">
        <v>3923</v>
      </c>
      <c r="G1356" s="26" t="s">
        <v>3932</v>
      </c>
      <c r="H1356" s="26" t="s">
        <v>13</v>
      </c>
      <c r="I1356" s="26" t="s">
        <v>3924</v>
      </c>
      <c r="J1356" s="26" t="s">
        <v>6207</v>
      </c>
      <c r="K1356" s="26" t="s">
        <v>3941</v>
      </c>
      <c r="L1356" s="26" t="s">
        <v>6208</v>
      </c>
      <c r="M1356" s="55" t="s">
        <v>6209</v>
      </c>
      <c r="N1356" s="26" t="s">
        <v>3924</v>
      </c>
    </row>
    <row r="1357" spans="1:14" ht="75" customHeight="1" thickTop="1" thickBot="1">
      <c r="A1357" s="26">
        <v>1355</v>
      </c>
      <c r="B1357" s="34">
        <v>1408</v>
      </c>
      <c r="C1357" s="57" t="s">
        <v>6133</v>
      </c>
      <c r="D1357" s="56" t="s">
        <v>394</v>
      </c>
      <c r="E1357" s="56" t="s">
        <v>3931</v>
      </c>
      <c r="F1357" s="26" t="s">
        <v>3923</v>
      </c>
      <c r="G1357" s="26" t="s">
        <v>3932</v>
      </c>
      <c r="H1357" s="26" t="s">
        <v>13</v>
      </c>
      <c r="I1357" s="26" t="s">
        <v>3924</v>
      </c>
      <c r="J1357" s="26" t="s">
        <v>6207</v>
      </c>
      <c r="K1357" s="26" t="s">
        <v>3941</v>
      </c>
      <c r="L1357" s="26" t="s">
        <v>6210</v>
      </c>
      <c r="M1357" s="55" t="s">
        <v>6211</v>
      </c>
      <c r="N1357" s="26" t="s">
        <v>3924</v>
      </c>
    </row>
    <row r="1358" spans="1:14" ht="75" customHeight="1" thickTop="1" thickBot="1">
      <c r="A1358" s="34">
        <v>1356</v>
      </c>
      <c r="B1358" s="26">
        <v>1409</v>
      </c>
      <c r="C1358" s="57" t="s">
        <v>6133</v>
      </c>
      <c r="D1358" s="56" t="s">
        <v>394</v>
      </c>
      <c r="E1358" s="56" t="s">
        <v>3931</v>
      </c>
      <c r="F1358" s="26" t="s">
        <v>3923</v>
      </c>
      <c r="G1358" s="26" t="s">
        <v>3932</v>
      </c>
      <c r="H1358" s="26" t="s">
        <v>13</v>
      </c>
      <c r="I1358" s="26" t="s">
        <v>3924</v>
      </c>
      <c r="J1358" s="26" t="s">
        <v>6212</v>
      </c>
      <c r="K1358" s="26" t="s">
        <v>3941</v>
      </c>
      <c r="L1358" s="26" t="s">
        <v>6213</v>
      </c>
      <c r="M1358" s="55" t="s">
        <v>6214</v>
      </c>
      <c r="N1358" s="26" t="s">
        <v>3924</v>
      </c>
    </row>
    <row r="1359" spans="1:14" ht="75" customHeight="1" thickTop="1" thickBot="1">
      <c r="A1359" s="34">
        <v>1357</v>
      </c>
      <c r="B1359" s="34">
        <v>1410</v>
      </c>
      <c r="C1359" s="57" t="s">
        <v>6068</v>
      </c>
      <c r="D1359" s="56" t="s">
        <v>394</v>
      </c>
      <c r="E1359" s="56" t="s">
        <v>3931</v>
      </c>
      <c r="F1359" s="26" t="s">
        <v>3923</v>
      </c>
      <c r="G1359" s="26" t="s">
        <v>3932</v>
      </c>
      <c r="H1359" s="26" t="s">
        <v>13</v>
      </c>
      <c r="I1359" s="26" t="s">
        <v>3924</v>
      </c>
      <c r="J1359" s="26" t="s">
        <v>6212</v>
      </c>
      <c r="K1359" s="26" t="s">
        <v>3966</v>
      </c>
      <c r="L1359" s="26" t="s">
        <v>6215</v>
      </c>
      <c r="M1359" s="55" t="s">
        <v>6216</v>
      </c>
      <c r="N1359" s="26" t="s">
        <v>3924</v>
      </c>
    </row>
    <row r="1360" spans="1:14" ht="75" customHeight="1" thickTop="1" thickBot="1">
      <c r="A1360" s="26">
        <v>1358</v>
      </c>
      <c r="B1360" s="26">
        <v>1411</v>
      </c>
      <c r="C1360" s="57" t="s">
        <v>6068</v>
      </c>
      <c r="D1360" s="56" t="s">
        <v>394</v>
      </c>
      <c r="E1360" s="56" t="s">
        <v>3931</v>
      </c>
      <c r="F1360" s="26" t="s">
        <v>3923</v>
      </c>
      <c r="G1360" s="26" t="s">
        <v>3932</v>
      </c>
      <c r="H1360" s="26" t="s">
        <v>13</v>
      </c>
      <c r="I1360" s="26" t="s">
        <v>3924</v>
      </c>
      <c r="J1360" s="26" t="s">
        <v>6212</v>
      </c>
      <c r="K1360" s="26" t="s">
        <v>3929</v>
      </c>
      <c r="L1360" s="26" t="s">
        <v>3924</v>
      </c>
      <c r="M1360" s="55" t="s">
        <v>793</v>
      </c>
      <c r="N1360" s="26" t="s">
        <v>3924</v>
      </c>
    </row>
    <row r="1361" spans="1:14" ht="75" customHeight="1" thickTop="1" thickBot="1">
      <c r="A1361" s="34">
        <v>1359</v>
      </c>
      <c r="B1361" s="34">
        <v>1412</v>
      </c>
      <c r="C1361" s="57" t="s">
        <v>6057</v>
      </c>
      <c r="D1361" s="56" t="s">
        <v>394</v>
      </c>
      <c r="E1361" s="56" t="s">
        <v>3931</v>
      </c>
      <c r="F1361" s="26" t="s">
        <v>3923</v>
      </c>
      <c r="G1361" s="26" t="s">
        <v>3932</v>
      </c>
      <c r="H1361" s="26" t="s">
        <v>13</v>
      </c>
      <c r="I1361" s="26" t="s">
        <v>3924</v>
      </c>
      <c r="J1361" s="26" t="s">
        <v>6217</v>
      </c>
      <c r="K1361" s="26" t="s">
        <v>3929</v>
      </c>
      <c r="L1361" s="26" t="s">
        <v>6218</v>
      </c>
      <c r="M1361" s="55" t="s">
        <v>6219</v>
      </c>
      <c r="N1361" s="26" t="s">
        <v>3924</v>
      </c>
    </row>
    <row r="1362" spans="1:14" ht="75" customHeight="1" thickTop="1" thickBot="1">
      <c r="A1362" s="34">
        <v>1360</v>
      </c>
      <c r="B1362" s="26">
        <v>1413</v>
      </c>
      <c r="C1362" s="57" t="s">
        <v>6057</v>
      </c>
      <c r="D1362" s="56" t="s">
        <v>394</v>
      </c>
      <c r="E1362" s="56" t="s">
        <v>3931</v>
      </c>
      <c r="F1362" s="26" t="s">
        <v>3923</v>
      </c>
      <c r="G1362" s="26" t="s">
        <v>3932</v>
      </c>
      <c r="H1362" s="26" t="s">
        <v>13</v>
      </c>
      <c r="I1362" s="26" t="s">
        <v>3924</v>
      </c>
      <c r="J1362" s="26" t="s">
        <v>6217</v>
      </c>
      <c r="K1362" s="26" t="s">
        <v>3929</v>
      </c>
      <c r="L1362" s="26" t="s">
        <v>4029</v>
      </c>
      <c r="M1362" s="55" t="s">
        <v>6220</v>
      </c>
      <c r="N1362" s="26" t="s">
        <v>3924</v>
      </c>
    </row>
    <row r="1363" spans="1:14" ht="75" customHeight="1" thickTop="1" thickBot="1">
      <c r="A1363" s="26">
        <v>1361</v>
      </c>
      <c r="B1363" s="34">
        <v>1414</v>
      </c>
      <c r="C1363" s="57" t="s">
        <v>6064</v>
      </c>
      <c r="D1363" s="56" t="s">
        <v>394</v>
      </c>
      <c r="E1363" s="56" t="s">
        <v>3931</v>
      </c>
      <c r="F1363" s="26" t="s">
        <v>3923</v>
      </c>
      <c r="G1363" s="26" t="s">
        <v>3932</v>
      </c>
      <c r="H1363" s="26" t="s">
        <v>13</v>
      </c>
      <c r="I1363" s="26" t="s">
        <v>3924</v>
      </c>
      <c r="J1363" s="26" t="s">
        <v>6217</v>
      </c>
      <c r="K1363" s="26" t="s">
        <v>3929</v>
      </c>
      <c r="L1363" s="26" t="s">
        <v>6221</v>
      </c>
      <c r="M1363" s="55" t="s">
        <v>4426</v>
      </c>
      <c r="N1363" s="26" t="s">
        <v>3924</v>
      </c>
    </row>
    <row r="1364" spans="1:14" ht="75" customHeight="1" thickTop="1" thickBot="1">
      <c r="A1364" s="34">
        <v>1362</v>
      </c>
      <c r="B1364" s="34">
        <v>1415</v>
      </c>
      <c r="C1364" s="57" t="s">
        <v>6064</v>
      </c>
      <c r="D1364" s="56" t="s">
        <v>394</v>
      </c>
      <c r="E1364" s="56" t="s">
        <v>3931</v>
      </c>
      <c r="F1364" s="26" t="s">
        <v>3923</v>
      </c>
      <c r="G1364" s="26" t="s">
        <v>3932</v>
      </c>
      <c r="H1364" s="26" t="s">
        <v>13</v>
      </c>
      <c r="I1364" s="26" t="s">
        <v>3924</v>
      </c>
      <c r="J1364" s="26" t="s">
        <v>6222</v>
      </c>
      <c r="K1364" s="26" t="s">
        <v>4004</v>
      </c>
      <c r="L1364" s="26" t="s">
        <v>3924</v>
      </c>
      <c r="M1364" s="55" t="s">
        <v>6223</v>
      </c>
      <c r="N1364" s="26" t="s">
        <v>3924</v>
      </c>
    </row>
    <row r="1365" spans="1:14" ht="75" customHeight="1" thickTop="1" thickBot="1">
      <c r="A1365" s="34">
        <v>1363</v>
      </c>
      <c r="B1365" s="26">
        <v>1416</v>
      </c>
      <c r="C1365" s="57" t="s">
        <v>6173</v>
      </c>
      <c r="D1365" s="56" t="s">
        <v>394</v>
      </c>
      <c r="E1365" s="56" t="s">
        <v>3931</v>
      </c>
      <c r="F1365" s="26" t="s">
        <v>3923</v>
      </c>
      <c r="G1365" s="26" t="s">
        <v>3932</v>
      </c>
      <c r="H1365" s="26" t="s">
        <v>13</v>
      </c>
      <c r="I1365" s="26" t="s">
        <v>3924</v>
      </c>
      <c r="J1365" s="26" t="s">
        <v>6222</v>
      </c>
      <c r="K1365" s="26" t="s">
        <v>4010</v>
      </c>
      <c r="L1365" s="26" t="s">
        <v>6224</v>
      </c>
      <c r="M1365" s="55" t="s">
        <v>6225</v>
      </c>
      <c r="N1365" s="26" t="s">
        <v>3924</v>
      </c>
    </row>
    <row r="1366" spans="1:14" ht="75" customHeight="1" thickTop="1" thickBot="1">
      <c r="A1366" s="26">
        <v>1364</v>
      </c>
      <c r="B1366" s="34">
        <v>1417</v>
      </c>
      <c r="C1366" s="57" t="s">
        <v>6183</v>
      </c>
      <c r="D1366" s="56" t="s">
        <v>394</v>
      </c>
      <c r="E1366" s="56" t="s">
        <v>3931</v>
      </c>
      <c r="F1366" s="26" t="s">
        <v>3923</v>
      </c>
      <c r="G1366" s="26" t="s">
        <v>3932</v>
      </c>
      <c r="H1366" s="26" t="s">
        <v>13</v>
      </c>
      <c r="I1366" s="26" t="s">
        <v>3924</v>
      </c>
      <c r="J1366" s="26" t="s">
        <v>6222</v>
      </c>
      <c r="K1366" s="26" t="s">
        <v>4010</v>
      </c>
      <c r="L1366" s="26" t="s">
        <v>6224</v>
      </c>
      <c r="M1366" s="55" t="s">
        <v>6226</v>
      </c>
      <c r="N1366" s="26" t="s">
        <v>3924</v>
      </c>
    </row>
    <row r="1367" spans="1:14" ht="75" customHeight="1" thickTop="1" thickBot="1">
      <c r="A1367" s="34">
        <v>1365</v>
      </c>
      <c r="B1367" s="26">
        <v>1418</v>
      </c>
      <c r="C1367" s="57" t="s">
        <v>6183</v>
      </c>
      <c r="D1367" s="56" t="s">
        <v>394</v>
      </c>
      <c r="E1367" s="56" t="s">
        <v>3931</v>
      </c>
      <c r="F1367" s="26" t="s">
        <v>3923</v>
      </c>
      <c r="G1367" s="26" t="s">
        <v>3932</v>
      </c>
      <c r="H1367" s="26" t="s">
        <v>13</v>
      </c>
      <c r="I1367" s="26" t="s">
        <v>3924</v>
      </c>
      <c r="J1367" s="26" t="s">
        <v>6222</v>
      </c>
      <c r="K1367" s="26" t="s">
        <v>4010</v>
      </c>
      <c r="L1367" s="26" t="s">
        <v>6224</v>
      </c>
      <c r="M1367" s="55" t="s">
        <v>6227</v>
      </c>
      <c r="N1367" s="26" t="s">
        <v>3924</v>
      </c>
    </row>
    <row r="1368" spans="1:14" ht="75" customHeight="1" thickTop="1" thickBot="1">
      <c r="A1368" s="34">
        <v>1366</v>
      </c>
      <c r="B1368" s="34">
        <v>1419</v>
      </c>
      <c r="C1368" s="57" t="s">
        <v>6193</v>
      </c>
      <c r="D1368" s="56" t="s">
        <v>394</v>
      </c>
      <c r="E1368" s="56" t="s">
        <v>3931</v>
      </c>
      <c r="F1368" s="26" t="s">
        <v>3923</v>
      </c>
      <c r="G1368" s="26" t="s">
        <v>3932</v>
      </c>
      <c r="H1368" s="26" t="s">
        <v>13</v>
      </c>
      <c r="I1368" s="26" t="s">
        <v>3924</v>
      </c>
      <c r="J1368" s="26" t="s">
        <v>6228</v>
      </c>
      <c r="K1368" s="26" t="s">
        <v>4010</v>
      </c>
      <c r="L1368" s="26" t="s">
        <v>6224</v>
      </c>
      <c r="M1368" s="55" t="s">
        <v>6229</v>
      </c>
      <c r="N1368" s="26" t="s">
        <v>3924</v>
      </c>
    </row>
    <row r="1369" spans="1:14" ht="75" customHeight="1" thickTop="1" thickBot="1">
      <c r="A1369" s="26">
        <v>1367</v>
      </c>
      <c r="B1369" s="26">
        <v>1420</v>
      </c>
      <c r="C1369" s="57" t="s">
        <v>6230</v>
      </c>
      <c r="D1369" s="56" t="s">
        <v>394</v>
      </c>
      <c r="E1369" s="56" t="s">
        <v>3931</v>
      </c>
      <c r="F1369" s="26" t="s">
        <v>3923</v>
      </c>
      <c r="G1369" s="26" t="s">
        <v>3932</v>
      </c>
      <c r="H1369" s="26" t="s">
        <v>13</v>
      </c>
      <c r="I1369" s="26" t="s">
        <v>3924</v>
      </c>
      <c r="J1369" s="26" t="s">
        <v>6228</v>
      </c>
      <c r="K1369" s="26" t="s">
        <v>3966</v>
      </c>
      <c r="L1369" s="26" t="s">
        <v>3924</v>
      </c>
      <c r="M1369" s="55" t="s">
        <v>6231</v>
      </c>
      <c r="N1369" s="26" t="s">
        <v>3924</v>
      </c>
    </row>
    <row r="1370" spans="1:14" ht="75" customHeight="1" thickTop="1" thickBot="1">
      <c r="A1370" s="34">
        <v>1368</v>
      </c>
      <c r="B1370" s="34">
        <v>1421</v>
      </c>
      <c r="C1370" s="57" t="s">
        <v>6230</v>
      </c>
      <c r="D1370" s="56" t="s">
        <v>394</v>
      </c>
      <c r="E1370" s="56" t="s">
        <v>3931</v>
      </c>
      <c r="F1370" s="26" t="s">
        <v>3923</v>
      </c>
      <c r="G1370" s="26" t="s">
        <v>3932</v>
      </c>
      <c r="H1370" s="26" t="s">
        <v>13</v>
      </c>
      <c r="I1370" s="26" t="s">
        <v>3924</v>
      </c>
      <c r="J1370" s="26" t="s">
        <v>6228</v>
      </c>
      <c r="K1370" s="26" t="s">
        <v>3976</v>
      </c>
      <c r="L1370" s="26" t="s">
        <v>3924</v>
      </c>
      <c r="M1370" s="55" t="s">
        <v>6231</v>
      </c>
      <c r="N1370" s="26" t="s">
        <v>3924</v>
      </c>
    </row>
    <row r="1371" spans="1:14" ht="75" customHeight="1" thickTop="1" thickBot="1">
      <c r="A1371" s="34">
        <v>1369</v>
      </c>
      <c r="B1371" s="34">
        <v>1422</v>
      </c>
      <c r="C1371" s="57" t="s">
        <v>6230</v>
      </c>
      <c r="D1371" s="56" t="s">
        <v>394</v>
      </c>
      <c r="E1371" s="56" t="s">
        <v>3931</v>
      </c>
      <c r="F1371" s="26" t="s">
        <v>3923</v>
      </c>
      <c r="G1371" s="26" t="s">
        <v>3932</v>
      </c>
      <c r="H1371" s="26" t="s">
        <v>13</v>
      </c>
      <c r="I1371" s="26" t="s">
        <v>3924</v>
      </c>
      <c r="J1371" s="26" t="s">
        <v>6222</v>
      </c>
      <c r="K1371" s="26" t="s">
        <v>3947</v>
      </c>
      <c r="L1371" s="26" t="s">
        <v>3924</v>
      </c>
      <c r="M1371" s="55" t="s">
        <v>6232</v>
      </c>
      <c r="N1371" s="26" t="s">
        <v>3924</v>
      </c>
    </row>
    <row r="1372" spans="1:14" ht="75" customHeight="1" thickTop="1" thickBot="1">
      <c r="A1372" s="26">
        <v>1370</v>
      </c>
      <c r="B1372" s="26">
        <v>1423</v>
      </c>
      <c r="C1372" s="57" t="s">
        <v>6230</v>
      </c>
      <c r="D1372" s="56" t="s">
        <v>394</v>
      </c>
      <c r="E1372" s="56" t="s">
        <v>3931</v>
      </c>
      <c r="F1372" s="26" t="s">
        <v>3923</v>
      </c>
      <c r="G1372" s="26" t="s">
        <v>3932</v>
      </c>
      <c r="H1372" s="26" t="s">
        <v>13</v>
      </c>
      <c r="I1372" s="26" t="s">
        <v>3924</v>
      </c>
      <c r="J1372" s="26" t="s">
        <v>6222</v>
      </c>
      <c r="K1372" s="26" t="s">
        <v>4010</v>
      </c>
      <c r="L1372" s="26" t="s">
        <v>3924</v>
      </c>
      <c r="M1372" s="55" t="s">
        <v>6232</v>
      </c>
      <c r="N1372" s="26" t="s">
        <v>3924</v>
      </c>
    </row>
    <row r="1373" spans="1:14" ht="75" customHeight="1" thickTop="1" thickBot="1">
      <c r="A1373" s="34">
        <v>1371</v>
      </c>
      <c r="B1373" s="34">
        <v>1424</v>
      </c>
      <c r="C1373" s="57" t="s">
        <v>6230</v>
      </c>
      <c r="D1373" s="56" t="s">
        <v>394</v>
      </c>
      <c r="E1373" s="56" t="s">
        <v>3931</v>
      </c>
      <c r="F1373" s="26" t="s">
        <v>3923</v>
      </c>
      <c r="G1373" s="26" t="s">
        <v>3932</v>
      </c>
      <c r="H1373" s="26" t="s">
        <v>13</v>
      </c>
      <c r="I1373" s="26" t="s">
        <v>3924</v>
      </c>
      <c r="J1373" s="26" t="s">
        <v>6222</v>
      </c>
      <c r="K1373" s="26" t="s">
        <v>3941</v>
      </c>
      <c r="L1373" s="26" t="s">
        <v>3924</v>
      </c>
      <c r="M1373" s="55" t="s">
        <v>6232</v>
      </c>
      <c r="N1373" s="26" t="s">
        <v>3924</v>
      </c>
    </row>
    <row r="1374" spans="1:14" ht="75" customHeight="1" thickTop="1" thickBot="1">
      <c r="A1374" s="34">
        <v>1372</v>
      </c>
      <c r="B1374" s="26">
        <v>1425</v>
      </c>
      <c r="C1374" s="57" t="s">
        <v>6230</v>
      </c>
      <c r="D1374" s="56" t="s">
        <v>394</v>
      </c>
      <c r="E1374" s="56" t="s">
        <v>3931</v>
      </c>
      <c r="F1374" s="26" t="s">
        <v>3923</v>
      </c>
      <c r="G1374" s="26" t="s">
        <v>3932</v>
      </c>
      <c r="H1374" s="26" t="s">
        <v>13</v>
      </c>
      <c r="I1374" s="26" t="s">
        <v>3924</v>
      </c>
      <c r="J1374" s="26" t="s">
        <v>6217</v>
      </c>
      <c r="K1374" s="26" t="s">
        <v>3929</v>
      </c>
      <c r="L1374" s="26" t="s">
        <v>3924</v>
      </c>
      <c r="M1374" s="55" t="s">
        <v>6232</v>
      </c>
      <c r="N1374" s="26" t="s">
        <v>3924</v>
      </c>
    </row>
    <row r="1375" spans="1:14" ht="75" customHeight="1" thickTop="1" thickBot="1">
      <c r="A1375" s="26">
        <v>1373</v>
      </c>
      <c r="B1375" s="34">
        <v>1426</v>
      </c>
      <c r="C1375" s="57" t="s">
        <v>6212</v>
      </c>
      <c r="D1375" s="56" t="s">
        <v>394</v>
      </c>
      <c r="E1375" s="56" t="s">
        <v>3931</v>
      </c>
      <c r="F1375" s="26" t="s">
        <v>3923</v>
      </c>
      <c r="G1375" s="26" t="s">
        <v>3932</v>
      </c>
      <c r="H1375" s="26" t="s">
        <v>13</v>
      </c>
      <c r="I1375" s="26" t="s">
        <v>3924</v>
      </c>
      <c r="J1375" s="26" t="s">
        <v>6217</v>
      </c>
      <c r="K1375" s="26" t="s">
        <v>4040</v>
      </c>
      <c r="L1375" s="26" t="s">
        <v>3924</v>
      </c>
      <c r="M1375" s="55" t="s">
        <v>6232</v>
      </c>
      <c r="N1375" s="26" t="s">
        <v>3924</v>
      </c>
    </row>
    <row r="1376" spans="1:14" ht="75" customHeight="1" thickTop="1" thickBot="1">
      <c r="A1376" s="34">
        <v>1374</v>
      </c>
      <c r="B1376" s="26">
        <v>1427</v>
      </c>
      <c r="C1376" s="57" t="s">
        <v>6212</v>
      </c>
      <c r="D1376" s="56" t="s">
        <v>394</v>
      </c>
      <c r="E1376" s="56" t="s">
        <v>3931</v>
      </c>
      <c r="F1376" s="26" t="s">
        <v>3923</v>
      </c>
      <c r="G1376" s="26" t="s">
        <v>3932</v>
      </c>
      <c r="H1376" s="26" t="s">
        <v>13</v>
      </c>
      <c r="I1376" s="26" t="s">
        <v>3924</v>
      </c>
      <c r="J1376" s="26" t="s">
        <v>6204</v>
      </c>
      <c r="K1376" s="26" t="s">
        <v>4087</v>
      </c>
      <c r="L1376" s="26" t="s">
        <v>3924</v>
      </c>
      <c r="M1376" s="55" t="s">
        <v>6233</v>
      </c>
      <c r="N1376" s="26" t="s">
        <v>3924</v>
      </c>
    </row>
    <row r="1377" spans="1:14" ht="75" customHeight="1" thickTop="1" thickBot="1">
      <c r="A1377" s="34">
        <v>1375</v>
      </c>
      <c r="B1377" s="34">
        <v>1428</v>
      </c>
      <c r="C1377" s="57" t="s">
        <v>6212</v>
      </c>
      <c r="D1377" s="56" t="s">
        <v>394</v>
      </c>
      <c r="E1377" s="56" t="s">
        <v>3931</v>
      </c>
      <c r="F1377" s="26" t="s">
        <v>3923</v>
      </c>
      <c r="G1377" s="26" t="s">
        <v>3932</v>
      </c>
      <c r="H1377" s="26" t="s">
        <v>13</v>
      </c>
      <c r="I1377" s="26" t="s">
        <v>3924</v>
      </c>
      <c r="J1377" s="26" t="s">
        <v>6204</v>
      </c>
      <c r="K1377" s="26" t="s">
        <v>4387</v>
      </c>
      <c r="L1377" s="26" t="s">
        <v>3924</v>
      </c>
      <c r="M1377" s="55" t="s">
        <v>6233</v>
      </c>
      <c r="N1377" s="26" t="s">
        <v>3924</v>
      </c>
    </row>
    <row r="1378" spans="1:14" ht="75" customHeight="1" thickTop="1" thickBot="1">
      <c r="A1378" s="26">
        <v>1376</v>
      </c>
      <c r="B1378" s="34">
        <v>1429</v>
      </c>
      <c r="C1378" s="57" t="s">
        <v>6212</v>
      </c>
      <c r="D1378" s="56" t="s">
        <v>394</v>
      </c>
      <c r="E1378" s="56" t="s">
        <v>3931</v>
      </c>
      <c r="F1378" s="26" t="s">
        <v>3923</v>
      </c>
      <c r="G1378" s="26" t="s">
        <v>3932</v>
      </c>
      <c r="H1378" s="26" t="s">
        <v>13</v>
      </c>
      <c r="I1378" s="26" t="s">
        <v>3924</v>
      </c>
      <c r="J1378" s="26" t="s">
        <v>6204</v>
      </c>
      <c r="K1378" s="26" t="s">
        <v>3926</v>
      </c>
      <c r="L1378" s="26" t="s">
        <v>3924</v>
      </c>
      <c r="M1378" s="55" t="s">
        <v>6234</v>
      </c>
      <c r="N1378" s="26" t="s">
        <v>3924</v>
      </c>
    </row>
    <row r="1379" spans="1:14" ht="75" customHeight="1" thickTop="1" thickBot="1">
      <c r="A1379" s="34">
        <v>1377</v>
      </c>
      <c r="B1379" s="26">
        <v>1430</v>
      </c>
      <c r="C1379" s="57" t="s">
        <v>6207</v>
      </c>
      <c r="D1379" s="56" t="s">
        <v>394</v>
      </c>
      <c r="E1379" s="56" t="s">
        <v>3931</v>
      </c>
      <c r="F1379" s="26" t="s">
        <v>3923</v>
      </c>
      <c r="G1379" s="26" t="s">
        <v>3932</v>
      </c>
      <c r="H1379" s="26" t="s">
        <v>13</v>
      </c>
      <c r="I1379" s="26" t="s">
        <v>3924</v>
      </c>
      <c r="J1379" s="26" t="s">
        <v>6207</v>
      </c>
      <c r="K1379" s="26" t="s">
        <v>3976</v>
      </c>
      <c r="L1379" s="26" t="s">
        <v>3924</v>
      </c>
      <c r="M1379" s="55" t="s">
        <v>6235</v>
      </c>
      <c r="N1379" s="26" t="s">
        <v>3924</v>
      </c>
    </row>
    <row r="1380" spans="1:14" ht="75" customHeight="1" thickTop="1" thickBot="1">
      <c r="A1380" s="34">
        <v>1378</v>
      </c>
      <c r="B1380" s="34">
        <v>1431</v>
      </c>
      <c r="C1380" s="57" t="s">
        <v>6204</v>
      </c>
      <c r="D1380" s="56" t="s">
        <v>394</v>
      </c>
      <c r="E1380" s="56" t="s">
        <v>3931</v>
      </c>
      <c r="F1380" s="26" t="s">
        <v>3923</v>
      </c>
      <c r="G1380" s="26" t="s">
        <v>3932</v>
      </c>
      <c r="H1380" s="26" t="s">
        <v>13</v>
      </c>
      <c r="I1380" s="26" t="s">
        <v>3924</v>
      </c>
      <c r="J1380" s="26" t="s">
        <v>6236</v>
      </c>
      <c r="K1380" s="26" t="s">
        <v>3966</v>
      </c>
      <c r="L1380" s="26" t="s">
        <v>3924</v>
      </c>
      <c r="M1380" s="55" t="s">
        <v>6235</v>
      </c>
      <c r="N1380" s="26" t="s">
        <v>3924</v>
      </c>
    </row>
    <row r="1381" spans="1:14" ht="75" customHeight="1" thickTop="1" thickBot="1">
      <c r="A1381" s="26">
        <v>1379</v>
      </c>
      <c r="B1381" s="26">
        <v>1432</v>
      </c>
      <c r="C1381" s="57" t="s">
        <v>6204</v>
      </c>
      <c r="D1381" s="56" t="s">
        <v>394</v>
      </c>
      <c r="E1381" s="56" t="s">
        <v>3931</v>
      </c>
      <c r="F1381" s="26" t="s">
        <v>3923</v>
      </c>
      <c r="G1381" s="26" t="s">
        <v>3932</v>
      </c>
      <c r="H1381" s="26" t="s">
        <v>13</v>
      </c>
      <c r="I1381" s="26" t="s">
        <v>3924</v>
      </c>
      <c r="J1381" s="26" t="s">
        <v>6228</v>
      </c>
      <c r="K1381" s="26" t="s">
        <v>4791</v>
      </c>
      <c r="L1381" s="26" t="s">
        <v>3924</v>
      </c>
      <c r="M1381" s="55" t="s">
        <v>6237</v>
      </c>
      <c r="N1381" s="26" t="s">
        <v>3924</v>
      </c>
    </row>
    <row r="1382" spans="1:14" ht="75" customHeight="1" thickTop="1" thickBot="1">
      <c r="A1382" s="34">
        <v>1380</v>
      </c>
      <c r="B1382" s="34">
        <v>1433</v>
      </c>
      <c r="C1382" s="57" t="s">
        <v>6217</v>
      </c>
      <c r="D1382" s="56" t="s">
        <v>394</v>
      </c>
      <c r="E1382" s="56" t="s">
        <v>3931</v>
      </c>
      <c r="F1382" s="26" t="s">
        <v>3923</v>
      </c>
      <c r="G1382" s="26" t="s">
        <v>3932</v>
      </c>
      <c r="H1382" s="26" t="s">
        <v>13</v>
      </c>
      <c r="I1382" s="26" t="s">
        <v>3924</v>
      </c>
      <c r="J1382" s="26" t="s">
        <v>6236</v>
      </c>
      <c r="K1382" s="26" t="s">
        <v>3966</v>
      </c>
      <c r="L1382" s="26" t="s">
        <v>6238</v>
      </c>
      <c r="M1382" s="55" t="s">
        <v>6239</v>
      </c>
      <c r="N1382" s="26" t="s">
        <v>3924</v>
      </c>
    </row>
    <row r="1383" spans="1:14" ht="75" customHeight="1" thickTop="1" thickBot="1">
      <c r="A1383" s="34">
        <v>1381</v>
      </c>
      <c r="B1383" s="26">
        <v>1434</v>
      </c>
      <c r="C1383" s="57" t="s">
        <v>6217</v>
      </c>
      <c r="D1383" s="56" t="s">
        <v>394</v>
      </c>
      <c r="E1383" s="56" t="s">
        <v>3931</v>
      </c>
      <c r="F1383" s="26" t="s">
        <v>3923</v>
      </c>
      <c r="G1383" s="26" t="s">
        <v>3932</v>
      </c>
      <c r="H1383" s="26" t="s">
        <v>13</v>
      </c>
      <c r="I1383" s="26" t="s">
        <v>3924</v>
      </c>
      <c r="J1383" s="26" t="s">
        <v>6236</v>
      </c>
      <c r="K1383" s="26" t="s">
        <v>6150</v>
      </c>
      <c r="L1383" s="26" t="s">
        <v>3924</v>
      </c>
      <c r="M1383" s="55" t="s">
        <v>6240</v>
      </c>
      <c r="N1383" s="26" t="s">
        <v>3924</v>
      </c>
    </row>
    <row r="1384" spans="1:14" ht="75" customHeight="1" thickTop="1" thickBot="1">
      <c r="A1384" s="26">
        <v>1382</v>
      </c>
      <c r="B1384" s="34">
        <v>1435</v>
      </c>
      <c r="C1384" s="57" t="s">
        <v>6222</v>
      </c>
      <c r="D1384" s="56" t="s">
        <v>394</v>
      </c>
      <c r="E1384" s="56" t="s">
        <v>3931</v>
      </c>
      <c r="F1384" s="26" t="s">
        <v>3923</v>
      </c>
      <c r="G1384" s="26" t="s">
        <v>3932</v>
      </c>
      <c r="H1384" s="26" t="s">
        <v>13</v>
      </c>
      <c r="I1384" s="26" t="s">
        <v>3924</v>
      </c>
      <c r="J1384" s="26" t="s">
        <v>6236</v>
      </c>
      <c r="K1384" s="26" t="s">
        <v>5349</v>
      </c>
      <c r="L1384" s="26" t="s">
        <v>3924</v>
      </c>
      <c r="M1384" s="55" t="s">
        <v>6241</v>
      </c>
      <c r="N1384" s="26" t="s">
        <v>3924</v>
      </c>
    </row>
    <row r="1385" spans="1:14" ht="75" customHeight="1" thickTop="1" thickBot="1">
      <c r="A1385" s="34">
        <v>1383</v>
      </c>
      <c r="B1385" s="34">
        <v>1436</v>
      </c>
      <c r="C1385" s="57" t="s">
        <v>6228</v>
      </c>
      <c r="D1385" s="56" t="s">
        <v>394</v>
      </c>
      <c r="E1385" s="56" t="s">
        <v>3931</v>
      </c>
      <c r="F1385" s="26" t="s">
        <v>3923</v>
      </c>
      <c r="G1385" s="26" t="s">
        <v>3932</v>
      </c>
      <c r="H1385" s="26" t="s">
        <v>13</v>
      </c>
      <c r="I1385" s="26" t="s">
        <v>3924</v>
      </c>
      <c r="J1385" s="26" t="s">
        <v>6242</v>
      </c>
      <c r="K1385" s="26" t="s">
        <v>3941</v>
      </c>
      <c r="L1385" s="26" t="s">
        <v>6243</v>
      </c>
      <c r="M1385" s="55" t="s">
        <v>6244</v>
      </c>
      <c r="N1385" s="26" t="s">
        <v>3924</v>
      </c>
    </row>
    <row r="1386" spans="1:14" ht="75" customHeight="1" thickTop="1" thickBot="1">
      <c r="A1386" s="34">
        <v>1384</v>
      </c>
      <c r="B1386" s="26">
        <v>1437</v>
      </c>
      <c r="C1386" s="57" t="s">
        <v>6228</v>
      </c>
      <c r="D1386" s="56" t="s">
        <v>394</v>
      </c>
      <c r="E1386" s="56" t="s">
        <v>3931</v>
      </c>
      <c r="F1386" s="26" t="s">
        <v>3923</v>
      </c>
      <c r="G1386" s="26" t="s">
        <v>3932</v>
      </c>
      <c r="H1386" s="26" t="s">
        <v>13</v>
      </c>
      <c r="I1386" s="26" t="s">
        <v>3924</v>
      </c>
      <c r="J1386" s="26" t="s">
        <v>6242</v>
      </c>
      <c r="K1386" s="26" t="s">
        <v>5349</v>
      </c>
      <c r="L1386" s="26" t="s">
        <v>3924</v>
      </c>
      <c r="M1386" s="55" t="s">
        <v>6245</v>
      </c>
      <c r="N1386" s="26" t="s">
        <v>3924</v>
      </c>
    </row>
    <row r="1387" spans="1:14" ht="75" customHeight="1" thickTop="1" thickBot="1">
      <c r="A1387" s="26">
        <v>1385</v>
      </c>
      <c r="B1387" s="34">
        <v>1438</v>
      </c>
      <c r="C1387" s="57" t="s">
        <v>6236</v>
      </c>
      <c r="D1387" s="56" t="s">
        <v>394</v>
      </c>
      <c r="E1387" s="56" t="s">
        <v>3931</v>
      </c>
      <c r="F1387" s="26" t="s">
        <v>3923</v>
      </c>
      <c r="G1387" s="26" t="s">
        <v>3932</v>
      </c>
      <c r="H1387" s="26" t="s">
        <v>13</v>
      </c>
      <c r="I1387" s="26" t="s">
        <v>3924</v>
      </c>
      <c r="J1387" s="26" t="s">
        <v>6242</v>
      </c>
      <c r="K1387" s="26" t="s">
        <v>3947</v>
      </c>
      <c r="L1387" s="26" t="s">
        <v>4435</v>
      </c>
      <c r="M1387" s="55" t="s">
        <v>6142</v>
      </c>
      <c r="N1387" s="26" t="s">
        <v>3924</v>
      </c>
    </row>
    <row r="1388" spans="1:14" ht="75" customHeight="1" thickTop="1" thickBot="1">
      <c r="A1388" s="34">
        <v>1386</v>
      </c>
      <c r="B1388" s="26">
        <v>1439</v>
      </c>
      <c r="C1388" s="57" t="s">
        <v>6242</v>
      </c>
      <c r="D1388" s="56" t="s">
        <v>394</v>
      </c>
      <c r="E1388" s="56" t="s">
        <v>3931</v>
      </c>
      <c r="F1388" s="26" t="s">
        <v>3923</v>
      </c>
      <c r="G1388" s="26" t="s">
        <v>3932</v>
      </c>
      <c r="H1388" s="26" t="s">
        <v>13</v>
      </c>
      <c r="I1388" s="26" t="s">
        <v>3924</v>
      </c>
      <c r="J1388" s="26" t="s">
        <v>6246</v>
      </c>
      <c r="K1388" s="26" t="s">
        <v>4010</v>
      </c>
      <c r="L1388" s="26" t="s">
        <v>6224</v>
      </c>
      <c r="M1388" s="55" t="s">
        <v>6247</v>
      </c>
      <c r="N1388" s="26" t="s">
        <v>3924</v>
      </c>
    </row>
    <row r="1389" spans="1:14" ht="75" customHeight="1" thickTop="1" thickBot="1">
      <c r="A1389" s="34">
        <v>1387</v>
      </c>
      <c r="B1389" s="34">
        <v>1440</v>
      </c>
      <c r="C1389" s="57" t="s">
        <v>6246</v>
      </c>
      <c r="D1389" s="56" t="s">
        <v>394</v>
      </c>
      <c r="E1389" s="56" t="s">
        <v>3931</v>
      </c>
      <c r="F1389" s="26" t="s">
        <v>3923</v>
      </c>
      <c r="G1389" s="26" t="s">
        <v>3932</v>
      </c>
      <c r="H1389" s="26" t="s">
        <v>13</v>
      </c>
      <c r="I1389" s="26" t="s">
        <v>3924</v>
      </c>
      <c r="J1389" s="26" t="s">
        <v>6248</v>
      </c>
      <c r="K1389" s="26" t="s">
        <v>6249</v>
      </c>
      <c r="L1389" s="26" t="s">
        <v>3924</v>
      </c>
      <c r="M1389" s="55" t="s">
        <v>6250</v>
      </c>
      <c r="N1389" s="26" t="s">
        <v>3924</v>
      </c>
    </row>
    <row r="1390" spans="1:14" ht="75" customHeight="1" thickTop="1" thickBot="1">
      <c r="A1390" s="26">
        <v>1388</v>
      </c>
      <c r="B1390" s="26">
        <v>1441</v>
      </c>
      <c r="C1390" s="57" t="s">
        <v>6246</v>
      </c>
      <c r="D1390" s="56" t="s">
        <v>394</v>
      </c>
      <c r="E1390" s="56" t="s">
        <v>3931</v>
      </c>
      <c r="F1390" s="26" t="s">
        <v>3923</v>
      </c>
      <c r="G1390" s="26" t="s">
        <v>3932</v>
      </c>
      <c r="H1390" s="26" t="s">
        <v>13</v>
      </c>
      <c r="I1390" s="26" t="s">
        <v>3924</v>
      </c>
      <c r="J1390" s="26" t="s">
        <v>6248</v>
      </c>
      <c r="K1390" s="26" t="s">
        <v>6249</v>
      </c>
      <c r="L1390" s="26" t="s">
        <v>3924</v>
      </c>
      <c r="M1390" s="55" t="s">
        <v>6251</v>
      </c>
      <c r="N1390" s="26" t="s">
        <v>3924</v>
      </c>
    </row>
    <row r="1391" spans="1:14" ht="75" customHeight="1" thickTop="1" thickBot="1">
      <c r="A1391" s="34">
        <v>1389</v>
      </c>
      <c r="B1391" s="34">
        <v>1442</v>
      </c>
      <c r="C1391" s="57" t="s">
        <v>6248</v>
      </c>
      <c r="D1391" s="56" t="s">
        <v>394</v>
      </c>
      <c r="E1391" s="56" t="s">
        <v>3931</v>
      </c>
      <c r="F1391" s="26" t="s">
        <v>3923</v>
      </c>
      <c r="G1391" s="26" t="s">
        <v>3932</v>
      </c>
      <c r="H1391" s="26" t="s">
        <v>13</v>
      </c>
      <c r="I1391" s="26" t="s">
        <v>3924</v>
      </c>
      <c r="J1391" s="26" t="s">
        <v>6248</v>
      </c>
      <c r="K1391" s="26" t="s">
        <v>6249</v>
      </c>
      <c r="L1391" s="26" t="s">
        <v>3924</v>
      </c>
      <c r="M1391" s="55" t="s">
        <v>6252</v>
      </c>
      <c r="N1391" s="26" t="s">
        <v>3924</v>
      </c>
    </row>
    <row r="1392" spans="1:14" ht="75" customHeight="1" thickTop="1" thickBot="1">
      <c r="A1392" s="34">
        <v>1390</v>
      </c>
      <c r="B1392" s="34">
        <v>1443</v>
      </c>
      <c r="C1392" s="57" t="s">
        <v>6248</v>
      </c>
      <c r="D1392" s="56" t="s">
        <v>394</v>
      </c>
      <c r="E1392" s="56" t="s">
        <v>3931</v>
      </c>
      <c r="F1392" s="26" t="s">
        <v>3923</v>
      </c>
      <c r="G1392" s="26" t="s">
        <v>3932</v>
      </c>
      <c r="H1392" s="26" t="s">
        <v>13</v>
      </c>
      <c r="I1392" s="26" t="s">
        <v>3924</v>
      </c>
      <c r="J1392" s="26" t="s">
        <v>6253</v>
      </c>
      <c r="K1392" s="26" t="s">
        <v>6249</v>
      </c>
      <c r="L1392" s="26" t="s">
        <v>3924</v>
      </c>
      <c r="M1392" s="55" t="s">
        <v>6254</v>
      </c>
      <c r="N1392" s="26" t="s">
        <v>3924</v>
      </c>
    </row>
    <row r="1393" spans="1:14" ht="75" customHeight="1" thickTop="1" thickBot="1">
      <c r="A1393" s="26">
        <v>1391</v>
      </c>
      <c r="B1393" s="26">
        <v>1444</v>
      </c>
      <c r="C1393" s="57" t="s">
        <v>6253</v>
      </c>
      <c r="D1393" s="56" t="s">
        <v>394</v>
      </c>
      <c r="E1393" s="56" t="s">
        <v>3931</v>
      </c>
      <c r="F1393" s="26" t="s">
        <v>3923</v>
      </c>
      <c r="G1393" s="26" t="s">
        <v>3932</v>
      </c>
      <c r="H1393" s="26" t="s">
        <v>13</v>
      </c>
      <c r="I1393" s="26" t="s">
        <v>3924</v>
      </c>
      <c r="J1393" s="26" t="s">
        <v>6253</v>
      </c>
      <c r="K1393" s="26" t="s">
        <v>6255</v>
      </c>
      <c r="L1393" s="26" t="s">
        <v>3924</v>
      </c>
      <c r="M1393" s="55" t="s">
        <v>6256</v>
      </c>
      <c r="N1393" s="26" t="s">
        <v>3924</v>
      </c>
    </row>
    <row r="1394" spans="1:14" ht="75" customHeight="1" thickTop="1" thickBot="1">
      <c r="A1394" s="34">
        <v>1392</v>
      </c>
      <c r="B1394" s="34">
        <v>1445</v>
      </c>
      <c r="C1394" s="57" t="s">
        <v>6253</v>
      </c>
      <c r="D1394" s="56" t="s">
        <v>394</v>
      </c>
      <c r="E1394" s="56" t="s">
        <v>3931</v>
      </c>
      <c r="F1394" s="26" t="s">
        <v>3923</v>
      </c>
      <c r="G1394" s="26" t="s">
        <v>3932</v>
      </c>
      <c r="H1394" s="26" t="s">
        <v>13</v>
      </c>
      <c r="I1394" s="26" t="s">
        <v>3924</v>
      </c>
      <c r="J1394" s="26" t="s">
        <v>6257</v>
      </c>
      <c r="K1394" s="26" t="s">
        <v>6255</v>
      </c>
      <c r="L1394" s="26" t="s">
        <v>3924</v>
      </c>
      <c r="M1394" s="55" t="s">
        <v>6252</v>
      </c>
      <c r="N1394" s="26" t="s">
        <v>3924</v>
      </c>
    </row>
    <row r="1395" spans="1:14" ht="75" customHeight="1" thickTop="1" thickBot="1">
      <c r="A1395" s="34">
        <v>1393</v>
      </c>
      <c r="B1395" s="26">
        <v>1446</v>
      </c>
      <c r="C1395" s="57" t="s">
        <v>6253</v>
      </c>
      <c r="D1395" s="56" t="s">
        <v>394</v>
      </c>
      <c r="E1395" s="56" t="s">
        <v>3931</v>
      </c>
      <c r="F1395" s="26" t="s">
        <v>3923</v>
      </c>
      <c r="G1395" s="26" t="s">
        <v>3932</v>
      </c>
      <c r="H1395" s="26" t="s">
        <v>13</v>
      </c>
      <c r="I1395" s="26" t="s">
        <v>3924</v>
      </c>
      <c r="J1395" s="26" t="s">
        <v>6257</v>
      </c>
      <c r="K1395" s="26" t="s">
        <v>6255</v>
      </c>
      <c r="L1395" s="26" t="s">
        <v>3924</v>
      </c>
      <c r="M1395" s="55" t="s">
        <v>6258</v>
      </c>
      <c r="N1395" s="26" t="s">
        <v>3924</v>
      </c>
    </row>
    <row r="1396" spans="1:14" ht="75" customHeight="1" thickTop="1" thickBot="1">
      <c r="A1396" s="26">
        <v>1394</v>
      </c>
      <c r="B1396" s="34">
        <v>1447</v>
      </c>
      <c r="C1396" s="57" t="s">
        <v>6257</v>
      </c>
      <c r="D1396" s="56" t="s">
        <v>394</v>
      </c>
      <c r="E1396" s="56" t="s">
        <v>3931</v>
      </c>
      <c r="F1396" s="26" t="s">
        <v>3923</v>
      </c>
      <c r="G1396" s="26" t="s">
        <v>3932</v>
      </c>
      <c r="H1396" s="26" t="s">
        <v>13</v>
      </c>
      <c r="I1396" s="26" t="s">
        <v>3924</v>
      </c>
      <c r="J1396" s="26" t="s">
        <v>6257</v>
      </c>
      <c r="K1396" s="26" t="s">
        <v>6259</v>
      </c>
      <c r="L1396" s="26" t="s">
        <v>4029</v>
      </c>
      <c r="M1396" s="55" t="s">
        <v>6260</v>
      </c>
      <c r="N1396" s="26" t="s">
        <v>3924</v>
      </c>
    </row>
    <row r="1397" spans="1:14" ht="75" customHeight="1" thickTop="1" thickBot="1">
      <c r="A1397" s="34">
        <v>1395</v>
      </c>
      <c r="B1397" s="26">
        <v>1448</v>
      </c>
      <c r="C1397" s="57" t="s">
        <v>6257</v>
      </c>
      <c r="D1397" s="56" t="s">
        <v>394</v>
      </c>
      <c r="E1397" s="56" t="s">
        <v>3931</v>
      </c>
      <c r="F1397" s="26" t="s">
        <v>3923</v>
      </c>
      <c r="G1397" s="26" t="s">
        <v>3932</v>
      </c>
      <c r="H1397" s="26" t="s">
        <v>13</v>
      </c>
      <c r="I1397" s="26" t="s">
        <v>3924</v>
      </c>
      <c r="J1397" s="26" t="s">
        <v>6261</v>
      </c>
      <c r="K1397" s="26" t="s">
        <v>6262</v>
      </c>
      <c r="L1397" s="26" t="s">
        <v>3924</v>
      </c>
      <c r="M1397" s="55" t="s">
        <v>6263</v>
      </c>
      <c r="N1397" s="26" t="s">
        <v>3924</v>
      </c>
    </row>
    <row r="1398" spans="1:14" ht="75" customHeight="1" thickTop="1" thickBot="1">
      <c r="A1398" s="34">
        <v>1396</v>
      </c>
      <c r="B1398" s="34">
        <v>1449</v>
      </c>
      <c r="C1398" s="57" t="s">
        <v>6257</v>
      </c>
      <c r="D1398" s="56" t="s">
        <v>394</v>
      </c>
      <c r="E1398" s="56" t="s">
        <v>3931</v>
      </c>
      <c r="F1398" s="26" t="s">
        <v>3923</v>
      </c>
      <c r="G1398" s="26" t="s">
        <v>3932</v>
      </c>
      <c r="H1398" s="26" t="s">
        <v>13</v>
      </c>
      <c r="I1398" s="26" t="s">
        <v>3924</v>
      </c>
      <c r="J1398" s="26" t="s">
        <v>6264</v>
      </c>
      <c r="K1398" s="26" t="s">
        <v>6262</v>
      </c>
      <c r="L1398" s="26" t="s">
        <v>3924</v>
      </c>
      <c r="M1398" s="55" t="s">
        <v>6256</v>
      </c>
      <c r="N1398" s="26" t="s">
        <v>3924</v>
      </c>
    </row>
    <row r="1399" spans="1:14" ht="75" customHeight="1" thickTop="1" thickBot="1">
      <c r="A1399" s="26">
        <v>1397</v>
      </c>
      <c r="B1399" s="34">
        <v>1450</v>
      </c>
      <c r="C1399" s="57" t="s">
        <v>6264</v>
      </c>
      <c r="D1399" s="56" t="s">
        <v>394</v>
      </c>
      <c r="E1399" s="56" t="s">
        <v>3931</v>
      </c>
      <c r="F1399" s="26" t="s">
        <v>3923</v>
      </c>
      <c r="G1399" s="26" t="s">
        <v>3932</v>
      </c>
      <c r="H1399" s="26" t="s">
        <v>13</v>
      </c>
      <c r="I1399" s="26" t="s">
        <v>3924</v>
      </c>
      <c r="J1399" s="26" t="s">
        <v>6261</v>
      </c>
      <c r="K1399" s="26" t="s">
        <v>6262</v>
      </c>
      <c r="L1399" s="26" t="s">
        <v>3924</v>
      </c>
      <c r="M1399" s="55" t="s">
        <v>6252</v>
      </c>
      <c r="N1399" s="26" t="s">
        <v>3924</v>
      </c>
    </row>
    <row r="1400" spans="1:14" ht="75" customHeight="1" thickTop="1" thickBot="1">
      <c r="A1400" s="34">
        <v>1398</v>
      </c>
      <c r="B1400" s="26">
        <v>1451</v>
      </c>
      <c r="C1400" s="57" t="s">
        <v>6264</v>
      </c>
      <c r="D1400" s="56" t="s">
        <v>394</v>
      </c>
      <c r="E1400" s="56" t="s">
        <v>3931</v>
      </c>
      <c r="F1400" s="26" t="s">
        <v>3923</v>
      </c>
      <c r="G1400" s="26" t="s">
        <v>6265</v>
      </c>
      <c r="H1400" s="26" t="s">
        <v>13</v>
      </c>
      <c r="I1400" s="26" t="s">
        <v>3924</v>
      </c>
      <c r="J1400" s="26" t="s">
        <v>6261</v>
      </c>
      <c r="K1400" s="26" t="s">
        <v>4387</v>
      </c>
      <c r="L1400" s="26" t="s">
        <v>3924</v>
      </c>
      <c r="M1400" s="55" t="s">
        <v>6266</v>
      </c>
      <c r="N1400" s="26" t="s">
        <v>3924</v>
      </c>
    </row>
    <row r="1401" spans="1:14" ht="75" customHeight="1" thickTop="1" thickBot="1">
      <c r="A1401" s="34">
        <v>1399</v>
      </c>
      <c r="B1401" s="34">
        <v>1452</v>
      </c>
      <c r="C1401" s="57" t="s">
        <v>6261</v>
      </c>
      <c r="D1401" s="56" t="s">
        <v>394</v>
      </c>
      <c r="E1401" s="56" t="s">
        <v>3931</v>
      </c>
      <c r="F1401" s="26" t="s">
        <v>3923</v>
      </c>
      <c r="G1401" s="26" t="s">
        <v>3932</v>
      </c>
      <c r="H1401" s="26" t="s">
        <v>13</v>
      </c>
      <c r="I1401" s="26" t="s">
        <v>3924</v>
      </c>
      <c r="J1401" s="26" t="s">
        <v>6267</v>
      </c>
      <c r="K1401" s="26" t="s">
        <v>6262</v>
      </c>
      <c r="L1401" s="26" t="s">
        <v>3924</v>
      </c>
      <c r="M1401" s="55" t="s">
        <v>6268</v>
      </c>
      <c r="N1401" s="26" t="s">
        <v>3924</v>
      </c>
    </row>
    <row r="1402" spans="1:14" ht="75" customHeight="1" thickTop="1" thickBot="1">
      <c r="A1402" s="26">
        <v>1400</v>
      </c>
      <c r="B1402" s="26">
        <v>1453</v>
      </c>
      <c r="C1402" s="57" t="s">
        <v>6261</v>
      </c>
      <c r="D1402" s="56" t="s">
        <v>394</v>
      </c>
      <c r="E1402" s="56" t="s">
        <v>3931</v>
      </c>
      <c r="F1402" s="26" t="s">
        <v>3923</v>
      </c>
      <c r="G1402" s="26" t="s">
        <v>3932</v>
      </c>
      <c r="H1402" s="26" t="s">
        <v>13</v>
      </c>
      <c r="I1402" s="26" t="s">
        <v>3924</v>
      </c>
      <c r="J1402" s="26" t="s">
        <v>6269</v>
      </c>
      <c r="K1402" s="26" t="s">
        <v>4733</v>
      </c>
      <c r="L1402" s="26" t="s">
        <v>3924</v>
      </c>
      <c r="M1402" s="55" t="s">
        <v>6268</v>
      </c>
      <c r="N1402" s="26" t="s">
        <v>3924</v>
      </c>
    </row>
    <row r="1403" spans="1:14" ht="75" customHeight="1" thickTop="1" thickBot="1">
      <c r="A1403" s="34">
        <v>1401</v>
      </c>
      <c r="B1403" s="34">
        <v>1454</v>
      </c>
      <c r="C1403" s="57" t="s">
        <v>6261</v>
      </c>
      <c r="D1403" s="56" t="s">
        <v>394</v>
      </c>
      <c r="E1403" s="56" t="s">
        <v>3931</v>
      </c>
      <c r="F1403" s="26" t="s">
        <v>3923</v>
      </c>
      <c r="G1403" s="26" t="s">
        <v>3932</v>
      </c>
      <c r="H1403" s="26" t="s">
        <v>13</v>
      </c>
      <c r="I1403" s="26" t="s">
        <v>3924</v>
      </c>
      <c r="J1403" s="26" t="s">
        <v>6269</v>
      </c>
      <c r="K1403" s="26" t="s">
        <v>6270</v>
      </c>
      <c r="L1403" s="26" t="s">
        <v>3924</v>
      </c>
      <c r="M1403" s="55" t="s">
        <v>6268</v>
      </c>
      <c r="N1403" s="26" t="s">
        <v>3924</v>
      </c>
    </row>
    <row r="1404" spans="1:14" ht="75" customHeight="1" thickTop="1" thickBot="1">
      <c r="A1404" s="34">
        <v>1402</v>
      </c>
      <c r="B1404" s="26">
        <v>1455</v>
      </c>
      <c r="C1404" s="57" t="s">
        <v>6267</v>
      </c>
      <c r="D1404" s="56" t="s">
        <v>394</v>
      </c>
      <c r="E1404" s="56" t="s">
        <v>3931</v>
      </c>
      <c r="F1404" s="26" t="s">
        <v>3923</v>
      </c>
      <c r="G1404" s="26" t="s">
        <v>3932</v>
      </c>
      <c r="H1404" s="26" t="s">
        <v>13</v>
      </c>
      <c r="I1404" s="26" t="s">
        <v>3924</v>
      </c>
      <c r="J1404" s="26" t="s">
        <v>6271</v>
      </c>
      <c r="K1404" s="26" t="s">
        <v>6272</v>
      </c>
      <c r="L1404" s="26" t="s">
        <v>3924</v>
      </c>
      <c r="M1404" s="55" t="s">
        <v>6268</v>
      </c>
      <c r="N1404" s="26" t="s">
        <v>3924</v>
      </c>
    </row>
    <row r="1405" spans="1:14" ht="75" customHeight="1" thickTop="1" thickBot="1">
      <c r="A1405" s="26">
        <v>1403</v>
      </c>
      <c r="B1405" s="34">
        <v>1456</v>
      </c>
      <c r="C1405" s="57" t="s">
        <v>6267</v>
      </c>
      <c r="D1405" s="56" t="s">
        <v>394</v>
      </c>
      <c r="E1405" s="56" t="s">
        <v>3931</v>
      </c>
      <c r="F1405" s="26" t="s">
        <v>3923</v>
      </c>
      <c r="G1405" s="26" t="s">
        <v>3932</v>
      </c>
      <c r="H1405" s="26" t="s">
        <v>13</v>
      </c>
      <c r="I1405" s="26" t="s">
        <v>3924</v>
      </c>
      <c r="J1405" s="26" t="s">
        <v>6271</v>
      </c>
      <c r="K1405" s="26" t="s">
        <v>6273</v>
      </c>
      <c r="L1405" s="26" t="s">
        <v>3924</v>
      </c>
      <c r="M1405" s="55" t="s">
        <v>6268</v>
      </c>
      <c r="N1405" s="26" t="s">
        <v>3924</v>
      </c>
    </row>
    <row r="1406" spans="1:14" ht="75" customHeight="1" thickTop="1" thickBot="1">
      <c r="A1406" s="34">
        <v>1404</v>
      </c>
      <c r="B1406" s="34">
        <v>1457</v>
      </c>
      <c r="C1406" s="57" t="s">
        <v>6267</v>
      </c>
      <c r="D1406" s="56" t="s">
        <v>394</v>
      </c>
      <c r="E1406" s="56" t="s">
        <v>3931</v>
      </c>
      <c r="F1406" s="26" t="s">
        <v>3923</v>
      </c>
      <c r="G1406" s="26" t="s">
        <v>3932</v>
      </c>
      <c r="H1406" s="26" t="s">
        <v>13</v>
      </c>
      <c r="I1406" s="26" t="s">
        <v>3924</v>
      </c>
      <c r="J1406" s="26" t="s">
        <v>6271</v>
      </c>
      <c r="K1406" s="26" t="s">
        <v>6274</v>
      </c>
      <c r="L1406" s="26" t="s">
        <v>3924</v>
      </c>
      <c r="M1406" s="55" t="s">
        <v>6268</v>
      </c>
      <c r="N1406" s="26" t="s">
        <v>3924</v>
      </c>
    </row>
    <row r="1407" spans="1:14" ht="75" customHeight="1" thickTop="1" thickBot="1">
      <c r="A1407" s="34">
        <v>1405</v>
      </c>
      <c r="B1407" s="26">
        <v>1458</v>
      </c>
      <c r="C1407" s="57" t="s">
        <v>6269</v>
      </c>
      <c r="D1407" s="56" t="s">
        <v>394</v>
      </c>
      <c r="E1407" s="56" t="s">
        <v>3931</v>
      </c>
      <c r="F1407" s="26" t="s">
        <v>3923</v>
      </c>
      <c r="G1407" s="26" t="s">
        <v>3932</v>
      </c>
      <c r="H1407" s="26" t="s">
        <v>13</v>
      </c>
      <c r="I1407" s="26" t="s">
        <v>3924</v>
      </c>
      <c r="J1407" s="26" t="s">
        <v>6275</v>
      </c>
      <c r="K1407" s="26" t="s">
        <v>4032</v>
      </c>
      <c r="L1407" s="26" t="s">
        <v>3924</v>
      </c>
      <c r="M1407" s="55" t="s">
        <v>6276</v>
      </c>
      <c r="N1407" s="26" t="s">
        <v>3924</v>
      </c>
    </row>
    <row r="1408" spans="1:14" ht="75" customHeight="1" thickTop="1" thickBot="1">
      <c r="A1408" s="26">
        <v>1406</v>
      </c>
      <c r="B1408" s="34">
        <v>1459</v>
      </c>
      <c r="C1408" s="57" t="s">
        <v>6269</v>
      </c>
      <c r="D1408" s="56" t="s">
        <v>394</v>
      </c>
      <c r="E1408" s="56" t="s">
        <v>3931</v>
      </c>
      <c r="F1408" s="26" t="s">
        <v>3923</v>
      </c>
      <c r="G1408" s="26" t="s">
        <v>3932</v>
      </c>
      <c r="H1408" s="26" t="s">
        <v>13</v>
      </c>
      <c r="I1408" s="26" t="s">
        <v>3924</v>
      </c>
      <c r="J1408" s="26" t="s">
        <v>6275</v>
      </c>
      <c r="K1408" s="26" t="s">
        <v>4032</v>
      </c>
      <c r="L1408" s="26" t="s">
        <v>3924</v>
      </c>
      <c r="M1408" s="55" t="s">
        <v>6277</v>
      </c>
      <c r="N1408" s="26" t="s">
        <v>3924</v>
      </c>
    </row>
    <row r="1409" spans="1:14" ht="75" customHeight="1" thickTop="1" thickBot="1">
      <c r="A1409" s="34">
        <v>1407</v>
      </c>
      <c r="B1409" s="26">
        <v>1460</v>
      </c>
      <c r="C1409" s="57" t="s">
        <v>6269</v>
      </c>
      <c r="D1409" s="56" t="s">
        <v>394</v>
      </c>
      <c r="E1409" s="56" t="s">
        <v>3931</v>
      </c>
      <c r="F1409" s="26" t="s">
        <v>3923</v>
      </c>
      <c r="G1409" s="26" t="s">
        <v>3932</v>
      </c>
      <c r="H1409" s="26" t="s">
        <v>13</v>
      </c>
      <c r="I1409" s="26" t="s">
        <v>3924</v>
      </c>
      <c r="J1409" s="26" t="s">
        <v>6271</v>
      </c>
      <c r="K1409" s="26" t="s">
        <v>3947</v>
      </c>
      <c r="L1409" s="26" t="s">
        <v>3924</v>
      </c>
      <c r="M1409" s="55" t="s">
        <v>6278</v>
      </c>
      <c r="N1409" s="26" t="s">
        <v>3924</v>
      </c>
    </row>
    <row r="1410" spans="1:14" ht="75" customHeight="1" thickTop="1" thickBot="1">
      <c r="A1410" s="34">
        <v>1408</v>
      </c>
      <c r="B1410" s="34">
        <v>1461</v>
      </c>
      <c r="C1410" s="57" t="s">
        <v>6271</v>
      </c>
      <c r="D1410" s="56" t="s">
        <v>394</v>
      </c>
      <c r="E1410" s="56" t="s">
        <v>3931</v>
      </c>
      <c r="F1410" s="26" t="s">
        <v>3923</v>
      </c>
      <c r="G1410" s="26" t="s">
        <v>3932</v>
      </c>
      <c r="H1410" s="26" t="s">
        <v>13</v>
      </c>
      <c r="I1410" s="26" t="s">
        <v>3924</v>
      </c>
      <c r="J1410" s="26" t="s">
        <v>6275</v>
      </c>
      <c r="K1410" s="26" t="s">
        <v>4040</v>
      </c>
      <c r="L1410" s="26" t="s">
        <v>4239</v>
      </c>
      <c r="M1410" s="55" t="s">
        <v>6279</v>
      </c>
      <c r="N1410" s="26" t="s">
        <v>3924</v>
      </c>
    </row>
    <row r="1411" spans="1:14" ht="75" customHeight="1" thickTop="1" thickBot="1">
      <c r="A1411" s="26">
        <v>1409</v>
      </c>
      <c r="B1411" s="26">
        <v>1462</v>
      </c>
      <c r="C1411" s="57" t="s">
        <v>6275</v>
      </c>
      <c r="D1411" s="56" t="s">
        <v>394</v>
      </c>
      <c r="E1411" s="56" t="s">
        <v>3931</v>
      </c>
      <c r="F1411" s="26" t="s">
        <v>3923</v>
      </c>
      <c r="G1411" s="26" t="s">
        <v>3932</v>
      </c>
      <c r="H1411" s="26" t="s">
        <v>13</v>
      </c>
      <c r="I1411" s="26" t="s">
        <v>3924</v>
      </c>
      <c r="J1411" s="26" t="s">
        <v>6280</v>
      </c>
      <c r="K1411" s="26" t="s">
        <v>3966</v>
      </c>
      <c r="L1411" s="26" t="s">
        <v>3924</v>
      </c>
      <c r="M1411" s="55" t="s">
        <v>6281</v>
      </c>
      <c r="N1411" s="26" t="s">
        <v>3924</v>
      </c>
    </row>
    <row r="1412" spans="1:14" ht="75" customHeight="1" thickTop="1" thickBot="1">
      <c r="A1412" s="34">
        <v>1410</v>
      </c>
      <c r="B1412" s="34">
        <v>1463</v>
      </c>
      <c r="C1412" s="57" t="s">
        <v>6275</v>
      </c>
      <c r="D1412" s="56" t="s">
        <v>394</v>
      </c>
      <c r="E1412" s="56" t="s">
        <v>3931</v>
      </c>
      <c r="F1412" s="26" t="s">
        <v>3923</v>
      </c>
      <c r="G1412" s="26" t="s">
        <v>3932</v>
      </c>
      <c r="H1412" s="26" t="s">
        <v>13</v>
      </c>
      <c r="I1412" s="26" t="s">
        <v>3924</v>
      </c>
      <c r="J1412" s="26" t="s">
        <v>6280</v>
      </c>
      <c r="K1412" s="26" t="s">
        <v>4004</v>
      </c>
      <c r="L1412" s="26" t="s">
        <v>3924</v>
      </c>
      <c r="M1412" s="55" t="s">
        <v>6282</v>
      </c>
      <c r="N1412" s="26" t="s">
        <v>3924</v>
      </c>
    </row>
    <row r="1413" spans="1:14" ht="75" customHeight="1" thickTop="1" thickBot="1">
      <c r="A1413" s="34">
        <v>1411</v>
      </c>
      <c r="B1413" s="34">
        <v>1464</v>
      </c>
      <c r="C1413" s="57" t="s">
        <v>6275</v>
      </c>
      <c r="D1413" s="56" t="s">
        <v>394</v>
      </c>
      <c r="E1413" s="56" t="s">
        <v>3931</v>
      </c>
      <c r="F1413" s="26" t="s">
        <v>3923</v>
      </c>
      <c r="G1413" s="26" t="s">
        <v>3932</v>
      </c>
      <c r="H1413" s="26" t="s">
        <v>13</v>
      </c>
      <c r="I1413" s="26" t="s">
        <v>3924</v>
      </c>
      <c r="J1413" s="26" t="s">
        <v>6283</v>
      </c>
      <c r="K1413" s="26" t="s">
        <v>4040</v>
      </c>
      <c r="L1413" s="26" t="s">
        <v>3924</v>
      </c>
      <c r="M1413" s="55" t="s">
        <v>793</v>
      </c>
      <c r="N1413" s="26" t="s">
        <v>3924</v>
      </c>
    </row>
    <row r="1414" spans="1:14" ht="75" customHeight="1" thickTop="1" thickBot="1">
      <c r="A1414" s="26">
        <v>1412</v>
      </c>
      <c r="B1414" s="26">
        <v>1465</v>
      </c>
      <c r="C1414" s="57" t="s">
        <v>6280</v>
      </c>
      <c r="D1414" s="56" t="s">
        <v>394</v>
      </c>
      <c r="E1414" s="56" t="s">
        <v>3931</v>
      </c>
      <c r="F1414" s="26" t="s">
        <v>3923</v>
      </c>
      <c r="G1414" s="26" t="s">
        <v>3932</v>
      </c>
      <c r="H1414" s="26" t="s">
        <v>13</v>
      </c>
      <c r="I1414" s="26" t="s">
        <v>3924</v>
      </c>
      <c r="J1414" s="26" t="s">
        <v>6283</v>
      </c>
      <c r="K1414" s="26" t="s">
        <v>4087</v>
      </c>
      <c r="L1414" s="26" t="s">
        <v>3924</v>
      </c>
      <c r="M1414" s="55" t="s">
        <v>6188</v>
      </c>
      <c r="N1414" s="26" t="s">
        <v>3924</v>
      </c>
    </row>
    <row r="1415" spans="1:14" ht="75" customHeight="1" thickTop="1" thickBot="1">
      <c r="A1415" s="34">
        <v>1413</v>
      </c>
      <c r="B1415" s="34">
        <v>1466</v>
      </c>
      <c r="C1415" s="57" t="s">
        <v>6280</v>
      </c>
      <c r="D1415" s="56" t="s">
        <v>394</v>
      </c>
      <c r="E1415" s="56" t="s">
        <v>3931</v>
      </c>
      <c r="F1415" s="26" t="s">
        <v>3923</v>
      </c>
      <c r="G1415" s="26" t="s">
        <v>3932</v>
      </c>
      <c r="H1415" s="26" t="s">
        <v>13</v>
      </c>
      <c r="I1415" s="26" t="s">
        <v>3924</v>
      </c>
      <c r="J1415" s="26" t="s">
        <v>6284</v>
      </c>
      <c r="K1415" s="26" t="s">
        <v>3926</v>
      </c>
      <c r="L1415" s="26" t="s">
        <v>3924</v>
      </c>
      <c r="M1415" s="55" t="s">
        <v>6188</v>
      </c>
      <c r="N1415" s="26" t="s">
        <v>3924</v>
      </c>
    </row>
    <row r="1416" spans="1:14" ht="75" customHeight="1" thickTop="1" thickBot="1">
      <c r="A1416" s="34">
        <v>1414</v>
      </c>
      <c r="B1416" s="26">
        <v>1467</v>
      </c>
      <c r="C1416" s="57" t="s">
        <v>6283</v>
      </c>
      <c r="D1416" s="56" t="s">
        <v>394</v>
      </c>
      <c r="E1416" s="56" t="s">
        <v>3931</v>
      </c>
      <c r="F1416" s="26" t="s">
        <v>3923</v>
      </c>
      <c r="G1416" s="26" t="s">
        <v>3932</v>
      </c>
      <c r="H1416" s="26" t="s">
        <v>13</v>
      </c>
      <c r="I1416" s="26" t="s">
        <v>3924</v>
      </c>
      <c r="J1416" s="26" t="s">
        <v>6284</v>
      </c>
      <c r="K1416" s="26" t="s">
        <v>4010</v>
      </c>
      <c r="L1416" s="26" t="s">
        <v>6243</v>
      </c>
      <c r="M1416" s="55" t="s">
        <v>6285</v>
      </c>
      <c r="N1416" s="26" t="s">
        <v>3924</v>
      </c>
    </row>
    <row r="1417" spans="1:14" ht="75" customHeight="1" thickTop="1" thickBot="1">
      <c r="A1417" s="26">
        <v>1415</v>
      </c>
      <c r="B1417" s="34">
        <v>1468</v>
      </c>
      <c r="C1417" s="57" t="s">
        <v>6284</v>
      </c>
      <c r="D1417" s="56" t="s">
        <v>394</v>
      </c>
      <c r="E1417" s="56" t="s">
        <v>3931</v>
      </c>
      <c r="F1417" s="26" t="s">
        <v>3923</v>
      </c>
      <c r="G1417" s="26" t="s">
        <v>3932</v>
      </c>
      <c r="H1417" s="26" t="s">
        <v>13</v>
      </c>
      <c r="I1417" s="26" t="s">
        <v>3924</v>
      </c>
      <c r="J1417" s="26" t="s">
        <v>6286</v>
      </c>
      <c r="K1417" s="26" t="s">
        <v>6287</v>
      </c>
      <c r="L1417" s="26" t="s">
        <v>3924</v>
      </c>
      <c r="M1417" s="55" t="s">
        <v>6288</v>
      </c>
      <c r="N1417" s="26" t="s">
        <v>3924</v>
      </c>
    </row>
    <row r="1418" spans="1:14" ht="75" customHeight="1" thickTop="1" thickBot="1">
      <c r="A1418" s="34">
        <v>1416</v>
      </c>
      <c r="B1418" s="26">
        <v>1469</v>
      </c>
      <c r="C1418" s="57" t="s">
        <v>6284</v>
      </c>
      <c r="D1418" s="56" t="s">
        <v>394</v>
      </c>
      <c r="E1418" s="56" t="s">
        <v>3931</v>
      </c>
      <c r="F1418" s="26" t="s">
        <v>3923</v>
      </c>
      <c r="G1418" s="26" t="s">
        <v>3932</v>
      </c>
      <c r="H1418" s="26" t="s">
        <v>13</v>
      </c>
      <c r="I1418" s="26" t="s">
        <v>3924</v>
      </c>
      <c r="J1418" s="26" t="s">
        <v>6289</v>
      </c>
      <c r="K1418" s="26" t="s">
        <v>6287</v>
      </c>
      <c r="L1418" s="26" t="s">
        <v>3924</v>
      </c>
      <c r="M1418" s="55" t="s">
        <v>6252</v>
      </c>
      <c r="N1418" s="26" t="s">
        <v>3924</v>
      </c>
    </row>
    <row r="1419" spans="1:14" ht="75" customHeight="1" thickTop="1" thickBot="1">
      <c r="A1419" s="34">
        <v>1417</v>
      </c>
      <c r="B1419" s="34">
        <v>1470</v>
      </c>
      <c r="C1419" s="57" t="s">
        <v>6286</v>
      </c>
      <c r="D1419" s="56" t="s">
        <v>394</v>
      </c>
      <c r="E1419" s="56" t="s">
        <v>3931</v>
      </c>
      <c r="F1419" s="26" t="s">
        <v>3923</v>
      </c>
      <c r="G1419" s="26" t="s">
        <v>3932</v>
      </c>
      <c r="H1419" s="26" t="s">
        <v>13</v>
      </c>
      <c r="I1419" s="26" t="s">
        <v>3924</v>
      </c>
      <c r="J1419" s="26" t="s">
        <v>6286</v>
      </c>
      <c r="K1419" s="26" t="s">
        <v>6290</v>
      </c>
      <c r="L1419" s="26" t="s">
        <v>3924</v>
      </c>
      <c r="M1419" s="55" t="s">
        <v>6252</v>
      </c>
      <c r="N1419" s="26" t="s">
        <v>3924</v>
      </c>
    </row>
    <row r="1420" spans="1:14" ht="75" customHeight="1" thickTop="1" thickBot="1">
      <c r="A1420" s="26">
        <v>1418</v>
      </c>
      <c r="B1420" s="34">
        <v>1471</v>
      </c>
      <c r="C1420" s="57" t="s">
        <v>6286</v>
      </c>
      <c r="D1420" s="56" t="s">
        <v>394</v>
      </c>
      <c r="E1420" s="56" t="s">
        <v>3931</v>
      </c>
      <c r="F1420" s="26" t="s">
        <v>3923</v>
      </c>
      <c r="G1420" s="26" t="s">
        <v>3932</v>
      </c>
      <c r="H1420" s="26" t="s">
        <v>13</v>
      </c>
      <c r="I1420" s="26" t="s">
        <v>3924</v>
      </c>
      <c r="J1420" s="26" t="s">
        <v>6291</v>
      </c>
      <c r="K1420" s="26" t="s">
        <v>6290</v>
      </c>
      <c r="L1420" s="26" t="s">
        <v>3924</v>
      </c>
      <c r="M1420" s="55" t="s">
        <v>6252</v>
      </c>
      <c r="N1420" s="26" t="s">
        <v>3924</v>
      </c>
    </row>
    <row r="1421" spans="1:14" ht="75" customHeight="1" thickTop="1" thickBot="1">
      <c r="A1421" s="34">
        <v>1419</v>
      </c>
      <c r="B1421" s="26">
        <v>1472</v>
      </c>
      <c r="C1421" s="57" t="s">
        <v>6286</v>
      </c>
      <c r="D1421" s="56" t="s">
        <v>394</v>
      </c>
      <c r="E1421" s="56" t="s">
        <v>3931</v>
      </c>
      <c r="F1421" s="26" t="s">
        <v>3923</v>
      </c>
      <c r="G1421" s="26" t="s">
        <v>3932</v>
      </c>
      <c r="H1421" s="26" t="s">
        <v>13</v>
      </c>
      <c r="I1421" s="26" t="s">
        <v>3924</v>
      </c>
      <c r="J1421" s="26" t="s">
        <v>6291</v>
      </c>
      <c r="K1421" s="26" t="s">
        <v>6292</v>
      </c>
      <c r="L1421" s="26" t="s">
        <v>3924</v>
      </c>
      <c r="M1421" s="55" t="s">
        <v>6252</v>
      </c>
      <c r="N1421" s="26" t="s">
        <v>3924</v>
      </c>
    </row>
    <row r="1422" spans="1:14" ht="75" customHeight="1" thickTop="1" thickBot="1">
      <c r="A1422" s="34">
        <v>1420</v>
      </c>
      <c r="B1422" s="34">
        <v>1473</v>
      </c>
      <c r="C1422" s="57" t="s">
        <v>6289</v>
      </c>
      <c r="D1422" s="56" t="s">
        <v>394</v>
      </c>
      <c r="E1422" s="56" t="s">
        <v>3931</v>
      </c>
      <c r="F1422" s="26" t="s">
        <v>3923</v>
      </c>
      <c r="G1422" s="26" t="s">
        <v>3932</v>
      </c>
      <c r="H1422" s="26" t="s">
        <v>13</v>
      </c>
      <c r="I1422" s="26" t="s">
        <v>3924</v>
      </c>
      <c r="J1422" s="26" t="s">
        <v>6293</v>
      </c>
      <c r="K1422" s="26" t="s">
        <v>6292</v>
      </c>
      <c r="L1422" s="26" t="s">
        <v>3924</v>
      </c>
      <c r="M1422" s="55" t="s">
        <v>6294</v>
      </c>
      <c r="N1422" s="26" t="s">
        <v>3924</v>
      </c>
    </row>
    <row r="1423" spans="1:14" ht="75" customHeight="1" thickTop="1" thickBot="1">
      <c r="A1423" s="26">
        <v>1421</v>
      </c>
      <c r="B1423" s="26">
        <v>1474</v>
      </c>
      <c r="C1423" s="57" t="s">
        <v>6289</v>
      </c>
      <c r="D1423" s="56" t="s">
        <v>394</v>
      </c>
      <c r="E1423" s="56" t="s">
        <v>3931</v>
      </c>
      <c r="F1423" s="26" t="s">
        <v>3923</v>
      </c>
      <c r="G1423" s="26" t="s">
        <v>3932</v>
      </c>
      <c r="H1423" s="26" t="s">
        <v>13</v>
      </c>
      <c r="I1423" s="26" t="s">
        <v>3924</v>
      </c>
      <c r="J1423" s="26" t="s">
        <v>6291</v>
      </c>
      <c r="K1423" s="26" t="s">
        <v>6295</v>
      </c>
      <c r="L1423" s="26" t="s">
        <v>3924</v>
      </c>
      <c r="M1423" s="55" t="s">
        <v>6296</v>
      </c>
      <c r="N1423" s="26" t="s">
        <v>3924</v>
      </c>
    </row>
    <row r="1424" spans="1:14" ht="75" customHeight="1" thickTop="1" thickBot="1">
      <c r="A1424" s="34">
        <v>1422</v>
      </c>
      <c r="B1424" s="34">
        <v>1475</v>
      </c>
      <c r="C1424" s="57" t="s">
        <v>6289</v>
      </c>
      <c r="D1424" s="56" t="s">
        <v>394</v>
      </c>
      <c r="E1424" s="56" t="s">
        <v>3931</v>
      </c>
      <c r="F1424" s="26" t="s">
        <v>3923</v>
      </c>
      <c r="G1424" s="26" t="s">
        <v>3932</v>
      </c>
      <c r="H1424" s="26" t="s">
        <v>13</v>
      </c>
      <c r="I1424" s="26" t="s">
        <v>3924</v>
      </c>
      <c r="J1424" s="26" t="s">
        <v>6293</v>
      </c>
      <c r="K1424" s="26" t="s">
        <v>6295</v>
      </c>
      <c r="L1424" s="26" t="s">
        <v>3924</v>
      </c>
      <c r="M1424" s="55" t="s">
        <v>6252</v>
      </c>
      <c r="N1424" s="26" t="s">
        <v>3924</v>
      </c>
    </row>
    <row r="1425" spans="1:14" ht="75" customHeight="1" thickTop="1" thickBot="1">
      <c r="A1425" s="34">
        <v>1423</v>
      </c>
      <c r="B1425" s="26">
        <v>1476</v>
      </c>
      <c r="C1425" s="57" t="s">
        <v>6291</v>
      </c>
      <c r="D1425" s="56" t="s">
        <v>394</v>
      </c>
      <c r="E1425" s="56" t="s">
        <v>3931</v>
      </c>
      <c r="F1425" s="26" t="s">
        <v>3923</v>
      </c>
      <c r="G1425" s="26" t="s">
        <v>3932</v>
      </c>
      <c r="H1425" s="26" t="s">
        <v>13</v>
      </c>
      <c r="I1425" s="26" t="s">
        <v>3924</v>
      </c>
      <c r="J1425" s="26" t="s">
        <v>6293</v>
      </c>
      <c r="K1425" s="26" t="s">
        <v>6297</v>
      </c>
      <c r="L1425" s="26" t="s">
        <v>3924</v>
      </c>
      <c r="M1425" s="55" t="s">
        <v>6252</v>
      </c>
      <c r="N1425" s="26" t="s">
        <v>3924</v>
      </c>
    </row>
    <row r="1426" spans="1:14" ht="75" customHeight="1" thickTop="1" thickBot="1">
      <c r="A1426" s="26">
        <v>1424</v>
      </c>
      <c r="B1426" s="34">
        <v>1477</v>
      </c>
      <c r="C1426" s="57" t="s">
        <v>6291</v>
      </c>
      <c r="D1426" s="56" t="s">
        <v>394</v>
      </c>
      <c r="E1426" s="56" t="s">
        <v>3931</v>
      </c>
      <c r="F1426" s="26" t="s">
        <v>3923</v>
      </c>
      <c r="G1426" s="26" t="s">
        <v>3932</v>
      </c>
      <c r="H1426" s="26" t="s">
        <v>13</v>
      </c>
      <c r="I1426" s="26" t="s">
        <v>3924</v>
      </c>
      <c r="J1426" s="26" t="s">
        <v>6298</v>
      </c>
      <c r="K1426" s="26" t="s">
        <v>6297</v>
      </c>
      <c r="L1426" s="26" t="s">
        <v>3924</v>
      </c>
      <c r="M1426" s="55" t="s">
        <v>6296</v>
      </c>
      <c r="N1426" s="26" t="s">
        <v>3924</v>
      </c>
    </row>
    <row r="1427" spans="1:14" ht="75" customHeight="1" thickTop="1" thickBot="1">
      <c r="A1427" s="34">
        <v>1425</v>
      </c>
      <c r="B1427" s="34">
        <v>1478</v>
      </c>
      <c r="C1427" s="57" t="s">
        <v>6298</v>
      </c>
      <c r="D1427" s="56" t="s">
        <v>394</v>
      </c>
      <c r="E1427" s="56" t="s">
        <v>3931</v>
      </c>
      <c r="F1427" s="26" t="s">
        <v>3923</v>
      </c>
      <c r="G1427" s="26" t="s">
        <v>3932</v>
      </c>
      <c r="H1427" s="26" t="s">
        <v>13</v>
      </c>
      <c r="I1427" s="26" t="s">
        <v>3924</v>
      </c>
      <c r="J1427" s="26" t="s">
        <v>6298</v>
      </c>
      <c r="K1427" s="26" t="s">
        <v>6299</v>
      </c>
      <c r="L1427" s="26" t="s">
        <v>3924</v>
      </c>
      <c r="M1427" s="55" t="s">
        <v>6300</v>
      </c>
      <c r="N1427" s="26" t="s">
        <v>3924</v>
      </c>
    </row>
    <row r="1428" spans="1:14" ht="75" customHeight="1" thickTop="1" thickBot="1">
      <c r="A1428" s="34">
        <v>1426</v>
      </c>
      <c r="B1428" s="26">
        <v>1479</v>
      </c>
      <c r="C1428" s="57" t="s">
        <v>6298</v>
      </c>
      <c r="D1428" s="56" t="s">
        <v>394</v>
      </c>
      <c r="E1428" s="56" t="s">
        <v>3931</v>
      </c>
      <c r="F1428" s="26" t="s">
        <v>3923</v>
      </c>
      <c r="G1428" s="26" t="s">
        <v>3932</v>
      </c>
      <c r="H1428" s="26" t="s">
        <v>13</v>
      </c>
      <c r="I1428" s="26" t="s">
        <v>3924</v>
      </c>
      <c r="J1428" s="26" t="s">
        <v>6301</v>
      </c>
      <c r="K1428" s="26" t="s">
        <v>4387</v>
      </c>
      <c r="L1428" s="26" t="s">
        <v>3924</v>
      </c>
      <c r="M1428" s="55" t="s">
        <v>6188</v>
      </c>
      <c r="N1428" s="26" t="s">
        <v>3924</v>
      </c>
    </row>
    <row r="1429" spans="1:14" ht="75" customHeight="1" thickTop="1" thickBot="1">
      <c r="A1429" s="26">
        <v>1427</v>
      </c>
      <c r="B1429" s="34">
        <v>1480</v>
      </c>
      <c r="C1429" s="57" t="s">
        <v>6298</v>
      </c>
      <c r="D1429" s="56" t="s">
        <v>394</v>
      </c>
      <c r="E1429" s="56" t="s">
        <v>3931</v>
      </c>
      <c r="F1429" s="26" t="s">
        <v>3923</v>
      </c>
      <c r="G1429" s="26" t="s">
        <v>3932</v>
      </c>
      <c r="H1429" s="26" t="s">
        <v>13</v>
      </c>
      <c r="I1429" s="26" t="s">
        <v>3924</v>
      </c>
      <c r="J1429" s="26" t="s">
        <v>6302</v>
      </c>
      <c r="K1429" s="26" t="s">
        <v>4387</v>
      </c>
      <c r="L1429" s="26" t="s">
        <v>3924</v>
      </c>
      <c r="M1429" s="55" t="s">
        <v>808</v>
      </c>
      <c r="N1429" s="26" t="s">
        <v>3924</v>
      </c>
    </row>
    <row r="1430" spans="1:14" ht="75" customHeight="1" thickTop="1" thickBot="1">
      <c r="A1430" s="34">
        <v>1428</v>
      </c>
      <c r="B1430" s="26">
        <v>1481</v>
      </c>
      <c r="C1430" s="57" t="s">
        <v>6301</v>
      </c>
      <c r="D1430" s="56" t="s">
        <v>394</v>
      </c>
      <c r="E1430" s="56" t="s">
        <v>3931</v>
      </c>
      <c r="F1430" s="26" t="s">
        <v>3923</v>
      </c>
      <c r="G1430" s="26" t="s">
        <v>3932</v>
      </c>
      <c r="H1430" s="26" t="s">
        <v>13</v>
      </c>
      <c r="I1430" s="26" t="s">
        <v>3924</v>
      </c>
      <c r="J1430" s="26" t="s">
        <v>6301</v>
      </c>
      <c r="K1430" s="26" t="s">
        <v>3941</v>
      </c>
      <c r="L1430" s="26" t="s">
        <v>6303</v>
      </c>
      <c r="M1430" s="55" t="s">
        <v>6304</v>
      </c>
      <c r="N1430" s="26" t="s">
        <v>3924</v>
      </c>
    </row>
    <row r="1431" spans="1:14" ht="75" customHeight="1" thickTop="1" thickBot="1">
      <c r="A1431" s="34">
        <v>1429</v>
      </c>
      <c r="B1431" s="34">
        <v>1482</v>
      </c>
      <c r="C1431" s="57" t="s">
        <v>6301</v>
      </c>
      <c r="D1431" s="56" t="s">
        <v>394</v>
      </c>
      <c r="E1431" s="56" t="s">
        <v>3931</v>
      </c>
      <c r="F1431" s="26" t="s">
        <v>3923</v>
      </c>
      <c r="G1431" s="26" t="s">
        <v>3932</v>
      </c>
      <c r="H1431" s="26" t="s">
        <v>13</v>
      </c>
      <c r="I1431" s="26" t="s">
        <v>3924</v>
      </c>
      <c r="J1431" s="26" t="s">
        <v>6302</v>
      </c>
      <c r="K1431" s="26" t="s">
        <v>3929</v>
      </c>
      <c r="L1431" s="26" t="s">
        <v>3924</v>
      </c>
      <c r="M1431" s="55" t="s">
        <v>6305</v>
      </c>
      <c r="N1431" s="26" t="s">
        <v>3924</v>
      </c>
    </row>
    <row r="1432" spans="1:14" ht="75" customHeight="1" thickTop="1" thickBot="1">
      <c r="A1432" s="26">
        <v>1430</v>
      </c>
      <c r="B1432" s="26">
        <v>1483</v>
      </c>
      <c r="C1432" s="57" t="s">
        <v>6302</v>
      </c>
      <c r="D1432" s="56" t="s">
        <v>394</v>
      </c>
      <c r="E1432" s="56" t="s">
        <v>3931</v>
      </c>
      <c r="F1432" s="26" t="s">
        <v>3923</v>
      </c>
      <c r="G1432" s="26" t="s">
        <v>3932</v>
      </c>
      <c r="H1432" s="26" t="s">
        <v>13</v>
      </c>
      <c r="I1432" s="26" t="s">
        <v>3924</v>
      </c>
      <c r="J1432" s="26" t="s">
        <v>6306</v>
      </c>
      <c r="K1432" s="26" t="s">
        <v>3966</v>
      </c>
      <c r="L1432" s="26" t="s">
        <v>6215</v>
      </c>
      <c r="M1432" s="55" t="s">
        <v>6307</v>
      </c>
      <c r="N1432" s="26" t="s">
        <v>3924</v>
      </c>
    </row>
    <row r="1433" spans="1:14" ht="75" customHeight="1" thickTop="1" thickBot="1">
      <c r="A1433" s="34">
        <v>1431</v>
      </c>
      <c r="B1433" s="34">
        <v>1484</v>
      </c>
      <c r="C1433" s="57" t="s">
        <v>6308</v>
      </c>
      <c r="D1433" s="56" t="s">
        <v>394</v>
      </c>
      <c r="E1433" s="56" t="s">
        <v>3931</v>
      </c>
      <c r="F1433" s="26" t="s">
        <v>3923</v>
      </c>
      <c r="G1433" s="26" t="s">
        <v>3932</v>
      </c>
      <c r="H1433" s="26" t="s">
        <v>13</v>
      </c>
      <c r="I1433" s="26" t="s">
        <v>3924</v>
      </c>
      <c r="J1433" s="26" t="s">
        <v>6308</v>
      </c>
      <c r="K1433" s="26" t="s">
        <v>6249</v>
      </c>
      <c r="L1433" s="26" t="s">
        <v>3924</v>
      </c>
      <c r="M1433" s="55" t="s">
        <v>6309</v>
      </c>
      <c r="N1433" s="26" t="s">
        <v>3924</v>
      </c>
    </row>
    <row r="1434" spans="1:14" ht="75" customHeight="1" thickTop="1" thickBot="1">
      <c r="A1434" s="34">
        <v>1432</v>
      </c>
      <c r="B1434" s="34">
        <v>1485</v>
      </c>
      <c r="C1434" s="57" t="s">
        <v>6308</v>
      </c>
      <c r="D1434" s="56" t="s">
        <v>394</v>
      </c>
      <c r="E1434" s="56" t="s">
        <v>3931</v>
      </c>
      <c r="F1434" s="26" t="s">
        <v>3923</v>
      </c>
      <c r="G1434" s="26" t="s">
        <v>3932</v>
      </c>
      <c r="H1434" s="26" t="s">
        <v>13</v>
      </c>
      <c r="I1434" s="26" t="s">
        <v>3924</v>
      </c>
      <c r="J1434" s="26" t="s">
        <v>6308</v>
      </c>
      <c r="K1434" s="26" t="s">
        <v>6255</v>
      </c>
      <c r="L1434" s="26" t="s">
        <v>3924</v>
      </c>
      <c r="M1434" s="55" t="s">
        <v>6309</v>
      </c>
      <c r="N1434" s="26" t="s">
        <v>3924</v>
      </c>
    </row>
    <row r="1435" spans="1:14" ht="75" customHeight="1" thickTop="1" thickBot="1">
      <c r="A1435" s="26">
        <v>1433</v>
      </c>
      <c r="B1435" s="26">
        <v>1486</v>
      </c>
      <c r="C1435" s="57" t="s">
        <v>6308</v>
      </c>
      <c r="D1435" s="56" t="s">
        <v>394</v>
      </c>
      <c r="E1435" s="56" t="s">
        <v>3931</v>
      </c>
      <c r="F1435" s="26" t="s">
        <v>3923</v>
      </c>
      <c r="G1435" s="26" t="s">
        <v>3932</v>
      </c>
      <c r="H1435" s="26" t="s">
        <v>13</v>
      </c>
      <c r="I1435" s="26" t="s">
        <v>3924</v>
      </c>
      <c r="J1435" s="26" t="s">
        <v>6306</v>
      </c>
      <c r="K1435" s="26" t="s">
        <v>3941</v>
      </c>
      <c r="L1435" s="26" t="s">
        <v>3924</v>
      </c>
      <c r="M1435" s="55" t="s">
        <v>808</v>
      </c>
      <c r="N1435" s="26" t="s">
        <v>3924</v>
      </c>
    </row>
    <row r="1436" spans="1:14" ht="75" customHeight="1" thickTop="1" thickBot="1">
      <c r="A1436" s="34">
        <v>1434</v>
      </c>
      <c r="B1436" s="34">
        <v>1487</v>
      </c>
      <c r="C1436" s="57" t="s">
        <v>6310</v>
      </c>
      <c r="D1436" s="56" t="s">
        <v>394</v>
      </c>
      <c r="E1436" s="56" t="s">
        <v>4878</v>
      </c>
      <c r="F1436" s="26" t="s">
        <v>3923</v>
      </c>
      <c r="G1436" s="26" t="s">
        <v>15</v>
      </c>
      <c r="H1436" s="26" t="s">
        <v>13</v>
      </c>
      <c r="I1436" s="26" t="s">
        <v>3924</v>
      </c>
      <c r="J1436" s="26" t="s">
        <v>6311</v>
      </c>
      <c r="K1436" s="26" t="s">
        <v>4880</v>
      </c>
      <c r="L1436" s="26" t="s">
        <v>3927</v>
      </c>
      <c r="M1436" s="55" t="s">
        <v>4881</v>
      </c>
      <c r="N1436" s="26" t="s">
        <v>3924</v>
      </c>
    </row>
    <row r="1437" spans="1:14" ht="75" customHeight="1" thickTop="1" thickBot="1">
      <c r="A1437" s="34">
        <v>1435</v>
      </c>
      <c r="B1437" s="26">
        <v>1488</v>
      </c>
      <c r="C1437" s="57" t="s">
        <v>6310</v>
      </c>
      <c r="D1437" s="56" t="s">
        <v>394</v>
      </c>
      <c r="E1437" s="56" t="s">
        <v>4878</v>
      </c>
      <c r="F1437" s="26" t="s">
        <v>3923</v>
      </c>
      <c r="G1437" s="26" t="s">
        <v>15</v>
      </c>
      <c r="H1437" s="26" t="s">
        <v>13</v>
      </c>
      <c r="I1437" s="26" t="s">
        <v>3924</v>
      </c>
      <c r="J1437" s="26" t="s">
        <v>6312</v>
      </c>
      <c r="K1437" s="26" t="s">
        <v>4880</v>
      </c>
      <c r="L1437" s="26" t="s">
        <v>3963</v>
      </c>
      <c r="M1437" s="55" t="s">
        <v>4881</v>
      </c>
      <c r="N1437" s="26" t="s">
        <v>3924</v>
      </c>
    </row>
    <row r="1438" spans="1:14" ht="75" customHeight="1" thickTop="1" thickBot="1">
      <c r="A1438" s="26">
        <v>1436</v>
      </c>
      <c r="B1438" s="34">
        <v>1489</v>
      </c>
      <c r="C1438" s="57" t="s">
        <v>6311</v>
      </c>
      <c r="D1438" s="56" t="s">
        <v>394</v>
      </c>
      <c r="E1438" s="56" t="s">
        <v>4878</v>
      </c>
      <c r="F1438" s="26" t="s">
        <v>3923</v>
      </c>
      <c r="G1438" s="26" t="s">
        <v>15</v>
      </c>
      <c r="H1438" s="26" t="s">
        <v>13</v>
      </c>
      <c r="I1438" s="26" t="s">
        <v>3924</v>
      </c>
      <c r="J1438" s="26" t="s">
        <v>6313</v>
      </c>
      <c r="K1438" s="26" t="s">
        <v>4880</v>
      </c>
      <c r="L1438" s="26" t="s">
        <v>3986</v>
      </c>
      <c r="M1438" s="55" t="s">
        <v>4881</v>
      </c>
      <c r="N1438" s="26" t="s">
        <v>3924</v>
      </c>
    </row>
    <row r="1439" spans="1:14" ht="75" customHeight="1" thickTop="1" thickBot="1">
      <c r="A1439" s="34">
        <v>1437</v>
      </c>
      <c r="B1439" s="26">
        <v>1490</v>
      </c>
      <c r="C1439" s="57" t="s">
        <v>6311</v>
      </c>
      <c r="D1439" s="56" t="s">
        <v>394</v>
      </c>
      <c r="E1439" s="56" t="s">
        <v>4878</v>
      </c>
      <c r="F1439" s="26" t="s">
        <v>3923</v>
      </c>
      <c r="G1439" s="26" t="s">
        <v>15</v>
      </c>
      <c r="H1439" s="26" t="s">
        <v>13</v>
      </c>
      <c r="I1439" s="26" t="s">
        <v>3924</v>
      </c>
      <c r="J1439" s="26" t="s">
        <v>6313</v>
      </c>
      <c r="K1439" s="26" t="s">
        <v>4880</v>
      </c>
      <c r="L1439" s="26" t="s">
        <v>4331</v>
      </c>
      <c r="M1439" s="55" t="s">
        <v>4881</v>
      </c>
      <c r="N1439" s="26" t="s">
        <v>3924</v>
      </c>
    </row>
    <row r="1440" spans="1:14" ht="75" customHeight="1" thickTop="1" thickBot="1">
      <c r="A1440" s="34">
        <v>1438</v>
      </c>
      <c r="B1440" s="34">
        <v>1491</v>
      </c>
      <c r="C1440" s="57" t="s">
        <v>6312</v>
      </c>
      <c r="D1440" s="56" t="s">
        <v>394</v>
      </c>
      <c r="E1440" s="56" t="s">
        <v>4878</v>
      </c>
      <c r="F1440" s="26" t="s">
        <v>3923</v>
      </c>
      <c r="G1440" s="26" t="s">
        <v>15</v>
      </c>
      <c r="H1440" s="26" t="s">
        <v>13</v>
      </c>
      <c r="I1440" s="26" t="s">
        <v>3924</v>
      </c>
      <c r="J1440" s="26" t="s">
        <v>6313</v>
      </c>
      <c r="K1440" s="26" t="s">
        <v>4926</v>
      </c>
      <c r="L1440" s="26" t="s">
        <v>3970</v>
      </c>
      <c r="M1440" s="55" t="s">
        <v>4881</v>
      </c>
      <c r="N1440" s="26" t="s">
        <v>3924</v>
      </c>
    </row>
    <row r="1441" spans="1:14" ht="75" customHeight="1" thickTop="1" thickBot="1">
      <c r="A1441" s="26">
        <v>1439</v>
      </c>
      <c r="B1441" s="34">
        <v>1492</v>
      </c>
      <c r="C1441" s="57" t="s">
        <v>6313</v>
      </c>
      <c r="D1441" s="56" t="s">
        <v>394</v>
      </c>
      <c r="E1441" s="56" t="s">
        <v>4878</v>
      </c>
      <c r="F1441" s="26" t="s">
        <v>3923</v>
      </c>
      <c r="G1441" s="26" t="s">
        <v>15</v>
      </c>
      <c r="H1441" s="26" t="s">
        <v>13</v>
      </c>
      <c r="I1441" s="26" t="s">
        <v>3924</v>
      </c>
      <c r="J1441" s="26" t="s">
        <v>6314</v>
      </c>
      <c r="K1441" s="26" t="s">
        <v>4915</v>
      </c>
      <c r="L1441" s="26" t="s">
        <v>4277</v>
      </c>
      <c r="M1441" s="55" t="s">
        <v>4881</v>
      </c>
      <c r="N1441" s="26" t="s">
        <v>3924</v>
      </c>
    </row>
    <row r="1442" spans="1:14" ht="75" customHeight="1" thickTop="1" thickBot="1">
      <c r="A1442" s="34">
        <v>1440</v>
      </c>
      <c r="B1442" s="26">
        <v>1493</v>
      </c>
      <c r="C1442" s="57" t="s">
        <v>6313</v>
      </c>
      <c r="D1442" s="56" t="s">
        <v>394</v>
      </c>
      <c r="E1442" s="56" t="s">
        <v>4878</v>
      </c>
      <c r="F1442" s="26" t="s">
        <v>3923</v>
      </c>
      <c r="G1442" s="26" t="s">
        <v>15</v>
      </c>
      <c r="H1442" s="26" t="s">
        <v>13</v>
      </c>
      <c r="I1442" s="26" t="s">
        <v>3924</v>
      </c>
      <c r="J1442" s="26" t="s">
        <v>6314</v>
      </c>
      <c r="K1442" s="26" t="s">
        <v>4915</v>
      </c>
      <c r="L1442" s="26" t="s">
        <v>4284</v>
      </c>
      <c r="M1442" s="55" t="s">
        <v>4881</v>
      </c>
      <c r="N1442" s="26" t="s">
        <v>3924</v>
      </c>
    </row>
    <row r="1443" spans="1:14" ht="75" customHeight="1" thickTop="1" thickBot="1">
      <c r="A1443" s="34">
        <v>1441</v>
      </c>
      <c r="B1443" s="34">
        <v>1494</v>
      </c>
      <c r="C1443" s="57" t="s">
        <v>6313</v>
      </c>
      <c r="D1443" s="56" t="s">
        <v>394</v>
      </c>
      <c r="E1443" s="56" t="s">
        <v>4878</v>
      </c>
      <c r="F1443" s="26" t="s">
        <v>3923</v>
      </c>
      <c r="G1443" s="26" t="s">
        <v>15</v>
      </c>
      <c r="H1443" s="26" t="s">
        <v>13</v>
      </c>
      <c r="I1443" s="26" t="s">
        <v>3924</v>
      </c>
      <c r="J1443" s="26" t="s">
        <v>6314</v>
      </c>
      <c r="K1443" s="26" t="s">
        <v>4915</v>
      </c>
      <c r="L1443" s="26" t="s">
        <v>4125</v>
      </c>
      <c r="M1443" s="55" t="s">
        <v>4881</v>
      </c>
      <c r="N1443" s="26" t="s">
        <v>3924</v>
      </c>
    </row>
    <row r="1444" spans="1:14" ht="75" customHeight="1" thickTop="1" thickBot="1">
      <c r="A1444" s="26">
        <v>1442</v>
      </c>
      <c r="B1444" s="26">
        <v>1495</v>
      </c>
      <c r="C1444" s="57" t="s">
        <v>6314</v>
      </c>
      <c r="D1444" s="56" t="s">
        <v>394</v>
      </c>
      <c r="E1444" s="56" t="s">
        <v>4878</v>
      </c>
      <c r="F1444" s="26" t="s">
        <v>3923</v>
      </c>
      <c r="G1444" s="26" t="s">
        <v>15</v>
      </c>
      <c r="H1444" s="26" t="s">
        <v>13</v>
      </c>
      <c r="I1444" s="26" t="s">
        <v>3924</v>
      </c>
      <c r="J1444" s="26" t="s">
        <v>6315</v>
      </c>
      <c r="K1444" s="26" t="s">
        <v>4915</v>
      </c>
      <c r="L1444" s="26" t="s">
        <v>4011</v>
      </c>
      <c r="M1444" s="55" t="s">
        <v>4881</v>
      </c>
      <c r="N1444" s="26" t="s">
        <v>3924</v>
      </c>
    </row>
    <row r="1445" spans="1:14" ht="75" customHeight="1" thickTop="1" thickBot="1">
      <c r="A1445" s="34">
        <v>1443</v>
      </c>
      <c r="B1445" s="34">
        <v>1496</v>
      </c>
      <c r="C1445" s="57" t="s">
        <v>6314</v>
      </c>
      <c r="D1445" s="56" t="s">
        <v>394</v>
      </c>
      <c r="E1445" s="56" t="s">
        <v>4878</v>
      </c>
      <c r="F1445" s="26" t="s">
        <v>3923</v>
      </c>
      <c r="G1445" s="26" t="s">
        <v>15</v>
      </c>
      <c r="H1445" s="26" t="s">
        <v>13</v>
      </c>
      <c r="I1445" s="26" t="s">
        <v>3924</v>
      </c>
      <c r="J1445" s="26" t="s">
        <v>6315</v>
      </c>
      <c r="K1445" s="26" t="s">
        <v>4915</v>
      </c>
      <c r="L1445" s="26" t="s">
        <v>4203</v>
      </c>
      <c r="M1445" s="55" t="s">
        <v>4881</v>
      </c>
      <c r="N1445" s="26" t="s">
        <v>3924</v>
      </c>
    </row>
    <row r="1446" spans="1:14" ht="75" customHeight="1" thickTop="1" thickBot="1">
      <c r="A1446" s="34">
        <v>1444</v>
      </c>
      <c r="B1446" s="26">
        <v>1497</v>
      </c>
      <c r="C1446" s="57" t="s">
        <v>6315</v>
      </c>
      <c r="D1446" s="56" t="s">
        <v>394</v>
      </c>
      <c r="E1446" s="56" t="s">
        <v>4878</v>
      </c>
      <c r="F1446" s="26" t="s">
        <v>3923</v>
      </c>
      <c r="G1446" s="26" t="s">
        <v>15</v>
      </c>
      <c r="H1446" s="26" t="s">
        <v>13</v>
      </c>
      <c r="I1446" s="26" t="s">
        <v>3924</v>
      </c>
      <c r="J1446" s="26" t="s">
        <v>6315</v>
      </c>
      <c r="K1446" s="26" t="s">
        <v>4915</v>
      </c>
      <c r="L1446" s="26" t="s">
        <v>4239</v>
      </c>
      <c r="M1446" s="55" t="s">
        <v>4881</v>
      </c>
      <c r="N1446" s="26" t="s">
        <v>3924</v>
      </c>
    </row>
    <row r="1447" spans="1:14" ht="75" customHeight="1" thickTop="1" thickBot="1">
      <c r="A1447" s="26">
        <v>1445</v>
      </c>
      <c r="B1447" s="34">
        <v>1498</v>
      </c>
      <c r="C1447" s="57" t="s">
        <v>6316</v>
      </c>
      <c r="D1447" s="56" t="s">
        <v>394</v>
      </c>
      <c r="E1447" s="56" t="s">
        <v>4878</v>
      </c>
      <c r="F1447" s="26" t="s">
        <v>3923</v>
      </c>
      <c r="G1447" s="26" t="s">
        <v>15</v>
      </c>
      <c r="H1447" s="26" t="s">
        <v>13</v>
      </c>
      <c r="I1447" s="26" t="s">
        <v>3924</v>
      </c>
      <c r="J1447" s="26" t="s">
        <v>6316</v>
      </c>
      <c r="K1447" s="26" t="s">
        <v>4886</v>
      </c>
      <c r="L1447" s="26" t="s">
        <v>3927</v>
      </c>
      <c r="M1447" s="55" t="s">
        <v>4887</v>
      </c>
      <c r="N1447" s="26" t="s">
        <v>3924</v>
      </c>
    </row>
    <row r="1448" spans="1:14" ht="75" customHeight="1" thickTop="1" thickBot="1">
      <c r="A1448" s="34">
        <v>1446</v>
      </c>
      <c r="B1448" s="34">
        <v>1499</v>
      </c>
      <c r="C1448" s="57" t="s">
        <v>6316</v>
      </c>
      <c r="D1448" s="56" t="s">
        <v>394</v>
      </c>
      <c r="E1448" s="56" t="s">
        <v>4878</v>
      </c>
      <c r="F1448" s="26" t="s">
        <v>3923</v>
      </c>
      <c r="G1448" s="26" t="s">
        <v>15</v>
      </c>
      <c r="H1448" s="26" t="s">
        <v>13</v>
      </c>
      <c r="I1448" s="26" t="s">
        <v>3924</v>
      </c>
      <c r="J1448" s="26" t="s">
        <v>6317</v>
      </c>
      <c r="K1448" s="26" t="s">
        <v>4886</v>
      </c>
      <c r="L1448" s="26" t="s">
        <v>3963</v>
      </c>
      <c r="M1448" s="55" t="s">
        <v>4887</v>
      </c>
      <c r="N1448" s="26" t="s">
        <v>3924</v>
      </c>
    </row>
    <row r="1449" spans="1:14" ht="75" customHeight="1" thickTop="1" thickBot="1">
      <c r="A1449" s="34">
        <v>1447</v>
      </c>
      <c r="B1449" s="26">
        <v>1500</v>
      </c>
      <c r="C1449" s="57" t="s">
        <v>6317</v>
      </c>
      <c r="D1449" s="56" t="s">
        <v>394</v>
      </c>
      <c r="E1449" s="56" t="s">
        <v>4878</v>
      </c>
      <c r="F1449" s="26" t="s">
        <v>3923</v>
      </c>
      <c r="G1449" s="26" t="s">
        <v>15</v>
      </c>
      <c r="H1449" s="26" t="s">
        <v>13</v>
      </c>
      <c r="I1449" s="26" t="s">
        <v>3924</v>
      </c>
      <c r="J1449" s="26" t="s">
        <v>6318</v>
      </c>
      <c r="K1449" s="26" t="s">
        <v>4891</v>
      </c>
      <c r="L1449" s="26" t="s">
        <v>3927</v>
      </c>
      <c r="M1449" s="55" t="s">
        <v>4887</v>
      </c>
      <c r="N1449" s="26" t="s">
        <v>3924</v>
      </c>
    </row>
    <row r="1450" spans="1:14" ht="75" customHeight="1" thickTop="1" thickBot="1">
      <c r="A1450" s="26">
        <v>1448</v>
      </c>
      <c r="B1450" s="34">
        <v>1501</v>
      </c>
      <c r="C1450" s="57" t="s">
        <v>6318</v>
      </c>
      <c r="D1450" s="56" t="s">
        <v>394</v>
      </c>
      <c r="E1450" s="56" t="s">
        <v>4878</v>
      </c>
      <c r="F1450" s="26" t="s">
        <v>3923</v>
      </c>
      <c r="G1450" s="26" t="s">
        <v>15</v>
      </c>
      <c r="H1450" s="26" t="s">
        <v>13</v>
      </c>
      <c r="I1450" s="26" t="s">
        <v>3924</v>
      </c>
      <c r="J1450" s="26" t="s">
        <v>6319</v>
      </c>
      <c r="K1450" s="26" t="s">
        <v>4891</v>
      </c>
      <c r="L1450" s="26" t="s">
        <v>3963</v>
      </c>
      <c r="M1450" s="55" t="s">
        <v>4887</v>
      </c>
      <c r="N1450" s="26" t="s">
        <v>3924</v>
      </c>
    </row>
    <row r="1451" spans="1:14" ht="75" customHeight="1" thickTop="1" thickBot="1">
      <c r="A1451" s="34">
        <v>1449</v>
      </c>
      <c r="B1451" s="26">
        <v>1502</v>
      </c>
      <c r="C1451" s="57" t="s">
        <v>6318</v>
      </c>
      <c r="D1451" s="56" t="s">
        <v>394</v>
      </c>
      <c r="E1451" s="56" t="s">
        <v>4878</v>
      </c>
      <c r="F1451" s="26" t="s">
        <v>3923</v>
      </c>
      <c r="G1451" s="26" t="s">
        <v>15</v>
      </c>
      <c r="H1451" s="26" t="s">
        <v>13</v>
      </c>
      <c r="I1451" s="26" t="s">
        <v>3924</v>
      </c>
      <c r="J1451" s="26" t="s">
        <v>6319</v>
      </c>
      <c r="K1451" s="26" t="s">
        <v>4894</v>
      </c>
      <c r="L1451" s="26" t="s">
        <v>4082</v>
      </c>
      <c r="M1451" s="55" t="s">
        <v>4895</v>
      </c>
      <c r="N1451" s="26" t="s">
        <v>3924</v>
      </c>
    </row>
    <row r="1452" spans="1:14" ht="75" customHeight="1" thickTop="1" thickBot="1">
      <c r="A1452" s="34">
        <v>1450</v>
      </c>
      <c r="B1452" s="34">
        <v>1503</v>
      </c>
      <c r="C1452" s="57" t="s">
        <v>6319</v>
      </c>
      <c r="D1452" s="56" t="s">
        <v>394</v>
      </c>
      <c r="E1452" s="56" t="s">
        <v>4878</v>
      </c>
      <c r="F1452" s="26" t="s">
        <v>3923</v>
      </c>
      <c r="G1452" s="26" t="s">
        <v>15</v>
      </c>
      <c r="H1452" s="26" t="s">
        <v>13</v>
      </c>
      <c r="I1452" s="26" t="s">
        <v>3924</v>
      </c>
      <c r="J1452" s="26" t="s">
        <v>6320</v>
      </c>
      <c r="K1452" s="26" t="s">
        <v>4896</v>
      </c>
      <c r="L1452" s="26" t="s">
        <v>4082</v>
      </c>
      <c r="M1452" s="55" t="s">
        <v>4895</v>
      </c>
      <c r="N1452" s="26" t="s">
        <v>3924</v>
      </c>
    </row>
    <row r="1453" spans="1:14" ht="75" customHeight="1" thickTop="1" thickBot="1">
      <c r="A1453" s="26">
        <v>1451</v>
      </c>
      <c r="B1453" s="26">
        <v>1504</v>
      </c>
      <c r="C1453" s="57" t="s">
        <v>6320</v>
      </c>
      <c r="D1453" s="56" t="s">
        <v>394</v>
      </c>
      <c r="E1453" s="56" t="s">
        <v>4878</v>
      </c>
      <c r="F1453" s="26" t="s">
        <v>3923</v>
      </c>
      <c r="G1453" s="26" t="s">
        <v>15</v>
      </c>
      <c r="H1453" s="26" t="s">
        <v>13</v>
      </c>
      <c r="I1453" s="26" t="s">
        <v>3924</v>
      </c>
      <c r="J1453" s="26" t="s">
        <v>6320</v>
      </c>
      <c r="K1453" s="26" t="s">
        <v>4899</v>
      </c>
      <c r="L1453" s="26" t="s">
        <v>4082</v>
      </c>
      <c r="M1453" s="55" t="s">
        <v>4895</v>
      </c>
      <c r="N1453" s="26" t="s">
        <v>3924</v>
      </c>
    </row>
    <row r="1454" spans="1:14" ht="75" customHeight="1" thickTop="1" thickBot="1">
      <c r="A1454" s="34">
        <v>1452</v>
      </c>
      <c r="B1454" s="34">
        <v>1505</v>
      </c>
      <c r="C1454" s="57" t="s">
        <v>6320</v>
      </c>
      <c r="D1454" s="56" t="s">
        <v>394</v>
      </c>
      <c r="E1454" s="56" t="s">
        <v>4878</v>
      </c>
      <c r="F1454" s="26" t="s">
        <v>3923</v>
      </c>
      <c r="G1454" s="26" t="s">
        <v>15</v>
      </c>
      <c r="H1454" s="26" t="s">
        <v>13</v>
      </c>
      <c r="I1454" s="26" t="s">
        <v>3924</v>
      </c>
      <c r="J1454" s="26" t="s">
        <v>6321</v>
      </c>
      <c r="K1454" s="26" t="s">
        <v>4901</v>
      </c>
      <c r="L1454" s="26" t="s">
        <v>4082</v>
      </c>
      <c r="M1454" s="55" t="s">
        <v>4895</v>
      </c>
      <c r="N1454" s="26" t="s">
        <v>3924</v>
      </c>
    </row>
    <row r="1455" spans="1:14" ht="75" customHeight="1" thickTop="1" thickBot="1">
      <c r="A1455" s="34">
        <v>1453</v>
      </c>
      <c r="B1455" s="34">
        <v>1506</v>
      </c>
      <c r="C1455" s="57" t="s">
        <v>6322</v>
      </c>
      <c r="D1455" s="56" t="s">
        <v>394</v>
      </c>
      <c r="E1455" s="56" t="s">
        <v>4878</v>
      </c>
      <c r="F1455" s="26" t="s">
        <v>3923</v>
      </c>
      <c r="G1455" s="26" t="s">
        <v>15</v>
      </c>
      <c r="H1455" s="26" t="s">
        <v>13</v>
      </c>
      <c r="I1455" s="26" t="s">
        <v>3924</v>
      </c>
      <c r="J1455" s="26" t="s">
        <v>6323</v>
      </c>
      <c r="K1455" s="26" t="s">
        <v>4903</v>
      </c>
      <c r="L1455" s="26" t="s">
        <v>4082</v>
      </c>
      <c r="M1455" s="55" t="s">
        <v>4904</v>
      </c>
      <c r="N1455" s="26" t="s">
        <v>3924</v>
      </c>
    </row>
    <row r="1456" spans="1:14" ht="75" customHeight="1" thickTop="1" thickBot="1">
      <c r="A1456" s="26">
        <v>1454</v>
      </c>
      <c r="B1456" s="26">
        <v>1507</v>
      </c>
      <c r="C1456" s="57" t="s">
        <v>6323</v>
      </c>
      <c r="D1456" s="56" t="s">
        <v>394</v>
      </c>
      <c r="E1456" s="56" t="s">
        <v>4878</v>
      </c>
      <c r="F1456" s="26" t="s">
        <v>3923</v>
      </c>
      <c r="G1456" s="26" t="s">
        <v>15</v>
      </c>
      <c r="H1456" s="26" t="s">
        <v>13</v>
      </c>
      <c r="I1456" s="26" t="s">
        <v>3924</v>
      </c>
      <c r="J1456" s="26" t="s">
        <v>6324</v>
      </c>
      <c r="K1456" s="26" t="s">
        <v>4908</v>
      </c>
      <c r="L1456" s="26" t="s">
        <v>4082</v>
      </c>
      <c r="M1456" s="55" t="s">
        <v>4904</v>
      </c>
      <c r="N1456" s="26" t="s">
        <v>3924</v>
      </c>
    </row>
    <row r="1457" spans="1:14" ht="75" customHeight="1" thickTop="1" thickBot="1">
      <c r="A1457" s="34">
        <v>1455</v>
      </c>
      <c r="B1457" s="34">
        <v>1508</v>
      </c>
      <c r="C1457" s="57" t="s">
        <v>6325</v>
      </c>
      <c r="D1457" s="56" t="s">
        <v>394</v>
      </c>
      <c r="E1457" s="56" t="s">
        <v>4878</v>
      </c>
      <c r="F1457" s="26" t="s">
        <v>3923</v>
      </c>
      <c r="G1457" s="26" t="s">
        <v>15</v>
      </c>
      <c r="H1457" s="26" t="s">
        <v>13</v>
      </c>
      <c r="I1457" s="26" t="s">
        <v>3924</v>
      </c>
      <c r="J1457" s="26" t="s">
        <v>6326</v>
      </c>
      <c r="K1457" s="26" t="s">
        <v>4910</v>
      </c>
      <c r="L1457" s="26" t="s">
        <v>4082</v>
      </c>
      <c r="M1457" s="55" t="s">
        <v>4904</v>
      </c>
      <c r="N1457" s="26" t="s">
        <v>3924</v>
      </c>
    </row>
    <row r="1458" spans="1:14" ht="75" customHeight="1" thickTop="1" thickBot="1">
      <c r="A1458" s="34">
        <v>1456</v>
      </c>
      <c r="B1458" s="26">
        <v>1509</v>
      </c>
      <c r="C1458" s="57" t="s">
        <v>6324</v>
      </c>
      <c r="D1458" s="56" t="s">
        <v>394</v>
      </c>
      <c r="E1458" s="56" t="s">
        <v>4878</v>
      </c>
      <c r="F1458" s="26" t="s">
        <v>3923</v>
      </c>
      <c r="G1458" s="26" t="s">
        <v>15</v>
      </c>
      <c r="H1458" s="26" t="s">
        <v>13</v>
      </c>
      <c r="I1458" s="26" t="s">
        <v>3924</v>
      </c>
      <c r="J1458" s="26" t="s">
        <v>6326</v>
      </c>
      <c r="K1458" s="26" t="s">
        <v>4915</v>
      </c>
      <c r="L1458" s="26" t="s">
        <v>4082</v>
      </c>
      <c r="M1458" s="55" t="s">
        <v>4904</v>
      </c>
      <c r="N1458" s="26" t="s">
        <v>3924</v>
      </c>
    </row>
    <row r="1459" spans="1:14" ht="75" customHeight="1" thickTop="1" thickBot="1">
      <c r="A1459" s="26">
        <v>1457</v>
      </c>
      <c r="B1459" s="34">
        <v>1510</v>
      </c>
      <c r="C1459" s="57" t="s">
        <v>6326</v>
      </c>
      <c r="D1459" s="56" t="s">
        <v>394</v>
      </c>
      <c r="E1459" s="56" t="s">
        <v>4878</v>
      </c>
      <c r="F1459" s="26" t="s">
        <v>3923</v>
      </c>
      <c r="G1459" s="26" t="s">
        <v>15</v>
      </c>
      <c r="H1459" s="26" t="s">
        <v>13</v>
      </c>
      <c r="I1459" s="26" t="s">
        <v>3924</v>
      </c>
      <c r="J1459" s="26" t="s">
        <v>6327</v>
      </c>
      <c r="K1459" s="26" t="s">
        <v>4918</v>
      </c>
      <c r="L1459" s="26" t="s">
        <v>4082</v>
      </c>
      <c r="M1459" s="55" t="s">
        <v>4904</v>
      </c>
      <c r="N1459" s="26" t="s">
        <v>3924</v>
      </c>
    </row>
    <row r="1460" spans="1:14" ht="75" customHeight="1" thickTop="1" thickBot="1">
      <c r="A1460" s="34">
        <v>1458</v>
      </c>
      <c r="B1460" s="26">
        <v>1511</v>
      </c>
      <c r="C1460" s="57" t="s">
        <v>6328</v>
      </c>
      <c r="D1460" s="56" t="s">
        <v>394</v>
      </c>
      <c r="E1460" s="56" t="s">
        <v>4878</v>
      </c>
      <c r="F1460" s="26" t="s">
        <v>3923</v>
      </c>
      <c r="G1460" s="26" t="s">
        <v>15</v>
      </c>
      <c r="H1460" s="26" t="s">
        <v>13</v>
      </c>
      <c r="I1460" s="26" t="s">
        <v>3924</v>
      </c>
      <c r="J1460" s="26" t="s">
        <v>6327</v>
      </c>
      <c r="K1460" s="26" t="s">
        <v>4919</v>
      </c>
      <c r="L1460" s="26" t="s">
        <v>4082</v>
      </c>
      <c r="M1460" s="55" t="s">
        <v>4904</v>
      </c>
      <c r="N1460" s="26" t="s">
        <v>3924</v>
      </c>
    </row>
    <row r="1461" spans="1:14" ht="75" customHeight="1" thickTop="1" thickBot="1">
      <c r="A1461" s="34">
        <v>1459</v>
      </c>
      <c r="B1461" s="34">
        <v>1512</v>
      </c>
      <c r="C1461" s="57" t="s">
        <v>6327</v>
      </c>
      <c r="D1461" s="56" t="s">
        <v>394</v>
      </c>
      <c r="E1461" s="56" t="s">
        <v>4878</v>
      </c>
      <c r="F1461" s="26" t="s">
        <v>3923</v>
      </c>
      <c r="G1461" s="26" t="s">
        <v>15</v>
      </c>
      <c r="H1461" s="26" t="s">
        <v>13</v>
      </c>
      <c r="I1461" s="26" t="s">
        <v>3924</v>
      </c>
      <c r="J1461" s="26" t="s">
        <v>6329</v>
      </c>
      <c r="K1461" s="26" t="s">
        <v>4921</v>
      </c>
      <c r="L1461" s="26" t="s">
        <v>4082</v>
      </c>
      <c r="M1461" s="55" t="s">
        <v>4904</v>
      </c>
      <c r="N1461" s="26" t="s">
        <v>3924</v>
      </c>
    </row>
    <row r="1462" spans="1:14" ht="75" customHeight="1" thickTop="1" thickBot="1">
      <c r="A1462" s="26">
        <v>1460</v>
      </c>
      <c r="B1462" s="34">
        <v>1513</v>
      </c>
      <c r="C1462" s="57" t="s">
        <v>6329</v>
      </c>
      <c r="D1462" s="56" t="s">
        <v>394</v>
      </c>
      <c r="E1462" s="56" t="s">
        <v>4878</v>
      </c>
      <c r="F1462" s="26" t="s">
        <v>3923</v>
      </c>
      <c r="G1462" s="26" t="s">
        <v>15</v>
      </c>
      <c r="H1462" s="26" t="s">
        <v>13</v>
      </c>
      <c r="I1462" s="26" t="s">
        <v>3924</v>
      </c>
      <c r="J1462" s="26" t="s">
        <v>6330</v>
      </c>
      <c r="K1462" s="26" t="s">
        <v>4923</v>
      </c>
      <c r="L1462" s="26" t="s">
        <v>4082</v>
      </c>
      <c r="M1462" s="55" t="s">
        <v>4904</v>
      </c>
      <c r="N1462" s="26" t="s">
        <v>3924</v>
      </c>
    </row>
    <row r="1463" spans="1:14" ht="75" customHeight="1" thickTop="1" thickBot="1">
      <c r="A1463" s="34">
        <v>1461</v>
      </c>
      <c r="B1463" s="26">
        <v>1514</v>
      </c>
      <c r="C1463" s="57" t="s">
        <v>6330</v>
      </c>
      <c r="D1463" s="56" t="s">
        <v>394</v>
      </c>
      <c r="E1463" s="56" t="s">
        <v>4878</v>
      </c>
      <c r="F1463" s="26" t="s">
        <v>3923</v>
      </c>
      <c r="G1463" s="26" t="s">
        <v>15</v>
      </c>
      <c r="H1463" s="26" t="s">
        <v>13</v>
      </c>
      <c r="I1463" s="26" t="s">
        <v>3924</v>
      </c>
      <c r="J1463" s="26" t="s">
        <v>6331</v>
      </c>
      <c r="K1463" s="26" t="s">
        <v>4925</v>
      </c>
      <c r="L1463" s="26" t="s">
        <v>4082</v>
      </c>
      <c r="M1463" s="55" t="s">
        <v>4904</v>
      </c>
      <c r="N1463" s="26" t="s">
        <v>3924</v>
      </c>
    </row>
    <row r="1464" spans="1:14" ht="75" customHeight="1" thickTop="1" thickBot="1">
      <c r="A1464" s="34">
        <v>1462</v>
      </c>
      <c r="B1464" s="34">
        <v>1515</v>
      </c>
      <c r="C1464" s="57" t="s">
        <v>6332</v>
      </c>
      <c r="D1464" s="56" t="s">
        <v>394</v>
      </c>
      <c r="E1464" s="56" t="s">
        <v>4878</v>
      </c>
      <c r="F1464" s="26" t="s">
        <v>3923</v>
      </c>
      <c r="G1464" s="26" t="s">
        <v>15</v>
      </c>
      <c r="H1464" s="26" t="s">
        <v>13</v>
      </c>
      <c r="I1464" s="26" t="s">
        <v>3924</v>
      </c>
      <c r="J1464" s="26" t="s">
        <v>6332</v>
      </c>
      <c r="K1464" s="26" t="s">
        <v>4926</v>
      </c>
      <c r="L1464" s="26" t="s">
        <v>3986</v>
      </c>
      <c r="M1464" s="55" t="s">
        <v>4904</v>
      </c>
      <c r="N1464" s="26" t="s">
        <v>3924</v>
      </c>
    </row>
    <row r="1465" spans="1:14" ht="75" customHeight="1" thickTop="1" thickBot="1">
      <c r="A1465" s="26">
        <v>1463</v>
      </c>
      <c r="B1465" s="26">
        <v>1516</v>
      </c>
      <c r="C1465" s="57" t="s">
        <v>6332</v>
      </c>
      <c r="D1465" s="56" t="s">
        <v>394</v>
      </c>
      <c r="E1465" s="56" t="s">
        <v>4878</v>
      </c>
      <c r="F1465" s="26" t="s">
        <v>3923</v>
      </c>
      <c r="G1465" s="26" t="s">
        <v>15</v>
      </c>
      <c r="H1465" s="26" t="s">
        <v>13</v>
      </c>
      <c r="I1465" s="26" t="s">
        <v>3924</v>
      </c>
      <c r="J1465" s="26" t="s">
        <v>6333</v>
      </c>
      <c r="K1465" s="26" t="s">
        <v>4926</v>
      </c>
      <c r="L1465" s="26" t="s">
        <v>4933</v>
      </c>
      <c r="M1465" s="55" t="s">
        <v>4904</v>
      </c>
      <c r="N1465" s="26" t="s">
        <v>3924</v>
      </c>
    </row>
    <row r="1466" spans="1:14" ht="75" customHeight="1" thickTop="1" thickBot="1">
      <c r="A1466" s="34">
        <v>1464</v>
      </c>
      <c r="B1466" s="34">
        <v>1517</v>
      </c>
      <c r="C1466" s="57" t="s">
        <v>6334</v>
      </c>
      <c r="D1466" s="56" t="s">
        <v>394</v>
      </c>
      <c r="E1466" s="56" t="s">
        <v>4878</v>
      </c>
      <c r="F1466" s="26" t="s">
        <v>3923</v>
      </c>
      <c r="G1466" s="26" t="s">
        <v>15</v>
      </c>
      <c r="H1466" s="26" t="s">
        <v>13</v>
      </c>
      <c r="I1466" s="26" t="s">
        <v>3924</v>
      </c>
      <c r="J1466" s="26" t="s">
        <v>6335</v>
      </c>
      <c r="K1466" s="26" t="s">
        <v>4903</v>
      </c>
      <c r="L1466" s="26" t="s">
        <v>4082</v>
      </c>
      <c r="M1466" s="55" t="s">
        <v>4928</v>
      </c>
      <c r="N1466" s="26" t="s">
        <v>3924</v>
      </c>
    </row>
    <row r="1467" spans="1:14" ht="75" customHeight="1" thickTop="1" thickBot="1">
      <c r="A1467" s="34">
        <v>1465</v>
      </c>
      <c r="B1467" s="26">
        <v>1518</v>
      </c>
      <c r="C1467" s="57" t="s">
        <v>6333</v>
      </c>
      <c r="D1467" s="56" t="s">
        <v>394</v>
      </c>
      <c r="E1467" s="56" t="s">
        <v>4878</v>
      </c>
      <c r="F1467" s="26" t="s">
        <v>3923</v>
      </c>
      <c r="G1467" s="26" t="s">
        <v>15</v>
      </c>
      <c r="H1467" s="26" t="s">
        <v>13</v>
      </c>
      <c r="I1467" s="26" t="s">
        <v>3924</v>
      </c>
      <c r="J1467" s="26" t="s">
        <v>6335</v>
      </c>
      <c r="K1467" s="26" t="s">
        <v>4908</v>
      </c>
      <c r="L1467" s="26" t="s">
        <v>4082</v>
      </c>
      <c r="M1467" s="55" t="s">
        <v>4928</v>
      </c>
      <c r="N1467" s="26" t="s">
        <v>3924</v>
      </c>
    </row>
    <row r="1468" spans="1:14" ht="75" customHeight="1" thickTop="1" thickBot="1">
      <c r="A1468" s="26">
        <v>1466</v>
      </c>
      <c r="B1468" s="34">
        <v>1519</v>
      </c>
      <c r="C1468" s="57" t="s">
        <v>6335</v>
      </c>
      <c r="D1468" s="56" t="s">
        <v>394</v>
      </c>
      <c r="E1468" s="56" t="s">
        <v>4878</v>
      </c>
      <c r="F1468" s="26" t="s">
        <v>3923</v>
      </c>
      <c r="G1468" s="26" t="s">
        <v>15</v>
      </c>
      <c r="H1468" s="26" t="s">
        <v>13</v>
      </c>
      <c r="I1468" s="26" t="s">
        <v>3924</v>
      </c>
      <c r="J1468" s="26" t="s">
        <v>6336</v>
      </c>
      <c r="K1468" s="26" t="s">
        <v>4910</v>
      </c>
      <c r="L1468" s="26" t="s">
        <v>4082</v>
      </c>
      <c r="M1468" s="55" t="s">
        <v>4928</v>
      </c>
      <c r="N1468" s="26" t="s">
        <v>3924</v>
      </c>
    </row>
    <row r="1469" spans="1:14" ht="75" customHeight="1" thickTop="1" thickBot="1">
      <c r="A1469" s="34">
        <v>1467</v>
      </c>
      <c r="B1469" s="34">
        <v>1520</v>
      </c>
      <c r="C1469" s="57" t="s">
        <v>6337</v>
      </c>
      <c r="D1469" s="56" t="s">
        <v>394</v>
      </c>
      <c r="E1469" s="56" t="s">
        <v>4878</v>
      </c>
      <c r="F1469" s="26" t="s">
        <v>3923</v>
      </c>
      <c r="G1469" s="26" t="s">
        <v>15</v>
      </c>
      <c r="H1469" s="26" t="s">
        <v>13</v>
      </c>
      <c r="I1469" s="26" t="s">
        <v>3924</v>
      </c>
      <c r="J1469" s="26" t="s">
        <v>6336</v>
      </c>
      <c r="K1469" s="26" t="s">
        <v>4915</v>
      </c>
      <c r="L1469" s="26" t="s">
        <v>4082</v>
      </c>
      <c r="M1469" s="55" t="s">
        <v>4928</v>
      </c>
      <c r="N1469" s="26" t="s">
        <v>3924</v>
      </c>
    </row>
    <row r="1470" spans="1:14" ht="75" customHeight="1" thickTop="1" thickBot="1">
      <c r="A1470" s="34">
        <v>1468</v>
      </c>
      <c r="B1470" s="26">
        <v>1521</v>
      </c>
      <c r="C1470" s="57" t="s">
        <v>6338</v>
      </c>
      <c r="D1470" s="56" t="s">
        <v>394</v>
      </c>
      <c r="E1470" s="56" t="s">
        <v>4878</v>
      </c>
      <c r="F1470" s="26" t="s">
        <v>3923</v>
      </c>
      <c r="G1470" s="26" t="s">
        <v>15</v>
      </c>
      <c r="H1470" s="26" t="s">
        <v>13</v>
      </c>
      <c r="I1470" s="26" t="s">
        <v>3924</v>
      </c>
      <c r="J1470" s="26" t="s">
        <v>6339</v>
      </c>
      <c r="K1470" s="26" t="s">
        <v>4918</v>
      </c>
      <c r="L1470" s="26" t="s">
        <v>4082</v>
      </c>
      <c r="M1470" s="55" t="s">
        <v>4928</v>
      </c>
      <c r="N1470" s="26" t="s">
        <v>3924</v>
      </c>
    </row>
    <row r="1471" spans="1:14" ht="75" customHeight="1" thickTop="1" thickBot="1">
      <c r="A1471" s="26">
        <v>1469</v>
      </c>
      <c r="B1471" s="34">
        <v>1522</v>
      </c>
      <c r="C1471" s="57" t="s">
        <v>6340</v>
      </c>
      <c r="D1471" s="56" t="s">
        <v>394</v>
      </c>
      <c r="E1471" s="56" t="s">
        <v>4878</v>
      </c>
      <c r="F1471" s="26" t="s">
        <v>3923</v>
      </c>
      <c r="G1471" s="26" t="s">
        <v>15</v>
      </c>
      <c r="H1471" s="26" t="s">
        <v>13</v>
      </c>
      <c r="I1471" s="26" t="s">
        <v>3924</v>
      </c>
      <c r="J1471" s="26" t="s">
        <v>6339</v>
      </c>
      <c r="K1471" s="26" t="s">
        <v>4919</v>
      </c>
      <c r="L1471" s="26" t="s">
        <v>4082</v>
      </c>
      <c r="M1471" s="55" t="s">
        <v>4928</v>
      </c>
      <c r="N1471" s="26" t="s">
        <v>3924</v>
      </c>
    </row>
    <row r="1472" spans="1:14" ht="75" customHeight="1" thickTop="1" thickBot="1">
      <c r="A1472" s="34">
        <v>1470</v>
      </c>
      <c r="B1472" s="26">
        <v>1523</v>
      </c>
      <c r="C1472" s="57" t="s">
        <v>6341</v>
      </c>
      <c r="D1472" s="56" t="s">
        <v>394</v>
      </c>
      <c r="E1472" s="56" t="s">
        <v>4878</v>
      </c>
      <c r="F1472" s="26" t="s">
        <v>3923</v>
      </c>
      <c r="G1472" s="26" t="s">
        <v>15</v>
      </c>
      <c r="H1472" s="26" t="s">
        <v>13</v>
      </c>
      <c r="I1472" s="26" t="s">
        <v>3924</v>
      </c>
      <c r="J1472" s="26" t="s">
        <v>6339</v>
      </c>
      <c r="K1472" s="26" t="s">
        <v>4921</v>
      </c>
      <c r="L1472" s="26" t="s">
        <v>4082</v>
      </c>
      <c r="M1472" s="55" t="s">
        <v>4928</v>
      </c>
      <c r="N1472" s="26" t="s">
        <v>3924</v>
      </c>
    </row>
    <row r="1473" spans="1:14" ht="75" customHeight="1" thickTop="1" thickBot="1">
      <c r="A1473" s="34">
        <v>1471</v>
      </c>
      <c r="B1473" s="34">
        <v>1524</v>
      </c>
      <c r="C1473" s="57" t="s">
        <v>6336</v>
      </c>
      <c r="D1473" s="56" t="s">
        <v>394</v>
      </c>
      <c r="E1473" s="56" t="s">
        <v>4878</v>
      </c>
      <c r="F1473" s="26" t="s">
        <v>3923</v>
      </c>
      <c r="G1473" s="26" t="s">
        <v>15</v>
      </c>
      <c r="H1473" s="26" t="s">
        <v>13</v>
      </c>
      <c r="I1473" s="26" t="s">
        <v>3924</v>
      </c>
      <c r="J1473" s="26" t="s">
        <v>6339</v>
      </c>
      <c r="K1473" s="26" t="s">
        <v>4923</v>
      </c>
      <c r="L1473" s="26" t="s">
        <v>4082</v>
      </c>
      <c r="M1473" s="55" t="s">
        <v>4928</v>
      </c>
      <c r="N1473" s="26" t="s">
        <v>3924</v>
      </c>
    </row>
    <row r="1474" spans="1:14" ht="75" customHeight="1" thickTop="1" thickBot="1">
      <c r="A1474" s="26">
        <v>1472</v>
      </c>
      <c r="B1474" s="26">
        <v>1525</v>
      </c>
      <c r="C1474" s="57" t="s">
        <v>6339</v>
      </c>
      <c r="D1474" s="56" t="s">
        <v>394</v>
      </c>
      <c r="E1474" s="56" t="s">
        <v>4878</v>
      </c>
      <c r="F1474" s="26" t="s">
        <v>3923</v>
      </c>
      <c r="G1474" s="26" t="s">
        <v>15</v>
      </c>
      <c r="H1474" s="26" t="s">
        <v>13</v>
      </c>
      <c r="I1474" s="26" t="s">
        <v>3924</v>
      </c>
      <c r="J1474" s="26" t="s">
        <v>6342</v>
      </c>
      <c r="K1474" s="26" t="s">
        <v>4925</v>
      </c>
      <c r="L1474" s="26" t="s">
        <v>4082</v>
      </c>
      <c r="M1474" s="55" t="s">
        <v>4928</v>
      </c>
      <c r="N1474" s="26" t="s">
        <v>3924</v>
      </c>
    </row>
    <row r="1475" spans="1:14" ht="75" customHeight="1" thickTop="1" thickBot="1">
      <c r="A1475" s="34">
        <v>1473</v>
      </c>
      <c r="B1475" s="34">
        <v>1526</v>
      </c>
      <c r="C1475" s="57" t="s">
        <v>6342</v>
      </c>
      <c r="D1475" s="56" t="s">
        <v>394</v>
      </c>
      <c r="E1475" s="56" t="s">
        <v>4878</v>
      </c>
      <c r="F1475" s="26" t="s">
        <v>3923</v>
      </c>
      <c r="G1475" s="26" t="s">
        <v>15</v>
      </c>
      <c r="H1475" s="26" t="s">
        <v>13</v>
      </c>
      <c r="I1475" s="26" t="s">
        <v>3924</v>
      </c>
      <c r="J1475" s="26" t="s">
        <v>6342</v>
      </c>
      <c r="K1475" s="26" t="s">
        <v>4926</v>
      </c>
      <c r="L1475" s="26" t="s">
        <v>4082</v>
      </c>
      <c r="M1475" s="55" t="s">
        <v>4928</v>
      </c>
      <c r="N1475" s="26" t="s">
        <v>3924</v>
      </c>
    </row>
    <row r="1476" spans="1:14" ht="75" customHeight="1" thickTop="1" thickBot="1">
      <c r="A1476" s="34">
        <v>1474</v>
      </c>
      <c r="B1476" s="34">
        <v>1527</v>
      </c>
      <c r="C1476" s="57" t="s">
        <v>6343</v>
      </c>
      <c r="D1476" s="56" t="s">
        <v>394</v>
      </c>
      <c r="E1476" s="56" t="s">
        <v>4878</v>
      </c>
      <c r="F1476" s="26" t="s">
        <v>3923</v>
      </c>
      <c r="G1476" s="26" t="s">
        <v>15</v>
      </c>
      <c r="H1476" s="26" t="s">
        <v>13</v>
      </c>
      <c r="I1476" s="26" t="s">
        <v>3924</v>
      </c>
      <c r="J1476" s="26" t="s">
        <v>6344</v>
      </c>
      <c r="K1476" s="26" t="s">
        <v>4910</v>
      </c>
      <c r="L1476" s="26" t="s">
        <v>4082</v>
      </c>
      <c r="M1476" s="55" t="s">
        <v>4935</v>
      </c>
      <c r="N1476" s="26" t="s">
        <v>3924</v>
      </c>
    </row>
    <row r="1477" spans="1:14" ht="75" customHeight="1" thickTop="1" thickBot="1">
      <c r="A1477" s="26">
        <v>1475</v>
      </c>
      <c r="B1477" s="26">
        <v>1528</v>
      </c>
      <c r="C1477" s="57" t="s">
        <v>6344</v>
      </c>
      <c r="D1477" s="56" t="s">
        <v>394</v>
      </c>
      <c r="E1477" s="56" t="s">
        <v>4878</v>
      </c>
      <c r="F1477" s="26" t="s">
        <v>3923</v>
      </c>
      <c r="G1477" s="26" t="s">
        <v>15</v>
      </c>
      <c r="H1477" s="26" t="s">
        <v>13</v>
      </c>
      <c r="I1477" s="26" t="s">
        <v>3924</v>
      </c>
      <c r="J1477" s="26" t="s">
        <v>6345</v>
      </c>
      <c r="K1477" s="26" t="s">
        <v>4915</v>
      </c>
      <c r="L1477" s="26" t="s">
        <v>4934</v>
      </c>
      <c r="M1477" s="55" t="s">
        <v>4935</v>
      </c>
      <c r="N1477" s="26" t="s">
        <v>3924</v>
      </c>
    </row>
    <row r="1478" spans="1:14" ht="75" customHeight="1" thickTop="1" thickBot="1">
      <c r="A1478" s="34">
        <v>1476</v>
      </c>
      <c r="B1478" s="34">
        <v>1529</v>
      </c>
      <c r="C1478" s="57" t="s">
        <v>6345</v>
      </c>
      <c r="D1478" s="56" t="s">
        <v>394</v>
      </c>
      <c r="E1478" s="56" t="s">
        <v>4878</v>
      </c>
      <c r="F1478" s="26" t="s">
        <v>3923</v>
      </c>
      <c r="G1478" s="26" t="s">
        <v>15</v>
      </c>
      <c r="H1478" s="26" t="s">
        <v>13</v>
      </c>
      <c r="I1478" s="26" t="s">
        <v>3924</v>
      </c>
      <c r="J1478" s="26" t="s">
        <v>6346</v>
      </c>
      <c r="K1478" s="26" t="s">
        <v>4918</v>
      </c>
      <c r="L1478" s="26" t="s">
        <v>4934</v>
      </c>
      <c r="M1478" s="55" t="s">
        <v>4935</v>
      </c>
      <c r="N1478" s="26" t="s">
        <v>3924</v>
      </c>
    </row>
    <row r="1479" spans="1:14" ht="75" customHeight="1" thickTop="1" thickBot="1">
      <c r="A1479" s="34">
        <v>1477</v>
      </c>
      <c r="B1479" s="26">
        <v>1530</v>
      </c>
      <c r="C1479" s="57" t="s">
        <v>6347</v>
      </c>
      <c r="D1479" s="56" t="s">
        <v>394</v>
      </c>
      <c r="E1479" s="56" t="s">
        <v>4878</v>
      </c>
      <c r="F1479" s="26" t="s">
        <v>3923</v>
      </c>
      <c r="G1479" s="26" t="s">
        <v>15</v>
      </c>
      <c r="H1479" s="26" t="s">
        <v>13</v>
      </c>
      <c r="I1479" s="26" t="s">
        <v>3924</v>
      </c>
      <c r="J1479" s="26" t="s">
        <v>6347</v>
      </c>
      <c r="K1479" s="26" t="s">
        <v>4919</v>
      </c>
      <c r="L1479" s="26" t="s">
        <v>4934</v>
      </c>
      <c r="M1479" s="55" t="s">
        <v>4935</v>
      </c>
      <c r="N1479" s="26" t="s">
        <v>3924</v>
      </c>
    </row>
    <row r="1480" spans="1:14" ht="75" customHeight="1" thickTop="1" thickBot="1">
      <c r="A1480" s="26">
        <v>1478</v>
      </c>
      <c r="B1480" s="34">
        <v>1531</v>
      </c>
      <c r="C1480" s="57" t="s">
        <v>6348</v>
      </c>
      <c r="D1480" s="56" t="s">
        <v>394</v>
      </c>
      <c r="E1480" s="56" t="s">
        <v>4878</v>
      </c>
      <c r="F1480" s="26" t="s">
        <v>3923</v>
      </c>
      <c r="G1480" s="26" t="s">
        <v>15</v>
      </c>
      <c r="H1480" s="26" t="s">
        <v>13</v>
      </c>
      <c r="I1480" s="26" t="s">
        <v>3924</v>
      </c>
      <c r="J1480" s="26" t="s">
        <v>6349</v>
      </c>
      <c r="K1480" s="26" t="s">
        <v>4921</v>
      </c>
      <c r="L1480" s="26" t="s">
        <v>4934</v>
      </c>
      <c r="M1480" s="55" t="s">
        <v>4935</v>
      </c>
      <c r="N1480" s="26" t="s">
        <v>3924</v>
      </c>
    </row>
    <row r="1481" spans="1:14" ht="75" customHeight="1" thickTop="1" thickBot="1">
      <c r="A1481" s="34">
        <v>1479</v>
      </c>
      <c r="B1481" s="26">
        <v>1532</v>
      </c>
      <c r="C1481" s="57" t="s">
        <v>6349</v>
      </c>
      <c r="D1481" s="56" t="s">
        <v>394</v>
      </c>
      <c r="E1481" s="56" t="s">
        <v>4878</v>
      </c>
      <c r="F1481" s="26" t="s">
        <v>3923</v>
      </c>
      <c r="G1481" s="26" t="s">
        <v>15</v>
      </c>
      <c r="H1481" s="26" t="s">
        <v>13</v>
      </c>
      <c r="I1481" s="26" t="s">
        <v>3924</v>
      </c>
      <c r="J1481" s="26" t="s">
        <v>6350</v>
      </c>
      <c r="K1481" s="26" t="s">
        <v>4923</v>
      </c>
      <c r="L1481" s="26" t="s">
        <v>4934</v>
      </c>
      <c r="M1481" s="55" t="s">
        <v>4935</v>
      </c>
      <c r="N1481" s="26" t="s">
        <v>3924</v>
      </c>
    </row>
    <row r="1482" spans="1:14" ht="75" customHeight="1" thickTop="1" thickBot="1">
      <c r="A1482" s="34">
        <v>1480</v>
      </c>
      <c r="B1482" s="34">
        <v>1533</v>
      </c>
      <c r="C1482" s="57" t="s">
        <v>6351</v>
      </c>
      <c r="D1482" s="56" t="s">
        <v>394</v>
      </c>
      <c r="E1482" s="56" t="s">
        <v>4878</v>
      </c>
      <c r="F1482" s="26" t="s">
        <v>3923</v>
      </c>
      <c r="G1482" s="26" t="s">
        <v>15</v>
      </c>
      <c r="H1482" s="26" t="s">
        <v>13</v>
      </c>
      <c r="I1482" s="26" t="s">
        <v>3924</v>
      </c>
      <c r="J1482" s="26" t="s">
        <v>6352</v>
      </c>
      <c r="K1482" s="26" t="s">
        <v>4925</v>
      </c>
      <c r="L1482" s="26" t="s">
        <v>4934</v>
      </c>
      <c r="M1482" s="55" t="s">
        <v>4935</v>
      </c>
      <c r="N1482" s="26" t="s">
        <v>3924</v>
      </c>
    </row>
    <row r="1483" spans="1:14" ht="75" customHeight="1" thickTop="1" thickBot="1">
      <c r="A1483" s="26">
        <v>1481</v>
      </c>
      <c r="B1483" s="34">
        <v>1534</v>
      </c>
      <c r="C1483" s="57" t="s">
        <v>6353</v>
      </c>
      <c r="D1483" s="56" t="s">
        <v>394</v>
      </c>
      <c r="E1483" s="56" t="s">
        <v>4878</v>
      </c>
      <c r="F1483" s="26" t="s">
        <v>3923</v>
      </c>
      <c r="G1483" s="26" t="s">
        <v>15</v>
      </c>
      <c r="H1483" s="26" t="s">
        <v>13</v>
      </c>
      <c r="I1483" s="26" t="s">
        <v>3924</v>
      </c>
      <c r="J1483" s="26" t="s">
        <v>6352</v>
      </c>
      <c r="K1483" s="26" t="s">
        <v>4926</v>
      </c>
      <c r="L1483" s="26" t="s">
        <v>4934</v>
      </c>
      <c r="M1483" s="55" t="s">
        <v>4935</v>
      </c>
      <c r="N1483" s="26" t="s">
        <v>3924</v>
      </c>
    </row>
    <row r="1484" spans="1:14" ht="75" customHeight="1" thickTop="1" thickBot="1">
      <c r="A1484" s="34">
        <v>1482</v>
      </c>
      <c r="B1484" s="26">
        <v>1535</v>
      </c>
      <c r="C1484" s="57" t="s">
        <v>6354</v>
      </c>
      <c r="D1484" s="56" t="s">
        <v>394</v>
      </c>
      <c r="E1484" s="56" t="s">
        <v>4878</v>
      </c>
      <c r="F1484" s="26" t="s">
        <v>3923</v>
      </c>
      <c r="G1484" s="26" t="s">
        <v>15</v>
      </c>
      <c r="H1484" s="26" t="s">
        <v>13</v>
      </c>
      <c r="I1484" s="26" t="s">
        <v>3924</v>
      </c>
      <c r="J1484" s="26" t="s">
        <v>6355</v>
      </c>
      <c r="K1484" s="26" t="s">
        <v>4903</v>
      </c>
      <c r="L1484" s="26" t="s">
        <v>4934</v>
      </c>
      <c r="M1484" s="55" t="s">
        <v>4943</v>
      </c>
      <c r="N1484" s="26" t="s">
        <v>3924</v>
      </c>
    </row>
    <row r="1485" spans="1:14" ht="75" customHeight="1" thickTop="1" thickBot="1">
      <c r="A1485" s="34">
        <v>1483</v>
      </c>
      <c r="B1485" s="34">
        <v>1536</v>
      </c>
      <c r="C1485" s="57" t="s">
        <v>6356</v>
      </c>
      <c r="D1485" s="56" t="s">
        <v>394</v>
      </c>
      <c r="E1485" s="56" t="s">
        <v>4878</v>
      </c>
      <c r="F1485" s="26" t="s">
        <v>3923</v>
      </c>
      <c r="G1485" s="26" t="s">
        <v>15</v>
      </c>
      <c r="H1485" s="26" t="s">
        <v>13</v>
      </c>
      <c r="I1485" s="26" t="s">
        <v>3924</v>
      </c>
      <c r="J1485" s="26" t="s">
        <v>6357</v>
      </c>
      <c r="K1485" s="26" t="s">
        <v>4908</v>
      </c>
      <c r="L1485" s="26" t="s">
        <v>4934</v>
      </c>
      <c r="M1485" s="55" t="s">
        <v>4943</v>
      </c>
      <c r="N1485" s="26" t="s">
        <v>3924</v>
      </c>
    </row>
    <row r="1486" spans="1:14" ht="75" customHeight="1" thickTop="1" thickBot="1">
      <c r="A1486" s="26">
        <v>1484</v>
      </c>
      <c r="B1486" s="26">
        <v>1537</v>
      </c>
      <c r="C1486" s="57" t="s">
        <v>6358</v>
      </c>
      <c r="D1486" s="56" t="s">
        <v>394</v>
      </c>
      <c r="E1486" s="56" t="s">
        <v>4878</v>
      </c>
      <c r="F1486" s="26" t="s">
        <v>3923</v>
      </c>
      <c r="G1486" s="26" t="s">
        <v>15</v>
      </c>
      <c r="H1486" s="26" t="s">
        <v>13</v>
      </c>
      <c r="I1486" s="26" t="s">
        <v>3924</v>
      </c>
      <c r="J1486" s="26" t="s">
        <v>6359</v>
      </c>
      <c r="K1486" s="26" t="s">
        <v>4910</v>
      </c>
      <c r="L1486" s="26" t="s">
        <v>5087</v>
      </c>
      <c r="M1486" s="55" t="s">
        <v>4943</v>
      </c>
      <c r="N1486" s="26" t="s">
        <v>3924</v>
      </c>
    </row>
    <row r="1487" spans="1:14" ht="75" customHeight="1" thickTop="1" thickBot="1">
      <c r="A1487" s="34">
        <v>1485</v>
      </c>
      <c r="B1487" s="34">
        <v>1538</v>
      </c>
      <c r="C1487" s="57" t="s">
        <v>6360</v>
      </c>
      <c r="D1487" s="56" t="s">
        <v>394</v>
      </c>
      <c r="E1487" s="56" t="s">
        <v>4878</v>
      </c>
      <c r="F1487" s="26" t="s">
        <v>3923</v>
      </c>
      <c r="G1487" s="26" t="s">
        <v>15</v>
      </c>
      <c r="H1487" s="26" t="s">
        <v>13</v>
      </c>
      <c r="I1487" s="26" t="s">
        <v>3924</v>
      </c>
      <c r="J1487" s="26" t="s">
        <v>6361</v>
      </c>
      <c r="K1487" s="26" t="s">
        <v>4915</v>
      </c>
      <c r="L1487" s="26" t="s">
        <v>4934</v>
      </c>
      <c r="M1487" s="55" t="s">
        <v>4943</v>
      </c>
      <c r="N1487" s="26" t="s">
        <v>3924</v>
      </c>
    </row>
    <row r="1488" spans="1:14" ht="75" customHeight="1" thickTop="1" thickBot="1">
      <c r="A1488" s="34">
        <v>1486</v>
      </c>
      <c r="B1488" s="26">
        <v>1539</v>
      </c>
      <c r="C1488" s="57" t="s">
        <v>6362</v>
      </c>
      <c r="D1488" s="56" t="s">
        <v>394</v>
      </c>
      <c r="E1488" s="56" t="s">
        <v>4878</v>
      </c>
      <c r="F1488" s="26" t="s">
        <v>3923</v>
      </c>
      <c r="G1488" s="26" t="s">
        <v>15</v>
      </c>
      <c r="H1488" s="26" t="s">
        <v>13</v>
      </c>
      <c r="I1488" s="26" t="s">
        <v>3924</v>
      </c>
      <c r="J1488" s="26" t="s">
        <v>6363</v>
      </c>
      <c r="K1488" s="26" t="s">
        <v>4918</v>
      </c>
      <c r="L1488" s="26" t="s">
        <v>5087</v>
      </c>
      <c r="M1488" s="55" t="s">
        <v>4943</v>
      </c>
      <c r="N1488" s="26" t="s">
        <v>3924</v>
      </c>
    </row>
    <row r="1489" spans="1:14" ht="75" customHeight="1" thickTop="1" thickBot="1">
      <c r="A1489" s="26">
        <v>1487</v>
      </c>
      <c r="B1489" s="34">
        <v>1540</v>
      </c>
      <c r="C1489" s="57" t="s">
        <v>6364</v>
      </c>
      <c r="D1489" s="56" t="s">
        <v>394</v>
      </c>
      <c r="E1489" s="56" t="s">
        <v>4878</v>
      </c>
      <c r="F1489" s="26" t="s">
        <v>3923</v>
      </c>
      <c r="G1489" s="26" t="s">
        <v>15</v>
      </c>
      <c r="H1489" s="26" t="s">
        <v>13</v>
      </c>
      <c r="I1489" s="26" t="s">
        <v>3924</v>
      </c>
      <c r="J1489" s="26" t="s">
        <v>6365</v>
      </c>
      <c r="K1489" s="26" t="s">
        <v>4919</v>
      </c>
      <c r="L1489" s="26" t="s">
        <v>5087</v>
      </c>
      <c r="M1489" s="55" t="s">
        <v>4943</v>
      </c>
      <c r="N1489" s="26" t="s">
        <v>3924</v>
      </c>
    </row>
    <row r="1490" spans="1:14" ht="75" customHeight="1" thickTop="1" thickBot="1">
      <c r="A1490" s="34">
        <v>1488</v>
      </c>
      <c r="B1490" s="34">
        <v>1541</v>
      </c>
      <c r="C1490" s="57" t="s">
        <v>6366</v>
      </c>
      <c r="D1490" s="56" t="s">
        <v>394</v>
      </c>
      <c r="E1490" s="56" t="s">
        <v>4878</v>
      </c>
      <c r="F1490" s="26" t="s">
        <v>3923</v>
      </c>
      <c r="G1490" s="26" t="s">
        <v>15</v>
      </c>
      <c r="H1490" s="26" t="s">
        <v>13</v>
      </c>
      <c r="I1490" s="26" t="s">
        <v>3924</v>
      </c>
      <c r="J1490" s="26" t="s">
        <v>6367</v>
      </c>
      <c r="K1490" s="26" t="s">
        <v>4921</v>
      </c>
      <c r="L1490" s="26" t="s">
        <v>5087</v>
      </c>
      <c r="M1490" s="55" t="s">
        <v>4943</v>
      </c>
      <c r="N1490" s="26" t="s">
        <v>3924</v>
      </c>
    </row>
    <row r="1491" spans="1:14" ht="75" customHeight="1" thickTop="1" thickBot="1">
      <c r="A1491" s="34">
        <v>1489</v>
      </c>
      <c r="B1491" s="26">
        <v>1542</v>
      </c>
      <c r="C1491" s="57" t="s">
        <v>6368</v>
      </c>
      <c r="D1491" s="56" t="s">
        <v>394</v>
      </c>
      <c r="E1491" s="56" t="s">
        <v>4878</v>
      </c>
      <c r="F1491" s="26" t="s">
        <v>3923</v>
      </c>
      <c r="G1491" s="26" t="s">
        <v>15</v>
      </c>
      <c r="H1491" s="26" t="s">
        <v>13</v>
      </c>
      <c r="I1491" s="26" t="s">
        <v>3924</v>
      </c>
      <c r="J1491" s="26" t="s">
        <v>6369</v>
      </c>
      <c r="K1491" s="26" t="s">
        <v>4923</v>
      </c>
      <c r="L1491" s="26" t="s">
        <v>5087</v>
      </c>
      <c r="M1491" s="55" t="s">
        <v>4943</v>
      </c>
      <c r="N1491" s="26" t="s">
        <v>3924</v>
      </c>
    </row>
    <row r="1492" spans="1:14" ht="75" customHeight="1" thickTop="1" thickBot="1">
      <c r="A1492" s="26">
        <v>1490</v>
      </c>
      <c r="B1492" s="34">
        <v>1543</v>
      </c>
      <c r="C1492" s="57" t="s">
        <v>6357</v>
      </c>
      <c r="D1492" s="56" t="s">
        <v>394</v>
      </c>
      <c r="E1492" s="56" t="s">
        <v>4878</v>
      </c>
      <c r="F1492" s="26" t="s">
        <v>3923</v>
      </c>
      <c r="G1492" s="26" t="s">
        <v>15</v>
      </c>
      <c r="H1492" s="26" t="s">
        <v>13</v>
      </c>
      <c r="I1492" s="26" t="s">
        <v>3924</v>
      </c>
      <c r="J1492" s="26" t="s">
        <v>6370</v>
      </c>
      <c r="K1492" s="26" t="s">
        <v>4925</v>
      </c>
      <c r="L1492" s="26" t="s">
        <v>5087</v>
      </c>
      <c r="M1492" s="55" t="s">
        <v>4943</v>
      </c>
      <c r="N1492" s="26" t="s">
        <v>3924</v>
      </c>
    </row>
    <row r="1493" spans="1:14" ht="75" customHeight="1" thickTop="1" thickBot="1">
      <c r="A1493" s="34">
        <v>1491</v>
      </c>
      <c r="B1493" s="34">
        <v>1544</v>
      </c>
      <c r="C1493" s="57" t="s">
        <v>6363</v>
      </c>
      <c r="D1493" s="56" t="s">
        <v>394</v>
      </c>
      <c r="E1493" s="56" t="s">
        <v>4878</v>
      </c>
      <c r="F1493" s="26" t="s">
        <v>3923</v>
      </c>
      <c r="G1493" s="26" t="s">
        <v>15</v>
      </c>
      <c r="H1493" s="26" t="s">
        <v>13</v>
      </c>
      <c r="I1493" s="26" t="s">
        <v>3924</v>
      </c>
      <c r="J1493" s="26" t="s">
        <v>6371</v>
      </c>
      <c r="K1493" s="26" t="s">
        <v>4926</v>
      </c>
      <c r="L1493" s="26" t="s">
        <v>5087</v>
      </c>
      <c r="M1493" s="55" t="s">
        <v>4943</v>
      </c>
      <c r="N1493" s="26" t="s">
        <v>3924</v>
      </c>
    </row>
    <row r="1494" spans="1:14" ht="75" customHeight="1" thickTop="1" thickBot="1">
      <c r="A1494" s="34">
        <v>1492</v>
      </c>
      <c r="B1494" s="34">
        <v>1545</v>
      </c>
      <c r="C1494" s="57" t="s">
        <v>6372</v>
      </c>
      <c r="D1494" s="56" t="s">
        <v>394</v>
      </c>
      <c r="E1494" s="56" t="s">
        <v>4878</v>
      </c>
      <c r="F1494" s="26" t="s">
        <v>3923</v>
      </c>
      <c r="G1494" s="26" t="s">
        <v>15</v>
      </c>
      <c r="H1494" s="26" t="s">
        <v>13</v>
      </c>
      <c r="I1494" s="26" t="s">
        <v>3924</v>
      </c>
      <c r="J1494" s="26" t="s">
        <v>6373</v>
      </c>
      <c r="K1494" s="26" t="s">
        <v>4903</v>
      </c>
      <c r="L1494" s="26" t="s">
        <v>3927</v>
      </c>
      <c r="M1494" s="55" t="s">
        <v>4881</v>
      </c>
      <c r="N1494" s="26" t="s">
        <v>3924</v>
      </c>
    </row>
    <row r="1495" spans="1:14" ht="75" customHeight="1" thickTop="1" thickBot="1">
      <c r="A1495" s="26">
        <v>1493</v>
      </c>
      <c r="B1495" s="34">
        <v>1546</v>
      </c>
      <c r="C1495" s="57" t="s">
        <v>6365</v>
      </c>
      <c r="D1495" s="56" t="s">
        <v>394</v>
      </c>
      <c r="E1495" s="56" t="s">
        <v>4878</v>
      </c>
      <c r="F1495" s="26" t="s">
        <v>3923</v>
      </c>
      <c r="G1495" s="26" t="s">
        <v>15</v>
      </c>
      <c r="H1495" s="26" t="s">
        <v>13</v>
      </c>
      <c r="I1495" s="26" t="s">
        <v>3924</v>
      </c>
      <c r="J1495" s="26" t="s">
        <v>6373</v>
      </c>
      <c r="K1495" s="26" t="s">
        <v>4903</v>
      </c>
      <c r="L1495" s="26" t="s">
        <v>3963</v>
      </c>
      <c r="M1495" s="55" t="s">
        <v>4881</v>
      </c>
      <c r="N1495" s="26" t="s">
        <v>3924</v>
      </c>
    </row>
    <row r="1496" spans="1:14" ht="75" customHeight="1" thickTop="1" thickBot="1">
      <c r="A1496" s="34">
        <v>1494</v>
      </c>
      <c r="B1496" s="34">
        <v>1547</v>
      </c>
      <c r="C1496" s="57" t="s">
        <v>6365</v>
      </c>
      <c r="D1496" s="56" t="s">
        <v>394</v>
      </c>
      <c r="E1496" s="56" t="s">
        <v>4878</v>
      </c>
      <c r="F1496" s="26" t="s">
        <v>3923</v>
      </c>
      <c r="G1496" s="26" t="s">
        <v>15</v>
      </c>
      <c r="H1496" s="26" t="s">
        <v>13</v>
      </c>
      <c r="I1496" s="26" t="s">
        <v>3924</v>
      </c>
      <c r="J1496" s="26" t="s">
        <v>6374</v>
      </c>
      <c r="K1496" s="26" t="s">
        <v>4903</v>
      </c>
      <c r="L1496" s="26" t="s">
        <v>3986</v>
      </c>
      <c r="M1496" s="55" t="s">
        <v>4881</v>
      </c>
      <c r="N1496" s="26" t="s">
        <v>3924</v>
      </c>
    </row>
    <row r="1497" spans="1:14" ht="75" customHeight="1" thickTop="1" thickBot="1">
      <c r="A1497" s="34">
        <v>1495</v>
      </c>
      <c r="B1497" s="34">
        <v>1548</v>
      </c>
      <c r="C1497" s="57" t="s">
        <v>6375</v>
      </c>
      <c r="D1497" s="56" t="s">
        <v>394</v>
      </c>
      <c r="E1497" s="56" t="s">
        <v>4878</v>
      </c>
      <c r="F1497" s="26" t="s">
        <v>3923</v>
      </c>
      <c r="G1497" s="26" t="s">
        <v>15</v>
      </c>
      <c r="H1497" s="26" t="s">
        <v>13</v>
      </c>
      <c r="I1497" s="26" t="s">
        <v>3924</v>
      </c>
      <c r="J1497" s="26" t="s">
        <v>6376</v>
      </c>
      <c r="K1497" s="26" t="s">
        <v>4908</v>
      </c>
      <c r="L1497" s="26" t="s">
        <v>3927</v>
      </c>
      <c r="M1497" s="55" t="s">
        <v>4881</v>
      </c>
      <c r="N1497" s="26" t="s">
        <v>3924</v>
      </c>
    </row>
    <row r="1498" spans="1:14" ht="75" customHeight="1" thickTop="1" thickBot="1">
      <c r="A1498" s="26">
        <v>1496</v>
      </c>
      <c r="B1498" s="34">
        <v>1549</v>
      </c>
      <c r="C1498" s="57" t="s">
        <v>6375</v>
      </c>
      <c r="D1498" s="56" t="s">
        <v>394</v>
      </c>
      <c r="E1498" s="56" t="s">
        <v>4878</v>
      </c>
      <c r="F1498" s="26" t="s">
        <v>3923</v>
      </c>
      <c r="G1498" s="26" t="s">
        <v>15</v>
      </c>
      <c r="H1498" s="26" t="s">
        <v>13</v>
      </c>
      <c r="I1498" s="26" t="s">
        <v>3924</v>
      </c>
      <c r="J1498" s="26" t="s">
        <v>6377</v>
      </c>
      <c r="K1498" s="26" t="s">
        <v>4908</v>
      </c>
      <c r="L1498" s="26" t="s">
        <v>3963</v>
      </c>
      <c r="M1498" s="55" t="s">
        <v>4881</v>
      </c>
      <c r="N1498" s="26" t="s">
        <v>3924</v>
      </c>
    </row>
    <row r="1499" spans="1:14" ht="75" customHeight="1" thickTop="1" thickBot="1">
      <c r="A1499" s="34">
        <v>1497</v>
      </c>
      <c r="B1499" s="34">
        <v>1550</v>
      </c>
      <c r="C1499" s="57" t="s">
        <v>6367</v>
      </c>
      <c r="D1499" s="56" t="s">
        <v>394</v>
      </c>
      <c r="E1499" s="56" t="s">
        <v>4878</v>
      </c>
      <c r="F1499" s="26" t="s">
        <v>3923</v>
      </c>
      <c r="G1499" s="26" t="s">
        <v>15</v>
      </c>
      <c r="H1499" s="26" t="s">
        <v>13</v>
      </c>
      <c r="I1499" s="26" t="s">
        <v>3924</v>
      </c>
      <c r="J1499" s="26" t="s">
        <v>6378</v>
      </c>
      <c r="K1499" s="26" t="s">
        <v>4908</v>
      </c>
      <c r="L1499" s="26" t="s">
        <v>3986</v>
      </c>
      <c r="M1499" s="55" t="s">
        <v>4881</v>
      </c>
      <c r="N1499" s="26" t="s">
        <v>3924</v>
      </c>
    </row>
    <row r="1500" spans="1:14" ht="75" customHeight="1" thickTop="1" thickBot="1">
      <c r="A1500" s="34">
        <v>1498</v>
      </c>
      <c r="B1500" s="34">
        <v>1551</v>
      </c>
      <c r="C1500" s="57" t="s">
        <v>6370</v>
      </c>
      <c r="D1500" s="56" t="s">
        <v>394</v>
      </c>
      <c r="E1500" s="56" t="s">
        <v>4878</v>
      </c>
      <c r="F1500" s="26" t="s">
        <v>3923</v>
      </c>
      <c r="G1500" s="26" t="s">
        <v>15</v>
      </c>
      <c r="H1500" s="26" t="s">
        <v>13</v>
      </c>
      <c r="I1500" s="26" t="s">
        <v>3924</v>
      </c>
      <c r="J1500" s="26" t="s">
        <v>6379</v>
      </c>
      <c r="K1500" s="26" t="s">
        <v>4910</v>
      </c>
      <c r="L1500" s="26" t="s">
        <v>4277</v>
      </c>
      <c r="M1500" s="55" t="s">
        <v>4881</v>
      </c>
      <c r="N1500" s="26" t="s">
        <v>3924</v>
      </c>
    </row>
    <row r="1501" spans="1:14" ht="75" customHeight="1" thickTop="1" thickBot="1">
      <c r="A1501" s="26">
        <v>1499</v>
      </c>
      <c r="B1501" s="34">
        <v>1552</v>
      </c>
      <c r="C1501" s="57" t="s">
        <v>6370</v>
      </c>
      <c r="D1501" s="56" t="s">
        <v>394</v>
      </c>
      <c r="E1501" s="56" t="s">
        <v>4878</v>
      </c>
      <c r="F1501" s="26" t="s">
        <v>3923</v>
      </c>
      <c r="G1501" s="26" t="s">
        <v>15</v>
      </c>
      <c r="H1501" s="26" t="s">
        <v>13</v>
      </c>
      <c r="I1501" s="26" t="s">
        <v>3924</v>
      </c>
      <c r="J1501" s="26" t="s">
        <v>6380</v>
      </c>
      <c r="K1501" s="26" t="s">
        <v>4910</v>
      </c>
      <c r="L1501" s="26" t="s">
        <v>4284</v>
      </c>
      <c r="M1501" s="55" t="s">
        <v>4881</v>
      </c>
      <c r="N1501" s="26" t="s">
        <v>3924</v>
      </c>
    </row>
    <row r="1502" spans="1:14" ht="75" customHeight="1" thickTop="1" thickBot="1">
      <c r="A1502" s="34">
        <v>1500</v>
      </c>
      <c r="B1502" s="34">
        <v>1553</v>
      </c>
      <c r="C1502" s="57" t="s">
        <v>6371</v>
      </c>
      <c r="D1502" s="56" t="s">
        <v>394</v>
      </c>
      <c r="E1502" s="56" t="s">
        <v>4878</v>
      </c>
      <c r="F1502" s="26" t="s">
        <v>3923</v>
      </c>
      <c r="G1502" s="26" t="s">
        <v>15</v>
      </c>
      <c r="H1502" s="26" t="s">
        <v>13</v>
      </c>
      <c r="I1502" s="26" t="s">
        <v>3924</v>
      </c>
      <c r="J1502" s="26" t="s">
        <v>6380</v>
      </c>
      <c r="K1502" s="26" t="s">
        <v>4910</v>
      </c>
      <c r="L1502" s="26" t="s">
        <v>4125</v>
      </c>
      <c r="M1502" s="55" t="s">
        <v>4881</v>
      </c>
      <c r="N1502" s="26" t="s">
        <v>3924</v>
      </c>
    </row>
    <row r="1503" spans="1:14" ht="75" customHeight="1" thickTop="1" thickBot="1">
      <c r="A1503" s="34">
        <v>1501</v>
      </c>
      <c r="B1503" s="34">
        <v>1554</v>
      </c>
      <c r="C1503" s="57" t="s">
        <v>6373</v>
      </c>
      <c r="D1503" s="56" t="s">
        <v>394</v>
      </c>
      <c r="E1503" s="56" t="s">
        <v>4878</v>
      </c>
      <c r="F1503" s="26" t="s">
        <v>3923</v>
      </c>
      <c r="G1503" s="26" t="s">
        <v>15</v>
      </c>
      <c r="H1503" s="26" t="s">
        <v>13</v>
      </c>
      <c r="I1503" s="26" t="s">
        <v>3924</v>
      </c>
      <c r="J1503" s="26" t="s">
        <v>6381</v>
      </c>
      <c r="K1503" s="26" t="s">
        <v>4910</v>
      </c>
      <c r="L1503" s="26" t="s">
        <v>4011</v>
      </c>
      <c r="M1503" s="55" t="s">
        <v>4881</v>
      </c>
      <c r="N1503" s="26" t="s">
        <v>3924</v>
      </c>
    </row>
    <row r="1504" spans="1:14" ht="75" customHeight="1" thickTop="1" thickBot="1">
      <c r="A1504" s="26">
        <v>1502</v>
      </c>
      <c r="B1504" s="34">
        <v>1555</v>
      </c>
      <c r="C1504" s="57" t="s">
        <v>6382</v>
      </c>
      <c r="D1504" s="56" t="s">
        <v>394</v>
      </c>
      <c r="E1504" s="56" t="s">
        <v>4878</v>
      </c>
      <c r="F1504" s="26" t="s">
        <v>3923</v>
      </c>
      <c r="G1504" s="26" t="s">
        <v>15</v>
      </c>
      <c r="H1504" s="26" t="s">
        <v>13</v>
      </c>
      <c r="I1504" s="26" t="s">
        <v>3924</v>
      </c>
      <c r="J1504" s="26" t="s">
        <v>6383</v>
      </c>
      <c r="K1504" s="26" t="s">
        <v>4910</v>
      </c>
      <c r="L1504" s="26" t="s">
        <v>4203</v>
      </c>
      <c r="M1504" s="55" t="s">
        <v>4881</v>
      </c>
      <c r="N1504" s="26" t="s">
        <v>3924</v>
      </c>
    </row>
    <row r="1505" spans="1:14" ht="75" customHeight="1" thickTop="1" thickBot="1">
      <c r="A1505" s="34">
        <v>1503</v>
      </c>
      <c r="B1505" s="34">
        <v>1556</v>
      </c>
      <c r="C1505" s="57" t="s">
        <v>6376</v>
      </c>
      <c r="D1505" s="56" t="s">
        <v>394</v>
      </c>
      <c r="E1505" s="56" t="s">
        <v>4878</v>
      </c>
      <c r="F1505" s="26" t="s">
        <v>3923</v>
      </c>
      <c r="G1505" s="26" t="s">
        <v>15</v>
      </c>
      <c r="H1505" s="26" t="s">
        <v>13</v>
      </c>
      <c r="I1505" s="26" t="s">
        <v>3924</v>
      </c>
      <c r="J1505" s="26" t="s">
        <v>6384</v>
      </c>
      <c r="K1505" s="26" t="s">
        <v>4910</v>
      </c>
      <c r="L1505" s="26" t="s">
        <v>4239</v>
      </c>
      <c r="M1505" s="55" t="s">
        <v>4881</v>
      </c>
      <c r="N1505" s="26" t="s">
        <v>3924</v>
      </c>
    </row>
    <row r="1506" spans="1:14" ht="75" customHeight="1" thickTop="1" thickBot="1">
      <c r="A1506" s="34">
        <v>1504</v>
      </c>
      <c r="B1506" s="34">
        <v>1557</v>
      </c>
      <c r="C1506" s="57" t="s">
        <v>6385</v>
      </c>
      <c r="D1506" s="56" t="s">
        <v>394</v>
      </c>
      <c r="E1506" s="56" t="s">
        <v>4878</v>
      </c>
      <c r="F1506" s="26" t="s">
        <v>3923</v>
      </c>
      <c r="G1506" s="26" t="s">
        <v>15</v>
      </c>
      <c r="H1506" s="26" t="s">
        <v>13</v>
      </c>
      <c r="I1506" s="26" t="s">
        <v>3924</v>
      </c>
      <c r="J1506" s="26" t="s">
        <v>6386</v>
      </c>
      <c r="K1506" s="26" t="s">
        <v>4918</v>
      </c>
      <c r="L1506" s="26" t="s">
        <v>4277</v>
      </c>
      <c r="M1506" s="55" t="s">
        <v>4881</v>
      </c>
      <c r="N1506" s="26" t="s">
        <v>3924</v>
      </c>
    </row>
    <row r="1507" spans="1:14" ht="75" customHeight="1" thickTop="1" thickBot="1">
      <c r="A1507" s="26">
        <v>1505</v>
      </c>
      <c r="B1507" s="34">
        <v>1558</v>
      </c>
      <c r="C1507" s="57" t="s">
        <v>6387</v>
      </c>
      <c r="D1507" s="56" t="s">
        <v>394</v>
      </c>
      <c r="E1507" s="56" t="s">
        <v>4878</v>
      </c>
      <c r="F1507" s="26" t="s">
        <v>3923</v>
      </c>
      <c r="G1507" s="26" t="s">
        <v>15</v>
      </c>
      <c r="H1507" s="26" t="s">
        <v>13</v>
      </c>
      <c r="I1507" s="26" t="s">
        <v>3924</v>
      </c>
      <c r="J1507" s="26" t="s">
        <v>6388</v>
      </c>
      <c r="K1507" s="26" t="s">
        <v>4918</v>
      </c>
      <c r="L1507" s="26" t="s">
        <v>4284</v>
      </c>
      <c r="M1507" s="55" t="s">
        <v>4881</v>
      </c>
      <c r="N1507" s="26" t="s">
        <v>3924</v>
      </c>
    </row>
    <row r="1508" spans="1:14" ht="75" customHeight="1" thickTop="1" thickBot="1">
      <c r="A1508" s="34">
        <v>1506</v>
      </c>
      <c r="B1508" s="34">
        <v>1559</v>
      </c>
      <c r="C1508" s="57" t="s">
        <v>6387</v>
      </c>
      <c r="D1508" s="56" t="s">
        <v>394</v>
      </c>
      <c r="E1508" s="56" t="s">
        <v>4878</v>
      </c>
      <c r="F1508" s="26" t="s">
        <v>3923</v>
      </c>
      <c r="G1508" s="26" t="s">
        <v>15</v>
      </c>
      <c r="H1508" s="26" t="s">
        <v>13</v>
      </c>
      <c r="I1508" s="26" t="s">
        <v>3924</v>
      </c>
      <c r="J1508" s="26" t="s">
        <v>6389</v>
      </c>
      <c r="K1508" s="26" t="s">
        <v>4918</v>
      </c>
      <c r="L1508" s="26" t="s">
        <v>4125</v>
      </c>
      <c r="M1508" s="55" t="s">
        <v>4881</v>
      </c>
      <c r="N1508" s="26" t="s">
        <v>3924</v>
      </c>
    </row>
    <row r="1509" spans="1:14" ht="75" customHeight="1" thickTop="1" thickBot="1">
      <c r="A1509" s="34">
        <v>1507</v>
      </c>
      <c r="B1509" s="34">
        <v>1560</v>
      </c>
      <c r="C1509" s="57" t="s">
        <v>6390</v>
      </c>
      <c r="D1509" s="56" t="s">
        <v>394</v>
      </c>
      <c r="E1509" s="56" t="s">
        <v>4878</v>
      </c>
      <c r="F1509" s="26" t="s">
        <v>3923</v>
      </c>
      <c r="G1509" s="26" t="s">
        <v>15</v>
      </c>
      <c r="H1509" s="26" t="s">
        <v>13</v>
      </c>
      <c r="I1509" s="26" t="s">
        <v>3924</v>
      </c>
      <c r="J1509" s="26" t="s">
        <v>6391</v>
      </c>
      <c r="K1509" s="26" t="s">
        <v>4918</v>
      </c>
      <c r="L1509" s="26" t="s">
        <v>4011</v>
      </c>
      <c r="M1509" s="55" t="s">
        <v>4881</v>
      </c>
      <c r="N1509" s="26" t="s">
        <v>3924</v>
      </c>
    </row>
    <row r="1510" spans="1:14" ht="75" customHeight="1" thickTop="1" thickBot="1">
      <c r="A1510" s="26">
        <v>1508</v>
      </c>
      <c r="B1510" s="34">
        <v>1561</v>
      </c>
      <c r="C1510" s="57" t="s">
        <v>6377</v>
      </c>
      <c r="D1510" s="56" t="s">
        <v>394</v>
      </c>
      <c r="E1510" s="56" t="s">
        <v>4878</v>
      </c>
      <c r="F1510" s="26" t="s">
        <v>3923</v>
      </c>
      <c r="G1510" s="26" t="s">
        <v>15</v>
      </c>
      <c r="H1510" s="26" t="s">
        <v>13</v>
      </c>
      <c r="I1510" s="26" t="s">
        <v>3924</v>
      </c>
      <c r="J1510" s="26" t="s">
        <v>6392</v>
      </c>
      <c r="K1510" s="26" t="s">
        <v>4918</v>
      </c>
      <c r="L1510" s="26" t="s">
        <v>4203</v>
      </c>
      <c r="M1510" s="55" t="s">
        <v>4881</v>
      </c>
      <c r="N1510" s="26" t="s">
        <v>3924</v>
      </c>
    </row>
    <row r="1511" spans="1:14" ht="75" customHeight="1" thickTop="1" thickBot="1">
      <c r="A1511" s="34">
        <v>1509</v>
      </c>
      <c r="B1511" s="34">
        <v>1562</v>
      </c>
      <c r="C1511" s="57" t="s">
        <v>6378</v>
      </c>
      <c r="D1511" s="56" t="s">
        <v>394</v>
      </c>
      <c r="E1511" s="56" t="s">
        <v>4878</v>
      </c>
      <c r="F1511" s="26" t="s">
        <v>3923</v>
      </c>
      <c r="G1511" s="26" t="s">
        <v>15</v>
      </c>
      <c r="H1511" s="26" t="s">
        <v>13</v>
      </c>
      <c r="I1511" s="26" t="s">
        <v>3924</v>
      </c>
      <c r="J1511" s="26" t="s">
        <v>6393</v>
      </c>
      <c r="K1511" s="26" t="s">
        <v>4918</v>
      </c>
      <c r="L1511" s="26" t="s">
        <v>4239</v>
      </c>
      <c r="M1511" s="55" t="s">
        <v>4881</v>
      </c>
      <c r="N1511" s="26" t="s">
        <v>3924</v>
      </c>
    </row>
    <row r="1512" spans="1:14" ht="75" customHeight="1" thickTop="1" thickBot="1">
      <c r="A1512" s="34">
        <v>1510</v>
      </c>
      <c r="B1512" s="34">
        <v>1563</v>
      </c>
      <c r="C1512" s="57" t="s">
        <v>6380</v>
      </c>
      <c r="D1512" s="56" t="s">
        <v>394</v>
      </c>
      <c r="E1512" s="56" t="s">
        <v>4878</v>
      </c>
      <c r="F1512" s="26" t="s">
        <v>3923</v>
      </c>
      <c r="G1512" s="26" t="s">
        <v>15</v>
      </c>
      <c r="H1512" s="26" t="s">
        <v>13</v>
      </c>
      <c r="I1512" s="26" t="s">
        <v>3924</v>
      </c>
      <c r="J1512" s="26" t="s">
        <v>6392</v>
      </c>
      <c r="K1512" s="26" t="s">
        <v>4919</v>
      </c>
      <c r="L1512" s="26" t="s">
        <v>4277</v>
      </c>
      <c r="M1512" s="55" t="s">
        <v>4881</v>
      </c>
      <c r="N1512" s="26" t="s">
        <v>3924</v>
      </c>
    </row>
    <row r="1513" spans="1:14" ht="75" customHeight="1" thickTop="1" thickBot="1">
      <c r="A1513" s="26">
        <v>1511</v>
      </c>
      <c r="B1513" s="34">
        <v>1564</v>
      </c>
      <c r="C1513" s="57" t="s">
        <v>6381</v>
      </c>
      <c r="D1513" s="56" t="s">
        <v>394</v>
      </c>
      <c r="E1513" s="56" t="s">
        <v>4878</v>
      </c>
      <c r="F1513" s="26" t="s">
        <v>3923</v>
      </c>
      <c r="G1513" s="26" t="s">
        <v>15</v>
      </c>
      <c r="H1513" s="26" t="s">
        <v>13</v>
      </c>
      <c r="I1513" s="26" t="s">
        <v>3924</v>
      </c>
      <c r="J1513" s="26" t="s">
        <v>6394</v>
      </c>
      <c r="K1513" s="26" t="s">
        <v>4919</v>
      </c>
      <c r="L1513" s="26" t="s">
        <v>4284</v>
      </c>
      <c r="M1513" s="55" t="s">
        <v>4881</v>
      </c>
      <c r="N1513" s="26" t="s">
        <v>3924</v>
      </c>
    </row>
    <row r="1514" spans="1:14" ht="75" customHeight="1" thickTop="1" thickBot="1">
      <c r="A1514" s="34">
        <v>1512</v>
      </c>
      <c r="B1514" s="34">
        <v>1565</v>
      </c>
      <c r="C1514" s="57" t="s">
        <v>6395</v>
      </c>
      <c r="D1514" s="56" t="s">
        <v>394</v>
      </c>
      <c r="E1514" s="56" t="s">
        <v>4878</v>
      </c>
      <c r="F1514" s="26" t="s">
        <v>3923</v>
      </c>
      <c r="G1514" s="26" t="s">
        <v>15</v>
      </c>
      <c r="H1514" s="26" t="s">
        <v>13</v>
      </c>
      <c r="I1514" s="26" t="s">
        <v>3924</v>
      </c>
      <c r="J1514" s="26" t="s">
        <v>6396</v>
      </c>
      <c r="K1514" s="26" t="s">
        <v>4919</v>
      </c>
      <c r="L1514" s="26" t="s">
        <v>4125</v>
      </c>
      <c r="M1514" s="55" t="s">
        <v>4881</v>
      </c>
      <c r="N1514" s="26" t="s">
        <v>3924</v>
      </c>
    </row>
    <row r="1515" spans="1:14" ht="75" customHeight="1" thickTop="1" thickBot="1">
      <c r="A1515" s="34">
        <v>1513</v>
      </c>
      <c r="B1515" s="34">
        <v>1566</v>
      </c>
      <c r="C1515" s="57" t="s">
        <v>6383</v>
      </c>
      <c r="D1515" s="56" t="s">
        <v>394</v>
      </c>
      <c r="E1515" s="56" t="s">
        <v>4878</v>
      </c>
      <c r="F1515" s="26" t="s">
        <v>3923</v>
      </c>
      <c r="G1515" s="26" t="s">
        <v>15</v>
      </c>
      <c r="H1515" s="26" t="s">
        <v>13</v>
      </c>
      <c r="I1515" s="26" t="s">
        <v>3924</v>
      </c>
      <c r="J1515" s="26" t="s">
        <v>6397</v>
      </c>
      <c r="K1515" s="26" t="s">
        <v>4919</v>
      </c>
      <c r="L1515" s="26" t="s">
        <v>4011</v>
      </c>
      <c r="M1515" s="55" t="s">
        <v>4881</v>
      </c>
      <c r="N1515" s="26" t="s">
        <v>3924</v>
      </c>
    </row>
    <row r="1516" spans="1:14" ht="75" customHeight="1" thickTop="1" thickBot="1">
      <c r="A1516" s="26">
        <v>1514</v>
      </c>
      <c r="B1516" s="34">
        <v>1567</v>
      </c>
      <c r="C1516" s="57" t="s">
        <v>6383</v>
      </c>
      <c r="D1516" s="56" t="s">
        <v>394</v>
      </c>
      <c r="E1516" s="56" t="s">
        <v>4878</v>
      </c>
      <c r="F1516" s="26" t="s">
        <v>3923</v>
      </c>
      <c r="G1516" s="26" t="s">
        <v>15</v>
      </c>
      <c r="H1516" s="26" t="s">
        <v>13</v>
      </c>
      <c r="I1516" s="26" t="s">
        <v>3924</v>
      </c>
      <c r="J1516" s="26" t="s">
        <v>6398</v>
      </c>
      <c r="K1516" s="26" t="s">
        <v>4919</v>
      </c>
      <c r="L1516" s="26" t="s">
        <v>4203</v>
      </c>
      <c r="M1516" s="55" t="s">
        <v>4881</v>
      </c>
      <c r="N1516" s="26" t="s">
        <v>3924</v>
      </c>
    </row>
    <row r="1517" spans="1:14" ht="75" customHeight="1" thickTop="1" thickBot="1">
      <c r="A1517" s="34">
        <v>1515</v>
      </c>
      <c r="B1517" s="34">
        <v>1568</v>
      </c>
      <c r="C1517" s="57" t="s">
        <v>6399</v>
      </c>
      <c r="D1517" s="56" t="s">
        <v>394</v>
      </c>
      <c r="E1517" s="56" t="s">
        <v>4878</v>
      </c>
      <c r="F1517" s="26" t="s">
        <v>3923</v>
      </c>
      <c r="G1517" s="26" t="s">
        <v>15</v>
      </c>
      <c r="H1517" s="26" t="s">
        <v>13</v>
      </c>
      <c r="I1517" s="26" t="s">
        <v>3924</v>
      </c>
      <c r="J1517" s="26" t="s">
        <v>6400</v>
      </c>
      <c r="K1517" s="26" t="s">
        <v>4919</v>
      </c>
      <c r="L1517" s="26" t="s">
        <v>4239</v>
      </c>
      <c r="M1517" s="55" t="s">
        <v>4881</v>
      </c>
      <c r="N1517" s="26" t="s">
        <v>3924</v>
      </c>
    </row>
    <row r="1518" spans="1:14" ht="75" customHeight="1" thickTop="1" thickBot="1">
      <c r="A1518" s="34">
        <v>1516</v>
      </c>
      <c r="B1518" s="34">
        <v>1569</v>
      </c>
      <c r="C1518" s="57" t="s">
        <v>6401</v>
      </c>
      <c r="D1518" s="56" t="s">
        <v>394</v>
      </c>
      <c r="E1518" s="56" t="s">
        <v>4878</v>
      </c>
      <c r="F1518" s="26" t="s">
        <v>3923</v>
      </c>
      <c r="G1518" s="26" t="s">
        <v>15</v>
      </c>
      <c r="H1518" s="26" t="s">
        <v>13</v>
      </c>
      <c r="I1518" s="26" t="s">
        <v>3924</v>
      </c>
      <c r="J1518" s="26" t="s">
        <v>6402</v>
      </c>
      <c r="K1518" s="26" t="s">
        <v>4921</v>
      </c>
      <c r="L1518" s="26" t="s">
        <v>4277</v>
      </c>
      <c r="M1518" s="55" t="s">
        <v>4881</v>
      </c>
      <c r="N1518" s="26" t="s">
        <v>3924</v>
      </c>
    </row>
    <row r="1519" spans="1:14" ht="75" customHeight="1" thickTop="1" thickBot="1">
      <c r="A1519" s="26">
        <v>1517</v>
      </c>
      <c r="B1519" s="34">
        <v>1570</v>
      </c>
      <c r="C1519" s="57" t="s">
        <v>6403</v>
      </c>
      <c r="D1519" s="56" t="s">
        <v>394</v>
      </c>
      <c r="E1519" s="56" t="s">
        <v>4878</v>
      </c>
      <c r="F1519" s="26" t="s">
        <v>3923</v>
      </c>
      <c r="G1519" s="26" t="s">
        <v>15</v>
      </c>
      <c r="H1519" s="26" t="s">
        <v>13</v>
      </c>
      <c r="I1519" s="26" t="s">
        <v>3924</v>
      </c>
      <c r="J1519" s="26" t="s">
        <v>6402</v>
      </c>
      <c r="K1519" s="26" t="s">
        <v>4921</v>
      </c>
      <c r="L1519" s="26" t="s">
        <v>4284</v>
      </c>
      <c r="M1519" s="55" t="s">
        <v>4881</v>
      </c>
      <c r="N1519" s="26" t="s">
        <v>3924</v>
      </c>
    </row>
    <row r="1520" spans="1:14" ht="75" customHeight="1" thickTop="1" thickBot="1">
      <c r="A1520" s="34">
        <v>1518</v>
      </c>
      <c r="B1520" s="34">
        <v>1571</v>
      </c>
      <c r="C1520" s="57" t="s">
        <v>6403</v>
      </c>
      <c r="D1520" s="56" t="s">
        <v>394</v>
      </c>
      <c r="E1520" s="56" t="s">
        <v>4878</v>
      </c>
      <c r="F1520" s="26" t="s">
        <v>3923</v>
      </c>
      <c r="G1520" s="26" t="s">
        <v>15</v>
      </c>
      <c r="H1520" s="26" t="s">
        <v>13</v>
      </c>
      <c r="I1520" s="26" t="s">
        <v>3924</v>
      </c>
      <c r="J1520" s="26" t="s">
        <v>6404</v>
      </c>
      <c r="K1520" s="26" t="s">
        <v>4921</v>
      </c>
      <c r="L1520" s="26" t="s">
        <v>4125</v>
      </c>
      <c r="M1520" s="55" t="s">
        <v>4881</v>
      </c>
      <c r="N1520" s="26" t="s">
        <v>3924</v>
      </c>
    </row>
    <row r="1521" spans="1:14" ht="75" customHeight="1" thickTop="1" thickBot="1">
      <c r="A1521" s="34">
        <v>1519</v>
      </c>
      <c r="B1521" s="34">
        <v>1572</v>
      </c>
      <c r="C1521" s="57" t="s">
        <v>6405</v>
      </c>
      <c r="D1521" s="56" t="s">
        <v>394</v>
      </c>
      <c r="E1521" s="56" t="s">
        <v>4878</v>
      </c>
      <c r="F1521" s="26" t="s">
        <v>3923</v>
      </c>
      <c r="G1521" s="26" t="s">
        <v>15</v>
      </c>
      <c r="H1521" s="26" t="s">
        <v>13</v>
      </c>
      <c r="I1521" s="26" t="s">
        <v>3924</v>
      </c>
      <c r="J1521" s="26" t="s">
        <v>6404</v>
      </c>
      <c r="K1521" s="26" t="s">
        <v>4921</v>
      </c>
      <c r="L1521" s="26" t="s">
        <v>4277</v>
      </c>
      <c r="M1521" s="55" t="s">
        <v>4881</v>
      </c>
      <c r="N1521" s="26" t="s">
        <v>3924</v>
      </c>
    </row>
    <row r="1522" spans="1:14" ht="75" customHeight="1" thickTop="1" thickBot="1">
      <c r="A1522" s="26">
        <v>1520</v>
      </c>
      <c r="B1522" s="34">
        <v>1573</v>
      </c>
      <c r="C1522" s="57" t="s">
        <v>6405</v>
      </c>
      <c r="D1522" s="56" t="s">
        <v>394</v>
      </c>
      <c r="E1522" s="56" t="s">
        <v>4878</v>
      </c>
      <c r="F1522" s="26" t="s">
        <v>3923</v>
      </c>
      <c r="G1522" s="26" t="s">
        <v>15</v>
      </c>
      <c r="H1522" s="26" t="s">
        <v>13</v>
      </c>
      <c r="I1522" s="26" t="s">
        <v>3924</v>
      </c>
      <c r="J1522" s="26" t="s">
        <v>6404</v>
      </c>
      <c r="K1522" s="26" t="s">
        <v>4921</v>
      </c>
      <c r="L1522" s="26" t="s">
        <v>4203</v>
      </c>
      <c r="M1522" s="55" t="s">
        <v>4881</v>
      </c>
      <c r="N1522" s="26" t="s">
        <v>3924</v>
      </c>
    </row>
    <row r="1523" spans="1:14" ht="75" customHeight="1" thickTop="1" thickBot="1">
      <c r="A1523" s="34">
        <v>1521</v>
      </c>
      <c r="B1523" s="34">
        <v>1574</v>
      </c>
      <c r="C1523" s="57" t="s">
        <v>6406</v>
      </c>
      <c r="D1523" s="56" t="s">
        <v>394</v>
      </c>
      <c r="E1523" s="56" t="s">
        <v>4878</v>
      </c>
      <c r="F1523" s="26" t="s">
        <v>3923</v>
      </c>
      <c r="G1523" s="26" t="s">
        <v>15</v>
      </c>
      <c r="H1523" s="26" t="s">
        <v>13</v>
      </c>
      <c r="I1523" s="26" t="s">
        <v>3924</v>
      </c>
      <c r="J1523" s="26" t="s">
        <v>6404</v>
      </c>
      <c r="K1523" s="26" t="s">
        <v>4921</v>
      </c>
      <c r="L1523" s="26" t="s">
        <v>4239</v>
      </c>
      <c r="M1523" s="55" t="s">
        <v>4881</v>
      </c>
      <c r="N1523" s="26" t="s">
        <v>3924</v>
      </c>
    </row>
    <row r="1524" spans="1:14" ht="75" customHeight="1" thickTop="1" thickBot="1">
      <c r="A1524" s="34">
        <v>1522</v>
      </c>
      <c r="B1524" s="34">
        <v>1575</v>
      </c>
      <c r="C1524" s="57" t="s">
        <v>6407</v>
      </c>
      <c r="D1524" s="56" t="s">
        <v>394</v>
      </c>
      <c r="E1524" s="56" t="s">
        <v>4878</v>
      </c>
      <c r="F1524" s="26" t="s">
        <v>3923</v>
      </c>
      <c r="G1524" s="26" t="s">
        <v>15</v>
      </c>
      <c r="H1524" s="26" t="s">
        <v>13</v>
      </c>
      <c r="I1524" s="26" t="s">
        <v>3924</v>
      </c>
      <c r="J1524" s="26" t="s">
        <v>6408</v>
      </c>
      <c r="K1524" s="26" t="s">
        <v>4923</v>
      </c>
      <c r="L1524" s="26" t="s">
        <v>4277</v>
      </c>
      <c r="M1524" s="55" t="s">
        <v>4881</v>
      </c>
      <c r="N1524" s="26" t="s">
        <v>3924</v>
      </c>
    </row>
    <row r="1525" spans="1:14" ht="75" customHeight="1" thickTop="1" thickBot="1">
      <c r="A1525" s="26">
        <v>1523</v>
      </c>
      <c r="B1525" s="34">
        <v>1576</v>
      </c>
      <c r="C1525" s="57" t="s">
        <v>6394</v>
      </c>
      <c r="D1525" s="56" t="s">
        <v>394</v>
      </c>
      <c r="E1525" s="56" t="s">
        <v>4878</v>
      </c>
      <c r="F1525" s="26" t="s">
        <v>3923</v>
      </c>
      <c r="G1525" s="26" t="s">
        <v>15</v>
      </c>
      <c r="H1525" s="26" t="s">
        <v>13</v>
      </c>
      <c r="I1525" s="26" t="s">
        <v>3924</v>
      </c>
      <c r="J1525" s="26" t="s">
        <v>6408</v>
      </c>
      <c r="K1525" s="26" t="s">
        <v>4923</v>
      </c>
      <c r="L1525" s="26" t="s">
        <v>4284</v>
      </c>
      <c r="M1525" s="55" t="s">
        <v>4881</v>
      </c>
      <c r="N1525" s="26" t="s">
        <v>3924</v>
      </c>
    </row>
    <row r="1526" spans="1:14" ht="75" customHeight="1" thickTop="1" thickBot="1">
      <c r="A1526" s="34">
        <v>1524</v>
      </c>
      <c r="B1526" s="34">
        <v>1577</v>
      </c>
      <c r="C1526" s="57" t="s">
        <v>6393</v>
      </c>
      <c r="D1526" s="56" t="s">
        <v>394</v>
      </c>
      <c r="E1526" s="56" t="s">
        <v>4878</v>
      </c>
      <c r="F1526" s="26" t="s">
        <v>3923</v>
      </c>
      <c r="G1526" s="26" t="s">
        <v>15</v>
      </c>
      <c r="H1526" s="26" t="s">
        <v>13</v>
      </c>
      <c r="I1526" s="26" t="s">
        <v>3924</v>
      </c>
      <c r="J1526" s="26" t="s">
        <v>6409</v>
      </c>
      <c r="K1526" s="26" t="s">
        <v>4923</v>
      </c>
      <c r="L1526" s="26" t="s">
        <v>4125</v>
      </c>
      <c r="M1526" s="55" t="s">
        <v>4881</v>
      </c>
      <c r="N1526" s="26" t="s">
        <v>3924</v>
      </c>
    </row>
    <row r="1527" spans="1:14" ht="75" customHeight="1" thickTop="1" thickBot="1">
      <c r="A1527" s="34">
        <v>1525</v>
      </c>
      <c r="B1527" s="34">
        <v>1578</v>
      </c>
      <c r="C1527" s="57" t="s">
        <v>6410</v>
      </c>
      <c r="D1527" s="56" t="s">
        <v>394</v>
      </c>
      <c r="E1527" s="56" t="s">
        <v>4878</v>
      </c>
      <c r="F1527" s="26" t="s">
        <v>3923</v>
      </c>
      <c r="G1527" s="26" t="s">
        <v>15</v>
      </c>
      <c r="H1527" s="26" t="s">
        <v>13</v>
      </c>
      <c r="I1527" s="26" t="s">
        <v>3924</v>
      </c>
      <c r="J1527" s="26" t="s">
        <v>6409</v>
      </c>
      <c r="K1527" s="26" t="s">
        <v>4923</v>
      </c>
      <c r="L1527" s="26" t="s">
        <v>4011</v>
      </c>
      <c r="M1527" s="55" t="s">
        <v>4881</v>
      </c>
      <c r="N1527" s="26" t="s">
        <v>3924</v>
      </c>
    </row>
    <row r="1528" spans="1:14" ht="75" customHeight="1" thickTop="1" thickBot="1">
      <c r="A1528" s="26">
        <v>1526</v>
      </c>
      <c r="B1528" s="34">
        <v>1579</v>
      </c>
      <c r="C1528" s="57" t="s">
        <v>6410</v>
      </c>
      <c r="D1528" s="56" t="s">
        <v>394</v>
      </c>
      <c r="E1528" s="56" t="s">
        <v>4878</v>
      </c>
      <c r="F1528" s="26" t="s">
        <v>3923</v>
      </c>
      <c r="G1528" s="26" t="s">
        <v>15</v>
      </c>
      <c r="H1528" s="26" t="s">
        <v>13</v>
      </c>
      <c r="I1528" s="26" t="s">
        <v>3924</v>
      </c>
      <c r="J1528" s="26" t="s">
        <v>6409</v>
      </c>
      <c r="K1528" s="26" t="s">
        <v>4923</v>
      </c>
      <c r="L1528" s="26" t="s">
        <v>4203</v>
      </c>
      <c r="M1528" s="55" t="s">
        <v>4881</v>
      </c>
      <c r="N1528" s="26" t="s">
        <v>3924</v>
      </c>
    </row>
    <row r="1529" spans="1:14" ht="75" customHeight="1" thickTop="1" thickBot="1">
      <c r="A1529" s="34">
        <v>1527</v>
      </c>
      <c r="B1529" s="34">
        <v>1580</v>
      </c>
      <c r="C1529" s="57" t="s">
        <v>6384</v>
      </c>
      <c r="D1529" s="56" t="s">
        <v>394</v>
      </c>
      <c r="E1529" s="56" t="s">
        <v>4878</v>
      </c>
      <c r="F1529" s="26" t="s">
        <v>3923</v>
      </c>
      <c r="G1529" s="26" t="s">
        <v>15</v>
      </c>
      <c r="H1529" s="26" t="s">
        <v>13</v>
      </c>
      <c r="I1529" s="26" t="s">
        <v>3924</v>
      </c>
      <c r="J1529" s="26" t="s">
        <v>6411</v>
      </c>
      <c r="K1529" s="26" t="s">
        <v>4923</v>
      </c>
      <c r="L1529" s="26" t="s">
        <v>4239</v>
      </c>
      <c r="M1529" s="55" t="s">
        <v>4881</v>
      </c>
      <c r="N1529" s="26" t="s">
        <v>3924</v>
      </c>
    </row>
    <row r="1530" spans="1:14" ht="75" customHeight="1" thickTop="1" thickBot="1">
      <c r="A1530" s="34">
        <v>1528</v>
      </c>
      <c r="B1530" s="34">
        <v>1581</v>
      </c>
      <c r="C1530" s="57" t="s">
        <v>6386</v>
      </c>
      <c r="D1530" s="56" t="s">
        <v>394</v>
      </c>
      <c r="E1530" s="56" t="s">
        <v>4878</v>
      </c>
      <c r="F1530" s="26" t="s">
        <v>3923</v>
      </c>
      <c r="G1530" s="26" t="s">
        <v>15</v>
      </c>
      <c r="H1530" s="26" t="s">
        <v>13</v>
      </c>
      <c r="I1530" s="26" t="s">
        <v>3924</v>
      </c>
      <c r="J1530" s="26" t="s">
        <v>6411</v>
      </c>
      <c r="K1530" s="26" t="s">
        <v>4925</v>
      </c>
      <c r="L1530" s="26" t="s">
        <v>4277</v>
      </c>
      <c r="M1530" s="55" t="s">
        <v>4881</v>
      </c>
      <c r="N1530" s="26" t="s">
        <v>3924</v>
      </c>
    </row>
    <row r="1531" spans="1:14" ht="75" customHeight="1" thickTop="1" thickBot="1">
      <c r="A1531" s="26">
        <v>1529</v>
      </c>
      <c r="B1531" s="34">
        <v>1582</v>
      </c>
      <c r="C1531" s="57" t="s">
        <v>6389</v>
      </c>
      <c r="D1531" s="56" t="s">
        <v>394</v>
      </c>
      <c r="E1531" s="56" t="s">
        <v>4878</v>
      </c>
      <c r="F1531" s="26" t="s">
        <v>3923</v>
      </c>
      <c r="G1531" s="26" t="s">
        <v>15</v>
      </c>
      <c r="H1531" s="26" t="s">
        <v>13</v>
      </c>
      <c r="I1531" s="26" t="s">
        <v>3924</v>
      </c>
      <c r="J1531" s="26" t="s">
        <v>6411</v>
      </c>
      <c r="K1531" s="26" t="s">
        <v>4925</v>
      </c>
      <c r="L1531" s="26" t="s">
        <v>4284</v>
      </c>
      <c r="M1531" s="55" t="s">
        <v>4881</v>
      </c>
      <c r="N1531" s="26" t="s">
        <v>3924</v>
      </c>
    </row>
    <row r="1532" spans="1:14" ht="75" customHeight="1" thickTop="1" thickBot="1">
      <c r="A1532" s="34">
        <v>1530</v>
      </c>
      <c r="B1532" s="34">
        <v>1583</v>
      </c>
      <c r="C1532" s="57" t="s">
        <v>6389</v>
      </c>
      <c r="D1532" s="56" t="s">
        <v>394</v>
      </c>
      <c r="E1532" s="56" t="s">
        <v>4878</v>
      </c>
      <c r="F1532" s="26" t="s">
        <v>3923</v>
      </c>
      <c r="G1532" s="26" t="s">
        <v>15</v>
      </c>
      <c r="H1532" s="26" t="s">
        <v>13</v>
      </c>
      <c r="I1532" s="26" t="s">
        <v>3924</v>
      </c>
      <c r="J1532" s="26" t="s">
        <v>6412</v>
      </c>
      <c r="K1532" s="26" t="s">
        <v>4925</v>
      </c>
      <c r="L1532" s="26" t="s">
        <v>4125</v>
      </c>
      <c r="M1532" s="55" t="s">
        <v>4881</v>
      </c>
      <c r="N1532" s="26" t="s">
        <v>3924</v>
      </c>
    </row>
    <row r="1533" spans="1:14" ht="75" customHeight="1" thickTop="1" thickBot="1">
      <c r="A1533" s="34">
        <v>1531</v>
      </c>
      <c r="B1533" s="34">
        <v>1584</v>
      </c>
      <c r="C1533" s="57" t="s">
        <v>6388</v>
      </c>
      <c r="D1533" s="56" t="s">
        <v>394</v>
      </c>
      <c r="E1533" s="56" t="s">
        <v>4878</v>
      </c>
      <c r="F1533" s="26" t="s">
        <v>3923</v>
      </c>
      <c r="G1533" s="26" t="s">
        <v>15</v>
      </c>
      <c r="H1533" s="26" t="s">
        <v>13</v>
      </c>
      <c r="I1533" s="26" t="s">
        <v>3924</v>
      </c>
      <c r="J1533" s="26" t="s">
        <v>6413</v>
      </c>
      <c r="K1533" s="26" t="s">
        <v>4925</v>
      </c>
      <c r="L1533" s="26" t="s">
        <v>4011</v>
      </c>
      <c r="M1533" s="55" t="s">
        <v>4881</v>
      </c>
      <c r="N1533" s="26" t="s">
        <v>3924</v>
      </c>
    </row>
    <row r="1534" spans="1:14" ht="75" customHeight="1" thickTop="1" thickBot="1">
      <c r="A1534" s="26">
        <v>1532</v>
      </c>
      <c r="B1534" s="34">
        <v>1585</v>
      </c>
      <c r="C1534" s="57" t="s">
        <v>6391</v>
      </c>
      <c r="D1534" s="56" t="s">
        <v>394</v>
      </c>
      <c r="E1534" s="56" t="s">
        <v>4878</v>
      </c>
      <c r="F1534" s="26" t="s">
        <v>3923</v>
      </c>
      <c r="G1534" s="26" t="s">
        <v>15</v>
      </c>
      <c r="H1534" s="26" t="s">
        <v>13</v>
      </c>
      <c r="I1534" s="26" t="s">
        <v>3924</v>
      </c>
      <c r="J1534" s="26" t="s">
        <v>6412</v>
      </c>
      <c r="K1534" s="26" t="s">
        <v>4925</v>
      </c>
      <c r="L1534" s="26" t="s">
        <v>4203</v>
      </c>
      <c r="M1534" s="55" t="s">
        <v>4881</v>
      </c>
      <c r="N1534" s="26" t="s">
        <v>3924</v>
      </c>
    </row>
    <row r="1535" spans="1:14" ht="75" customHeight="1" thickTop="1" thickBot="1">
      <c r="A1535" s="34">
        <v>1533</v>
      </c>
      <c r="B1535" s="34">
        <v>1586</v>
      </c>
      <c r="C1535" s="57" t="s">
        <v>6392</v>
      </c>
      <c r="D1535" s="56" t="s">
        <v>394</v>
      </c>
      <c r="E1535" s="56" t="s">
        <v>4878</v>
      </c>
      <c r="F1535" s="26" t="s">
        <v>3923</v>
      </c>
      <c r="G1535" s="26" t="s">
        <v>15</v>
      </c>
      <c r="H1535" s="26" t="s">
        <v>13</v>
      </c>
      <c r="I1535" s="26" t="s">
        <v>3924</v>
      </c>
      <c r="J1535" s="26" t="s">
        <v>6412</v>
      </c>
      <c r="K1535" s="26" t="s">
        <v>4925</v>
      </c>
      <c r="L1535" s="26" t="s">
        <v>4239</v>
      </c>
      <c r="M1535" s="55" t="s">
        <v>4881</v>
      </c>
      <c r="N1535" s="26" t="s">
        <v>3924</v>
      </c>
    </row>
    <row r="1536" spans="1:14" ht="75" customHeight="1" thickTop="1" thickBot="1">
      <c r="A1536" s="34">
        <v>1534</v>
      </c>
      <c r="B1536" s="34">
        <v>1587</v>
      </c>
      <c r="C1536" s="57" t="s">
        <v>6396</v>
      </c>
      <c r="D1536" s="56" t="s">
        <v>394</v>
      </c>
      <c r="E1536" s="56" t="s">
        <v>4878</v>
      </c>
      <c r="F1536" s="26" t="s">
        <v>3923</v>
      </c>
      <c r="G1536" s="26" t="s">
        <v>14</v>
      </c>
      <c r="H1536" s="26" t="s">
        <v>13</v>
      </c>
      <c r="I1536" s="26" t="s">
        <v>3924</v>
      </c>
      <c r="J1536" s="26" t="s">
        <v>6413</v>
      </c>
      <c r="K1536" s="26" t="s">
        <v>4903</v>
      </c>
      <c r="L1536" s="26" t="s">
        <v>4082</v>
      </c>
      <c r="M1536" s="55" t="s">
        <v>5100</v>
      </c>
      <c r="N1536" s="26" t="s">
        <v>3924</v>
      </c>
    </row>
    <row r="1537" spans="1:14" ht="75" customHeight="1" thickTop="1" thickBot="1">
      <c r="A1537" s="26">
        <v>1535</v>
      </c>
      <c r="B1537" s="34">
        <v>1588</v>
      </c>
      <c r="C1537" s="57" t="s">
        <v>6397</v>
      </c>
      <c r="D1537" s="56" t="s">
        <v>394</v>
      </c>
      <c r="E1537" s="56" t="s">
        <v>4878</v>
      </c>
      <c r="F1537" s="26" t="s">
        <v>3923</v>
      </c>
      <c r="G1537" s="26" t="s">
        <v>14</v>
      </c>
      <c r="H1537" s="26" t="s">
        <v>13</v>
      </c>
      <c r="I1537" s="26" t="s">
        <v>3924</v>
      </c>
      <c r="J1537" s="26" t="s">
        <v>6414</v>
      </c>
      <c r="K1537" s="26" t="s">
        <v>4908</v>
      </c>
      <c r="L1537" s="26" t="s">
        <v>4082</v>
      </c>
      <c r="M1537" s="55" t="s">
        <v>5100</v>
      </c>
      <c r="N1537" s="26" t="s">
        <v>3924</v>
      </c>
    </row>
    <row r="1538" spans="1:14" ht="75" customHeight="1" thickTop="1" thickBot="1">
      <c r="A1538" s="34">
        <v>1536</v>
      </c>
      <c r="B1538" s="34">
        <v>1589</v>
      </c>
      <c r="C1538" s="57" t="s">
        <v>6398</v>
      </c>
      <c r="D1538" s="56" t="s">
        <v>394</v>
      </c>
      <c r="E1538" s="56" t="s">
        <v>4878</v>
      </c>
      <c r="F1538" s="26" t="s">
        <v>3923</v>
      </c>
      <c r="G1538" s="26" t="s">
        <v>14</v>
      </c>
      <c r="H1538" s="26" t="s">
        <v>13</v>
      </c>
      <c r="I1538" s="26" t="s">
        <v>3924</v>
      </c>
      <c r="J1538" s="26" t="s">
        <v>6414</v>
      </c>
      <c r="K1538" s="26" t="s">
        <v>4910</v>
      </c>
      <c r="L1538" s="26" t="s">
        <v>4082</v>
      </c>
      <c r="M1538" s="55" t="s">
        <v>5100</v>
      </c>
      <c r="N1538" s="26" t="s">
        <v>3924</v>
      </c>
    </row>
    <row r="1539" spans="1:14" ht="75" customHeight="1" thickTop="1" thickBot="1">
      <c r="A1539" s="34">
        <v>1537</v>
      </c>
      <c r="B1539" s="34">
        <v>1590</v>
      </c>
      <c r="C1539" s="57" t="s">
        <v>6402</v>
      </c>
      <c r="D1539" s="56" t="s">
        <v>394</v>
      </c>
      <c r="E1539" s="56" t="s">
        <v>4878</v>
      </c>
      <c r="F1539" s="26" t="s">
        <v>3923</v>
      </c>
      <c r="G1539" s="26" t="s">
        <v>14</v>
      </c>
      <c r="H1539" s="26" t="s">
        <v>13</v>
      </c>
      <c r="I1539" s="26" t="s">
        <v>3924</v>
      </c>
      <c r="J1539" s="26" t="s">
        <v>6414</v>
      </c>
      <c r="K1539" s="26" t="s">
        <v>4915</v>
      </c>
      <c r="L1539" s="26" t="s">
        <v>4082</v>
      </c>
      <c r="M1539" s="55" t="s">
        <v>5100</v>
      </c>
      <c r="N1539" s="26" t="s">
        <v>3924</v>
      </c>
    </row>
    <row r="1540" spans="1:14" ht="75" customHeight="1" thickTop="1" thickBot="1">
      <c r="A1540" s="26">
        <v>1538</v>
      </c>
      <c r="B1540" s="34">
        <v>1591</v>
      </c>
      <c r="C1540" s="57" t="s">
        <v>6404</v>
      </c>
      <c r="D1540" s="56" t="s">
        <v>394</v>
      </c>
      <c r="E1540" s="56" t="s">
        <v>4878</v>
      </c>
      <c r="F1540" s="26" t="s">
        <v>3923</v>
      </c>
      <c r="G1540" s="26" t="s">
        <v>14</v>
      </c>
      <c r="H1540" s="26" t="s">
        <v>13</v>
      </c>
      <c r="I1540" s="26" t="s">
        <v>3924</v>
      </c>
      <c r="J1540" s="26" t="s">
        <v>6415</v>
      </c>
      <c r="K1540" s="26" t="s">
        <v>4918</v>
      </c>
      <c r="L1540" s="26" t="s">
        <v>4082</v>
      </c>
      <c r="M1540" s="55" t="s">
        <v>5100</v>
      </c>
      <c r="N1540" s="26" t="s">
        <v>3924</v>
      </c>
    </row>
    <row r="1541" spans="1:14" ht="75" customHeight="1" thickTop="1" thickBot="1">
      <c r="A1541" s="34">
        <v>1539</v>
      </c>
      <c r="B1541" s="34">
        <v>1592</v>
      </c>
      <c r="C1541" s="57" t="s">
        <v>6411</v>
      </c>
      <c r="D1541" s="56" t="s">
        <v>394</v>
      </c>
      <c r="E1541" s="56" t="s">
        <v>4878</v>
      </c>
      <c r="F1541" s="26" t="s">
        <v>3923</v>
      </c>
      <c r="G1541" s="26" t="s">
        <v>14</v>
      </c>
      <c r="H1541" s="26" t="s">
        <v>13</v>
      </c>
      <c r="I1541" s="26" t="s">
        <v>3924</v>
      </c>
      <c r="J1541" s="26" t="s">
        <v>6415</v>
      </c>
      <c r="K1541" s="26" t="s">
        <v>4919</v>
      </c>
      <c r="L1541" s="26" t="s">
        <v>4082</v>
      </c>
      <c r="M1541" s="55" t="s">
        <v>5100</v>
      </c>
      <c r="N1541" s="26" t="s">
        <v>3924</v>
      </c>
    </row>
    <row r="1542" spans="1:14" ht="75" customHeight="1" thickTop="1" thickBot="1">
      <c r="A1542" s="34">
        <v>1540</v>
      </c>
      <c r="B1542" s="34">
        <v>1593</v>
      </c>
      <c r="C1542" s="57" t="s">
        <v>6412</v>
      </c>
      <c r="D1542" s="56" t="s">
        <v>394</v>
      </c>
      <c r="E1542" s="56" t="s">
        <v>4878</v>
      </c>
      <c r="F1542" s="26" t="s">
        <v>3923</v>
      </c>
      <c r="G1542" s="26" t="s">
        <v>14</v>
      </c>
      <c r="H1542" s="26" t="s">
        <v>13</v>
      </c>
      <c r="I1542" s="26" t="s">
        <v>3924</v>
      </c>
      <c r="J1542" s="26" t="s">
        <v>6415</v>
      </c>
      <c r="K1542" s="26" t="s">
        <v>4921</v>
      </c>
      <c r="L1542" s="26" t="s">
        <v>4082</v>
      </c>
      <c r="M1542" s="55" t="s">
        <v>5100</v>
      </c>
      <c r="N1542" s="26" t="s">
        <v>3924</v>
      </c>
    </row>
    <row r="1543" spans="1:14" ht="75" customHeight="1" thickTop="1" thickBot="1">
      <c r="A1543" s="26">
        <v>1541</v>
      </c>
      <c r="B1543" s="34">
        <v>1594</v>
      </c>
      <c r="C1543" s="57" t="s">
        <v>6414</v>
      </c>
      <c r="D1543" s="56" t="s">
        <v>394</v>
      </c>
      <c r="E1543" s="56" t="s">
        <v>4878</v>
      </c>
      <c r="F1543" s="26" t="s">
        <v>3923</v>
      </c>
      <c r="G1543" s="26" t="s">
        <v>14</v>
      </c>
      <c r="H1543" s="26" t="s">
        <v>13</v>
      </c>
      <c r="I1543" s="26" t="s">
        <v>3924</v>
      </c>
      <c r="J1543" s="26" t="s">
        <v>6416</v>
      </c>
      <c r="K1543" s="26" t="s">
        <v>4923</v>
      </c>
      <c r="L1543" s="26" t="s">
        <v>4082</v>
      </c>
      <c r="M1543" s="55" t="s">
        <v>5100</v>
      </c>
      <c r="N1543" s="26" t="s">
        <v>3924</v>
      </c>
    </row>
    <row r="1544" spans="1:14" ht="75" customHeight="1" thickTop="1" thickBot="1">
      <c r="A1544" s="34">
        <v>1542</v>
      </c>
      <c r="B1544" s="34">
        <v>1595</v>
      </c>
      <c r="C1544" s="57" t="s">
        <v>6416</v>
      </c>
      <c r="D1544" s="56" t="s">
        <v>394</v>
      </c>
      <c r="E1544" s="56" t="s">
        <v>4878</v>
      </c>
      <c r="F1544" s="26" t="s">
        <v>3923</v>
      </c>
      <c r="G1544" s="26" t="s">
        <v>14</v>
      </c>
      <c r="H1544" s="26" t="s">
        <v>13</v>
      </c>
      <c r="I1544" s="26" t="s">
        <v>3924</v>
      </c>
      <c r="J1544" s="26" t="s">
        <v>6416</v>
      </c>
      <c r="K1544" s="26" t="s">
        <v>4925</v>
      </c>
      <c r="L1544" s="26" t="s">
        <v>4082</v>
      </c>
      <c r="M1544" s="55" t="s">
        <v>5100</v>
      </c>
      <c r="N1544" s="26" t="s">
        <v>3924</v>
      </c>
    </row>
    <row r="1545" spans="1:14" ht="75" customHeight="1" thickTop="1" thickBot="1">
      <c r="A1545" s="34">
        <v>1543</v>
      </c>
      <c r="B1545" s="34">
        <v>1596</v>
      </c>
      <c r="C1545" s="57" t="s">
        <v>6417</v>
      </c>
      <c r="D1545" s="56" t="s">
        <v>394</v>
      </c>
      <c r="E1545" s="56" t="s">
        <v>4878</v>
      </c>
      <c r="F1545" s="26" t="s">
        <v>3923</v>
      </c>
      <c r="G1545" s="26" t="s">
        <v>14</v>
      </c>
      <c r="H1545" s="26" t="s">
        <v>13</v>
      </c>
      <c r="I1545" s="26" t="s">
        <v>3924</v>
      </c>
      <c r="J1545" s="26" t="s">
        <v>6418</v>
      </c>
      <c r="K1545" s="26" t="s">
        <v>4926</v>
      </c>
      <c r="L1545" s="26" t="s">
        <v>4082</v>
      </c>
      <c r="M1545" s="55" t="s">
        <v>5100</v>
      </c>
      <c r="N1545" s="26" t="s">
        <v>3924</v>
      </c>
    </row>
    <row r="1546" spans="1:14" ht="75" customHeight="1" thickTop="1" thickBot="1">
      <c r="A1546" s="26">
        <v>1544</v>
      </c>
      <c r="B1546" s="34">
        <v>1597</v>
      </c>
      <c r="C1546" s="57" t="s">
        <v>6419</v>
      </c>
      <c r="D1546" s="56" t="s">
        <v>394</v>
      </c>
      <c r="E1546" s="56" t="s">
        <v>4878</v>
      </c>
      <c r="F1546" s="26" t="s">
        <v>3923</v>
      </c>
      <c r="G1546" s="26" t="s">
        <v>14</v>
      </c>
      <c r="H1546" s="26" t="s">
        <v>13</v>
      </c>
      <c r="I1546" s="26" t="s">
        <v>3924</v>
      </c>
      <c r="J1546" s="26" t="s">
        <v>6420</v>
      </c>
      <c r="K1546" s="26" t="s">
        <v>4908</v>
      </c>
      <c r="L1546" s="26" t="s">
        <v>4082</v>
      </c>
      <c r="M1546" s="55" t="s">
        <v>5106</v>
      </c>
      <c r="N1546" s="26" t="s">
        <v>3924</v>
      </c>
    </row>
    <row r="1547" spans="1:14" ht="75" customHeight="1" thickTop="1" thickBot="1">
      <c r="A1547" s="34">
        <v>1545</v>
      </c>
      <c r="B1547" s="34">
        <v>1598</v>
      </c>
      <c r="C1547" s="57" t="s">
        <v>6421</v>
      </c>
      <c r="D1547" s="56" t="s">
        <v>394</v>
      </c>
      <c r="E1547" s="56" t="s">
        <v>4878</v>
      </c>
      <c r="F1547" s="26" t="s">
        <v>3923</v>
      </c>
      <c r="G1547" s="26" t="s">
        <v>14</v>
      </c>
      <c r="H1547" s="26" t="s">
        <v>13</v>
      </c>
      <c r="I1547" s="26" t="s">
        <v>3924</v>
      </c>
      <c r="J1547" s="26" t="s">
        <v>6422</v>
      </c>
      <c r="K1547" s="26" t="s">
        <v>4903</v>
      </c>
      <c r="L1547" s="26" t="s">
        <v>4082</v>
      </c>
      <c r="M1547" s="55" t="s">
        <v>5106</v>
      </c>
      <c r="N1547" s="26" t="s">
        <v>3924</v>
      </c>
    </row>
    <row r="1548" spans="1:14" ht="75" customHeight="1" thickTop="1" thickBot="1">
      <c r="A1548" s="34">
        <v>1546</v>
      </c>
      <c r="B1548" s="34">
        <v>1599</v>
      </c>
      <c r="C1548" s="57" t="s">
        <v>6423</v>
      </c>
      <c r="D1548" s="56" t="s">
        <v>394</v>
      </c>
      <c r="E1548" s="56" t="s">
        <v>4878</v>
      </c>
      <c r="F1548" s="26" t="s">
        <v>3923</v>
      </c>
      <c r="G1548" s="26" t="s">
        <v>14</v>
      </c>
      <c r="H1548" s="26" t="s">
        <v>13</v>
      </c>
      <c r="I1548" s="26" t="s">
        <v>3924</v>
      </c>
      <c r="J1548" s="26" t="s">
        <v>6424</v>
      </c>
      <c r="K1548" s="26" t="s">
        <v>4915</v>
      </c>
      <c r="L1548" s="26" t="s">
        <v>4082</v>
      </c>
      <c r="M1548" s="55" t="s">
        <v>5106</v>
      </c>
      <c r="N1548" s="26" t="s">
        <v>3924</v>
      </c>
    </row>
    <row r="1549" spans="1:14" ht="75" customHeight="1" thickTop="1" thickBot="1">
      <c r="A1549" s="26">
        <v>1547</v>
      </c>
      <c r="B1549" s="34">
        <v>1600</v>
      </c>
      <c r="C1549" s="57" t="s">
        <v>6423</v>
      </c>
      <c r="D1549" s="56" t="s">
        <v>394</v>
      </c>
      <c r="E1549" s="56" t="s">
        <v>3922</v>
      </c>
      <c r="F1549" s="26" t="s">
        <v>3923</v>
      </c>
      <c r="G1549" s="26" t="s">
        <v>14</v>
      </c>
      <c r="H1549" s="26" t="s">
        <v>13</v>
      </c>
      <c r="I1549" s="26" t="s">
        <v>3924</v>
      </c>
      <c r="J1549" s="26" t="s">
        <v>6425</v>
      </c>
      <c r="K1549" s="26" t="s">
        <v>4910</v>
      </c>
      <c r="L1549" s="26" t="s">
        <v>4082</v>
      </c>
      <c r="M1549" s="55" t="s">
        <v>5106</v>
      </c>
      <c r="N1549" s="26" t="s">
        <v>3924</v>
      </c>
    </row>
    <row r="1550" spans="1:14" ht="75" customHeight="1" thickTop="1" thickBot="1">
      <c r="A1550" s="34">
        <v>1548</v>
      </c>
      <c r="B1550" s="34">
        <v>1601</v>
      </c>
      <c r="C1550" s="57" t="s">
        <v>6420</v>
      </c>
      <c r="D1550" s="56" t="s">
        <v>394</v>
      </c>
      <c r="E1550" s="56" t="s">
        <v>4878</v>
      </c>
      <c r="F1550" s="26" t="s">
        <v>3923</v>
      </c>
      <c r="G1550" s="26" t="s">
        <v>14</v>
      </c>
      <c r="H1550" s="26" t="s">
        <v>13</v>
      </c>
      <c r="I1550" s="26" t="s">
        <v>3924</v>
      </c>
      <c r="J1550" s="26" t="s">
        <v>6425</v>
      </c>
      <c r="K1550" s="26" t="s">
        <v>4918</v>
      </c>
      <c r="L1550" s="26" t="s">
        <v>4082</v>
      </c>
      <c r="M1550" s="55" t="s">
        <v>5106</v>
      </c>
      <c r="N1550" s="26" t="s">
        <v>3924</v>
      </c>
    </row>
    <row r="1551" spans="1:14" ht="75" customHeight="1" thickTop="1" thickBot="1">
      <c r="A1551" s="34">
        <v>1549</v>
      </c>
      <c r="B1551" s="34">
        <v>1602</v>
      </c>
      <c r="C1551" s="57" t="s">
        <v>6424</v>
      </c>
      <c r="D1551" s="56" t="s">
        <v>394</v>
      </c>
      <c r="E1551" s="56" t="s">
        <v>4878</v>
      </c>
      <c r="F1551" s="26" t="s">
        <v>3923</v>
      </c>
      <c r="G1551" s="26" t="s">
        <v>14</v>
      </c>
      <c r="H1551" s="26" t="s">
        <v>13</v>
      </c>
      <c r="I1551" s="26" t="s">
        <v>3924</v>
      </c>
      <c r="J1551" s="26" t="s">
        <v>6426</v>
      </c>
      <c r="K1551" s="26" t="s">
        <v>4919</v>
      </c>
      <c r="L1551" s="26" t="s">
        <v>4082</v>
      </c>
      <c r="M1551" s="55" t="s">
        <v>5106</v>
      </c>
      <c r="N1551" s="26" t="s">
        <v>3924</v>
      </c>
    </row>
    <row r="1552" spans="1:14" ht="75" customHeight="1" thickTop="1" thickBot="1">
      <c r="A1552" s="26">
        <v>1550</v>
      </c>
      <c r="B1552" s="34">
        <v>1603</v>
      </c>
      <c r="C1552" s="57" t="s">
        <v>6426</v>
      </c>
      <c r="D1552" s="56" t="s">
        <v>394</v>
      </c>
      <c r="E1552" s="56" t="s">
        <v>4878</v>
      </c>
      <c r="F1552" s="26" t="s">
        <v>3923</v>
      </c>
      <c r="G1552" s="26" t="s">
        <v>14</v>
      </c>
      <c r="H1552" s="26" t="s">
        <v>13</v>
      </c>
      <c r="I1552" s="26" t="s">
        <v>3924</v>
      </c>
      <c r="J1552" s="26" t="s">
        <v>6427</v>
      </c>
      <c r="K1552" s="26" t="s">
        <v>4921</v>
      </c>
      <c r="L1552" s="26" t="s">
        <v>4082</v>
      </c>
      <c r="M1552" s="55" t="s">
        <v>5106</v>
      </c>
      <c r="N1552" s="26" t="s">
        <v>3924</v>
      </c>
    </row>
    <row r="1553" spans="1:14" ht="75" customHeight="1" thickTop="1" thickBot="1">
      <c r="A1553" s="34">
        <v>1551</v>
      </c>
      <c r="B1553" s="34">
        <v>1604</v>
      </c>
      <c r="C1553" s="57" t="s">
        <v>6425</v>
      </c>
      <c r="D1553" s="56" t="s">
        <v>394</v>
      </c>
      <c r="E1553" s="56" t="s">
        <v>4878</v>
      </c>
      <c r="F1553" s="26" t="s">
        <v>3923</v>
      </c>
      <c r="G1553" s="26" t="s">
        <v>14</v>
      </c>
      <c r="H1553" s="26" t="s">
        <v>13</v>
      </c>
      <c r="I1553" s="26" t="s">
        <v>3924</v>
      </c>
      <c r="J1553" s="26" t="s">
        <v>6428</v>
      </c>
      <c r="K1553" s="26" t="s">
        <v>4923</v>
      </c>
      <c r="L1553" s="26" t="s">
        <v>4082</v>
      </c>
      <c r="M1553" s="55" t="s">
        <v>5106</v>
      </c>
      <c r="N1553" s="26" t="s">
        <v>3924</v>
      </c>
    </row>
    <row r="1554" spans="1:14" ht="75" customHeight="1" thickTop="1" thickBot="1">
      <c r="A1554" s="34">
        <v>1552</v>
      </c>
      <c r="B1554" s="34">
        <v>1605</v>
      </c>
      <c r="C1554" s="57" t="s">
        <v>6427</v>
      </c>
      <c r="D1554" s="56" t="s">
        <v>394</v>
      </c>
      <c r="E1554" s="56" t="s">
        <v>4878</v>
      </c>
      <c r="F1554" s="26" t="s">
        <v>3923</v>
      </c>
      <c r="G1554" s="26" t="s">
        <v>14</v>
      </c>
      <c r="H1554" s="26" t="s">
        <v>13</v>
      </c>
      <c r="I1554" s="26" t="s">
        <v>3924</v>
      </c>
      <c r="J1554" s="26" t="s">
        <v>6428</v>
      </c>
      <c r="K1554" s="26" t="s">
        <v>4925</v>
      </c>
      <c r="L1554" s="26" t="s">
        <v>4082</v>
      </c>
      <c r="M1554" s="55" t="s">
        <v>5106</v>
      </c>
      <c r="N1554" s="26" t="s">
        <v>3924</v>
      </c>
    </row>
    <row r="1555" spans="1:14" ht="75" customHeight="1" thickTop="1" thickBot="1">
      <c r="A1555" s="26">
        <v>1553</v>
      </c>
      <c r="B1555" s="34">
        <v>1607</v>
      </c>
      <c r="C1555" s="57" t="s">
        <v>6429</v>
      </c>
      <c r="D1555" s="56" t="s">
        <v>394</v>
      </c>
      <c r="E1555" s="56" t="s">
        <v>3931</v>
      </c>
      <c r="F1555" s="26" t="s">
        <v>3923</v>
      </c>
      <c r="G1555" s="26" t="s">
        <v>3932</v>
      </c>
      <c r="H1555" s="26" t="s">
        <v>13</v>
      </c>
      <c r="I1555" s="26" t="s">
        <v>3924</v>
      </c>
      <c r="J1555" s="26" t="s">
        <v>6430</v>
      </c>
      <c r="K1555" s="26" t="s">
        <v>3929</v>
      </c>
      <c r="L1555" s="26" t="s">
        <v>3924</v>
      </c>
      <c r="M1555" s="55" t="s">
        <v>6431</v>
      </c>
      <c r="N1555" s="26" t="s">
        <v>3924</v>
      </c>
    </row>
    <row r="1556" spans="1:14" ht="75" customHeight="1" thickTop="1" thickBot="1">
      <c r="A1556" s="34">
        <v>1554</v>
      </c>
      <c r="B1556" s="34">
        <v>1608</v>
      </c>
      <c r="C1556" s="57" t="s">
        <v>6429</v>
      </c>
      <c r="D1556" s="56" t="s">
        <v>394</v>
      </c>
      <c r="E1556" s="56" t="s">
        <v>3931</v>
      </c>
      <c r="F1556" s="26" t="s">
        <v>3923</v>
      </c>
      <c r="G1556" s="26" t="s">
        <v>3932</v>
      </c>
      <c r="H1556" s="26" t="s">
        <v>13</v>
      </c>
      <c r="I1556" s="64" t="s">
        <v>3924</v>
      </c>
      <c r="J1556" s="26" t="s">
        <v>6430</v>
      </c>
      <c r="K1556" s="26" t="s">
        <v>4040</v>
      </c>
      <c r="L1556" s="26" t="s">
        <v>3924</v>
      </c>
      <c r="M1556" s="55" t="s">
        <v>6431</v>
      </c>
      <c r="N1556" s="26" t="s">
        <v>3924</v>
      </c>
    </row>
    <row r="1557" spans="1:14" ht="75" customHeight="1" thickTop="1"/>
  </sheetData>
  <conditionalFormatting sqref="K1557:K1048576">
    <cfRule type="containsText" dxfId="149" priority="12" operator="containsText" text="منجز">
      <formula>NOT(ISERROR(SEARCH("منجز",K1557)))</formula>
    </cfRule>
    <cfRule type="containsText" dxfId="148" priority="13" operator="containsText" text="منجز">
      <formula>NOT(ISERROR(SEARCH("منجز",K1557)))</formula>
    </cfRule>
  </conditionalFormatting>
  <conditionalFormatting sqref="C3:C1556">
    <cfRule type="expression" dxfId="147" priority="4">
      <formula>AND($C3&lt;&gt;"", TRIM($L3)="")</formula>
    </cfRule>
    <cfRule type="expression" dxfId="146" priority="5">
      <formula>INT($C3) &lt; TODAY()</formula>
    </cfRule>
    <cfRule type="expression" dxfId="145" priority="6">
      <formula>INT($C3) = TODAY()</formula>
    </cfRule>
  </conditionalFormatting>
  <conditionalFormatting sqref="H1:H1556">
    <cfRule type="containsText" dxfId="144" priority="1" operator="containsText" text="منجز">
      <formula>NOT(ISERROR(SEARCH("منجز",H1)))</formula>
    </cfRule>
  </conditionalFormatting>
  <conditionalFormatting sqref="L3:L1556">
    <cfRule type="containsText" dxfId="143" priority="2" operator="containsText" text="منجز">
      <formula>NOT(ISERROR(SEARCH("منجز",L3)))</formula>
    </cfRule>
    <cfRule type="containsText" dxfId="142" priority="3" operator="containsText" text="منجز">
      <formula>NOT(ISERROR(SEARCH("منجز",L3)))</formula>
    </cfRule>
  </conditionalFormatting>
  <dataValidations disablePrompts="1" count="2">
    <dataValidation type="list" allowBlank="1" sqref="K3:K1556" xr:uid="{CF3AD1FD-B36B-4C2D-A71E-3AF822907916}">
      <formula1>#REF!</formula1>
    </dataValidation>
    <dataValidation type="list" allowBlank="1" sqref="L3:L1556" xr:uid="{4A16A576-5DA7-4181-8011-20E5AB392097}">
      <formula1>"منجز,ملغي,تابع للتربية,مؤجل"</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598C3-C2E4-428B-9B3D-B4D415A28DDB}">
  <sheetPr>
    <tabColor rgb="FF2ECC71"/>
    <outlinePr summaryBelow="0" summaryRight="0"/>
    <pageSetUpPr fitToPage="1"/>
  </sheetPr>
  <dimension ref="A1:N1076"/>
  <sheetViews>
    <sheetView showGridLines="0" zoomScale="70" zoomScaleNormal="70" workbookViewId="0">
      <pane ySplit="2" topLeftCell="A3" activePane="bottomLeft" state="frozen"/>
      <selection pane="bottomLeft" activeCell="Q2" sqref="Q2"/>
    </sheetView>
  </sheetViews>
  <sheetFormatPr defaultColWidth="12.5546875" defaultRowHeight="75" customHeight="1"/>
  <cols>
    <col min="1" max="1" width="9.33203125" style="25" customWidth="1"/>
    <col min="2" max="2" width="30.5546875" bestFit="1" customWidth="1"/>
    <col min="3" max="4" width="6" customWidth="1"/>
    <col min="5" max="5" width="13" style="25" customWidth="1"/>
    <col min="6" max="6" width="45.33203125" style="25" bestFit="1" customWidth="1"/>
    <col min="7" max="7" width="25.109375" style="25" customWidth="1"/>
    <col min="8" max="8" width="65" style="59" customWidth="1"/>
    <col min="9" max="9" width="18.88671875" style="25" customWidth="1"/>
    <col min="10" max="10" width="10.6640625" style="25" customWidth="1"/>
    <col min="11" max="11" width="10" style="25" customWidth="1"/>
    <col min="12" max="12" width="30.5546875" style="25" bestFit="1" customWidth="1"/>
    <col min="13" max="13" width="18.88671875" style="28" customWidth="1"/>
    <col min="14" max="14" width="15.109375" hidden="1" customWidth="1"/>
  </cols>
  <sheetData>
    <row r="1" spans="1:14" ht="99.9" customHeight="1" thickBot="1">
      <c r="A1" s="60"/>
      <c r="B1" s="61"/>
      <c r="C1" s="61"/>
      <c r="D1" s="61"/>
      <c r="E1" s="60"/>
      <c r="F1" s="60"/>
      <c r="G1" s="60"/>
      <c r="H1" s="62"/>
      <c r="I1" s="60"/>
      <c r="J1" s="60"/>
      <c r="K1" s="60"/>
      <c r="L1" s="60"/>
      <c r="M1" s="60"/>
    </row>
    <row r="2" spans="1:14" ht="50.1" customHeight="1" thickTop="1" thickBot="1">
      <c r="A2" s="37" t="s">
        <v>112</v>
      </c>
      <c r="B2" s="37" t="s">
        <v>0</v>
      </c>
      <c r="C2" s="38" t="s">
        <v>1</v>
      </c>
      <c r="D2" s="38" t="s">
        <v>2</v>
      </c>
      <c r="E2" s="37" t="s">
        <v>3</v>
      </c>
      <c r="F2" s="37" t="s">
        <v>4</v>
      </c>
      <c r="G2" s="37" t="s">
        <v>18</v>
      </c>
      <c r="H2" s="37" t="s">
        <v>5</v>
      </c>
      <c r="I2" s="37" t="s">
        <v>6</v>
      </c>
      <c r="J2" s="40" t="s">
        <v>7</v>
      </c>
      <c r="K2" s="40" t="s">
        <v>8</v>
      </c>
      <c r="L2" s="40" t="s">
        <v>9</v>
      </c>
      <c r="M2" s="40" t="s">
        <v>10</v>
      </c>
      <c r="N2" s="1" t="s">
        <v>11</v>
      </c>
    </row>
    <row r="3" spans="1:14" ht="75" customHeight="1" thickTop="1" thickBot="1">
      <c r="A3" s="34">
        <v>1</v>
      </c>
      <c r="B3" s="53">
        <f ca="1">IFERROR(__xludf.DUMMYFUNCTION("QUERY('الطلبات'!A2:O998, ""SELECT A,C,J,K,L,M,N,O WHERE C='الحر' "")"),46113.3817215856)</f>
        <v>46113.381721585603</v>
      </c>
      <c r="C3" s="54" t="str">
        <f ca="1">IFERROR(__xludf.DUMMYFUNCTION("""COMPUTED_VALUE"""),"الحر")</f>
        <v>الحر</v>
      </c>
      <c r="D3" s="54" t="str">
        <f ca="1">IFERROR(__xludf.DUMMYFUNCTION("""COMPUTED_VALUE"""),"عيسى صالح ")</f>
        <v xml:space="preserve">عيسى صالح </v>
      </c>
      <c r="E3" s="34" t="str">
        <f ca="1">IFERROR(__xludf.DUMMYFUNCTION("""COMPUTED_VALUE"""),"قسم المشاريع الهندسية")</f>
        <v>قسم المشاريع الهندسية</v>
      </c>
      <c r="F3" s="34" t="str">
        <f ca="1">IFERROR(__xludf.DUMMYFUNCTION("""COMPUTED_VALUE"""),"D- الاعدادية (البناية 4)")</f>
        <v>D- الاعدادية (البناية 4)</v>
      </c>
      <c r="G3" s="34" t="str">
        <f ca="1">IFERROR(__xludf.DUMMYFUNCTION("""COMPUTED_VALUE"""),"الكراج")</f>
        <v>الكراج</v>
      </c>
      <c r="H3" s="63" t="str">
        <f ca="1">IFERROR(__xludf.DUMMYFUNCTION("""COMPUTED_VALUE"""),"إنجاز أعمال تغذية إنارة الحديقة الجديدة جهة البناية الرابعة وربطها على منظومة الطاقة الشمسية، 
")</f>
        <v xml:space="preserve">إنجاز أعمال تغذية إنارة الحديقة الجديدة جهة البناية الرابعة وربطها على منظومة الطاقة الشمسية، 
</v>
      </c>
      <c r="I3" s="34"/>
      <c r="J3" s="34" t="s">
        <v>12</v>
      </c>
      <c r="K3" s="34" t="s">
        <v>13</v>
      </c>
      <c r="L3" s="53">
        <v>46113.382956319445</v>
      </c>
      <c r="M3" s="34"/>
      <c r="N3" s="4" t="s">
        <v>121</v>
      </c>
    </row>
    <row r="4" spans="1:14" ht="75" customHeight="1" thickTop="1" thickBot="1">
      <c r="A4" s="26">
        <v>2</v>
      </c>
      <c r="B4" s="55">
        <f ca="1">IFERROR(__xludf.DUMMYFUNCTION("""COMPUTED_VALUE"""),46113.3828009953)</f>
        <v>46113.382800995299</v>
      </c>
      <c r="C4" s="56" t="str">
        <f ca="1">IFERROR(__xludf.DUMMYFUNCTION("""COMPUTED_VALUE"""),"الحر")</f>
        <v>الحر</v>
      </c>
      <c r="D4" s="56" t="str">
        <f ca="1">IFERROR(__xludf.DUMMYFUNCTION("""COMPUTED_VALUE"""),"عيسى صالح ")</f>
        <v xml:space="preserve">عيسى صالح </v>
      </c>
      <c r="E4" s="26" t="str">
        <f ca="1">IFERROR(__xludf.DUMMYFUNCTION("""COMPUTED_VALUE"""),"قسم المشاريع الهندسية")</f>
        <v>قسم المشاريع الهندسية</v>
      </c>
      <c r="F4" s="26" t="str">
        <f ca="1">IFERROR(__xludf.DUMMYFUNCTION("""COMPUTED_VALUE"""),"D- الاعدادية (البناية 4)")</f>
        <v>D- الاعدادية (البناية 4)</v>
      </c>
      <c r="G4" s="26" t="str">
        <f ca="1">IFERROR(__xludf.DUMMYFUNCTION("""COMPUTED_VALUE"""),"الكراج")</f>
        <v>الكراج</v>
      </c>
      <c r="H4" s="26" t="str">
        <f ca="1">IFERROR(__xludf.DUMMYFUNCTION("""COMPUTED_VALUE"""),"إنجاز أعمال تغذية إنارة الحديقة الجديدة جهة البناية الثانية وربطها على منظومة الطاقة الشمسية،
")</f>
        <v xml:space="preserve">إنجاز أعمال تغذية إنارة الحديقة الجديدة جهة البناية الثانية وربطها على منظومة الطاقة الشمسية،
</v>
      </c>
      <c r="I4" s="26"/>
      <c r="J4" s="26" t="s">
        <v>12</v>
      </c>
      <c r="K4" s="26" t="s">
        <v>13</v>
      </c>
      <c r="L4" s="55">
        <v>46113.382994444444</v>
      </c>
      <c r="M4" s="26"/>
      <c r="N4" s="4" t="s">
        <v>121</v>
      </c>
    </row>
    <row r="5" spans="1:14" ht="75" customHeight="1" thickTop="1" thickBot="1">
      <c r="A5" s="34">
        <v>3</v>
      </c>
      <c r="B5" s="55">
        <f ca="1">IFERROR(__xludf.DUMMYFUNCTION("""COMPUTED_VALUE"""),46114.3216057523)</f>
        <v>46114.321605752302</v>
      </c>
      <c r="C5" s="56" t="str">
        <f ca="1">IFERROR(__xludf.DUMMYFUNCTION("""COMPUTED_VALUE"""),"الحر")</f>
        <v>الحر</v>
      </c>
      <c r="D5" s="56" t="str">
        <f ca="1">IFERROR(__xludf.DUMMYFUNCTION("""COMPUTED_VALUE"""),"عيسى صالح ")</f>
        <v xml:space="preserve">عيسى صالح </v>
      </c>
      <c r="E5" s="26" t="str">
        <f ca="1">IFERROR(__xludf.DUMMYFUNCTION("""COMPUTED_VALUE"""),"قسم المشاريع الهندسية")</f>
        <v>قسم المشاريع الهندسية</v>
      </c>
      <c r="F5" s="26" t="str">
        <f ca="1">IFERROR(__xludf.DUMMYFUNCTION("""COMPUTED_VALUE"""),"D- الاعدادية (البناية 4)")</f>
        <v>D- الاعدادية (البناية 4)</v>
      </c>
      <c r="G5" s="26" t="str">
        <f ca="1">IFERROR(__xludf.DUMMYFUNCTION("""COMPUTED_VALUE"""),"ZONE A - الطابق الاول, ZONE B - الطابق الاول")</f>
        <v>ZONE A - الطابق الاول, ZONE B - الطابق الاول</v>
      </c>
      <c r="H5" s="26" t="s">
        <v>3904</v>
      </c>
      <c r="I5" s="26"/>
      <c r="J5" s="26" t="s">
        <v>12</v>
      </c>
      <c r="K5" s="26" t="s">
        <v>13</v>
      </c>
      <c r="L5" s="55">
        <v>46114.321810150461</v>
      </c>
      <c r="M5" s="26"/>
      <c r="N5" s="4" t="s">
        <v>121</v>
      </c>
    </row>
    <row r="6" spans="1:14" ht="75" customHeight="1" thickTop="1" thickBot="1">
      <c r="A6" s="26">
        <v>4</v>
      </c>
      <c r="B6" s="55">
        <f ca="1">IFERROR(__xludf.DUMMYFUNCTION("""COMPUTED_VALUE"""),46116.5676727893)</f>
        <v>46116.567672789301</v>
      </c>
      <c r="C6" s="56" t="str">
        <f ca="1">IFERROR(__xludf.DUMMYFUNCTION("""COMPUTED_VALUE"""),"الحر")</f>
        <v>الحر</v>
      </c>
      <c r="D6" s="56" t="str">
        <f ca="1">IFERROR(__xludf.DUMMYFUNCTION("""COMPUTED_VALUE"""),"ادارة المجمع")</f>
        <v>ادارة المجمع</v>
      </c>
      <c r="E6" s="26" t="str">
        <f ca="1">IFERROR(__xludf.DUMMYFUNCTION("""COMPUTED_VALUE"""),"قسم التربية والتعليم العالي")</f>
        <v>قسم التربية والتعليم العالي</v>
      </c>
      <c r="F6" s="26" t="str">
        <f ca="1">IFERROR(__xludf.DUMMYFUNCTION("""COMPUTED_VALUE"""),"A- الابتدائية (البناية 1)")</f>
        <v>A- الابتدائية (البناية 1)</v>
      </c>
      <c r="G6" s="26" t="str">
        <f ca="1">IFERROR(__xludf.DUMMYFUNCTION("""COMPUTED_VALUE"""),"المصعد")</f>
        <v>المصعد</v>
      </c>
      <c r="H6" s="26" t="str">
        <f ca="1">IFERROR(__xludf.DUMMYFUNCTION("""COMPUTED_VALUE"""),"سقوط المصعد من الطابق الثاني الى الاول  بسرعة كبيرة جدا ثم الصعود تلقائيا 
")</f>
        <v xml:space="preserve">سقوط المصعد من الطابق الثاني الى الاول  بسرعة كبيرة جدا ثم الصعود تلقائيا 
</v>
      </c>
      <c r="I6" s="26"/>
      <c r="J6" s="26" t="s">
        <v>12</v>
      </c>
      <c r="K6" s="26" t="s">
        <v>13</v>
      </c>
      <c r="L6" s="55">
        <v>46117.555453020832</v>
      </c>
      <c r="M6" s="26"/>
      <c r="N6" s="4" t="s">
        <v>121</v>
      </c>
    </row>
    <row r="7" spans="1:14" ht="75" customHeight="1" thickTop="1" thickBot="1">
      <c r="A7" s="34">
        <v>5</v>
      </c>
      <c r="B7" s="55">
        <f ca="1">IFERROR(__xludf.DUMMYFUNCTION("""COMPUTED_VALUE"""),46116.6088310648)</f>
        <v>46116.608831064797</v>
      </c>
      <c r="C7" s="56" t="str">
        <f ca="1">IFERROR(__xludf.DUMMYFUNCTION("""COMPUTED_VALUE"""),"الحر")</f>
        <v>الحر</v>
      </c>
      <c r="D7" s="56" t="str">
        <f ca="1">IFERROR(__xludf.DUMMYFUNCTION("""COMPUTED_VALUE"""),"عيسى صالح ")</f>
        <v xml:space="preserve">عيسى صالح </v>
      </c>
      <c r="E7" s="26" t="str">
        <f ca="1">IFERROR(__xludf.DUMMYFUNCTION("""COMPUTED_VALUE"""),"قسم المشاريع الهندسية")</f>
        <v>قسم المشاريع الهندسية</v>
      </c>
      <c r="F7" s="26" t="str">
        <f ca="1">IFERROR(__xludf.DUMMYFUNCTION("""COMPUTED_VALUE"""),"B- الابتدائية (البناية 2)")</f>
        <v>B- الابتدائية (البناية 2)</v>
      </c>
      <c r="G7" s="26" t="str">
        <f ca="1">IFERROR(__xludf.DUMMYFUNCTION("""COMPUTED_VALUE"""),"الكراج")</f>
        <v>الكراج</v>
      </c>
      <c r="H7" s="26" t="s">
        <v>3905</v>
      </c>
      <c r="I7" s="26"/>
      <c r="J7" s="26" t="s">
        <v>12</v>
      </c>
      <c r="K7" s="26" t="s">
        <v>13</v>
      </c>
      <c r="L7" s="55">
        <v>46116.61083853009</v>
      </c>
      <c r="M7" s="26"/>
      <c r="N7" s="4" t="s">
        <v>121</v>
      </c>
    </row>
    <row r="8" spans="1:14" ht="75" customHeight="1" thickTop="1" thickBot="1">
      <c r="A8" s="26">
        <v>6</v>
      </c>
      <c r="B8" s="55">
        <f ca="1">IFERROR(__xludf.DUMMYFUNCTION("""COMPUTED_VALUE"""),46116.6099245717)</f>
        <v>46116.609924571698</v>
      </c>
      <c r="C8" s="56" t="str">
        <f ca="1">IFERROR(__xludf.DUMMYFUNCTION("""COMPUTED_VALUE"""),"الحر")</f>
        <v>الحر</v>
      </c>
      <c r="D8" s="56" t="str">
        <f ca="1">IFERROR(__xludf.DUMMYFUNCTION("""COMPUTED_VALUE"""),"عيسى صالح ")</f>
        <v xml:space="preserve">عيسى صالح </v>
      </c>
      <c r="E8" s="26" t="str">
        <f ca="1">IFERROR(__xludf.DUMMYFUNCTION("""COMPUTED_VALUE"""),"قسم المشاريع الهندسية")</f>
        <v>قسم المشاريع الهندسية</v>
      </c>
      <c r="F8" s="26" t="str">
        <f ca="1">IFERROR(__xludf.DUMMYFUNCTION("""COMPUTED_VALUE"""),"B- الابتدائية (البناية 2)")</f>
        <v>B- الابتدائية (البناية 2)</v>
      </c>
      <c r="G8" s="26" t="str">
        <f ca="1">IFERROR(__xludf.DUMMYFUNCTION("""COMPUTED_VALUE"""),"الكراج")</f>
        <v>الكراج</v>
      </c>
      <c r="H8" s="26" t="s">
        <v>3905</v>
      </c>
      <c r="I8" s="26"/>
      <c r="J8" s="26" t="s">
        <v>12</v>
      </c>
      <c r="K8" s="26" t="s">
        <v>13</v>
      </c>
      <c r="L8" s="55">
        <v>46116.610889201387</v>
      </c>
      <c r="M8" s="26"/>
      <c r="N8" s="4" t="s">
        <v>121</v>
      </c>
    </row>
    <row r="9" spans="1:14" ht="75" customHeight="1" thickTop="1" thickBot="1">
      <c r="A9" s="34">
        <v>7</v>
      </c>
      <c r="B9" s="55">
        <f ca="1">IFERROR(__xludf.DUMMYFUNCTION("""COMPUTED_VALUE"""),46116.6106292592)</f>
        <v>46116.610629259201</v>
      </c>
      <c r="C9" s="56" t="str">
        <f ca="1">IFERROR(__xludf.DUMMYFUNCTION("""COMPUTED_VALUE"""),"الحر")</f>
        <v>الحر</v>
      </c>
      <c r="D9" s="56" t="str">
        <f ca="1">IFERROR(__xludf.DUMMYFUNCTION("""COMPUTED_VALUE"""),"عيسى صالح ")</f>
        <v xml:space="preserve">عيسى صالح </v>
      </c>
      <c r="E9" s="26" t="str">
        <f ca="1">IFERROR(__xludf.DUMMYFUNCTION("""COMPUTED_VALUE"""),"قسم المشاريع الهندسية")</f>
        <v>قسم المشاريع الهندسية</v>
      </c>
      <c r="F9" s="26" t="str">
        <f ca="1">IFERROR(__xludf.DUMMYFUNCTION("""COMPUTED_VALUE"""),"B- الابتدائية (البناية 2)")</f>
        <v>B- الابتدائية (البناية 2)</v>
      </c>
      <c r="G9" s="26" t="str">
        <f ca="1">IFERROR(__xludf.DUMMYFUNCTION("""COMPUTED_VALUE"""),"الكراج")</f>
        <v>الكراج</v>
      </c>
      <c r="H9" s="26" t="str">
        <f ca="1">IFERROR(__xludf.DUMMYFUNCTION("""COMPUTED_VALUE"""),"
وتم تسليك كيبل فلكس 2.5 بمسافة 80 متر 
من غرفة الكهرباء (المحولات) في البناية الثانية إلى غرفة السنكرو(المولدات) 
(يتم تغذيته عن طريق الطاقة الشمسية)
")</f>
        <v xml:space="preserve">
وتم تسليك كيبل فلكس 2.5 بمسافة 80 متر 
من غرفة الكهرباء (المحولات) في البناية الثانية إلى غرفة السنكرو(المولدات) 
(يتم تغذيته عن طريق الطاقة الشمسية)
</v>
      </c>
      <c r="I9" s="26"/>
      <c r="J9" s="26" t="s">
        <v>12</v>
      </c>
      <c r="K9" s="26" t="s">
        <v>13</v>
      </c>
      <c r="L9" s="55">
        <v>46116.610967071756</v>
      </c>
      <c r="M9" s="26"/>
      <c r="N9" s="4" t="s">
        <v>121</v>
      </c>
    </row>
    <row r="10" spans="1:14" ht="75" customHeight="1" thickTop="1" thickBot="1">
      <c r="A10" s="26">
        <v>8</v>
      </c>
      <c r="B10" s="55">
        <f ca="1">IFERROR(__xludf.DUMMYFUNCTION("""COMPUTED_VALUE"""),46117.6438946412)</f>
        <v>46117.643894641202</v>
      </c>
      <c r="C10" s="56" t="str">
        <f ca="1">IFERROR(__xludf.DUMMYFUNCTION("""COMPUTED_VALUE"""),"الحر")</f>
        <v>الحر</v>
      </c>
      <c r="D10" s="56" t="str">
        <f ca="1">IFERROR(__xludf.DUMMYFUNCTION("""COMPUTED_VALUE"""),"عيسى صالح ")</f>
        <v xml:space="preserve">عيسى صالح </v>
      </c>
      <c r="E10" s="26" t="str">
        <f ca="1">IFERROR(__xludf.DUMMYFUNCTION("""COMPUTED_VALUE"""),"قسم المشاريع الهندسية")</f>
        <v>قسم المشاريع الهندسية</v>
      </c>
      <c r="F10" s="26" t="str">
        <f ca="1">IFERROR(__xludf.DUMMYFUNCTION("""COMPUTED_VALUE"""),"B- الابتدائية (البناية 2)")</f>
        <v>B- الابتدائية (البناية 2)</v>
      </c>
      <c r="G10" s="26" t="str">
        <f ca="1">IFERROR(__xludf.DUMMYFUNCTION("""COMPUTED_VALUE"""),"الكراج")</f>
        <v>الكراج</v>
      </c>
      <c r="H10" s="26" t="s">
        <v>3906</v>
      </c>
      <c r="I10" s="26"/>
      <c r="J10" s="26" t="s">
        <v>12</v>
      </c>
      <c r="K10" s="26" t="s">
        <v>13</v>
      </c>
      <c r="L10" s="55">
        <v>46117.647855173607</v>
      </c>
      <c r="M10" s="26"/>
      <c r="N10" s="4" t="s">
        <v>121</v>
      </c>
    </row>
    <row r="11" spans="1:14" ht="75" customHeight="1" thickTop="1" thickBot="1">
      <c r="A11" s="34">
        <v>9</v>
      </c>
      <c r="B11" s="55">
        <f ca="1">IFERROR(__xludf.DUMMYFUNCTION("""COMPUTED_VALUE"""),46118.6981700925)</f>
        <v>46118.698170092503</v>
      </c>
      <c r="C11" s="56" t="str">
        <f ca="1">IFERROR(__xludf.DUMMYFUNCTION("""COMPUTED_VALUE"""),"الحر")</f>
        <v>الحر</v>
      </c>
      <c r="D11" s="56" t="str">
        <f ca="1">IFERROR(__xludf.DUMMYFUNCTION("""COMPUTED_VALUE"""),"عيسى صالح ")</f>
        <v xml:space="preserve">عيسى صالح </v>
      </c>
      <c r="E11" s="26" t="str">
        <f ca="1">IFERROR(__xludf.DUMMYFUNCTION("""COMPUTED_VALUE"""),"قسم المشاريع الهندسية")</f>
        <v>قسم المشاريع الهندسية</v>
      </c>
      <c r="F11" s="26" t="str">
        <f ca="1">IFERROR(__xludf.DUMMYFUNCTION("""COMPUTED_VALUE"""),"B- الابتدائية (البناية 2)")</f>
        <v>B- الابتدائية (البناية 2)</v>
      </c>
      <c r="G11" s="26" t="str">
        <f ca="1">IFERROR(__xludf.DUMMYFUNCTION("""COMPUTED_VALUE"""),"الكراج")</f>
        <v>الكراج</v>
      </c>
      <c r="H11" s="26" t="s">
        <v>3907</v>
      </c>
      <c r="I11" s="26"/>
      <c r="J11" s="26" t="s">
        <v>12</v>
      </c>
      <c r="K11" s="26" t="s">
        <v>13</v>
      </c>
      <c r="L11" s="55">
        <v>46118.698351562503</v>
      </c>
      <c r="M11" s="26"/>
      <c r="N11" s="4" t="s">
        <v>121</v>
      </c>
    </row>
    <row r="12" spans="1:14" ht="75" customHeight="1" thickTop="1" thickBot="1">
      <c r="A12" s="26">
        <v>10</v>
      </c>
      <c r="B12" s="55">
        <f ca="1">IFERROR(__xludf.DUMMYFUNCTION("""COMPUTED_VALUE"""),46119.6438515509)</f>
        <v>46119.6438515509</v>
      </c>
      <c r="C12" s="56" t="str">
        <f ca="1">IFERROR(__xludf.DUMMYFUNCTION("""COMPUTED_VALUE"""),"الحر")</f>
        <v>الحر</v>
      </c>
      <c r="D12" s="56" t="str">
        <f ca="1">IFERROR(__xludf.DUMMYFUNCTION("""COMPUTED_VALUE"""),"عيسى صالح ")</f>
        <v xml:space="preserve">عيسى صالح </v>
      </c>
      <c r="E12" s="26" t="str">
        <f ca="1">IFERROR(__xludf.DUMMYFUNCTION("""COMPUTED_VALUE"""),"قسم المشاريع الهندسية")</f>
        <v>قسم المشاريع الهندسية</v>
      </c>
      <c r="F12" s="26" t="str">
        <f ca="1">IFERROR(__xludf.DUMMYFUNCTION("""COMPUTED_VALUE"""),"C- المتوسطة (البناية 3)")</f>
        <v>C- المتوسطة (البناية 3)</v>
      </c>
      <c r="G12" s="26" t="str">
        <f ca="1">IFERROR(__xludf.DUMMYFUNCTION("""COMPUTED_VALUE"""),"الكراج")</f>
        <v>الكراج</v>
      </c>
      <c r="H12" s="26" t="str">
        <f ca="1">IFERROR(__xludf.DUMMYFUNCTION("""COMPUTED_VALUE"""),"لوحة توزيع كهربائية رئيسية
تم تنفيذ هذه اللوحة الكهربائية وفق المواصفات الفنية لضمان الأمان والكفاءة في التشغيل، وتتكون من خطين رئيسيين:
⚡ أولاً: خط الثلاثي (Three Phase)
مخصص لتغذية الكراج الخارجي.
☀️ ثانياً: خط الطاقة الشمسية.")</f>
        <v>لوحة توزيع كهربائية رئيسية
تم تنفيذ هذه اللوحة الكهربائية وفق المواصفات الفنية لضمان الأمان والكفاءة في التشغيل، وتتكون من خطين رئيسيين:
⚡ أولاً: خط الثلاثي (Three Phase)
مخصص لتغذية الكراج الخارجي.
☀️ ثانياً: خط الطاقة الشمسية.</v>
      </c>
      <c r="I12" s="26"/>
      <c r="J12" s="26" t="s">
        <v>12</v>
      </c>
      <c r="K12" s="26" t="s">
        <v>13</v>
      </c>
      <c r="L12" s="55">
        <v>46119.644050821764</v>
      </c>
      <c r="M12" s="26"/>
      <c r="N12" s="4" t="s">
        <v>121</v>
      </c>
    </row>
    <row r="13" spans="1:14" ht="75" customHeight="1" thickTop="1" thickBot="1">
      <c r="A13" s="34">
        <v>11</v>
      </c>
      <c r="B13" s="55">
        <f ca="1">IFERROR(__xludf.DUMMYFUNCTION("""COMPUTED_VALUE"""),46120.6011972569)</f>
        <v>46120.601197256903</v>
      </c>
      <c r="C13" s="56" t="str">
        <f ca="1">IFERROR(__xludf.DUMMYFUNCTION("""COMPUTED_VALUE"""),"الحر")</f>
        <v>الحر</v>
      </c>
      <c r="D13" s="56" t="str">
        <f ca="1">IFERROR(__xludf.DUMMYFUNCTION("""COMPUTED_VALUE"""),"عيسى صالح ")</f>
        <v xml:space="preserve">عيسى صالح </v>
      </c>
      <c r="E13" s="26" t="str">
        <f ca="1">IFERROR(__xludf.DUMMYFUNCTION("""COMPUTED_VALUE"""),"قسم المشاريع الهندسية")</f>
        <v>قسم المشاريع الهندسية</v>
      </c>
      <c r="F13" s="26" t="str">
        <f ca="1">IFERROR(__xludf.DUMMYFUNCTION("""COMPUTED_VALUE"""),"B- الابتدائية (البناية 2)")</f>
        <v>B- الابتدائية (البناية 2)</v>
      </c>
      <c r="G13" s="26" t="str">
        <f ca="1">IFERROR(__xludf.DUMMYFUNCTION("""COMPUTED_VALUE"""),"الكراج")</f>
        <v>الكراج</v>
      </c>
      <c r="H13" s="26" t="str">
        <f ca="1">IFERROR(__xludf.DUMMYFUNCTION("""COMPUTED_VALUE"""),"إنجاز أعمال تغذية البورد الجديد الخاص بالمنطقة الخارجية من خلال تغذيته من البناية الثانية فلكس قياس 4×10 ملم للوطني فلكس قياس 2×4 ملم للطاقة الشمسية 
بالإضافة إلى إجراء صيانة لتغذية القاطع الخاص بالبورد في البناية الثانية ومعالجة الخلل في أحد الأطوار وإعا"&amp;"دته للعمل لضمان استقرار التغذية الكهربائية
")</f>
        <v xml:space="preserve">إنجاز أعمال تغذية البورد الجديد الخاص بالمنطقة الخارجية من خلال تغذيته من البناية الثانية فلكس قياس 4×10 ملم للوطني فلكس قياس 2×4 ملم للطاقة الشمسية 
بالإضافة إلى إجراء صيانة لتغذية القاطع الخاص بالبورد في البناية الثانية ومعالجة الخلل في أحد الأطوار وإعادته للعمل لضمان استقرار التغذية الكهربائية
</v>
      </c>
      <c r="I13" s="26"/>
      <c r="J13" s="26" t="s">
        <v>12</v>
      </c>
      <c r="K13" s="26" t="s">
        <v>13</v>
      </c>
      <c r="L13" s="55">
        <v>46120.602289143513</v>
      </c>
      <c r="M13" s="26"/>
      <c r="N13" s="4" t="s">
        <v>121</v>
      </c>
    </row>
    <row r="14" spans="1:14" ht="75" customHeight="1" thickTop="1" thickBot="1">
      <c r="A14" s="26">
        <v>12</v>
      </c>
      <c r="B14" s="55">
        <f ca="1">IFERROR(__xludf.DUMMYFUNCTION("""COMPUTED_VALUE"""),46120.6020958449)</f>
        <v>46120.602095844901</v>
      </c>
      <c r="C14" s="56" t="str">
        <f ca="1">IFERROR(__xludf.DUMMYFUNCTION("""COMPUTED_VALUE"""),"الحر")</f>
        <v>الحر</v>
      </c>
      <c r="D14" s="56" t="str">
        <f ca="1">IFERROR(__xludf.DUMMYFUNCTION("""COMPUTED_VALUE"""),"عيسى صالح ")</f>
        <v xml:space="preserve">عيسى صالح </v>
      </c>
      <c r="E14" s="26" t="str">
        <f ca="1">IFERROR(__xludf.DUMMYFUNCTION("""COMPUTED_VALUE"""),"قسم المشاريع الهندسية")</f>
        <v>قسم المشاريع الهندسية</v>
      </c>
      <c r="F14" s="26" t="str">
        <f ca="1">IFERROR(__xludf.DUMMYFUNCTION("""COMPUTED_VALUE"""),"B- الابتدائية (البناية 2)")</f>
        <v>B- الابتدائية (البناية 2)</v>
      </c>
      <c r="G14" s="26" t="str">
        <f ca="1">IFERROR(__xludf.DUMMYFUNCTION("""COMPUTED_VALUE"""),"ZONE A - الطابق الارضي")</f>
        <v>ZONE A - الطابق الارضي</v>
      </c>
      <c r="H14" s="26" t="str">
        <f ca="1">IFERROR(__xludf.DUMMYFUNCTION("""COMPUTED_VALUE"""),"لوحضة شورت في الأنارةمنشوريه 60*60 في ألبنايه الثانيه الطابق الأرضي في غرفة المرشد التربوي 
وتم تبديل محولة لإنارة 60*60 عد 1
الشفت المسائي 
م حسن علي
هادي فالح
رضا فاضل
محمد فالح")</f>
        <v>لوحضة شورت في الأنارةمنشوريه 60*60 في ألبنايه الثانيه الطابق الأرضي في غرفة المرشد التربوي 
وتم تبديل محولة لإنارة 60*60 عد 1
الشفت المسائي 
م حسن علي
هادي فالح
رضا فاضل
محمد فالح</v>
      </c>
      <c r="I14" s="26"/>
      <c r="J14" s="26" t="s">
        <v>12</v>
      </c>
      <c r="K14" s="26" t="s">
        <v>13</v>
      </c>
      <c r="L14" s="55">
        <v>46120.602387511579</v>
      </c>
      <c r="M14" s="26"/>
      <c r="N14" s="4" t="s">
        <v>121</v>
      </c>
    </row>
    <row r="15" spans="1:14" ht="75" customHeight="1" thickTop="1" thickBot="1">
      <c r="A15" s="34">
        <v>13</v>
      </c>
      <c r="B15" s="55">
        <f ca="1">IFERROR(__xludf.DUMMYFUNCTION("""COMPUTED_VALUE"""),46121.5567333333)</f>
        <v>46121.556733333302</v>
      </c>
      <c r="C15" s="56" t="str">
        <f ca="1">IFERROR(__xludf.DUMMYFUNCTION("""COMPUTED_VALUE"""),"الحر")</f>
        <v>الحر</v>
      </c>
      <c r="D15" s="56" t="str">
        <f ca="1">IFERROR(__xludf.DUMMYFUNCTION("""COMPUTED_VALUE"""),"عيسى صالح ")</f>
        <v xml:space="preserve">عيسى صالح </v>
      </c>
      <c r="E15" s="26" t="str">
        <f ca="1">IFERROR(__xludf.DUMMYFUNCTION("""COMPUTED_VALUE"""),"قسم المشاريع الهندسية")</f>
        <v>قسم المشاريع الهندسية</v>
      </c>
      <c r="F15" s="26" t="str">
        <f ca="1">IFERROR(__xludf.DUMMYFUNCTION("""COMPUTED_VALUE"""),"B- الابتدائية (البناية 2)")</f>
        <v>B- الابتدائية (البناية 2)</v>
      </c>
      <c r="G15" s="26" t="str">
        <f ca="1">IFERROR(__xludf.DUMMYFUNCTION("""COMPUTED_VALUE"""),"ZONE A - الطابق الثاني")</f>
        <v>ZONE A - الطابق الثاني</v>
      </c>
      <c r="H15" s="26" t="str">
        <f ca="1">IFERROR(__xludf.DUMMYFUNCTION("""COMPUTED_VALUE"""),"تحويل خط الإنارة والتغذية الخاصة بغرفة السنكرو لتتم تغذيتها من منظومة الطاقة الشمسية في البناية الثانية، مع تركيب قواطع دورة أحادية (CB 10A) عدد 2 لتأمين الحماية اللازمة
")</f>
        <v xml:space="preserve">تحويل خط الإنارة والتغذية الخاصة بغرفة السنكرو لتتم تغذيتها من منظومة الطاقة الشمسية في البناية الثانية، مع تركيب قواطع دورة أحادية (CB 10A) عدد 2 لتأمين الحماية اللازمة
</v>
      </c>
      <c r="I15" s="26"/>
      <c r="J15" s="26" t="s">
        <v>12</v>
      </c>
      <c r="K15" s="26" t="s">
        <v>13</v>
      </c>
      <c r="L15" s="55">
        <v>46121.561280914349</v>
      </c>
      <c r="M15" s="26"/>
      <c r="N15" s="4" t="s">
        <v>121</v>
      </c>
    </row>
    <row r="16" spans="1:14" ht="75" customHeight="1" thickTop="1" thickBot="1">
      <c r="A16" s="26">
        <v>14</v>
      </c>
      <c r="B16" s="55">
        <f ca="1">IFERROR(__xludf.DUMMYFUNCTION("""COMPUTED_VALUE"""),46121.5586054745)</f>
        <v>46121.5586054745</v>
      </c>
      <c r="C16" s="56" t="str">
        <f ca="1">IFERROR(__xludf.DUMMYFUNCTION("""COMPUTED_VALUE"""),"الحر")</f>
        <v>الحر</v>
      </c>
      <c r="D16" s="56" t="str">
        <f ca="1">IFERROR(__xludf.DUMMYFUNCTION("""COMPUTED_VALUE"""),"عيسى صالح ")</f>
        <v xml:space="preserve">عيسى صالح </v>
      </c>
      <c r="E16" s="26" t="str">
        <f ca="1">IFERROR(__xludf.DUMMYFUNCTION("""COMPUTED_VALUE"""),"قسم المشاريع الهندسية")</f>
        <v>قسم المشاريع الهندسية</v>
      </c>
      <c r="F16" s="26" t="str">
        <f ca="1">IFERROR(__xludf.DUMMYFUNCTION("""COMPUTED_VALUE"""),"D- الاعدادية (البناية 4)")</f>
        <v>D- الاعدادية (البناية 4)</v>
      </c>
      <c r="G16" s="26" t="str">
        <f ca="1">IFERROR(__xludf.DUMMYFUNCTION("""COMPUTED_VALUE"""),"ZONE A - الطابق الارضي")</f>
        <v>ZONE A - الطابق الارضي</v>
      </c>
      <c r="H16" s="26" t="str">
        <f ca="1">IFERROR(__xludf.DUMMYFUNCTION("""COMPUTED_VALUE"""),"⚠️أعمال يوم الاربعاء:
موقع العمل :مصعد البناية الرابعة. 
تم تنفيذ أعمال صيانة على عتلة باب المصعد، حيث جرى فحصها ومعالجة الخلل الموجود، ومن ثم إعادتها إلى وضعها الطبيعي وبعد الانتهاء من أعمال الصيانة، تم تشغيل باب المصعد.")</f>
        <v>⚠️أعمال يوم الاربعاء:
موقع العمل :مصعد البناية الرابعة. 
تم تنفيذ أعمال صيانة على عتلة باب المصعد، حيث جرى فحصها ومعالجة الخلل الموجود، ومن ثم إعادتها إلى وضعها الطبيعي وبعد الانتهاء من أعمال الصيانة، تم تشغيل باب المصعد.</v>
      </c>
      <c r="I16" s="26"/>
      <c r="J16" s="26" t="s">
        <v>12</v>
      </c>
      <c r="K16" s="26" t="s">
        <v>13</v>
      </c>
      <c r="L16" s="55">
        <v>46121.561350219912</v>
      </c>
      <c r="M16" s="26"/>
      <c r="N16" s="4" t="s">
        <v>121</v>
      </c>
    </row>
    <row r="17" spans="1:14" ht="75" customHeight="1" thickTop="1" thickBot="1">
      <c r="A17" s="34">
        <v>15</v>
      </c>
      <c r="B17" s="55">
        <f ca="1">IFERROR(__xludf.DUMMYFUNCTION("""COMPUTED_VALUE"""),46124.5926297453)</f>
        <v>46124.592629745297</v>
      </c>
      <c r="C17" s="56" t="str">
        <f ca="1">IFERROR(__xludf.DUMMYFUNCTION("""COMPUTED_VALUE"""),"الحر")</f>
        <v>الحر</v>
      </c>
      <c r="D17" s="56" t="str">
        <f ca="1">IFERROR(__xludf.DUMMYFUNCTION("""COMPUTED_VALUE"""),"عيسى صالح ")</f>
        <v xml:space="preserve">عيسى صالح </v>
      </c>
      <c r="E17" s="26" t="str">
        <f ca="1">IFERROR(__xludf.DUMMYFUNCTION("""COMPUTED_VALUE"""),"قسم المشاريع الهندسية")</f>
        <v>قسم المشاريع الهندسية</v>
      </c>
      <c r="F17" s="26" t="str">
        <f ca="1">IFERROR(__xludf.DUMMYFUNCTION("""COMPUTED_VALUE"""),"B- الابتدائية (البناية 2)")</f>
        <v>B- الابتدائية (البناية 2)</v>
      </c>
      <c r="G17" s="26" t="str">
        <f ca="1">IFERROR(__xludf.DUMMYFUNCTION("""COMPUTED_VALUE"""),"الكراج")</f>
        <v>الكراج</v>
      </c>
      <c r="H17" s="26" t="str">
        <f ca="1">IFERROR(__xludf.DUMMYFUNCTION("""COMPUTED_VALUE"""),"
تم ربط وتغذية انارة  أعمدة الحديقة الخارجية في الكراج  
وتم التغذية من الألواح الطاقة الشمسية وتم تغذيتها عن طريق قاطع ثنائي(ايرث لكج ) سعة 25 A ")</f>
        <v xml:space="preserve">
تم ربط وتغذية انارة  أعمدة الحديقة الخارجية في الكراج  
وتم التغذية من الألواح الطاقة الشمسية وتم تغذيتها عن طريق قاطع ثنائي(ايرث لكج ) سعة 25 A </v>
      </c>
      <c r="I17" s="26"/>
      <c r="J17" s="26" t="s">
        <v>12</v>
      </c>
      <c r="K17" s="26" t="s">
        <v>13</v>
      </c>
      <c r="L17" s="55">
        <v>46124.595693553245</v>
      </c>
      <c r="M17" s="26"/>
      <c r="N17" s="4" t="s">
        <v>121</v>
      </c>
    </row>
    <row r="18" spans="1:14" ht="75" customHeight="1" thickTop="1" thickBot="1">
      <c r="A18" s="26">
        <v>16</v>
      </c>
      <c r="B18" s="55">
        <f ca="1">IFERROR(__xludf.DUMMYFUNCTION("""COMPUTED_VALUE"""),46124.5953874074)</f>
        <v>46124.595387407397</v>
      </c>
      <c r="C18" s="56" t="str">
        <f ca="1">IFERROR(__xludf.DUMMYFUNCTION("""COMPUTED_VALUE"""),"الحر")</f>
        <v>الحر</v>
      </c>
      <c r="D18" s="56" t="str">
        <f ca="1">IFERROR(__xludf.DUMMYFUNCTION("""COMPUTED_VALUE"""),"عيسى صالح ")</f>
        <v xml:space="preserve">عيسى صالح </v>
      </c>
      <c r="E18" s="26" t="str">
        <f ca="1">IFERROR(__xludf.DUMMYFUNCTION("""COMPUTED_VALUE"""),"قسم المشاريع الهندسية")</f>
        <v>قسم المشاريع الهندسية</v>
      </c>
      <c r="F18" s="26" t="str">
        <f ca="1">IFERROR(__xludf.DUMMYFUNCTION("""COMPUTED_VALUE"""),"C- المتوسطة (البناية 3)")</f>
        <v>C- المتوسطة (البناية 3)</v>
      </c>
      <c r="G18" s="26" t="str">
        <f ca="1">IFERROR(__xludf.DUMMYFUNCTION("""COMPUTED_VALUE"""),"ZONE A - الطابق الارضي")</f>
        <v>ZONE A - الطابق الارضي</v>
      </c>
      <c r="H18" s="26" t="str">
        <f ca="1">IFERROR(__xludf.DUMMYFUNCTION("""COMPUTED_VALUE"""),"​البناية الثالثة (الأرضي - زون A): تم استبدال ""سبوت ليت"" في الصحيات.
​البناية الثانية (الطابق الثاني): تم استبدال إنارة منشورية (60 *60).")</f>
        <v>​البناية الثالثة (الأرضي - زون A): تم استبدال "سبوت ليت" في الصحيات.
​البناية الثانية (الطابق الثاني): تم استبدال إنارة منشورية (60 *60).</v>
      </c>
      <c r="I18" s="26"/>
      <c r="J18" s="26" t="s">
        <v>12</v>
      </c>
      <c r="K18" s="26" t="s">
        <v>13</v>
      </c>
      <c r="L18" s="55">
        <v>46124.595737407406</v>
      </c>
      <c r="M18" s="26"/>
      <c r="N18" s="4" t="s">
        <v>121</v>
      </c>
    </row>
    <row r="19" spans="1:14" ht="75" customHeight="1" thickTop="1" thickBot="1">
      <c r="A19" s="34">
        <v>17</v>
      </c>
      <c r="B19" s="55">
        <f ca="1">IFERROR(__xludf.DUMMYFUNCTION("""COMPUTED_VALUE"""),46113.383437199)</f>
        <v>46113.383437199001</v>
      </c>
      <c r="C19" s="56" t="str">
        <f ca="1">IFERROR(__xludf.DUMMYFUNCTION("""COMPUTED_VALUE"""),"الحر")</f>
        <v>الحر</v>
      </c>
      <c r="D19" s="56" t="str">
        <f ca="1">IFERROR(__xludf.DUMMYFUNCTION("""COMPUTED_VALUE"""),"عيسى صالح ")</f>
        <v xml:space="preserve">عيسى صالح </v>
      </c>
      <c r="E19" s="26" t="str">
        <f ca="1">IFERROR(__xludf.DUMMYFUNCTION("""COMPUTED_VALUE"""),"قسم المشاريع الهندسية")</f>
        <v>قسم المشاريع الهندسية</v>
      </c>
      <c r="F19" s="26" t="str">
        <f ca="1">IFERROR(__xludf.DUMMYFUNCTION("""COMPUTED_VALUE"""),"C- المتوسطة (البناية 3)")</f>
        <v>C- المتوسطة (البناية 3)</v>
      </c>
      <c r="G19" s="26" t="str">
        <f ca="1">IFERROR(__xludf.DUMMYFUNCTION("""COMPUTED_VALUE"""),"ZONE B - الطابق الثاني")</f>
        <v>ZONE B - الطابق الثاني</v>
      </c>
      <c r="H19" s="26" t="str">
        <f ca="1">IFERROR(__xludf.DUMMYFUNCTION("""COMPUTED_VALUE"""),"تم صيانه تور شباك عدد (١) ط الثاني زون B المدرسة الثالثه")</f>
        <v>تم صيانه تور شباك عدد (١) ط الثاني زون B المدرسة الثالثه</v>
      </c>
      <c r="I19" s="26"/>
      <c r="J19" s="26" t="s">
        <v>16</v>
      </c>
      <c r="K19" s="26" t="s">
        <v>13</v>
      </c>
      <c r="L19" s="55">
        <v>46113.385148113426</v>
      </c>
      <c r="M19" s="26"/>
      <c r="N19" s="4" t="s">
        <v>121</v>
      </c>
    </row>
    <row r="20" spans="1:14" ht="75" customHeight="1" thickTop="1" thickBot="1">
      <c r="A20" s="26">
        <v>18</v>
      </c>
      <c r="B20" s="55">
        <f ca="1">IFERROR(__xludf.DUMMYFUNCTION("""COMPUTED_VALUE"""),46113.3839918402)</f>
        <v>46113.383991840201</v>
      </c>
      <c r="C20" s="56" t="str">
        <f ca="1">IFERROR(__xludf.DUMMYFUNCTION("""COMPUTED_VALUE"""),"الحر")</f>
        <v>الحر</v>
      </c>
      <c r="D20" s="56" t="str">
        <f ca="1">IFERROR(__xludf.DUMMYFUNCTION("""COMPUTED_VALUE"""),"عيسى صالح ")</f>
        <v xml:space="preserve">عيسى صالح </v>
      </c>
      <c r="E20" s="26" t="str">
        <f ca="1">IFERROR(__xludf.DUMMYFUNCTION("""COMPUTED_VALUE"""),"قسم المشاريع الهندسية")</f>
        <v>قسم المشاريع الهندسية</v>
      </c>
      <c r="F20" s="26" t="str">
        <f ca="1">IFERROR(__xludf.DUMMYFUNCTION("""COMPUTED_VALUE"""),"C- المتوسطة (البناية 3)")</f>
        <v>C- المتوسطة (البناية 3)</v>
      </c>
      <c r="G20" s="26" t="str">
        <f ca="1">IFERROR(__xludf.DUMMYFUNCTION("""COMPUTED_VALUE"""),"ZONE B - الطابق الثاني")</f>
        <v>ZONE B - الطابق الثاني</v>
      </c>
      <c r="H20" s="26" t="str">
        <f ca="1">IFERROR(__xludf.DUMMYFUNCTION("""COMPUTED_VALUE"""),"تم تبديل قبل شباك قلاب صف الأول (ب) ط الثاني زون B المدرسة الثالثه")</f>
        <v>تم تبديل قبل شباك قلاب صف الأول (ب) ط الثاني زون B المدرسة الثالثه</v>
      </c>
      <c r="I20" s="26"/>
      <c r="J20" s="26" t="s">
        <v>16</v>
      </c>
      <c r="K20" s="26" t="s">
        <v>13</v>
      </c>
      <c r="L20" s="55">
        <v>46113.385234189816</v>
      </c>
      <c r="M20" s="26"/>
      <c r="N20" s="4" t="s">
        <v>121</v>
      </c>
    </row>
    <row r="21" spans="1:14" ht="75" customHeight="1" thickTop="1" thickBot="1">
      <c r="A21" s="34">
        <v>19</v>
      </c>
      <c r="B21" s="55">
        <f ca="1">IFERROR(__xludf.DUMMYFUNCTION("""COMPUTED_VALUE"""),46113.3844404398)</f>
        <v>46113.384440439797</v>
      </c>
      <c r="C21" s="56" t="str">
        <f ca="1">IFERROR(__xludf.DUMMYFUNCTION("""COMPUTED_VALUE"""),"الحر")</f>
        <v>الحر</v>
      </c>
      <c r="D21" s="56" t="str">
        <f ca="1">IFERROR(__xludf.DUMMYFUNCTION("""COMPUTED_VALUE"""),"عيسى صالح ")</f>
        <v xml:space="preserve">عيسى صالح </v>
      </c>
      <c r="E21" s="26" t="str">
        <f ca="1">IFERROR(__xludf.DUMMYFUNCTION("""COMPUTED_VALUE"""),"قسم المشاريع الهندسية")</f>
        <v>قسم المشاريع الهندسية</v>
      </c>
      <c r="F21" s="26" t="str">
        <f ca="1">IFERROR(__xludf.DUMMYFUNCTION("""COMPUTED_VALUE"""),"C- المتوسطة (البناية 3)")</f>
        <v>C- المتوسطة (البناية 3)</v>
      </c>
      <c r="G21" s="26" t="str">
        <f ca="1">IFERROR(__xludf.DUMMYFUNCTION("""COMPUTED_VALUE"""),"ZONE B - الطابق الاول")</f>
        <v>ZONE B - الطابق الاول</v>
      </c>
      <c r="H21" s="26" t="str">
        <f ca="1">IFERROR(__xludf.DUMMYFUNCTION("""COMPUTED_VALUE"""),"تم تبديل يده شباك صف الثاني (و) ط أول زون B المدرسة الثالثه")</f>
        <v>تم تبديل يده شباك صف الثاني (و) ط أول زون B المدرسة الثالثه</v>
      </c>
      <c r="I21" s="26"/>
      <c r="J21" s="26" t="s">
        <v>16</v>
      </c>
      <c r="K21" s="26" t="s">
        <v>13</v>
      </c>
      <c r="L21" s="55">
        <v>46113.38531114583</v>
      </c>
      <c r="M21" s="26"/>
      <c r="N21" s="4" t="s">
        <v>121</v>
      </c>
    </row>
    <row r="22" spans="1:14" ht="75" customHeight="1" thickTop="1" thickBot="1">
      <c r="A22" s="26">
        <v>20</v>
      </c>
      <c r="B22" s="55">
        <f ca="1">IFERROR(__xludf.DUMMYFUNCTION("""COMPUTED_VALUE"""),46113.3850037962)</f>
        <v>46113.385003796197</v>
      </c>
      <c r="C22" s="56" t="str">
        <f ca="1">IFERROR(__xludf.DUMMYFUNCTION("""COMPUTED_VALUE"""),"الحر")</f>
        <v>الحر</v>
      </c>
      <c r="D22" s="56" t="str">
        <f ca="1">IFERROR(__xludf.DUMMYFUNCTION("""COMPUTED_VALUE"""),"عيسى صالح ")</f>
        <v xml:space="preserve">عيسى صالح </v>
      </c>
      <c r="E22" s="26" t="str">
        <f ca="1">IFERROR(__xludf.DUMMYFUNCTION("""COMPUTED_VALUE"""),"قسم المشاريع الهندسية")</f>
        <v>قسم المشاريع الهندسية</v>
      </c>
      <c r="F22" s="26" t="str">
        <f ca="1">IFERROR(__xludf.DUMMYFUNCTION("""COMPUTED_VALUE"""),"C- المتوسطة (البناية 3)")</f>
        <v>C- المتوسطة (البناية 3)</v>
      </c>
      <c r="G22" s="26" t="str">
        <f ca="1">IFERROR(__xludf.DUMMYFUNCTION("""COMPUTED_VALUE"""),"جميع الطوابق ")</f>
        <v xml:space="preserve">جميع الطوابق </v>
      </c>
      <c r="H22" s="26" t="str">
        <f ca="1">IFERROR(__xludf.DUMMYFUNCTION("""COMPUTED_VALUE"""),"تم صيانه رحلات عدد (5) في جميع الطوابق زون B المدرسة الثالثه")</f>
        <v>تم صيانه رحلات عدد (5) في جميع الطوابق زون B المدرسة الثالثه</v>
      </c>
      <c r="I22" s="26"/>
      <c r="J22" s="26" t="s">
        <v>16</v>
      </c>
      <c r="K22" s="26" t="s">
        <v>13</v>
      </c>
      <c r="L22" s="55">
        <v>46113.38538310185</v>
      </c>
      <c r="M22" s="26"/>
      <c r="N22" s="4" t="s">
        <v>121</v>
      </c>
    </row>
    <row r="23" spans="1:14" ht="75" customHeight="1" thickTop="1" thickBot="1">
      <c r="A23" s="34">
        <v>21</v>
      </c>
      <c r="B23" s="55">
        <f ca="1">IFERROR(__xludf.DUMMYFUNCTION("""COMPUTED_VALUE"""),46113.5244812847)</f>
        <v>46113.524481284701</v>
      </c>
      <c r="C23" s="56" t="str">
        <f ca="1">IFERROR(__xludf.DUMMYFUNCTION("""COMPUTED_VALUE"""),"الحر")</f>
        <v>الحر</v>
      </c>
      <c r="D23" s="56" t="str">
        <f ca="1">IFERROR(__xludf.DUMMYFUNCTION("""COMPUTED_VALUE"""),"عيسى صالح ")</f>
        <v xml:space="preserve">عيسى صالح </v>
      </c>
      <c r="E23" s="26" t="str">
        <f ca="1">IFERROR(__xludf.DUMMYFUNCTION("""COMPUTED_VALUE"""),"قسم المشاريع الهندسية")</f>
        <v>قسم المشاريع الهندسية</v>
      </c>
      <c r="F23" s="26" t="str">
        <f ca="1">IFERROR(__xludf.DUMMYFUNCTION("""COMPUTED_VALUE"""),"C- المتوسطة (البناية 3)")</f>
        <v>C- المتوسطة (البناية 3)</v>
      </c>
      <c r="G23" s="26" t="str">
        <f ca="1">IFERROR(__xludf.DUMMYFUNCTION("""COMPUTED_VALUE"""),"ZONE B - الطابق الارضي")</f>
        <v>ZONE B - الطابق الارضي</v>
      </c>
      <c r="H23" s="26" t="str">
        <f ca="1">IFERROR(__xludf.DUMMYFUNCTION("""COMPUTED_VALUE"""),"عزل المنور في غرفه السيطره ( الساحبات) البنايه الثالثه الطابق الارضي zone b بماده العزل  الاسمنتية waterproof forsrock")</f>
        <v>عزل المنور في غرفه السيطره ( الساحبات) البنايه الثالثه الطابق الارضي zone b بماده العزل  الاسمنتية waterproof forsrock</v>
      </c>
      <c r="I23" s="26"/>
      <c r="J23" s="26" t="s">
        <v>16</v>
      </c>
      <c r="K23" s="26" t="s">
        <v>13</v>
      </c>
      <c r="L23" s="55">
        <v>46113.534090694448</v>
      </c>
      <c r="M23" s="26"/>
      <c r="N23" s="4" t="s">
        <v>121</v>
      </c>
    </row>
    <row r="24" spans="1:14" ht="75" customHeight="1" thickTop="1" thickBot="1">
      <c r="A24" s="26">
        <v>22</v>
      </c>
      <c r="B24" s="55">
        <f ca="1">IFERROR(__xludf.DUMMYFUNCTION("""COMPUTED_VALUE"""),46113.5311240046)</f>
        <v>46113.531124004599</v>
      </c>
      <c r="C24" s="56" t="str">
        <f ca="1">IFERROR(__xludf.DUMMYFUNCTION("""COMPUTED_VALUE"""),"الحر")</f>
        <v>الحر</v>
      </c>
      <c r="D24" s="56" t="str">
        <f ca="1">IFERROR(__xludf.DUMMYFUNCTION("""COMPUTED_VALUE"""),"عيسى صالح ")</f>
        <v xml:space="preserve">عيسى صالح </v>
      </c>
      <c r="E24" s="26" t="str">
        <f ca="1">IFERROR(__xludf.DUMMYFUNCTION("""COMPUTED_VALUE"""),"قسم المشاريع الهندسية")</f>
        <v>قسم المشاريع الهندسية</v>
      </c>
      <c r="F24" s="26" t="str">
        <f ca="1">IFERROR(__xludf.DUMMYFUNCTION("""COMPUTED_VALUE"""),"C- المتوسطة (البناية 3)")</f>
        <v>C- المتوسطة (البناية 3)</v>
      </c>
      <c r="G24" s="26" t="str">
        <f ca="1">IFERROR(__xludf.DUMMYFUNCTION("""COMPUTED_VALUE"""),"السطح")</f>
        <v>السطح</v>
      </c>
      <c r="H24" s="26" t="str">
        <f ca="1">IFERROR(__xludf.DUMMYFUNCTION("""COMPUTED_VALUE"""),"أعمال معالجه التسريب الحاصل في كليات التصريف السطحيه ( المرازيب)  مع تبديلها  في سطح البنايه الثالثه")</f>
        <v>أعمال معالجه التسريب الحاصل في كليات التصريف السطحيه ( المرازيب)  مع تبديلها  في سطح البنايه الثالثه</v>
      </c>
      <c r="I24" s="26"/>
      <c r="J24" s="26" t="s">
        <v>16</v>
      </c>
      <c r="K24" s="26" t="s">
        <v>13</v>
      </c>
      <c r="L24" s="55">
        <v>46113.534120335651</v>
      </c>
      <c r="M24" s="26"/>
      <c r="N24" s="4"/>
    </row>
    <row r="25" spans="1:14" ht="75" customHeight="1" thickTop="1" thickBot="1">
      <c r="A25" s="34">
        <v>23</v>
      </c>
      <c r="B25" s="55">
        <f ca="1">IFERROR(__xludf.DUMMYFUNCTION("""COMPUTED_VALUE"""),46113.5317402083)</f>
        <v>46113.531740208302</v>
      </c>
      <c r="C25" s="56" t="str">
        <f ca="1">IFERROR(__xludf.DUMMYFUNCTION("""COMPUTED_VALUE"""),"الحر")</f>
        <v>الحر</v>
      </c>
      <c r="D25" s="56" t="str">
        <f ca="1">IFERROR(__xludf.DUMMYFUNCTION("""COMPUTED_VALUE"""),"عيسى صالح ")</f>
        <v xml:space="preserve">عيسى صالح </v>
      </c>
      <c r="E25" s="26" t="str">
        <f ca="1">IFERROR(__xludf.DUMMYFUNCTION("""COMPUTED_VALUE"""),"قسم المشاريع الهندسية")</f>
        <v>قسم المشاريع الهندسية</v>
      </c>
      <c r="F25" s="26" t="str">
        <f ca="1">IFERROR(__xludf.DUMMYFUNCTION("""COMPUTED_VALUE"""),"D- الاعدادية (البناية 4)")</f>
        <v>D- الاعدادية (البناية 4)</v>
      </c>
      <c r="G25" s="26" t="str">
        <f ca="1">IFERROR(__xludf.DUMMYFUNCTION("""COMPUTED_VALUE"""),"السطح")</f>
        <v>السطح</v>
      </c>
      <c r="H25" s="26" t="str">
        <f ca="1">IFERROR(__xludf.DUMMYFUNCTION("""COMPUTED_VALUE"""),"أعمال معالجه التسريب الحاصل في كليات التصريف السطحيه ( المرازيب)  مع تبديلها  في سطح البنايه الرابعه")</f>
        <v>أعمال معالجه التسريب الحاصل في كليات التصريف السطحيه ( المرازيب)  مع تبديلها  في سطح البنايه الرابعه</v>
      </c>
      <c r="I25" s="26"/>
      <c r="J25" s="26" t="s">
        <v>16</v>
      </c>
      <c r="K25" s="26" t="s">
        <v>13</v>
      </c>
      <c r="L25" s="55">
        <v>46113.534181469906</v>
      </c>
      <c r="M25" s="26"/>
      <c r="N25" s="4"/>
    </row>
    <row r="26" spans="1:14" ht="75" customHeight="1" thickTop="1" thickBot="1">
      <c r="A26" s="26">
        <v>24</v>
      </c>
      <c r="B26" s="55">
        <f ca="1">IFERROR(__xludf.DUMMYFUNCTION("""COMPUTED_VALUE"""),46113.5323747106)</f>
        <v>46113.532374710601</v>
      </c>
      <c r="C26" s="56" t="str">
        <f ca="1">IFERROR(__xludf.DUMMYFUNCTION("""COMPUTED_VALUE"""),"الحر")</f>
        <v>الحر</v>
      </c>
      <c r="D26" s="56" t="str">
        <f ca="1">IFERROR(__xludf.DUMMYFUNCTION("""COMPUTED_VALUE"""),"عيسى صالح ")</f>
        <v xml:space="preserve">عيسى صالح </v>
      </c>
      <c r="E26" s="26" t="str">
        <f ca="1">IFERROR(__xludf.DUMMYFUNCTION("""COMPUTED_VALUE"""),"قسم المشاريع الهندسية")</f>
        <v>قسم المشاريع الهندسية</v>
      </c>
      <c r="F26" s="26" t="str">
        <f ca="1">IFERROR(__xludf.DUMMYFUNCTION("""COMPUTED_VALUE"""),"C- المتوسطة (البناية 3)")</f>
        <v>C- المتوسطة (البناية 3)</v>
      </c>
      <c r="G26" s="26" t="str">
        <f ca="1">IFERROR(__xludf.DUMMYFUNCTION("""COMPUTED_VALUE"""),"ZONE A - الطابق الارضي")</f>
        <v>ZONE A - الطابق الارضي</v>
      </c>
      <c r="H26" s="26" t="str">
        <f ca="1">IFERROR(__xludf.DUMMYFUNCTION("""COMPUTED_VALUE"""),"تزييت الباب الفاصل بين zone A-B ألبانايه الرابعه الطابق الأول")</f>
        <v>تزييت الباب الفاصل بين zone A-B ألبانايه الرابعه الطابق الأول</v>
      </c>
      <c r="I26" s="26"/>
      <c r="J26" s="26" t="s">
        <v>16</v>
      </c>
      <c r="K26" s="26" t="s">
        <v>13</v>
      </c>
      <c r="L26" s="55">
        <v>46113.534217395834</v>
      </c>
      <c r="M26" s="26"/>
      <c r="N26" s="4"/>
    </row>
    <row r="27" spans="1:14" ht="75" customHeight="1" thickTop="1" thickBot="1">
      <c r="A27" s="34">
        <v>25</v>
      </c>
      <c r="B27" s="55">
        <f ca="1">IFERROR(__xludf.DUMMYFUNCTION("""COMPUTED_VALUE"""),46113.5328839583)</f>
        <v>46113.532883958302</v>
      </c>
      <c r="C27" s="56" t="str">
        <f ca="1">IFERROR(__xludf.DUMMYFUNCTION("""COMPUTED_VALUE"""),"الحر")</f>
        <v>الحر</v>
      </c>
      <c r="D27" s="56" t="str">
        <f ca="1">IFERROR(__xludf.DUMMYFUNCTION("""COMPUTED_VALUE"""),"عيسى صالح ")</f>
        <v xml:space="preserve">عيسى صالح </v>
      </c>
      <c r="E27" s="26" t="str">
        <f ca="1">IFERROR(__xludf.DUMMYFUNCTION("""COMPUTED_VALUE"""),"قسم المشاريع الهندسية")</f>
        <v>قسم المشاريع الهندسية</v>
      </c>
      <c r="F27" s="26" t="str">
        <f ca="1">IFERROR(__xludf.DUMMYFUNCTION("""COMPUTED_VALUE"""),"D- الاعدادية (البناية 4)")</f>
        <v>D- الاعدادية (البناية 4)</v>
      </c>
      <c r="G27" s="26" t="str">
        <f ca="1">IFERROR(__xludf.DUMMYFUNCTION("""COMPUTED_VALUE"""),"ZONE B - الطابق الاول")</f>
        <v>ZONE B - الطابق الاول</v>
      </c>
      <c r="H27" s="26" t="str">
        <f ca="1">IFERROR(__xludf.DUMMYFUNCTION("""COMPUTED_VALUE"""),"أعاده قطع السقف الثانوي صحيات البنايه الرابعه الطابق الأول zone b عدد 3")</f>
        <v>أعاده قطع السقف الثانوي صحيات البنايه الرابعه الطابق الأول zone b عدد 3</v>
      </c>
      <c r="I27" s="26"/>
      <c r="J27" s="26" t="s">
        <v>16</v>
      </c>
      <c r="K27" s="26" t="s">
        <v>13</v>
      </c>
      <c r="L27" s="55">
        <v>46113.534275208338</v>
      </c>
      <c r="M27" s="26"/>
      <c r="N27" s="4"/>
    </row>
    <row r="28" spans="1:14" ht="75" customHeight="1" thickTop="1" thickBot="1">
      <c r="A28" s="26">
        <v>26</v>
      </c>
      <c r="B28" s="55">
        <f ca="1">IFERROR(__xludf.DUMMYFUNCTION("""COMPUTED_VALUE"""),46113.5333435879)</f>
        <v>46113.5333435879</v>
      </c>
      <c r="C28" s="56" t="str">
        <f ca="1">IFERROR(__xludf.DUMMYFUNCTION("""COMPUTED_VALUE"""),"الحر")</f>
        <v>الحر</v>
      </c>
      <c r="D28" s="56" t="str">
        <f ca="1">IFERROR(__xludf.DUMMYFUNCTION("""COMPUTED_VALUE"""),"عيسى صالح ")</f>
        <v xml:space="preserve">عيسى صالح </v>
      </c>
      <c r="E28" s="26" t="str">
        <f ca="1">IFERROR(__xludf.DUMMYFUNCTION("""COMPUTED_VALUE"""),"قسم المشاريع الهندسية")</f>
        <v>قسم المشاريع الهندسية</v>
      </c>
      <c r="F28" s="26" t="str">
        <f ca="1">IFERROR(__xludf.DUMMYFUNCTION("""COMPUTED_VALUE"""),"D- الاعدادية (البناية 4)")</f>
        <v>D- الاعدادية (البناية 4)</v>
      </c>
      <c r="G28" s="26" t="str">
        <f ca="1">IFERROR(__xludf.DUMMYFUNCTION("""COMPUTED_VALUE"""),"ZONE B - الطابق الثاني")</f>
        <v>ZONE B - الطابق الثاني</v>
      </c>
      <c r="H28" s="26" t="str">
        <f ca="1">IFERROR(__xludf.DUMMYFUNCTION("""COMPUTED_VALUE"""),"صيانه وارجاع بيم نرماده باب الصحيات البنايه الرابعه الطابق الثاني zone b")</f>
        <v>صيانه وارجاع بيم نرماده باب الصحيات البنايه الرابعه الطابق الثاني zone b</v>
      </c>
      <c r="I28" s="26"/>
      <c r="J28" s="26" t="s">
        <v>16</v>
      </c>
      <c r="K28" s="26" t="s">
        <v>13</v>
      </c>
      <c r="L28" s="55">
        <v>46113.534317939819</v>
      </c>
      <c r="M28" s="26"/>
      <c r="N28" s="4"/>
    </row>
    <row r="29" spans="1:14" ht="75" customHeight="1" thickTop="1" thickBot="1">
      <c r="A29" s="34">
        <v>27</v>
      </c>
      <c r="B29" s="55">
        <f ca="1">IFERROR(__xludf.DUMMYFUNCTION("""COMPUTED_VALUE"""),46113.5338915509)</f>
        <v>46113.533891550898</v>
      </c>
      <c r="C29" s="56" t="str">
        <f ca="1">IFERROR(__xludf.DUMMYFUNCTION("""COMPUTED_VALUE"""),"الحر")</f>
        <v>الحر</v>
      </c>
      <c r="D29" s="56" t="str">
        <f ca="1">IFERROR(__xludf.DUMMYFUNCTION("""COMPUTED_VALUE"""),"عيسى صالح ")</f>
        <v xml:space="preserve">عيسى صالح </v>
      </c>
      <c r="E29" s="26" t="str">
        <f ca="1">IFERROR(__xludf.DUMMYFUNCTION("""COMPUTED_VALUE"""),"قسم المشاريع الهندسية")</f>
        <v>قسم المشاريع الهندسية</v>
      </c>
      <c r="F29" s="26" t="str">
        <f ca="1">IFERROR(__xludf.DUMMYFUNCTION("""COMPUTED_VALUE"""),"D- الاعدادية (البناية 4)")</f>
        <v>D- الاعدادية (البناية 4)</v>
      </c>
      <c r="G29" s="26" t="str">
        <f ca="1">IFERROR(__xludf.DUMMYFUNCTION("""COMPUTED_VALUE"""),"ZONE B - الطابق الارضي")</f>
        <v>ZONE B - الطابق الارضي</v>
      </c>
      <c r="H29" s="26" t="str">
        <f ca="1">IFERROR(__xludf.DUMMYFUNCTION("""COMPUTED_VALUE"""),"تبديل يده باب ألمنيوم صحيات البنايه الرابعه الطابق الأرضي zone b")</f>
        <v>تبديل يده باب ألمنيوم صحيات البنايه الرابعه الطابق الأرضي zone b</v>
      </c>
      <c r="I29" s="26"/>
      <c r="J29" s="26" t="s">
        <v>16</v>
      </c>
      <c r="K29" s="26" t="s">
        <v>13</v>
      </c>
      <c r="L29" s="55">
        <v>46113.534389791668</v>
      </c>
      <c r="M29" s="26"/>
      <c r="N29" s="4"/>
    </row>
    <row r="30" spans="1:14" ht="75" customHeight="1" thickTop="1" thickBot="1">
      <c r="A30" s="26">
        <v>28</v>
      </c>
      <c r="B30" s="55">
        <f ca="1">IFERROR(__xludf.DUMMYFUNCTION("""COMPUTED_VALUE"""),46113.5352507407)</f>
        <v>46113.535250740701</v>
      </c>
      <c r="C30" s="56" t="str">
        <f ca="1">IFERROR(__xludf.DUMMYFUNCTION("""COMPUTED_VALUE"""),"الحر")</f>
        <v>الحر</v>
      </c>
      <c r="D30" s="56" t="str">
        <f ca="1">IFERROR(__xludf.DUMMYFUNCTION("""COMPUTED_VALUE"""),"عيسى صالح ")</f>
        <v xml:space="preserve">عيسى صالح </v>
      </c>
      <c r="E30" s="26" t="str">
        <f ca="1">IFERROR(__xludf.DUMMYFUNCTION("""COMPUTED_VALUE"""),"قسم المشاريع الهندسية")</f>
        <v>قسم المشاريع الهندسية</v>
      </c>
      <c r="F30" s="26" t="str">
        <f ca="1">IFERROR(__xludf.DUMMYFUNCTION("""COMPUTED_VALUE"""),"A- الابتدائية (البناية 1)")</f>
        <v>A- الابتدائية (البناية 1)</v>
      </c>
      <c r="G30" s="26" t="str">
        <f ca="1">IFERROR(__xludf.DUMMYFUNCTION("""COMPUTED_VALUE"""),"ZONE A - الطابق الارضي")</f>
        <v>ZONE A - الطابق الارضي</v>
      </c>
      <c r="H30" s="26" t="str">
        <f ca="1">IFERROR(__xludf.DUMMYFUNCTION("""COMPUTED_VALUE"""),"تبديل قفل ميز جرار البناية الاولى غرفة المعاون بصف غرفة الإرشاد ")</f>
        <v xml:space="preserve">تبديل قفل ميز جرار البناية الاولى غرفة المعاون بصف غرفة الإرشاد </v>
      </c>
      <c r="I30" s="26"/>
      <c r="J30" s="26" t="s">
        <v>16</v>
      </c>
      <c r="K30" s="26" t="s">
        <v>13</v>
      </c>
      <c r="L30" s="55">
        <v>46113.578767361112</v>
      </c>
      <c r="M30" s="26"/>
      <c r="N30" s="4"/>
    </row>
    <row r="31" spans="1:14" ht="75" customHeight="1" thickTop="1" thickBot="1">
      <c r="A31" s="34">
        <v>29</v>
      </c>
      <c r="B31" s="55">
        <f ca="1">IFERROR(__xludf.DUMMYFUNCTION("""COMPUTED_VALUE"""),46114.3167237962)</f>
        <v>46114.316723796197</v>
      </c>
      <c r="C31" s="56" t="str">
        <f ca="1">IFERROR(__xludf.DUMMYFUNCTION("""COMPUTED_VALUE"""),"الحر")</f>
        <v>الحر</v>
      </c>
      <c r="D31" s="56" t="str">
        <f ca="1">IFERROR(__xludf.DUMMYFUNCTION("""COMPUTED_VALUE"""),"عيسى صالح ")</f>
        <v xml:space="preserve">عيسى صالح </v>
      </c>
      <c r="E31" s="26" t="str">
        <f ca="1">IFERROR(__xludf.DUMMYFUNCTION("""COMPUTED_VALUE"""),"قسم المشاريع الهندسية")</f>
        <v>قسم المشاريع الهندسية</v>
      </c>
      <c r="F31" s="26" t="str">
        <f ca="1">IFERROR(__xludf.DUMMYFUNCTION("""COMPUTED_VALUE"""),"A- الابتدائية (البناية 1)")</f>
        <v>A- الابتدائية (البناية 1)</v>
      </c>
      <c r="G31" s="26" t="str">
        <f ca="1">IFERROR(__xludf.DUMMYFUNCTION("""COMPUTED_VALUE"""),"جميع الطوابق ")</f>
        <v xml:space="preserve">جميع الطوابق </v>
      </c>
      <c r="H31" s="26" t="str">
        <f ca="1">IFERROR(__xludf.DUMMYFUNCTION("""COMPUTED_VALUE"""),"تم معالجت فتحات نقاط الكهرباء(ابلك السويج) في جميع الطوابق المدرسة الأولى زون A-B")</f>
        <v>تم معالجت فتحات نقاط الكهرباء(ابلك السويج) في جميع الطوابق المدرسة الأولى زون A-B</v>
      </c>
      <c r="I31" s="26"/>
      <c r="J31" s="26" t="s">
        <v>16</v>
      </c>
      <c r="K31" s="26" t="s">
        <v>13</v>
      </c>
      <c r="L31" s="55">
        <v>46114.320173020838</v>
      </c>
      <c r="M31" s="26"/>
      <c r="N31" s="4"/>
    </row>
    <row r="32" spans="1:14" ht="75" customHeight="1" thickTop="1" thickBot="1">
      <c r="A32" s="26">
        <v>30</v>
      </c>
      <c r="B32" s="55">
        <f ca="1">IFERROR(__xludf.DUMMYFUNCTION("""COMPUTED_VALUE"""),46114.4602687847)</f>
        <v>46114.4602687847</v>
      </c>
      <c r="C32" s="56" t="str">
        <f ca="1">IFERROR(__xludf.DUMMYFUNCTION("""COMPUTED_VALUE"""),"الحر")</f>
        <v>الحر</v>
      </c>
      <c r="D32" s="56" t="str">
        <f ca="1">IFERROR(__xludf.DUMMYFUNCTION("""COMPUTED_VALUE"""),"ادرة المجمع")</f>
        <v>ادرة المجمع</v>
      </c>
      <c r="E32" s="26" t="str">
        <f ca="1">IFERROR(__xludf.DUMMYFUNCTION("""COMPUTED_VALUE"""),"قسم التربية والتعليم العالي")</f>
        <v>قسم التربية والتعليم العالي</v>
      </c>
      <c r="F32" s="26" t="str">
        <f ca="1">IFERROR(__xludf.DUMMYFUNCTION("""COMPUTED_VALUE"""),"D- الاعدادية (البناية 4)")</f>
        <v>D- الاعدادية (البناية 4)</v>
      </c>
      <c r="G32" s="26" t="str">
        <f ca="1">IFERROR(__xludf.DUMMYFUNCTION("""COMPUTED_VALUE"""),"ZONE B - الطابق الارضي, ZONE B - الطابق الاول, ZONE B - الطابق الثاني")</f>
        <v>ZONE B - الطابق الارضي, ZONE B - الطابق الاول, ZONE B - الطابق الثاني</v>
      </c>
      <c r="H32" s="26" t="str">
        <f ca="1">IFERROR(__xludf.DUMMYFUNCTION("""COMPUTED_VALUE"""),"صيانة الهزارة الخشبية و التاكد من سلامتها لكل الصفوف")</f>
        <v>صيانة الهزارة الخشبية و التاكد من سلامتها لكل الصفوف</v>
      </c>
      <c r="I32" s="26"/>
      <c r="J32" s="26" t="s">
        <v>16</v>
      </c>
      <c r="K32" s="26" t="s">
        <v>13</v>
      </c>
      <c r="L32" s="55">
        <v>46116.361421249996</v>
      </c>
      <c r="M32" s="26"/>
      <c r="N32" s="4"/>
    </row>
    <row r="33" spans="1:14" ht="75" customHeight="1" thickTop="1" thickBot="1">
      <c r="A33" s="34">
        <v>31</v>
      </c>
      <c r="B33" s="55">
        <f ca="1">IFERROR(__xludf.DUMMYFUNCTION("""COMPUTED_VALUE"""),46114.5117677777)</f>
        <v>46114.511767777702</v>
      </c>
      <c r="C33" s="56" t="str">
        <f ca="1">IFERROR(__xludf.DUMMYFUNCTION("""COMPUTED_VALUE"""),"الحر")</f>
        <v>الحر</v>
      </c>
      <c r="D33" s="56" t="str">
        <f ca="1">IFERROR(__xludf.DUMMYFUNCTION("""COMPUTED_VALUE"""),"ادراة المجمع ")</f>
        <v xml:space="preserve">ادراة المجمع </v>
      </c>
      <c r="E33" s="26" t="str">
        <f ca="1">IFERROR(__xludf.DUMMYFUNCTION("""COMPUTED_VALUE"""),"قسم التربية والتعليم العالي")</f>
        <v>قسم التربية والتعليم العالي</v>
      </c>
      <c r="F33" s="26" t="str">
        <f ca="1">IFERROR(__xludf.DUMMYFUNCTION("""COMPUTED_VALUE"""),"B- الابتدائية (البناية 2)")</f>
        <v>B- الابتدائية (البناية 2)</v>
      </c>
      <c r="G33" s="26" t="str">
        <f ca="1">IFERROR(__xludf.DUMMYFUNCTION("""COMPUTED_VALUE"""),"القاعة الرياضية جهة المتوسطة")</f>
        <v>القاعة الرياضية جهة المتوسطة</v>
      </c>
      <c r="H33" s="26" t="str">
        <f ca="1">IFERROR(__xludf.DUMMYFUNCTION("""COMPUTED_VALUE"""),"صيانة كيلون الباب الخاص بالقاعة
")</f>
        <v xml:space="preserve">صيانة كيلون الباب الخاص بالقاعة
</v>
      </c>
      <c r="I33" s="26"/>
      <c r="J33" s="26" t="s">
        <v>16</v>
      </c>
      <c r="K33" s="26" t="s">
        <v>13</v>
      </c>
      <c r="L33" s="55">
        <v>46114.574307083334</v>
      </c>
      <c r="M33" s="26"/>
      <c r="N33" s="4"/>
    </row>
    <row r="34" spans="1:14" ht="75" customHeight="1" thickTop="1" thickBot="1">
      <c r="A34" s="26">
        <v>32</v>
      </c>
      <c r="B34" s="55">
        <f ca="1">IFERROR(__xludf.DUMMYFUNCTION("""COMPUTED_VALUE"""),46116.4744575463)</f>
        <v>46116.474457546297</v>
      </c>
      <c r="C34" s="56" t="str">
        <f ca="1">IFERROR(__xludf.DUMMYFUNCTION("""COMPUTED_VALUE"""),"الحر")</f>
        <v>الحر</v>
      </c>
      <c r="D34" s="56" t="str">
        <f ca="1">IFERROR(__xludf.DUMMYFUNCTION("""COMPUTED_VALUE"""),"ادارة المجمع")</f>
        <v>ادارة المجمع</v>
      </c>
      <c r="E34" s="26" t="str">
        <f ca="1">IFERROR(__xludf.DUMMYFUNCTION("""COMPUTED_VALUE"""),"قسم التربية والتعليم العالي")</f>
        <v>قسم التربية والتعليم العالي</v>
      </c>
      <c r="F34" s="26" t="str">
        <f ca="1">IFERROR(__xludf.DUMMYFUNCTION("""COMPUTED_VALUE"""),"A- الابتدائية (البناية 1)")</f>
        <v>A- الابتدائية (البناية 1)</v>
      </c>
      <c r="G34" s="26" t="str">
        <f ca="1">IFERROR(__xludf.DUMMYFUNCTION("""COMPUTED_VALUE"""),"ZONE A - الطابق الارضي")</f>
        <v>ZONE A - الطابق الارضي</v>
      </c>
      <c r="H34" s="26" t="str">
        <f ca="1">IFERROR(__xludf.DUMMYFUNCTION("""COMPUTED_VALUE"""),"تبديل قفل المخزن
")</f>
        <v xml:space="preserve">تبديل قفل المخزن
</v>
      </c>
      <c r="I34" s="26"/>
      <c r="J34" s="26" t="s">
        <v>16</v>
      </c>
      <c r="K34" s="26" t="s">
        <v>13</v>
      </c>
      <c r="L34" s="55">
        <v>46116.514805613428</v>
      </c>
      <c r="M34" s="26"/>
      <c r="N34" s="4"/>
    </row>
    <row r="35" spans="1:14" ht="75" customHeight="1" thickTop="1" thickBot="1">
      <c r="A35" s="34">
        <v>33</v>
      </c>
      <c r="B35" s="55">
        <f ca="1">IFERROR(__xludf.DUMMYFUNCTION("""COMPUTED_VALUE"""),46116.5993297916)</f>
        <v>46116.599329791599</v>
      </c>
      <c r="C35" s="56" t="str">
        <f ca="1">IFERROR(__xludf.DUMMYFUNCTION("""COMPUTED_VALUE"""),"الحر")</f>
        <v>الحر</v>
      </c>
      <c r="D35" s="56" t="str">
        <f ca="1">IFERROR(__xludf.DUMMYFUNCTION("""COMPUTED_VALUE"""),"عيسى صالح ")</f>
        <v xml:space="preserve">عيسى صالح </v>
      </c>
      <c r="E35" s="26" t="str">
        <f ca="1">IFERROR(__xludf.DUMMYFUNCTION("""COMPUTED_VALUE"""),"قسم المشاريع الهندسية")</f>
        <v>قسم المشاريع الهندسية</v>
      </c>
      <c r="F35" s="26" t="str">
        <f ca="1">IFERROR(__xludf.DUMMYFUNCTION("""COMPUTED_VALUE"""),"C- المتوسطة (البناية 3)")</f>
        <v>C- المتوسطة (البناية 3)</v>
      </c>
      <c r="G35" s="26" t="str">
        <f ca="1">IFERROR(__xludf.DUMMYFUNCTION("""COMPUTED_VALUE"""),"الكراج")</f>
        <v>الكراج</v>
      </c>
      <c r="H35" s="26" t="str">
        <f ca="1">IFERROR(__xludf.DUMMYFUNCTION("""COMPUTED_VALUE"""),"أعمال تثبيت المناهيل والبايبات لاغراض التسليك")</f>
        <v>أعمال تثبيت المناهيل والبايبات لاغراض التسليك</v>
      </c>
      <c r="I35" s="26"/>
      <c r="J35" s="26" t="s">
        <v>16</v>
      </c>
      <c r="K35" s="26" t="s">
        <v>13</v>
      </c>
      <c r="L35" s="55">
        <v>46116.604518726846</v>
      </c>
      <c r="M35" s="26"/>
      <c r="N35" s="4"/>
    </row>
    <row r="36" spans="1:14" ht="75" customHeight="1" thickTop="1" thickBot="1">
      <c r="A36" s="26">
        <v>34</v>
      </c>
      <c r="B36" s="55">
        <f ca="1">IFERROR(__xludf.DUMMYFUNCTION("""COMPUTED_VALUE"""),46116.601860706)</f>
        <v>46116.601860706003</v>
      </c>
      <c r="C36" s="56" t="str">
        <f ca="1">IFERROR(__xludf.DUMMYFUNCTION("""COMPUTED_VALUE"""),"الحر")</f>
        <v>الحر</v>
      </c>
      <c r="D36" s="56" t="str">
        <f ca="1">IFERROR(__xludf.DUMMYFUNCTION("""COMPUTED_VALUE"""),"عيسى صالح ")</f>
        <v xml:space="preserve">عيسى صالح </v>
      </c>
      <c r="E36" s="26" t="str">
        <f ca="1">IFERROR(__xludf.DUMMYFUNCTION("""COMPUTED_VALUE"""),"قسم المشاريع الهندسية")</f>
        <v>قسم المشاريع الهندسية</v>
      </c>
      <c r="F36" s="26" t="str">
        <f ca="1">IFERROR(__xludf.DUMMYFUNCTION("""COMPUTED_VALUE"""),"C- المتوسطة (البناية 3)")</f>
        <v>C- المتوسطة (البناية 3)</v>
      </c>
      <c r="G36" s="26" t="str">
        <f ca="1">IFERROR(__xludf.DUMMYFUNCTION("""COMPUTED_VALUE"""),"الكراج")</f>
        <v>الكراج</v>
      </c>
      <c r="H36" s="26" t="str">
        <f ca="1">IFERROR(__xludf.DUMMYFUNCTION("""COMPUTED_VALUE"""),"أعمال الحفر جانب الرصيف والحديقة الخارجيه لغرض تثبيت المناهيل المستخدمه لأغراض التسليك")</f>
        <v>أعمال الحفر جانب الرصيف والحديقة الخارجيه لغرض تثبيت المناهيل المستخدمه لأغراض التسليك</v>
      </c>
      <c r="I36" s="26"/>
      <c r="J36" s="26" t="s">
        <v>16</v>
      </c>
      <c r="K36" s="26" t="s">
        <v>13</v>
      </c>
      <c r="L36" s="55">
        <v>46116.604573391203</v>
      </c>
      <c r="M36" s="26"/>
      <c r="N36" s="4"/>
    </row>
    <row r="37" spans="1:14" ht="75" customHeight="1" thickTop="1" thickBot="1">
      <c r="A37" s="34">
        <v>35</v>
      </c>
      <c r="B37" s="55">
        <f ca="1">IFERROR(__xludf.DUMMYFUNCTION("""COMPUTED_VALUE"""),46116.6030884722)</f>
        <v>46116.603088472199</v>
      </c>
      <c r="C37" s="56" t="str">
        <f ca="1">IFERROR(__xludf.DUMMYFUNCTION("""COMPUTED_VALUE"""),"الحر")</f>
        <v>الحر</v>
      </c>
      <c r="D37" s="56" t="str">
        <f ca="1">IFERROR(__xludf.DUMMYFUNCTION("""COMPUTED_VALUE"""),"عيسى صالح ")</f>
        <v xml:space="preserve">عيسى صالح </v>
      </c>
      <c r="E37" s="26" t="str">
        <f ca="1">IFERROR(__xludf.DUMMYFUNCTION("""COMPUTED_VALUE"""),"قسم المشاريع الهندسية")</f>
        <v>قسم المشاريع الهندسية</v>
      </c>
      <c r="F37" s="26" t="str">
        <f ca="1">IFERROR(__xludf.DUMMYFUNCTION("""COMPUTED_VALUE"""),"C- المتوسطة (البناية 3)")</f>
        <v>C- المتوسطة (البناية 3)</v>
      </c>
      <c r="G37" s="26" t="str">
        <f ca="1">IFERROR(__xludf.DUMMYFUNCTION("""COMPUTED_VALUE"""),"الكراج")</f>
        <v>الكراج</v>
      </c>
      <c r="H37" s="26" t="str">
        <f ca="1">IFERROR(__xludf.DUMMYFUNCTION("""COMPUTED_VALUE"""),"أعمال التحشيه بماده fosrock وماده الفوم للبايبات")</f>
        <v>أعمال التحشيه بماده fosrock وماده الفوم للبايبات</v>
      </c>
      <c r="I37" s="26"/>
      <c r="J37" s="26" t="s">
        <v>16</v>
      </c>
      <c r="K37" s="26" t="s">
        <v>13</v>
      </c>
      <c r="L37" s="55">
        <v>46116.604628611109</v>
      </c>
      <c r="M37" s="26"/>
      <c r="N37" s="4"/>
    </row>
    <row r="38" spans="1:14" ht="75" customHeight="1" thickTop="1" thickBot="1">
      <c r="A38" s="26">
        <v>36</v>
      </c>
      <c r="B38" s="55">
        <f ca="1">IFERROR(__xludf.DUMMYFUNCTION("""COMPUTED_VALUE"""),46116.6043735069)</f>
        <v>46116.604373506903</v>
      </c>
      <c r="C38" s="56" t="str">
        <f ca="1">IFERROR(__xludf.DUMMYFUNCTION("""COMPUTED_VALUE"""),"الحر")</f>
        <v>الحر</v>
      </c>
      <c r="D38" s="56" t="str">
        <f ca="1">IFERROR(__xludf.DUMMYFUNCTION("""COMPUTED_VALUE"""),"عيسى صالح ")</f>
        <v xml:space="preserve">عيسى صالح </v>
      </c>
      <c r="E38" s="26" t="str">
        <f ca="1">IFERROR(__xludf.DUMMYFUNCTION("""COMPUTED_VALUE"""),"قسم المشاريع الهندسية")</f>
        <v>قسم المشاريع الهندسية</v>
      </c>
      <c r="F38" s="26" t="str">
        <f ca="1">IFERROR(__xludf.DUMMYFUNCTION("""COMPUTED_VALUE"""),"C- المتوسطة (البناية 3)")</f>
        <v>C- المتوسطة (البناية 3)</v>
      </c>
      <c r="G38" s="26" t="str">
        <f ca="1">IFERROR(__xludf.DUMMYFUNCTION("""COMPUTED_VALUE"""),"الكراج")</f>
        <v>الكراج</v>
      </c>
      <c r="H38" s="26" t="str">
        <f ca="1">IFERROR(__xludf.DUMMYFUNCTION("""COMPUTED_VALUE"""),"أعمال تكسير الصب لغرض مد بايبات التسليك")</f>
        <v>أعمال تكسير الصب لغرض مد بايبات التسليك</v>
      </c>
      <c r="I38" s="26"/>
      <c r="J38" s="26" t="s">
        <v>16</v>
      </c>
      <c r="K38" s="26" t="s">
        <v>13</v>
      </c>
      <c r="L38" s="55">
        <v>46116.604678125004</v>
      </c>
      <c r="M38" s="26"/>
      <c r="N38" s="4"/>
    </row>
    <row r="39" spans="1:14" ht="75" customHeight="1" thickTop="1" thickBot="1">
      <c r="A39" s="34">
        <v>37</v>
      </c>
      <c r="B39" s="55">
        <f ca="1">IFERROR(__xludf.DUMMYFUNCTION("""COMPUTED_VALUE"""),46117.4880121643)</f>
        <v>46117.4880121643</v>
      </c>
      <c r="C39" s="56" t="str">
        <f ca="1">IFERROR(__xludf.DUMMYFUNCTION("""COMPUTED_VALUE"""),"الحر")</f>
        <v>الحر</v>
      </c>
      <c r="D39" s="56" t="str">
        <f ca="1">IFERROR(__xludf.DUMMYFUNCTION("""COMPUTED_VALUE"""),"ادارة المجمع ")</f>
        <v xml:space="preserve">ادارة المجمع </v>
      </c>
      <c r="E39" s="26" t="str">
        <f ca="1">IFERROR(__xludf.DUMMYFUNCTION("""COMPUTED_VALUE"""),"قسم التربية والتعليم العالي")</f>
        <v>قسم التربية والتعليم العالي</v>
      </c>
      <c r="F39" s="26" t="str">
        <f ca="1">IFERROR(__xludf.DUMMYFUNCTION("""COMPUTED_VALUE"""),"D- الاعدادية (البناية 4)")</f>
        <v>D- الاعدادية (البناية 4)</v>
      </c>
      <c r="G39" s="26" t="str">
        <f ca="1">IFERROR(__xludf.DUMMYFUNCTION("""COMPUTED_VALUE"""),"ZONE B - الطابق الارضي, الصف الاول  أ ")</f>
        <v xml:space="preserve">ZONE B - الطابق الارضي, الصف الاول  أ </v>
      </c>
      <c r="H39" s="26" t="str">
        <f ca="1">IFERROR(__xludf.DUMMYFUNCTION("""COMPUTED_VALUE"""),"نافذة الشباك تحتاج الى مقبض  يوجد كسر في اليدة النافذة لاتغلق ")</f>
        <v xml:space="preserve">نافذة الشباك تحتاج الى مقبض  يوجد كسر في اليدة النافذة لاتغلق </v>
      </c>
      <c r="I39" s="26"/>
      <c r="J39" s="26" t="s">
        <v>16</v>
      </c>
      <c r="K39" s="26" t="s">
        <v>13</v>
      </c>
      <c r="L39" s="55">
        <v>46118.483843692127</v>
      </c>
      <c r="M39" s="26"/>
      <c r="N39" s="4"/>
    </row>
    <row r="40" spans="1:14" ht="75" customHeight="1" thickTop="1" thickBot="1">
      <c r="A40" s="26">
        <v>38</v>
      </c>
      <c r="B40" s="55">
        <f ca="1">IFERROR(__xludf.DUMMYFUNCTION("""COMPUTED_VALUE"""),46117.5073728935)</f>
        <v>46117.507372893502</v>
      </c>
      <c r="C40" s="56" t="str">
        <f ca="1">IFERROR(__xludf.DUMMYFUNCTION("""COMPUTED_VALUE"""),"الحر")</f>
        <v>الحر</v>
      </c>
      <c r="D40" s="56" t="str">
        <f ca="1">IFERROR(__xludf.DUMMYFUNCTION("""COMPUTED_VALUE"""),"ادارة المجمع")</f>
        <v>ادارة المجمع</v>
      </c>
      <c r="E40" s="26" t="str">
        <f ca="1">IFERROR(__xludf.DUMMYFUNCTION("""COMPUTED_VALUE"""),"قسم التربية والتعليم العالي")</f>
        <v>قسم التربية والتعليم العالي</v>
      </c>
      <c r="F40" s="26" t="str">
        <f ca="1">IFERROR(__xludf.DUMMYFUNCTION("""COMPUTED_VALUE"""),"C- المتوسطة (البناية 3)")</f>
        <v>C- المتوسطة (البناية 3)</v>
      </c>
      <c r="G40" s="26" t="str">
        <f ca="1">IFERROR(__xludf.DUMMYFUNCTION("""COMPUTED_VALUE"""),"القاعة الرياضية جهة المتوسطة")</f>
        <v>القاعة الرياضية جهة المتوسطة</v>
      </c>
      <c r="H40" s="26" t="str">
        <f ca="1">IFERROR(__xludf.DUMMYFUNCTION("""COMPUTED_VALUE"""),"صيانة باب القاعة الرياضية (يدة الباب)")</f>
        <v>صيانة باب القاعة الرياضية (يدة الباب)</v>
      </c>
      <c r="I40" s="26"/>
      <c r="J40" s="26" t="s">
        <v>16</v>
      </c>
      <c r="K40" s="26" t="s">
        <v>13</v>
      </c>
      <c r="L40" s="55">
        <v>46118.483875497681</v>
      </c>
      <c r="M40" s="26"/>
      <c r="N40" s="4"/>
    </row>
    <row r="41" spans="1:14" ht="75" customHeight="1" thickTop="1" thickBot="1">
      <c r="A41" s="34">
        <v>39</v>
      </c>
      <c r="B41" s="55">
        <f ca="1">IFERROR(__xludf.DUMMYFUNCTION("""COMPUTED_VALUE"""),46117.6212428935)</f>
        <v>46117.621242893503</v>
      </c>
      <c r="C41" s="56" t="str">
        <f ca="1">IFERROR(__xludf.DUMMYFUNCTION("""COMPUTED_VALUE"""),"الحر")</f>
        <v>الحر</v>
      </c>
      <c r="D41" s="56" t="str">
        <f ca="1">IFERROR(__xludf.DUMMYFUNCTION("""COMPUTED_VALUE"""),"عيسى صالح ")</f>
        <v xml:space="preserve">عيسى صالح </v>
      </c>
      <c r="E41" s="26" t="str">
        <f ca="1">IFERROR(__xludf.DUMMYFUNCTION("""COMPUTED_VALUE"""),"قسم المشاريع الهندسية")</f>
        <v>قسم المشاريع الهندسية</v>
      </c>
      <c r="F41" s="26" t="str">
        <f ca="1">IFERROR(__xludf.DUMMYFUNCTION("""COMPUTED_VALUE"""),"خلف البناية الثانية ")</f>
        <v xml:space="preserve">خلف البناية الثانية </v>
      </c>
      <c r="G41" s="26" t="str">
        <f ca="1">IFERROR(__xludf.DUMMYFUNCTION("""COMPUTED_VALUE"""),"الكراج")</f>
        <v>الكراج</v>
      </c>
      <c r="H41" s="26" t="str">
        <f ca="1">IFERROR(__xludf.DUMMYFUNCTION("""COMPUTED_VALUE"""),"إكمال أعمال تثبيت المناهيل والبايبات للممر الخارجي والحديقه")</f>
        <v>إكمال أعمال تثبيت المناهيل والبايبات للممر الخارجي والحديقه</v>
      </c>
      <c r="I41" s="26"/>
      <c r="J41" s="26" t="s">
        <v>16</v>
      </c>
      <c r="K41" s="26" t="s">
        <v>13</v>
      </c>
      <c r="L41" s="55">
        <v>46117.623989513886</v>
      </c>
      <c r="M41" s="26"/>
      <c r="N41" s="4"/>
    </row>
    <row r="42" spans="1:14" ht="75" customHeight="1" thickTop="1" thickBot="1">
      <c r="A42" s="26">
        <v>40</v>
      </c>
      <c r="B42" s="55">
        <f ca="1">IFERROR(__xludf.DUMMYFUNCTION("""COMPUTED_VALUE"""),46117.6218535185)</f>
        <v>46117.621853518503</v>
      </c>
      <c r="C42" s="56" t="str">
        <f ca="1">IFERROR(__xludf.DUMMYFUNCTION("""COMPUTED_VALUE"""),"الحر")</f>
        <v>الحر</v>
      </c>
      <c r="D42" s="56" t="str">
        <f ca="1">IFERROR(__xludf.DUMMYFUNCTION("""COMPUTED_VALUE"""),"عيسى صالح ")</f>
        <v xml:space="preserve">عيسى صالح </v>
      </c>
      <c r="E42" s="26" t="str">
        <f ca="1">IFERROR(__xludf.DUMMYFUNCTION("""COMPUTED_VALUE"""),"قسم المشاريع الهندسية")</f>
        <v>قسم المشاريع الهندسية</v>
      </c>
      <c r="F42" s="26" t="str">
        <f ca="1">IFERROR(__xludf.DUMMYFUNCTION("""COMPUTED_VALUE"""),"C- المتوسطة (البناية 3)")</f>
        <v>C- المتوسطة (البناية 3)</v>
      </c>
      <c r="G42" s="26" t="str">
        <f ca="1">IFERROR(__xludf.DUMMYFUNCTION("""COMPUTED_VALUE"""),"جميع الطوابق ")</f>
        <v xml:space="preserve">جميع الطوابق </v>
      </c>
      <c r="H42" s="26" t="str">
        <f ca="1">IFERROR(__xludf.DUMMYFUNCTION("""COMPUTED_VALUE"""),"تبديل معجون جام شبابيك عدد ١٠ 
البنايه الثالثه zoneA")</f>
        <v>تبديل معجون جام شبابيك عدد ١٠ 
البنايه الثالثه zoneA</v>
      </c>
      <c r="I42" s="26"/>
      <c r="J42" s="26" t="s">
        <v>16</v>
      </c>
      <c r="K42" s="26" t="s">
        <v>13</v>
      </c>
      <c r="L42" s="55">
        <v>46117.624041909723</v>
      </c>
      <c r="M42" s="26"/>
      <c r="N42" s="4"/>
    </row>
    <row r="43" spans="1:14" ht="75" customHeight="1" thickTop="1" thickBot="1">
      <c r="A43" s="34">
        <v>41</v>
      </c>
      <c r="B43" s="55">
        <f ca="1">IFERROR(__xludf.DUMMYFUNCTION("""COMPUTED_VALUE"""),46117.6223884375)</f>
        <v>46117.622388437499</v>
      </c>
      <c r="C43" s="56" t="str">
        <f ca="1">IFERROR(__xludf.DUMMYFUNCTION("""COMPUTED_VALUE"""),"الحر")</f>
        <v>الحر</v>
      </c>
      <c r="D43" s="56" t="str">
        <f ca="1">IFERROR(__xludf.DUMMYFUNCTION("""COMPUTED_VALUE"""),"عيسى صالح ")</f>
        <v xml:space="preserve">عيسى صالح </v>
      </c>
      <c r="E43" s="26" t="str">
        <f ca="1">IFERROR(__xludf.DUMMYFUNCTION("""COMPUTED_VALUE"""),"قسم المشاريع الهندسية")</f>
        <v>قسم المشاريع الهندسية</v>
      </c>
      <c r="F43" s="26" t="str">
        <f ca="1">IFERROR(__xludf.DUMMYFUNCTION("""COMPUTED_VALUE"""),"A- الابتدائية (البناية 1), B- الابتدائية (البناية 2)")</f>
        <v>A- الابتدائية (البناية 1), B- الابتدائية (البناية 2)</v>
      </c>
      <c r="G43" s="26" t="str">
        <f ca="1">IFERROR(__xludf.DUMMYFUNCTION("""COMPUTED_VALUE"""),"جميع الطوابق ")</f>
        <v xml:space="preserve">جميع الطوابق </v>
      </c>
      <c r="H43" s="26" t="str">
        <f ca="1">IFERROR(__xludf.DUMMYFUNCTION("""COMPUTED_VALUE"""),"تم معالجة النقط كهرباء البنايه اولئ زون B
البنايه الثانيه بل كامل العدد ٢٣")</f>
        <v>تم معالجة النقط كهرباء البنايه اولئ زون B
البنايه الثانيه بل كامل العدد ٢٣</v>
      </c>
      <c r="I43" s="26"/>
      <c r="J43" s="26" t="s">
        <v>16</v>
      </c>
      <c r="K43" s="26" t="s">
        <v>13</v>
      </c>
      <c r="L43" s="55">
        <v>46117.624087615739</v>
      </c>
      <c r="M43" s="26"/>
      <c r="N43" s="4"/>
    </row>
    <row r="44" spans="1:14" ht="75" customHeight="1" thickTop="1" thickBot="1">
      <c r="A44" s="26">
        <v>42</v>
      </c>
      <c r="B44" s="55">
        <f ca="1">IFERROR(__xludf.DUMMYFUNCTION("""COMPUTED_VALUE"""),46117.6230909259)</f>
        <v>46117.623090925903</v>
      </c>
      <c r="C44" s="56" t="str">
        <f ca="1">IFERROR(__xludf.DUMMYFUNCTION("""COMPUTED_VALUE"""),"الحر")</f>
        <v>الحر</v>
      </c>
      <c r="D44" s="56" t="str">
        <f ca="1">IFERROR(__xludf.DUMMYFUNCTION("""COMPUTED_VALUE"""),"عيسى صالح ")</f>
        <v xml:space="preserve">عيسى صالح </v>
      </c>
      <c r="E44" s="26" t="str">
        <f ca="1">IFERROR(__xludf.DUMMYFUNCTION("""COMPUTED_VALUE"""),"قسم المشاريع الهندسية")</f>
        <v>قسم المشاريع الهندسية</v>
      </c>
      <c r="F44" s="26" t="str">
        <f ca="1">IFERROR(__xludf.DUMMYFUNCTION("""COMPUTED_VALUE"""),"A- الابتدائية (البناية 1)")</f>
        <v>A- الابتدائية (البناية 1)</v>
      </c>
      <c r="G44" s="26" t="str">
        <f ca="1">IFERROR(__xludf.DUMMYFUNCTION("""COMPUTED_VALUE"""),"ZONE A - الطابق الاول")</f>
        <v>ZONE A - الطابق الاول</v>
      </c>
      <c r="H44" s="26" t="str">
        <f ca="1">IFERROR(__xludf.DUMMYFUNCTION("""COMPUTED_VALUE"""),"تم تبديل  كيلون  ولبه الباب البنايه اولئ طابق اول زون A")</f>
        <v>تم تبديل  كيلون  ولبه الباب البنايه اولئ طابق اول زون A</v>
      </c>
      <c r="I44" s="26"/>
      <c r="J44" s="26" t="s">
        <v>16</v>
      </c>
      <c r="K44" s="26" t="s">
        <v>13</v>
      </c>
      <c r="L44" s="55">
        <v>46117.624133807869</v>
      </c>
      <c r="M44" s="26"/>
      <c r="N44" s="4"/>
    </row>
    <row r="45" spans="1:14" ht="75" customHeight="1" thickTop="1" thickBot="1">
      <c r="A45" s="34">
        <v>43</v>
      </c>
      <c r="B45" s="55">
        <f ca="1">IFERROR(__xludf.DUMMYFUNCTION("""COMPUTED_VALUE"""),46118.6035728009)</f>
        <v>46118.603572800901</v>
      </c>
      <c r="C45" s="56" t="str">
        <f ca="1">IFERROR(__xludf.DUMMYFUNCTION("""COMPUTED_VALUE"""),"الحر")</f>
        <v>الحر</v>
      </c>
      <c r="D45" s="56" t="str">
        <f ca="1">IFERROR(__xludf.DUMMYFUNCTION("""COMPUTED_VALUE"""),"عيسى صالح ")</f>
        <v xml:space="preserve">عيسى صالح </v>
      </c>
      <c r="E45" s="26" t="str">
        <f ca="1">IFERROR(__xludf.DUMMYFUNCTION("""COMPUTED_VALUE"""),"قسم المشاريع الهندسية")</f>
        <v>قسم المشاريع الهندسية</v>
      </c>
      <c r="F45" s="26" t="str">
        <f ca="1">IFERROR(__xludf.DUMMYFUNCTION("""COMPUTED_VALUE"""),"C- المتوسطة (البناية 3)")</f>
        <v>C- المتوسطة (البناية 3)</v>
      </c>
      <c r="G45" s="26" t="str">
        <f ca="1">IFERROR(__xludf.DUMMYFUNCTION("""COMPUTED_VALUE"""),"جميع الطوابق ")</f>
        <v xml:space="preserve">جميع الطوابق </v>
      </c>
      <c r="H45" s="26" t="str">
        <f ca="1">IFERROR(__xludf.DUMMYFUNCTION("""COMPUTED_VALUE"""),"تم معالجه اطراف نقاط الكهرباء بماده البورك عدد ١٩ نقطه 
جميع الطوابق والصفوف 
    ملاحضه تم اكمل معلاجه النقاط بلكمال
       ( البنايه الثالثه)")</f>
        <v>تم معالجه اطراف نقاط الكهرباء بماده البورك عدد ١٩ نقطه 
جميع الطوابق والصفوف 
    ملاحضه تم اكمل معلاجه النقاط بلكمال
       ( البنايه الثالثه)</v>
      </c>
      <c r="I45" s="26"/>
      <c r="J45" s="26" t="s">
        <v>16</v>
      </c>
      <c r="K45" s="26" t="s">
        <v>13</v>
      </c>
      <c r="L45" s="55">
        <v>46118.605381805552</v>
      </c>
      <c r="M45" s="26"/>
      <c r="N45" s="4"/>
    </row>
    <row r="46" spans="1:14" ht="75" customHeight="1" thickTop="1" thickBot="1">
      <c r="A46" s="26">
        <v>44</v>
      </c>
      <c r="B46" s="55">
        <f ca="1">IFERROR(__xludf.DUMMYFUNCTION("""COMPUTED_VALUE"""),46118.6050298263)</f>
        <v>46118.6050298263</v>
      </c>
      <c r="C46" s="56" t="str">
        <f ca="1">IFERROR(__xludf.DUMMYFUNCTION("""COMPUTED_VALUE"""),"الحر")</f>
        <v>الحر</v>
      </c>
      <c r="D46" s="56" t="str">
        <f ca="1">IFERROR(__xludf.DUMMYFUNCTION("""COMPUTED_VALUE"""),"عيسى صالح ")</f>
        <v xml:space="preserve">عيسى صالح </v>
      </c>
      <c r="E46" s="26" t="str">
        <f ca="1">IFERROR(__xludf.DUMMYFUNCTION("""COMPUTED_VALUE"""),"قسم المشاريع الهندسية")</f>
        <v>قسم المشاريع الهندسية</v>
      </c>
      <c r="F46" s="26" t="str">
        <f ca="1">IFERROR(__xludf.DUMMYFUNCTION("""COMPUTED_VALUE"""),"D- الاعدادية (البناية 4)")</f>
        <v>D- الاعدادية (البناية 4)</v>
      </c>
      <c r="G46" s="26" t="str">
        <f ca="1">IFERROR(__xludf.DUMMYFUNCTION("""COMPUTED_VALUE"""),"ZONE B - الطابق الارضي")</f>
        <v>ZONE B - الطابق الارضي</v>
      </c>
      <c r="H46" s="26" t="str">
        <f ca="1">IFERROR(__xludf.DUMMYFUNCTION("""COMPUTED_VALUE"""),"اعمال البنايه الرابعه 
١-تبديل. يده باب عدد ٢ الثالث أ
٢-تبديل يده باب عدد ١ الثالث هـ
  (الطابق الارضي الزون B)")</f>
        <v>اعمال البنايه الرابعه 
١-تبديل. يده باب عدد ٢ الثالث أ
٢-تبديل يده باب عدد ١ الثالث هـ
  (الطابق الارضي الزون B)</v>
      </c>
      <c r="I46" s="26"/>
      <c r="J46" s="26" t="s">
        <v>16</v>
      </c>
      <c r="K46" s="26" t="s">
        <v>13</v>
      </c>
      <c r="L46" s="55">
        <v>46118.605445185181</v>
      </c>
      <c r="M46" s="26"/>
      <c r="N46" s="4"/>
    </row>
    <row r="47" spans="1:14" ht="75" customHeight="1" thickTop="1" thickBot="1">
      <c r="A47" s="34">
        <v>45</v>
      </c>
      <c r="B47" s="55">
        <f ca="1">IFERROR(__xludf.DUMMYFUNCTION("""COMPUTED_VALUE"""),46118.6431137962)</f>
        <v>46118.643113796199</v>
      </c>
      <c r="C47" s="56" t="str">
        <f ca="1">IFERROR(__xludf.DUMMYFUNCTION("""COMPUTED_VALUE"""),"الحر")</f>
        <v>الحر</v>
      </c>
      <c r="D47" s="56" t="str">
        <f ca="1">IFERROR(__xludf.DUMMYFUNCTION("""COMPUTED_VALUE"""),"عيسى صالح ")</f>
        <v xml:space="preserve">عيسى صالح </v>
      </c>
      <c r="E47" s="26" t="str">
        <f ca="1">IFERROR(__xludf.DUMMYFUNCTION("""COMPUTED_VALUE"""),"قسم المشاريع الهندسية")</f>
        <v>قسم المشاريع الهندسية</v>
      </c>
      <c r="F47" s="26" t="str">
        <f ca="1">IFERROR(__xludf.DUMMYFUNCTION("""COMPUTED_VALUE"""),"B- الابتدائية (البناية 2)")</f>
        <v>B- الابتدائية (البناية 2)</v>
      </c>
      <c r="G47" s="26" t="str">
        <f ca="1">IFERROR(__xludf.DUMMYFUNCTION("""COMPUTED_VALUE"""),"القاعة الرياضية جهة الابتدائية")</f>
        <v>القاعة الرياضية جهة الابتدائية</v>
      </c>
      <c r="H47" s="26" t="str">
        <f ca="1">IFERROR(__xludf.DUMMYFUNCTION("""COMPUTED_VALUE"""),"تبديل يده باب كامله القاعه الرياضيه البنايه الثانيه")</f>
        <v>تبديل يده باب كامله القاعه الرياضيه البنايه الثانيه</v>
      </c>
      <c r="I47" s="26"/>
      <c r="J47" s="26" t="s">
        <v>16</v>
      </c>
      <c r="K47" s="26" t="s">
        <v>13</v>
      </c>
      <c r="L47" s="55">
        <v>46118.646049143514</v>
      </c>
      <c r="M47" s="26"/>
      <c r="N47" s="4"/>
    </row>
    <row r="48" spans="1:14" ht="75" customHeight="1" thickTop="1" thickBot="1">
      <c r="A48" s="26">
        <v>46</v>
      </c>
      <c r="B48" s="55">
        <f ca="1">IFERROR(__xludf.DUMMYFUNCTION("""COMPUTED_VALUE"""),46118.6437427662)</f>
        <v>46118.643742766202</v>
      </c>
      <c r="C48" s="56" t="str">
        <f ca="1">IFERROR(__xludf.DUMMYFUNCTION("""COMPUTED_VALUE"""),"الحر")</f>
        <v>الحر</v>
      </c>
      <c r="D48" s="56" t="str">
        <f ca="1">IFERROR(__xludf.DUMMYFUNCTION("""COMPUTED_VALUE"""),"عيسى صالح ")</f>
        <v xml:space="preserve">عيسى صالح </v>
      </c>
      <c r="E48" s="26" t="str">
        <f ca="1">IFERROR(__xludf.DUMMYFUNCTION("""COMPUTED_VALUE"""),"قسم المشاريع الهندسية")</f>
        <v>قسم المشاريع الهندسية</v>
      </c>
      <c r="F48" s="26" t="str">
        <f ca="1">IFERROR(__xludf.DUMMYFUNCTION("""COMPUTED_VALUE"""),"C- المتوسطة (البناية 3)")</f>
        <v>C- المتوسطة (البناية 3)</v>
      </c>
      <c r="G48" s="26" t="str">
        <f ca="1">IFERROR(__xludf.DUMMYFUNCTION("""COMPUTED_VALUE"""),"ZONE B - الطابق الارضي")</f>
        <v>ZONE B - الطابق الارضي</v>
      </c>
      <c r="H48" s="26" t="str">
        <f ca="1">IFERROR(__xludf.DUMMYFUNCTION("""COMPUTED_VALUE"""),"أعمال ماده القير لمنور البنايه الثالثه الطابق الأرضي zone b غرفه السيطره ( الساحبات)")</f>
        <v>أعمال ماده القير لمنور البنايه الثالثه الطابق الأرضي zone b غرفه السيطره ( الساحبات)</v>
      </c>
      <c r="I48" s="26"/>
      <c r="J48" s="26" t="s">
        <v>16</v>
      </c>
      <c r="K48" s="26" t="s">
        <v>13</v>
      </c>
      <c r="L48" s="55">
        <v>46118.646081874998</v>
      </c>
      <c r="M48" s="26"/>
      <c r="N48" s="4"/>
    </row>
    <row r="49" spans="1:14" ht="75" customHeight="1" thickTop="1" thickBot="1">
      <c r="A49" s="34">
        <v>47</v>
      </c>
      <c r="B49" s="55">
        <f ca="1">IFERROR(__xludf.DUMMYFUNCTION("""COMPUTED_VALUE"""),46118.6445449652)</f>
        <v>46118.644544965202</v>
      </c>
      <c r="C49" s="56" t="str">
        <f ca="1">IFERROR(__xludf.DUMMYFUNCTION("""COMPUTED_VALUE"""),"الحر")</f>
        <v>الحر</v>
      </c>
      <c r="D49" s="56" t="str">
        <f ca="1">IFERROR(__xludf.DUMMYFUNCTION("""COMPUTED_VALUE"""),"عيسى صالح ")</f>
        <v xml:space="preserve">عيسى صالح </v>
      </c>
      <c r="E49" s="26" t="str">
        <f ca="1">IFERROR(__xludf.DUMMYFUNCTION("""COMPUTED_VALUE"""),"قسم المشاريع الهندسية")</f>
        <v>قسم المشاريع الهندسية</v>
      </c>
      <c r="F49" s="26" t="str">
        <f ca="1">IFERROR(__xludf.DUMMYFUNCTION("""COMPUTED_VALUE"""),"C- المتوسطة (البناية 3), D- الاعدادية (البناية 4)")</f>
        <v>C- المتوسطة (البناية 3), D- الاعدادية (البناية 4)</v>
      </c>
      <c r="G49" s="26" t="str">
        <f ca="1">IFERROR(__xludf.DUMMYFUNCTION("""COMPUTED_VALUE"""),"السطح")</f>
        <v>السطح</v>
      </c>
      <c r="H49" s="26" t="str">
        <f ca="1">IFERROR(__xludf.DUMMYFUNCTION("""COMPUTED_VALUE"""),"إضافه ماده الماستك لسطوح البنايه الثالثه والرابعه لانابيب التصريف ( المرازيب)")</f>
        <v>إضافه ماده الماستك لسطوح البنايه الثالثه والرابعه لانابيب التصريف ( المرازيب)</v>
      </c>
      <c r="I49" s="26"/>
      <c r="J49" s="26" t="s">
        <v>16</v>
      </c>
      <c r="K49" s="26" t="s">
        <v>13</v>
      </c>
      <c r="L49" s="55">
        <v>46118.646161226847</v>
      </c>
      <c r="M49" s="26"/>
      <c r="N49" s="4"/>
    </row>
    <row r="50" spans="1:14" ht="75" customHeight="1" thickTop="1" thickBot="1">
      <c r="A50" s="26">
        <v>48</v>
      </c>
      <c r="B50" s="55">
        <f ca="1">IFERROR(__xludf.DUMMYFUNCTION("""COMPUTED_VALUE"""),46118.6452431944)</f>
        <v>46118.645243194398</v>
      </c>
      <c r="C50" s="56" t="str">
        <f ca="1">IFERROR(__xludf.DUMMYFUNCTION("""COMPUTED_VALUE"""),"الحر")</f>
        <v>الحر</v>
      </c>
      <c r="D50" s="56" t="str">
        <f ca="1">IFERROR(__xludf.DUMMYFUNCTION("""COMPUTED_VALUE"""),"عيسى صالح ")</f>
        <v xml:space="preserve">عيسى صالح </v>
      </c>
      <c r="E50" s="26" t="str">
        <f ca="1">IFERROR(__xludf.DUMMYFUNCTION("""COMPUTED_VALUE"""),"قسم المشاريع الهندسية")</f>
        <v>قسم المشاريع الهندسية</v>
      </c>
      <c r="F50" s="26" t="str">
        <f ca="1">IFERROR(__xludf.DUMMYFUNCTION("""COMPUTED_VALUE"""),"B- الابتدائية (البناية 2), C- المتوسطة (البناية 3)")</f>
        <v>B- الابتدائية (البناية 2), C- المتوسطة (البناية 3)</v>
      </c>
      <c r="G50" s="26" t="str">
        <f ca="1">IFERROR(__xludf.DUMMYFUNCTION("""COMPUTED_VALUE"""),"ZONE A - الطابق الارضي")</f>
        <v>ZONE A - الطابق الارضي</v>
      </c>
      <c r="H50" s="26" t="str">
        <f ca="1">IFERROR(__xludf.DUMMYFUNCTION("""COMPUTED_VALUE"""),"تثبيت السياج العشبي المحيط بالمولدات بين البنايه الثالثه والثانيه")</f>
        <v>تثبيت السياج العشبي المحيط بالمولدات بين البنايه الثالثه والثانيه</v>
      </c>
      <c r="I50" s="26"/>
      <c r="J50" s="26" t="s">
        <v>16</v>
      </c>
      <c r="K50" s="26" t="s">
        <v>13</v>
      </c>
      <c r="L50" s="55">
        <v>46118.646234456013</v>
      </c>
      <c r="M50" s="26"/>
      <c r="N50" s="4"/>
    </row>
    <row r="51" spans="1:14" ht="75" customHeight="1" thickTop="1" thickBot="1">
      <c r="A51" s="34">
        <v>49</v>
      </c>
      <c r="B51" s="55">
        <f ca="1">IFERROR(__xludf.DUMMYFUNCTION("""COMPUTED_VALUE"""),46118.6459062268)</f>
        <v>46118.645906226797</v>
      </c>
      <c r="C51" s="56" t="str">
        <f ca="1">IFERROR(__xludf.DUMMYFUNCTION("""COMPUTED_VALUE"""),"الحر")</f>
        <v>الحر</v>
      </c>
      <c r="D51" s="56" t="str">
        <f ca="1">IFERROR(__xludf.DUMMYFUNCTION("""COMPUTED_VALUE"""),"عيسى صالح ")</f>
        <v xml:space="preserve">عيسى صالح </v>
      </c>
      <c r="E51" s="26" t="str">
        <f ca="1">IFERROR(__xludf.DUMMYFUNCTION("""COMPUTED_VALUE"""),"قسم المشاريع الهندسية")</f>
        <v>قسم المشاريع الهندسية</v>
      </c>
      <c r="F51" s="26" t="str">
        <f ca="1">IFERROR(__xludf.DUMMYFUNCTION("""COMPUTED_VALUE"""),"D- الاعدادية (البناية 4)")</f>
        <v>D- الاعدادية (البناية 4)</v>
      </c>
      <c r="G51" s="26" t="str">
        <f ca="1">IFERROR(__xludf.DUMMYFUNCTION("""COMPUTED_VALUE"""),"ZONE A - الطابق الاول")</f>
        <v>ZONE A - الطابق الاول</v>
      </c>
      <c r="H51" s="26" t="str">
        <f ca="1">IFERROR(__xludf.DUMMYFUNCTION("""COMPUTED_VALUE"""),"فتح وتفريغ صندوق المقترحات (لنستمع إليك)البناية الرابعة – الطابق الأول – الزون (A)")</f>
        <v>فتح وتفريغ صندوق المقترحات (لنستمع إليك)البناية الرابعة – الطابق الأول – الزون (A)</v>
      </c>
      <c r="I51" s="26"/>
      <c r="J51" s="26" t="s">
        <v>16</v>
      </c>
      <c r="K51" s="26" t="s">
        <v>13</v>
      </c>
      <c r="L51" s="55">
        <v>46118.646245578704</v>
      </c>
      <c r="M51" s="26"/>
      <c r="N51" s="4"/>
    </row>
    <row r="52" spans="1:14" ht="75" customHeight="1" thickTop="1" thickBot="1">
      <c r="A52" s="26">
        <v>50</v>
      </c>
      <c r="B52" s="55">
        <f ca="1">IFERROR(__xludf.DUMMYFUNCTION("""COMPUTED_VALUE"""),46119.4386475115)</f>
        <v>46119.438647511502</v>
      </c>
      <c r="C52" s="56" t="str">
        <f ca="1">IFERROR(__xludf.DUMMYFUNCTION("""COMPUTED_VALUE"""),"الحر")</f>
        <v>الحر</v>
      </c>
      <c r="D52" s="56" t="str">
        <f ca="1">IFERROR(__xludf.DUMMYFUNCTION("""COMPUTED_VALUE"""),"ادارة المجمع")</f>
        <v>ادارة المجمع</v>
      </c>
      <c r="E52" s="26" t="str">
        <f ca="1">IFERROR(__xludf.DUMMYFUNCTION("""COMPUTED_VALUE"""),"قسم التربية والتعليم العالي")</f>
        <v>قسم التربية والتعليم العالي</v>
      </c>
      <c r="F52" s="26" t="str">
        <f ca="1">IFERROR(__xludf.DUMMYFUNCTION("""COMPUTED_VALUE"""),"C- المتوسطة (البناية 3)")</f>
        <v>C- المتوسطة (البناية 3)</v>
      </c>
      <c r="G52" s="26" t="str">
        <f ca="1">IFERROR(__xludf.DUMMYFUNCTION("""COMPUTED_VALUE"""),"ZONE A - الطابق الارضي")</f>
        <v>ZONE A - الطابق الارضي</v>
      </c>
      <c r="H52" s="26" t="str">
        <f ca="1">IFERROR(__xludf.DUMMYFUNCTION("""COMPUTED_VALUE"""),"نرمادة شباك الحانوت  نحتاج الى معالجة  لطفا ")</f>
        <v xml:space="preserve">نرمادة شباك الحانوت  نحتاج الى معالجة  لطفا </v>
      </c>
      <c r="I52" s="26"/>
      <c r="J52" s="26" t="s">
        <v>16</v>
      </c>
      <c r="K52" s="26" t="s">
        <v>13</v>
      </c>
      <c r="L52" s="55">
        <v>46119.446549699074</v>
      </c>
      <c r="M52" s="26"/>
      <c r="N52" s="4"/>
    </row>
    <row r="53" spans="1:14" ht="75" customHeight="1" thickTop="1" thickBot="1">
      <c r="A53" s="34">
        <v>51</v>
      </c>
      <c r="B53" s="55">
        <f ca="1">IFERROR(__xludf.DUMMYFUNCTION("""COMPUTED_VALUE"""),46119.449361875)</f>
        <v>46119.449361874998</v>
      </c>
      <c r="C53" s="56" t="str">
        <f ca="1">IFERROR(__xludf.DUMMYFUNCTION("""COMPUTED_VALUE"""),"الحر")</f>
        <v>الحر</v>
      </c>
      <c r="D53" s="56" t="str">
        <f ca="1">IFERROR(__xludf.DUMMYFUNCTION("""COMPUTED_VALUE"""),"ادارة المجمع")</f>
        <v>ادارة المجمع</v>
      </c>
      <c r="E53" s="26" t="str">
        <f ca="1">IFERROR(__xludf.DUMMYFUNCTION("""COMPUTED_VALUE"""),"قسم التربية والتعليم العالي")</f>
        <v>قسم التربية والتعليم العالي</v>
      </c>
      <c r="F53" s="26" t="str">
        <f ca="1">IFERROR(__xludf.DUMMYFUNCTION("""COMPUTED_VALUE"""),"C- المتوسطة (البناية 3)")</f>
        <v>C- المتوسطة (البناية 3)</v>
      </c>
      <c r="G53" s="26" t="str">
        <f ca="1">IFERROR(__xludf.DUMMYFUNCTION("""COMPUTED_VALUE"""),"ZONE B - الطابق الاول, شعبة الاول  أ ")</f>
        <v xml:space="preserve">ZONE B - الطابق الاول, شعبة الاول  أ </v>
      </c>
      <c r="H53" s="26" t="str">
        <f ca="1">IFERROR(__xludf.DUMMYFUNCTION("""COMPUTED_VALUE"""),"تثبت البردة  لكونها تأثر على الشاشة  في الصف   والطلب الثاني عدم وجود تبريد بالصف ")</f>
        <v xml:space="preserve">تثبت البردة  لكونها تأثر على الشاشة  في الصف   والطلب الثاني عدم وجود تبريد بالصف </v>
      </c>
      <c r="I53" s="26"/>
      <c r="J53" s="26" t="s">
        <v>16</v>
      </c>
      <c r="K53" s="26" t="s">
        <v>13</v>
      </c>
      <c r="L53" s="55">
        <v>46119.692474768519</v>
      </c>
      <c r="M53" s="26"/>
      <c r="N53" s="4" t="s">
        <v>121</v>
      </c>
    </row>
    <row r="54" spans="1:14" ht="75" customHeight="1" thickTop="1" thickBot="1">
      <c r="A54" s="26">
        <v>52</v>
      </c>
      <c r="B54" s="55">
        <f ca="1">IFERROR(__xludf.DUMMYFUNCTION("""COMPUTED_VALUE"""),46119.4741103935)</f>
        <v>46119.474110393501</v>
      </c>
      <c r="C54" s="56" t="str">
        <f ca="1">IFERROR(__xludf.DUMMYFUNCTION("""COMPUTED_VALUE"""),"الحر")</f>
        <v>الحر</v>
      </c>
      <c r="D54" s="56" t="str">
        <f ca="1">IFERROR(__xludf.DUMMYFUNCTION("""COMPUTED_VALUE"""),"ادارة المجمع")</f>
        <v>ادارة المجمع</v>
      </c>
      <c r="E54" s="26" t="str">
        <f ca="1">IFERROR(__xludf.DUMMYFUNCTION("""COMPUTED_VALUE"""),"قسم التربية والتعليم العالي")</f>
        <v>قسم التربية والتعليم العالي</v>
      </c>
      <c r="F54" s="26" t="str">
        <f ca="1">IFERROR(__xludf.DUMMYFUNCTION("""COMPUTED_VALUE"""),"D- الاعدادية (البناية 4)")</f>
        <v>D- الاعدادية (البناية 4)</v>
      </c>
      <c r="G54" s="26" t="str">
        <f ca="1">IFERROR(__xludf.DUMMYFUNCTION("""COMPUTED_VALUE"""),"ZONE A - الطابق الارضي")</f>
        <v>ZONE A - الطابق الارضي</v>
      </c>
      <c r="H54" s="26" t="str">
        <f ca="1">IFERROR(__xludf.DUMMYFUNCTION("""COMPUTED_VALUE"""),"تثبت شعار بغرفة معاون شؤون الطلبة    مع عدم وجود تبريد بغرفة المدرسين
")</f>
        <v xml:space="preserve">تثبت شعار بغرفة معاون شؤون الطلبة    مع عدم وجود تبريد بغرفة المدرسين
</v>
      </c>
      <c r="I54" s="26"/>
      <c r="J54" s="26" t="s">
        <v>16</v>
      </c>
      <c r="K54" s="26" t="s">
        <v>13</v>
      </c>
      <c r="L54" s="55">
        <v>46119.504431817128</v>
      </c>
      <c r="M54" s="26"/>
      <c r="N54" s="4" t="s">
        <v>121</v>
      </c>
    </row>
    <row r="55" spans="1:14" ht="75" customHeight="1" thickTop="1" thickBot="1">
      <c r="A55" s="34">
        <v>53</v>
      </c>
      <c r="B55" s="55">
        <f ca="1">IFERROR(__xludf.DUMMYFUNCTION("""COMPUTED_VALUE"""),46119.4783401504)</f>
        <v>46119.478340150403</v>
      </c>
      <c r="C55" s="56" t="str">
        <f ca="1">IFERROR(__xludf.DUMMYFUNCTION("""COMPUTED_VALUE"""),"الحر")</f>
        <v>الحر</v>
      </c>
      <c r="D55" s="56" t="str">
        <f ca="1">IFERROR(__xludf.DUMMYFUNCTION("""COMPUTED_VALUE"""),"ادارة المجمع")</f>
        <v>ادارة المجمع</v>
      </c>
      <c r="E55" s="26" t="str">
        <f ca="1">IFERROR(__xludf.DUMMYFUNCTION("""COMPUTED_VALUE"""),"قسم التربية والتعليم العالي")</f>
        <v>قسم التربية والتعليم العالي</v>
      </c>
      <c r="F55" s="26" t="str">
        <f ca="1">IFERROR(__xludf.DUMMYFUNCTION("""COMPUTED_VALUE"""),"ملعب خلف البناية الرابعة  صيانة مسطبة (دكة الانتظار) مكسورة من جانب تحتاج الى لحام")</f>
        <v>ملعب خلف البناية الرابعة  صيانة مسطبة (دكة الانتظار) مكسورة من جانب تحتاج الى لحام</v>
      </c>
      <c r="G55" s="26" t="str">
        <f ca="1">IFERROR(__xludf.DUMMYFUNCTION("""COMPUTED_VALUE"""),"ملعب خلف البناية الرابعة  صيانة مسطبة (دكة الانتظار) مكسورة من جانب تحتاج الى لحام")</f>
        <v>ملعب خلف البناية الرابعة  صيانة مسطبة (دكة الانتظار) مكسورة من جانب تحتاج الى لحام</v>
      </c>
      <c r="H55" s="26" t="str">
        <f ca="1">IFERROR(__xludf.DUMMYFUNCTION("""COMPUTED_VALUE"""),"ملعب خلف البناية الرابعة  صيانة مسطبة (دكة الانتظار) مكسورة من جانب تحتاج الى لحام")</f>
        <v>ملعب خلف البناية الرابعة  صيانة مسطبة (دكة الانتظار) مكسورة من جانب تحتاج الى لحام</v>
      </c>
      <c r="I55" s="26"/>
      <c r="J55" s="26" t="s">
        <v>16</v>
      </c>
      <c r="K55" s="26" t="s">
        <v>13</v>
      </c>
      <c r="L55" s="55">
        <v>46119.692419837964</v>
      </c>
      <c r="M55" s="26"/>
      <c r="N55" s="4" t="s">
        <v>121</v>
      </c>
    </row>
    <row r="56" spans="1:14" ht="75" customHeight="1" thickTop="1" thickBot="1">
      <c r="A56" s="26">
        <v>54</v>
      </c>
      <c r="B56" s="55">
        <f ca="1">IFERROR(__xludf.DUMMYFUNCTION("""COMPUTED_VALUE"""),46119.6003397569)</f>
        <v>46119.6003397569</v>
      </c>
      <c r="C56" s="56" t="str">
        <f ca="1">IFERROR(__xludf.DUMMYFUNCTION("""COMPUTED_VALUE"""),"الحر")</f>
        <v>الحر</v>
      </c>
      <c r="D56" s="56" t="str">
        <f ca="1">IFERROR(__xludf.DUMMYFUNCTION("""COMPUTED_VALUE"""),"عيسى صالح ")</f>
        <v xml:space="preserve">عيسى صالح </v>
      </c>
      <c r="E56" s="26" t="str">
        <f ca="1">IFERROR(__xludf.DUMMYFUNCTION("""COMPUTED_VALUE"""),"قسم المشاريع الهندسية")</f>
        <v>قسم المشاريع الهندسية</v>
      </c>
      <c r="F56" s="26" t="str">
        <f ca="1">IFERROR(__xludf.DUMMYFUNCTION("""COMPUTED_VALUE"""),"D- الاعدادية (البناية 4)")</f>
        <v>D- الاعدادية (البناية 4)</v>
      </c>
      <c r="G56" s="26" t="str">
        <f ca="1">IFERROR(__xludf.DUMMYFUNCTION("""COMPUTED_VALUE"""),"ZONE A - الطابق الارضي")</f>
        <v>ZONE A - الطابق الارضي</v>
      </c>
      <c r="H56" s="26" t="str">
        <f ca="1">IFERROR(__xludf.DUMMYFUNCTION("""COMPUTED_VALUE"""),"تم تثبيت شعار في البنايه الرابعه الطابق الارضي الزون A غرفه المعاون")</f>
        <v>تم تثبيت شعار في البنايه الرابعه الطابق الارضي الزون A غرفه المعاون</v>
      </c>
      <c r="I56" s="26"/>
      <c r="J56" s="26" t="s">
        <v>16</v>
      </c>
      <c r="K56" s="26" t="s">
        <v>13</v>
      </c>
      <c r="L56" s="55">
        <v>46119.617015324075</v>
      </c>
      <c r="M56" s="26"/>
      <c r="N56" s="4" t="s">
        <v>121</v>
      </c>
    </row>
    <row r="57" spans="1:14" ht="75" customHeight="1" thickTop="1" thickBot="1">
      <c r="A57" s="34">
        <v>55</v>
      </c>
      <c r="B57" s="55">
        <f ca="1">IFERROR(__xludf.DUMMYFUNCTION("""COMPUTED_VALUE"""),46119.6013965393)</f>
        <v>46119.601396539299</v>
      </c>
      <c r="C57" s="56" t="str">
        <f ca="1">IFERROR(__xludf.DUMMYFUNCTION("""COMPUTED_VALUE"""),"الحر")</f>
        <v>الحر</v>
      </c>
      <c r="D57" s="56" t="str">
        <f ca="1">IFERROR(__xludf.DUMMYFUNCTION("""COMPUTED_VALUE"""),"عيسى صالح ")</f>
        <v xml:space="preserve">عيسى صالح </v>
      </c>
      <c r="E57" s="26" t="str">
        <f ca="1">IFERROR(__xludf.DUMMYFUNCTION("""COMPUTED_VALUE"""),"قسم المشاريع الهندسية")</f>
        <v>قسم المشاريع الهندسية</v>
      </c>
      <c r="F57" s="26" t="str">
        <f ca="1">IFERROR(__xludf.DUMMYFUNCTION("""COMPUTED_VALUE"""),"C- المتوسطة (البناية 3)")</f>
        <v>C- المتوسطة (البناية 3)</v>
      </c>
      <c r="G57" s="26" t="str">
        <f ca="1">IFERROR(__xludf.DUMMYFUNCTION("""COMPUTED_VALUE"""),"ZONE B - الطابق الثاني")</f>
        <v>ZONE B - الطابق الثاني</v>
      </c>
      <c r="H57" s="26" t="str">
        <f ca="1">IFERROR(__xludf.DUMMYFUNCTION("""COMPUTED_VALUE"""),"تمً تبديل يده باب المنيوم في البنايه الثالثه الطابق الثاني الزون B الصحيات")</f>
        <v>تمً تبديل يده باب المنيوم في البنايه الثالثه الطابق الثاني الزون B الصحيات</v>
      </c>
      <c r="I57" s="26"/>
      <c r="J57" s="26" t="s">
        <v>16</v>
      </c>
      <c r="K57" s="26" t="s">
        <v>13</v>
      </c>
      <c r="L57" s="55">
        <v>46119.617071550922</v>
      </c>
      <c r="M57" s="26"/>
      <c r="N57" s="4" t="s">
        <v>121</v>
      </c>
    </row>
    <row r="58" spans="1:14" ht="75" customHeight="1" thickTop="1" thickBot="1">
      <c r="A58" s="26">
        <v>56</v>
      </c>
      <c r="B58" s="55">
        <f ca="1">IFERROR(__xludf.DUMMYFUNCTION("""COMPUTED_VALUE"""),46119.6083435069)</f>
        <v>46119.608343506901</v>
      </c>
      <c r="C58" s="56" t="str">
        <f ca="1">IFERROR(__xludf.DUMMYFUNCTION("""COMPUTED_VALUE"""),"الحر")</f>
        <v>الحر</v>
      </c>
      <c r="D58" s="56" t="str">
        <f ca="1">IFERROR(__xludf.DUMMYFUNCTION("""COMPUTED_VALUE"""),"عيسى صالح ")</f>
        <v xml:space="preserve">عيسى صالح </v>
      </c>
      <c r="E58" s="26" t="str">
        <f ca="1">IFERROR(__xludf.DUMMYFUNCTION("""COMPUTED_VALUE"""),"قسم المشاريع الهندسية")</f>
        <v>قسم المشاريع الهندسية</v>
      </c>
      <c r="F58" s="26" t="str">
        <f ca="1">IFERROR(__xludf.DUMMYFUNCTION("""COMPUTED_VALUE"""),"C- المتوسطة (البناية 3)")</f>
        <v>C- المتوسطة (البناية 3)</v>
      </c>
      <c r="G58" s="26" t="str">
        <f ca="1">IFERROR(__xludf.DUMMYFUNCTION("""COMPUTED_VALUE"""),"ZONE B - الطابق الثاني")</f>
        <v>ZONE B - الطابق الثاني</v>
      </c>
      <c r="H58" s="26" t="str">
        <f ca="1">IFERROR(__xludf.DUMMYFUNCTION("""COMPUTED_VALUE"""),"تثبيت قطع مرد الماء عدد 3 صحيات البنايه الثالثه الطابق الثاني zone b")</f>
        <v>تثبيت قطع مرد الماء عدد 3 صحيات البنايه الثالثه الطابق الثاني zone b</v>
      </c>
      <c r="I58" s="26"/>
      <c r="J58" s="26" t="s">
        <v>16</v>
      </c>
      <c r="K58" s="26" t="s">
        <v>13</v>
      </c>
      <c r="L58" s="55">
        <v>46119.617650081018</v>
      </c>
      <c r="M58" s="26"/>
      <c r="N58" s="4" t="s">
        <v>121</v>
      </c>
    </row>
    <row r="59" spans="1:14" ht="75" customHeight="1" thickTop="1" thickBot="1">
      <c r="A59" s="34">
        <v>57</v>
      </c>
      <c r="B59" s="55">
        <f ca="1">IFERROR(__xludf.DUMMYFUNCTION("""COMPUTED_VALUE"""),46119.6107921643)</f>
        <v>46119.610792164298</v>
      </c>
      <c r="C59" s="56" t="str">
        <f ca="1">IFERROR(__xludf.DUMMYFUNCTION("""COMPUTED_VALUE"""),"الحر")</f>
        <v>الحر</v>
      </c>
      <c r="D59" s="56" t="str">
        <f ca="1">IFERROR(__xludf.DUMMYFUNCTION("""COMPUTED_VALUE"""),"عيسى صالح ")</f>
        <v xml:space="preserve">عيسى صالح </v>
      </c>
      <c r="E59" s="26" t="str">
        <f ca="1">IFERROR(__xludf.DUMMYFUNCTION("""COMPUTED_VALUE"""),"قسم المشاريع الهندسية")</f>
        <v>قسم المشاريع الهندسية</v>
      </c>
      <c r="F59" s="26" t="str">
        <f ca="1">IFERROR(__xludf.DUMMYFUNCTION("""COMPUTED_VALUE"""),"A- الابتدائية (البناية 1)")</f>
        <v>A- الابتدائية (البناية 1)</v>
      </c>
      <c r="G59" s="26" t="str">
        <f ca="1">IFERROR(__xludf.DUMMYFUNCTION("""COMPUTED_VALUE"""),"ZONE A - الطابق الثاني")</f>
        <v>ZONE A - الطابق الثاني</v>
      </c>
      <c r="H59" s="26" t="str">
        <f ca="1">IFERROR(__xludf.DUMMYFUNCTION("""COMPUTED_VALUE"""),"وضع معجون شبابيك عدد ٦ البنايه الاولى الطابق الثاني zone A")</f>
        <v>وضع معجون شبابيك عدد ٦ البنايه الاولى الطابق الثاني zone A</v>
      </c>
      <c r="I59" s="26"/>
      <c r="J59" s="26" t="s">
        <v>16</v>
      </c>
      <c r="K59" s="26" t="s">
        <v>13</v>
      </c>
      <c r="L59" s="55">
        <v>46119.617680520838</v>
      </c>
      <c r="M59" s="26"/>
      <c r="N59" s="4" t="s">
        <v>121</v>
      </c>
    </row>
    <row r="60" spans="1:14" ht="75" customHeight="1" thickTop="1" thickBot="1">
      <c r="A60" s="26">
        <v>58</v>
      </c>
      <c r="B60" s="55">
        <f ca="1">IFERROR(__xludf.DUMMYFUNCTION("""COMPUTED_VALUE"""),46119.6120717592)</f>
        <v>46119.612071759198</v>
      </c>
      <c r="C60" s="56" t="str">
        <f ca="1">IFERROR(__xludf.DUMMYFUNCTION("""COMPUTED_VALUE"""),"الحر")</f>
        <v>الحر</v>
      </c>
      <c r="D60" s="56" t="str">
        <f ca="1">IFERROR(__xludf.DUMMYFUNCTION("""COMPUTED_VALUE"""),"عيسى صالح ")</f>
        <v xml:space="preserve">عيسى صالح </v>
      </c>
      <c r="E60" s="26" t="str">
        <f ca="1">IFERROR(__xludf.DUMMYFUNCTION("""COMPUTED_VALUE"""),"قسم المشاريع الهندسية")</f>
        <v>قسم المشاريع الهندسية</v>
      </c>
      <c r="F60" s="26" t="str">
        <f ca="1">IFERROR(__xludf.DUMMYFUNCTION("""COMPUTED_VALUE"""),"C- المتوسطة (البناية 3)")</f>
        <v>C- المتوسطة (البناية 3)</v>
      </c>
      <c r="G60" s="26" t="str">
        <f ca="1">IFERROR(__xludf.DUMMYFUNCTION("""COMPUTED_VALUE"""),"ZONE A - الطابق الارضي")</f>
        <v>ZONE A - الطابق الارضي</v>
      </c>
      <c r="H60" s="26" t="str">
        <f ca="1">IFERROR(__xludf.DUMMYFUNCTION("""COMPUTED_VALUE"""),"إصلاح خشبه عارضه الإعلانات البنايه الثالثه الطابق الأرضي zone A")</f>
        <v>إصلاح خشبه عارضه الإعلانات البنايه الثالثه الطابق الأرضي zone A</v>
      </c>
      <c r="I60" s="26"/>
      <c r="J60" s="26" t="s">
        <v>16</v>
      </c>
      <c r="K60" s="26" t="s">
        <v>13</v>
      </c>
      <c r="L60" s="55">
        <v>46119.617734629632</v>
      </c>
      <c r="M60" s="26"/>
      <c r="N60" s="4" t="s">
        <v>121</v>
      </c>
    </row>
    <row r="61" spans="1:14" ht="75" customHeight="1" thickTop="1" thickBot="1">
      <c r="A61" s="34">
        <v>59</v>
      </c>
      <c r="B61" s="55">
        <f ca="1">IFERROR(__xludf.DUMMYFUNCTION("""COMPUTED_VALUE"""),46119.6134890509)</f>
        <v>46119.613489050898</v>
      </c>
      <c r="C61" s="56" t="str">
        <f ca="1">IFERROR(__xludf.DUMMYFUNCTION("""COMPUTED_VALUE"""),"الحر")</f>
        <v>الحر</v>
      </c>
      <c r="D61" s="56" t="str">
        <f ca="1">IFERROR(__xludf.DUMMYFUNCTION("""COMPUTED_VALUE"""),"عيسى صالح ")</f>
        <v xml:space="preserve">عيسى صالح </v>
      </c>
      <c r="E61" s="26" t="str">
        <f ca="1">IFERROR(__xludf.DUMMYFUNCTION("""COMPUTED_VALUE"""),"قسم المشاريع الهندسية")</f>
        <v>قسم المشاريع الهندسية</v>
      </c>
      <c r="F61" s="26" t="str">
        <f ca="1">IFERROR(__xludf.DUMMYFUNCTION("""COMPUTED_VALUE"""),"C- المتوسطة (البناية 3)")</f>
        <v>C- المتوسطة (البناية 3)</v>
      </c>
      <c r="G61" s="26" t="str">
        <f ca="1">IFERROR(__xludf.DUMMYFUNCTION("""COMPUTED_VALUE"""),"ZONE B - الطابق الثاني")</f>
        <v>ZONE B - الطابق الثاني</v>
      </c>
      <c r="H61" s="26" t="str">
        <f ca="1">IFERROR(__xludf.DUMMYFUNCTION("""COMPUTED_VALUE"""),"أعاده قطع سقف الثانوي عدد ١٠ 
البنايه الثالثه الطابق الثاني zone b")</f>
        <v>أعاده قطع سقف الثانوي عدد ١٠ 
البنايه الثالثه الطابق الثاني zone b</v>
      </c>
      <c r="I61" s="26"/>
      <c r="J61" s="26" t="s">
        <v>16</v>
      </c>
      <c r="K61" s="26" t="s">
        <v>13</v>
      </c>
      <c r="L61" s="55">
        <v>46119.617810902782</v>
      </c>
      <c r="M61" s="26"/>
      <c r="N61" s="4" t="s">
        <v>121</v>
      </c>
    </row>
    <row r="62" spans="1:14" ht="75" customHeight="1" thickTop="1" thickBot="1">
      <c r="A62" s="26">
        <v>60</v>
      </c>
      <c r="B62" s="55">
        <f ca="1">IFERROR(__xludf.DUMMYFUNCTION("""COMPUTED_VALUE"""),46119.6140469444)</f>
        <v>46119.6140469444</v>
      </c>
      <c r="C62" s="56" t="str">
        <f ca="1">IFERROR(__xludf.DUMMYFUNCTION("""COMPUTED_VALUE"""),"الحر")</f>
        <v>الحر</v>
      </c>
      <c r="D62" s="56" t="str">
        <f ca="1">IFERROR(__xludf.DUMMYFUNCTION("""COMPUTED_VALUE"""),"عيسى صالح ")</f>
        <v xml:space="preserve">عيسى صالح </v>
      </c>
      <c r="E62" s="26" t="str">
        <f ca="1">IFERROR(__xludf.DUMMYFUNCTION("""COMPUTED_VALUE"""),"قسم المشاريع الهندسية")</f>
        <v>قسم المشاريع الهندسية</v>
      </c>
      <c r="F62" s="26" t="str">
        <f ca="1">IFERROR(__xludf.DUMMYFUNCTION("""COMPUTED_VALUE"""),"C- المتوسطة (البناية 3)")</f>
        <v>C- المتوسطة (البناية 3)</v>
      </c>
      <c r="G62" s="26" t="str">
        <f ca="1">IFERROR(__xludf.DUMMYFUNCTION("""COMPUTED_VALUE"""),"ZONE B - الطابق الثاني")</f>
        <v>ZONE B - الطابق الثاني</v>
      </c>
      <c r="H62" s="26" t="str">
        <f ca="1">IFERROR(__xludf.DUMMYFUNCTION("""COMPUTED_VALUE"""),"تثبيت قطعه هزاره البنايه الثالثه الطابق الثاني zone b")</f>
        <v>تثبيت قطعه هزاره البنايه الثالثه الطابق الثاني zone b</v>
      </c>
      <c r="I62" s="26"/>
      <c r="J62" s="26" t="s">
        <v>16</v>
      </c>
      <c r="K62" s="26" t="s">
        <v>13</v>
      </c>
      <c r="L62" s="55">
        <v>46119.617900949073</v>
      </c>
      <c r="M62" s="26"/>
      <c r="N62" s="4" t="s">
        <v>121</v>
      </c>
    </row>
    <row r="63" spans="1:14" ht="75" customHeight="1" thickTop="1" thickBot="1">
      <c r="A63" s="34">
        <v>61</v>
      </c>
      <c r="B63" s="55">
        <f ca="1">IFERROR(__xludf.DUMMYFUNCTION("""COMPUTED_VALUE"""),46119.6146381828)</f>
        <v>46119.6146381828</v>
      </c>
      <c r="C63" s="56" t="str">
        <f ca="1">IFERROR(__xludf.DUMMYFUNCTION("""COMPUTED_VALUE"""),"الحر")</f>
        <v>الحر</v>
      </c>
      <c r="D63" s="56" t="str">
        <f ca="1">IFERROR(__xludf.DUMMYFUNCTION("""COMPUTED_VALUE"""),"عيسى صالح ")</f>
        <v xml:space="preserve">عيسى صالح </v>
      </c>
      <c r="E63" s="26" t="str">
        <f ca="1">IFERROR(__xludf.DUMMYFUNCTION("""COMPUTED_VALUE"""),"قسم المشاريع الهندسية")</f>
        <v>قسم المشاريع الهندسية</v>
      </c>
      <c r="F63" s="26" t="str">
        <f ca="1">IFERROR(__xludf.DUMMYFUNCTION("""COMPUTED_VALUE"""),"B- الابتدائية (البناية 2)")</f>
        <v>B- الابتدائية (البناية 2)</v>
      </c>
      <c r="G63" s="26" t="str">
        <f ca="1">IFERROR(__xludf.DUMMYFUNCTION("""COMPUTED_VALUE"""),"الكراج")</f>
        <v>الكراج</v>
      </c>
      <c r="H63" s="26" t="str">
        <f ca="1">IFERROR(__xludf.DUMMYFUNCTION("""COMPUTED_VALUE"""),"تم غلق المنهولات عدد ٢ في ماده السليكون.   في الكراج")</f>
        <v>تم غلق المنهولات عدد ٢ في ماده السليكون.   في الكراج</v>
      </c>
      <c r="I63" s="26"/>
      <c r="J63" s="26" t="s">
        <v>16</v>
      </c>
      <c r="K63" s="26" t="s">
        <v>13</v>
      </c>
      <c r="L63" s="55">
        <v>46119.61797608796</v>
      </c>
      <c r="M63" s="26"/>
      <c r="N63" s="4" t="s">
        <v>121</v>
      </c>
    </row>
    <row r="64" spans="1:14" ht="75" customHeight="1" thickTop="1" thickBot="1">
      <c r="A64" s="26">
        <v>62</v>
      </c>
      <c r="B64" s="55">
        <f ca="1">IFERROR(__xludf.DUMMYFUNCTION("""COMPUTED_VALUE"""),46119.6160318865)</f>
        <v>46119.6160318865</v>
      </c>
      <c r="C64" s="56" t="str">
        <f ca="1">IFERROR(__xludf.DUMMYFUNCTION("""COMPUTED_VALUE"""),"الحر")</f>
        <v>الحر</v>
      </c>
      <c r="D64" s="56" t="str">
        <f ca="1">IFERROR(__xludf.DUMMYFUNCTION("""COMPUTED_VALUE"""),"عيسى صالح ")</f>
        <v xml:space="preserve">عيسى صالح </v>
      </c>
      <c r="E64" s="26" t="str">
        <f ca="1">IFERROR(__xludf.DUMMYFUNCTION("""COMPUTED_VALUE"""),"قسم المشاريع الهندسية")</f>
        <v>قسم المشاريع الهندسية</v>
      </c>
      <c r="F64" s="26" t="str">
        <f ca="1">IFERROR(__xludf.DUMMYFUNCTION("""COMPUTED_VALUE"""),"D- الاعدادية (البناية 4)")</f>
        <v>D- الاعدادية (البناية 4)</v>
      </c>
      <c r="G64" s="26" t="str">
        <f ca="1">IFERROR(__xludf.DUMMYFUNCTION("""COMPUTED_VALUE"""),"جميع الطوابق ")</f>
        <v xml:space="preserve">جميع الطوابق </v>
      </c>
      <c r="H64" s="26" t="str">
        <f ca="1">IFERROR(__xludf.DUMMYFUNCTION("""COMPUTED_VALUE"""),"اعمال معالجه الشبابيك في معجون الجام في مختلف الطوابق والصفوف 
    البنايه الرابعه")</f>
        <v>اعمال معالجه الشبابيك في معجون الجام في مختلف الطوابق والصفوف 
    البنايه الرابعه</v>
      </c>
      <c r="I64" s="26"/>
      <c r="J64" s="26" t="s">
        <v>16</v>
      </c>
      <c r="K64" s="26" t="s">
        <v>13</v>
      </c>
      <c r="L64" s="55">
        <v>46119.618025266202</v>
      </c>
      <c r="M64" s="26"/>
      <c r="N64" s="4" t="s">
        <v>121</v>
      </c>
    </row>
    <row r="65" spans="1:14" ht="75" customHeight="1" thickTop="1" thickBot="1">
      <c r="A65" s="34">
        <v>63</v>
      </c>
      <c r="B65" s="55">
        <f ca="1">IFERROR(__xludf.DUMMYFUNCTION("""COMPUTED_VALUE"""),46119.6166554398)</f>
        <v>46119.616655439801</v>
      </c>
      <c r="C65" s="56" t="str">
        <f ca="1">IFERROR(__xludf.DUMMYFUNCTION("""COMPUTED_VALUE"""),"الحر")</f>
        <v>الحر</v>
      </c>
      <c r="D65" s="56" t="str">
        <f ca="1">IFERROR(__xludf.DUMMYFUNCTION("""COMPUTED_VALUE"""),"عيسى صالح ")</f>
        <v xml:space="preserve">عيسى صالح </v>
      </c>
      <c r="E65" s="26" t="str">
        <f ca="1">IFERROR(__xludf.DUMMYFUNCTION("""COMPUTED_VALUE"""),"قسم المشاريع الهندسية")</f>
        <v>قسم المشاريع الهندسية</v>
      </c>
      <c r="F65" s="26" t="str">
        <f ca="1">IFERROR(__xludf.DUMMYFUNCTION("""COMPUTED_VALUE"""),"D- الاعدادية (البناية 4)")</f>
        <v>D- الاعدادية (البناية 4)</v>
      </c>
      <c r="G65" s="26" t="str">
        <f ca="1">IFERROR(__xludf.DUMMYFUNCTION("""COMPUTED_VALUE"""),"جميع الطوابق ")</f>
        <v xml:space="preserve">جميع الطوابق </v>
      </c>
      <c r="H65" s="26" t="str">
        <f ca="1">IFERROR(__xludf.DUMMYFUNCTION("""COMPUTED_VALUE"""),"تم معالجه نقاط الكهرباء بماده البورك 
في البنايه الرابعه مختلف الطوابق والصفوف عدد ٣٨ نقطه")</f>
        <v>تم معالجه نقاط الكهرباء بماده البورك 
في البنايه الرابعه مختلف الطوابق والصفوف عدد ٣٨ نقطه</v>
      </c>
      <c r="I65" s="26"/>
      <c r="J65" s="26" t="s">
        <v>16</v>
      </c>
      <c r="K65" s="26" t="s">
        <v>13</v>
      </c>
      <c r="L65" s="55">
        <v>46119.618070775468</v>
      </c>
      <c r="M65" s="26"/>
      <c r="N65" s="4" t="s">
        <v>121</v>
      </c>
    </row>
    <row r="66" spans="1:14" ht="75" customHeight="1" thickTop="1" thickBot="1">
      <c r="A66" s="26">
        <v>64</v>
      </c>
      <c r="B66" s="55">
        <f ca="1">IFERROR(__xludf.DUMMYFUNCTION("""COMPUTED_VALUE"""),46120.508497037)</f>
        <v>46120.508497037001</v>
      </c>
      <c r="C66" s="56" t="str">
        <f ca="1">IFERROR(__xludf.DUMMYFUNCTION("""COMPUTED_VALUE"""),"الحر")</f>
        <v>الحر</v>
      </c>
      <c r="D66" s="56" t="str">
        <f ca="1">IFERROR(__xludf.DUMMYFUNCTION("""COMPUTED_VALUE"""),"م.علي عقيل")</f>
        <v>م.علي عقيل</v>
      </c>
      <c r="E66" s="26" t="str">
        <f ca="1">IFERROR(__xludf.DUMMYFUNCTION("""COMPUTED_VALUE"""),"قسم المشاريع الهندسية")</f>
        <v>قسم المشاريع الهندسية</v>
      </c>
      <c r="F66" s="26" t="str">
        <f ca="1">IFERROR(__xludf.DUMMYFUNCTION("""COMPUTED_VALUE"""),"B- الابتدائية (البناية 2)")</f>
        <v>B- الابتدائية (البناية 2)</v>
      </c>
      <c r="G66" s="26" t="str">
        <f ca="1">IFERROR(__xludf.DUMMYFUNCTION("""COMPUTED_VALUE"""),"القاعة الرياضية جهة الابتدائية, القاعة الرياضية جهة المتوسطة")</f>
        <v>القاعة الرياضية جهة الابتدائية, القاعة الرياضية جهة المتوسطة</v>
      </c>
      <c r="H66" s="26" t="str">
        <f ca="1">IFERROR(__xludf.DUMMYFUNCTION("""COMPUTED_VALUE"""),"تغيير مفاتيح ابواب ")</f>
        <v xml:space="preserve">تغيير مفاتيح ابواب </v>
      </c>
      <c r="I66" s="26"/>
      <c r="J66" s="26" t="s">
        <v>16</v>
      </c>
      <c r="K66" s="26" t="s">
        <v>13</v>
      </c>
      <c r="L66" s="55">
        <v>46120.657077060183</v>
      </c>
      <c r="M66" s="26" t="s">
        <v>3908</v>
      </c>
      <c r="N66" s="4" t="s">
        <v>121</v>
      </c>
    </row>
    <row r="67" spans="1:14" ht="75" customHeight="1" thickTop="1" thickBot="1">
      <c r="A67" s="34">
        <v>65</v>
      </c>
      <c r="B67" s="55">
        <f ca="1">IFERROR(__xludf.DUMMYFUNCTION("""COMPUTED_VALUE"""),46120.5195624305)</f>
        <v>46120.519562430498</v>
      </c>
      <c r="C67" s="56" t="str">
        <f ca="1">IFERROR(__xludf.DUMMYFUNCTION("""COMPUTED_VALUE"""),"الحر")</f>
        <v>الحر</v>
      </c>
      <c r="D67" s="56" t="str">
        <f ca="1">IFERROR(__xludf.DUMMYFUNCTION("""COMPUTED_VALUE"""),"ادارة المجمع")</f>
        <v>ادارة المجمع</v>
      </c>
      <c r="E67" s="26" t="str">
        <f ca="1">IFERROR(__xludf.DUMMYFUNCTION("""COMPUTED_VALUE"""),"قسم التربية والتعليم العالي")</f>
        <v>قسم التربية والتعليم العالي</v>
      </c>
      <c r="F67" s="26" t="str">
        <f ca="1">IFERROR(__xludf.DUMMYFUNCTION("""COMPUTED_VALUE"""),"C- المتوسطة (البناية 3)")</f>
        <v>C- المتوسطة (البناية 3)</v>
      </c>
      <c r="G67" s="26" t="str">
        <f ca="1">IFERROR(__xludf.DUMMYFUNCTION("""COMPUTED_VALUE"""),"ZONE A - الطابق الارضي")</f>
        <v>ZONE A - الطابق الارضي</v>
      </c>
      <c r="H67" s="26" t="str">
        <f ca="1">IFERROR(__xludf.DUMMYFUNCTION("""COMPUTED_VALUE"""),"عطل يدة باب غرفة الضيافة")</f>
        <v>عطل يدة باب غرفة الضيافة</v>
      </c>
      <c r="I67" s="26"/>
      <c r="J67" s="26" t="s">
        <v>16</v>
      </c>
      <c r="K67" s="26" t="s">
        <v>13</v>
      </c>
      <c r="L67" s="55">
        <v>46120.65709518519</v>
      </c>
      <c r="M67" s="26"/>
      <c r="N67" s="4" t="s">
        <v>121</v>
      </c>
    </row>
    <row r="68" spans="1:14" ht="75" customHeight="1" thickTop="1" thickBot="1">
      <c r="A68" s="26">
        <v>66</v>
      </c>
      <c r="B68" s="55">
        <f ca="1">IFERROR(__xludf.DUMMYFUNCTION("""COMPUTED_VALUE"""),46120.5880847569)</f>
        <v>46120.588084756899</v>
      </c>
      <c r="C68" s="56" t="str">
        <f ca="1">IFERROR(__xludf.DUMMYFUNCTION("""COMPUTED_VALUE"""),"الحر")</f>
        <v>الحر</v>
      </c>
      <c r="D68" s="56" t="str">
        <f ca="1">IFERROR(__xludf.DUMMYFUNCTION("""COMPUTED_VALUE"""),"عيسى صالح ")</f>
        <v xml:space="preserve">عيسى صالح </v>
      </c>
      <c r="E68" s="26" t="str">
        <f ca="1">IFERROR(__xludf.DUMMYFUNCTION("""COMPUTED_VALUE"""),"قسم المشاريع الهندسية")</f>
        <v>قسم المشاريع الهندسية</v>
      </c>
      <c r="F68" s="26" t="str">
        <f ca="1">IFERROR(__xludf.DUMMYFUNCTION("""COMPUTED_VALUE"""),"D- الاعدادية (البناية 4)")</f>
        <v>D- الاعدادية (البناية 4)</v>
      </c>
      <c r="G68" s="26" t="str">
        <f ca="1">IFERROR(__xludf.DUMMYFUNCTION("""COMPUTED_VALUE"""),"ZONE A - الطابق الاول")</f>
        <v>ZONE A - الطابق الاول</v>
      </c>
      <c r="H68" s="26" t="str">
        <f ca="1">IFERROR(__xludf.DUMMYFUNCTION("""COMPUTED_VALUE"""),"أعمال غلق الفتحات  المحيطه بدكت التبريد في منور الصحيات البنايه الرابعه  الطابق الأول zone a")</f>
        <v>أعمال غلق الفتحات  المحيطه بدكت التبريد في منور الصحيات البنايه الرابعه  الطابق الأول zone a</v>
      </c>
      <c r="I68" s="26"/>
      <c r="J68" s="26" t="s">
        <v>16</v>
      </c>
      <c r="K68" s="26" t="s">
        <v>13</v>
      </c>
      <c r="L68" s="55">
        <v>46120.590930798615</v>
      </c>
      <c r="M68" s="26"/>
      <c r="N68" s="4" t="s">
        <v>121</v>
      </c>
    </row>
    <row r="69" spans="1:14" ht="75" customHeight="1" thickTop="1" thickBot="1">
      <c r="A69" s="34">
        <v>67</v>
      </c>
      <c r="B69" s="55">
        <f ca="1">IFERROR(__xludf.DUMMYFUNCTION("""COMPUTED_VALUE"""),46120.589518993)</f>
        <v>46120.589518993002</v>
      </c>
      <c r="C69" s="56" t="str">
        <f ca="1">IFERROR(__xludf.DUMMYFUNCTION("""COMPUTED_VALUE"""),"الحر")</f>
        <v>الحر</v>
      </c>
      <c r="D69" s="56" t="str">
        <f ca="1">IFERROR(__xludf.DUMMYFUNCTION("""COMPUTED_VALUE"""),"عيسى صالح ")</f>
        <v xml:space="preserve">عيسى صالح </v>
      </c>
      <c r="E69" s="26" t="str">
        <f ca="1">IFERROR(__xludf.DUMMYFUNCTION("""COMPUTED_VALUE"""),"قسم المشاريع الهندسية")</f>
        <v>قسم المشاريع الهندسية</v>
      </c>
      <c r="F69" s="26" t="str">
        <f ca="1">IFERROR(__xludf.DUMMYFUNCTION("""COMPUTED_VALUE"""),"C- المتوسطة (البناية 3)")</f>
        <v>C- المتوسطة (البناية 3)</v>
      </c>
      <c r="G69" s="26" t="str">
        <f ca="1">IFERROR(__xludf.DUMMYFUNCTION("""COMPUTED_VALUE"""),"ZONE A - الطابق الثاني")</f>
        <v>ZONE A - الطابق الثاني</v>
      </c>
      <c r="H69" s="26" t="str">
        <f ca="1">IFERROR(__xludf.DUMMYFUNCTION("""COMPUTED_VALUE"""),"أعمال وضع معجون الشبابيك البنايه الثالثه الطابق الثاني zone A")</f>
        <v>أعمال وضع معجون الشبابيك البنايه الثالثه الطابق الثاني zone A</v>
      </c>
      <c r="I69" s="26"/>
      <c r="J69" s="26" t="s">
        <v>16</v>
      </c>
      <c r="K69" s="26" t="s">
        <v>13</v>
      </c>
      <c r="L69" s="55"/>
      <c r="M69" s="26"/>
      <c r="N69" s="4" t="s">
        <v>121</v>
      </c>
    </row>
    <row r="70" spans="1:14" ht="75" customHeight="1" thickTop="1" thickBot="1">
      <c r="A70" s="26">
        <v>68</v>
      </c>
      <c r="B70" s="55">
        <f ca="1">IFERROR(__xludf.DUMMYFUNCTION("""COMPUTED_VALUE"""),46120.5904936342)</f>
        <v>46120.590493634198</v>
      </c>
      <c r="C70" s="56" t="str">
        <f ca="1">IFERROR(__xludf.DUMMYFUNCTION("""COMPUTED_VALUE"""),"الحر")</f>
        <v>الحر</v>
      </c>
      <c r="D70" s="56" t="str">
        <f ca="1">IFERROR(__xludf.DUMMYFUNCTION("""COMPUTED_VALUE"""),"عيسى صالح ")</f>
        <v xml:space="preserve">عيسى صالح </v>
      </c>
      <c r="E70" s="26" t="str">
        <f ca="1">IFERROR(__xludf.DUMMYFUNCTION("""COMPUTED_VALUE"""),"قسم المشاريع الهندسية")</f>
        <v>قسم المشاريع الهندسية</v>
      </c>
      <c r="F70" s="26" t="str">
        <f ca="1">IFERROR(__xludf.DUMMYFUNCTION("""COMPUTED_VALUE"""),"D- الاعدادية (البناية 4)")</f>
        <v>D- الاعدادية (البناية 4)</v>
      </c>
      <c r="G70" s="26" t="str">
        <f ca="1">IFERROR(__xludf.DUMMYFUNCTION("""COMPUTED_VALUE"""),"ZONE B - الطابق الارضي")</f>
        <v>ZONE B - الطابق الارضي</v>
      </c>
      <c r="H70" s="26" t="str">
        <f ca="1">IFERROR(__xludf.DUMMYFUNCTION("""COMPUTED_VALUE"""),"تثبيت قطعة (أليكوبوند) في الباب الجانبي للبناية الرابعة الطابق الارضي الزونB")</f>
        <v>تثبيت قطعة (أليكوبوند) في الباب الجانبي للبناية الرابعة الطابق الارضي الزونB</v>
      </c>
      <c r="I70" s="26"/>
      <c r="J70" s="26" t="s">
        <v>16</v>
      </c>
      <c r="K70" s="26" t="s">
        <v>13</v>
      </c>
      <c r="L70" s="55">
        <v>46120.64137302083</v>
      </c>
      <c r="M70" s="26"/>
      <c r="N70" s="4" t="s">
        <v>121</v>
      </c>
    </row>
    <row r="71" spans="1:14" ht="75" customHeight="1" thickTop="1" thickBot="1">
      <c r="A71" s="34">
        <v>69</v>
      </c>
      <c r="B71" s="55">
        <f ca="1">IFERROR(__xludf.DUMMYFUNCTION("""COMPUTED_VALUE"""),46121.3412904282)</f>
        <v>46121.341290428201</v>
      </c>
      <c r="C71" s="56" t="str">
        <f ca="1">IFERROR(__xludf.DUMMYFUNCTION("""COMPUTED_VALUE"""),"الحر")</f>
        <v>الحر</v>
      </c>
      <c r="D71" s="56" t="str">
        <f ca="1">IFERROR(__xludf.DUMMYFUNCTION("""COMPUTED_VALUE"""),"ادارة المجمع")</f>
        <v>ادارة المجمع</v>
      </c>
      <c r="E71" s="26" t="str">
        <f ca="1">IFERROR(__xludf.DUMMYFUNCTION("""COMPUTED_VALUE"""),"قسم التربية والتعليم العالي")</f>
        <v>قسم التربية والتعليم العالي</v>
      </c>
      <c r="F71" s="26" t="str">
        <f ca="1">IFERROR(__xludf.DUMMYFUNCTION("""COMPUTED_VALUE"""),"D- الاعدادية (البناية 4)")</f>
        <v>D- الاعدادية (البناية 4)</v>
      </c>
      <c r="G71" s="26" t="str">
        <f ca="1">IFERROR(__xludf.DUMMYFUNCTION("""COMPUTED_VALUE"""),"ZONE A - الطابق الارضي, ZONE B - الطابق الارضي")</f>
        <v>ZONE A - الطابق الارضي, ZONE B - الطابق الارضي</v>
      </c>
      <c r="H71" s="26" t="str">
        <f ca="1">IFERROR(__xludf.DUMMYFUNCTION("""COMPUTED_VALUE"""),"كليون الباب الوسطي الجناح الاداري    سقف حمامات الطلاب     مقبض باب الحمامات الجناح الاداري    صف الثالث  أ  MDF")</f>
        <v>كليون الباب الوسطي الجناح الاداري    سقف حمامات الطلاب     مقبض باب الحمامات الجناح الاداري    صف الثالث  أ  MDF</v>
      </c>
      <c r="I71" s="26"/>
      <c r="J71" s="26" t="s">
        <v>16</v>
      </c>
      <c r="K71" s="26" t="s">
        <v>13</v>
      </c>
      <c r="L71" s="55">
        <v>46121.528806458329</v>
      </c>
      <c r="M71" s="26"/>
      <c r="N71" s="4" t="s">
        <v>121</v>
      </c>
    </row>
    <row r="72" spans="1:14" ht="75" customHeight="1" thickTop="1" thickBot="1">
      <c r="A72" s="26">
        <v>70</v>
      </c>
      <c r="B72" s="55">
        <f ca="1">IFERROR(__xludf.DUMMYFUNCTION("""COMPUTED_VALUE"""),46121.3454919444)</f>
        <v>46121.345491944398</v>
      </c>
      <c r="C72" s="56" t="str">
        <f ca="1">IFERROR(__xludf.DUMMYFUNCTION("""COMPUTED_VALUE"""),"الحر")</f>
        <v>الحر</v>
      </c>
      <c r="D72" s="56" t="str">
        <f ca="1">IFERROR(__xludf.DUMMYFUNCTION("""COMPUTED_VALUE"""),"ادارة المجمع")</f>
        <v>ادارة المجمع</v>
      </c>
      <c r="E72" s="26" t="str">
        <f ca="1">IFERROR(__xludf.DUMMYFUNCTION("""COMPUTED_VALUE"""),"قسم التربية والتعليم العالي")</f>
        <v>قسم التربية والتعليم العالي</v>
      </c>
      <c r="F72" s="26" t="str">
        <f ca="1">IFERROR(__xludf.DUMMYFUNCTION("""COMPUTED_VALUE"""),"C- المتوسطة (البناية 3)")</f>
        <v>C- المتوسطة (البناية 3)</v>
      </c>
      <c r="G72" s="26" t="str">
        <f ca="1">IFERROR(__xludf.DUMMYFUNCTION("""COMPUTED_VALUE"""),"ZONE B - الطابق الارضي")</f>
        <v>ZONE B - الطابق الارضي</v>
      </c>
      <c r="H72" s="26" t="str">
        <f ca="1">IFERROR(__xludf.DUMMYFUNCTION("""COMPUTED_VALUE"""),"صيانة سياج الدرج الخاص بالطلاب  الطابق الارضي للبناية الثالثة  لطفا  الاسراع بالمعالجة لكون ظهور حافة حديد يشكل خطر على المتعلمين")</f>
        <v>صيانة سياج الدرج الخاص بالطلاب  الطابق الارضي للبناية الثالثة  لطفا  الاسراع بالمعالجة لكون ظهور حافة حديد يشكل خطر على المتعلمين</v>
      </c>
      <c r="I72" s="26"/>
      <c r="J72" s="26" t="s">
        <v>16</v>
      </c>
      <c r="K72" s="26" t="s">
        <v>13</v>
      </c>
      <c r="L72" s="55">
        <v>46121.516201712962</v>
      </c>
      <c r="M72" s="26"/>
      <c r="N72" s="4" t="s">
        <v>121</v>
      </c>
    </row>
    <row r="73" spans="1:14" ht="75" customHeight="1" thickTop="1" thickBot="1">
      <c r="A73" s="34">
        <v>71</v>
      </c>
      <c r="B73" s="55">
        <f ca="1">IFERROR(__xludf.DUMMYFUNCTION("""COMPUTED_VALUE"""),46121.5452414351)</f>
        <v>46121.545241435102</v>
      </c>
      <c r="C73" s="56" t="str">
        <f ca="1">IFERROR(__xludf.DUMMYFUNCTION("""COMPUTED_VALUE"""),"الحر")</f>
        <v>الحر</v>
      </c>
      <c r="D73" s="56" t="str">
        <f ca="1">IFERROR(__xludf.DUMMYFUNCTION("""COMPUTED_VALUE"""),"عيسى صالح ")</f>
        <v xml:space="preserve">عيسى صالح </v>
      </c>
      <c r="E73" s="26" t="str">
        <f ca="1">IFERROR(__xludf.DUMMYFUNCTION("""COMPUTED_VALUE"""),"قسم المشاريع الهندسية")</f>
        <v>قسم المشاريع الهندسية</v>
      </c>
      <c r="F73" s="26" t="str">
        <f ca="1">IFERROR(__xludf.DUMMYFUNCTION("""COMPUTED_VALUE"""),"A- الابتدائية (البناية 1)")</f>
        <v>A- الابتدائية (البناية 1)</v>
      </c>
      <c r="G73" s="26" t="str">
        <f ca="1">IFERROR(__xludf.DUMMYFUNCTION("""COMPUTED_VALUE"""),"ZONE A - الطابق الثاني")</f>
        <v>ZONE A - الطابق الثاني</v>
      </c>
      <c r="H73" s="26" t="str">
        <f ca="1">IFERROR(__xludf.DUMMYFUNCTION("""COMPUTED_VALUE"""),"تم تثبيت برده في البنايه الاولى الطابق الثاني الزون A (المصلى)")</f>
        <v>تم تثبيت برده في البنايه الاولى الطابق الثاني الزون A (المصلى)</v>
      </c>
      <c r="I73" s="26"/>
      <c r="J73" s="26" t="s">
        <v>16</v>
      </c>
      <c r="K73" s="26" t="s">
        <v>13</v>
      </c>
      <c r="L73" s="55">
        <v>46121.555052048614</v>
      </c>
      <c r="M73" s="26"/>
      <c r="N73" s="4" t="s">
        <v>121</v>
      </c>
    </row>
    <row r="74" spans="1:14" ht="75" customHeight="1" thickTop="1" thickBot="1">
      <c r="A74" s="26">
        <v>72</v>
      </c>
      <c r="B74" s="55">
        <f ca="1">IFERROR(__xludf.DUMMYFUNCTION("""COMPUTED_VALUE"""),46121.54643728)</f>
        <v>46121.546437279998</v>
      </c>
      <c r="C74" s="56" t="str">
        <f ca="1">IFERROR(__xludf.DUMMYFUNCTION("""COMPUTED_VALUE"""),"الحر")</f>
        <v>الحر</v>
      </c>
      <c r="D74" s="56" t="str">
        <f ca="1">IFERROR(__xludf.DUMMYFUNCTION("""COMPUTED_VALUE"""),"عيسى صالح ")</f>
        <v xml:space="preserve">عيسى صالح </v>
      </c>
      <c r="E74" s="26" t="str">
        <f ca="1">IFERROR(__xludf.DUMMYFUNCTION("""COMPUTED_VALUE"""),"قسم المشاريع الهندسية")</f>
        <v>قسم المشاريع الهندسية</v>
      </c>
      <c r="F74" s="26" t="str">
        <f ca="1">IFERROR(__xludf.DUMMYFUNCTION("""COMPUTED_VALUE"""),"بين البناية الثالثة والثانية ")</f>
        <v xml:space="preserve">بين البناية الثالثة والثانية </v>
      </c>
      <c r="G74" s="26" t="str">
        <f ca="1">IFERROR(__xludf.DUMMYFUNCTION("""COMPUTED_VALUE"""),"ZONE A - الطابق الارضي")</f>
        <v>ZONE A - الطابق الارضي</v>
      </c>
      <c r="H74" s="26" t="str">
        <f ca="1">IFERROR(__xludf.DUMMYFUNCTION("""COMPUTED_VALUE"""),"عمل فتحه تصريف للماء داخل المولدة بنايه الثالثه")</f>
        <v>عمل فتحه تصريف للماء داخل المولدة بنايه الثالثه</v>
      </c>
      <c r="I74" s="26"/>
      <c r="J74" s="26" t="s">
        <v>16</v>
      </c>
      <c r="K74" s="26" t="s">
        <v>13</v>
      </c>
      <c r="L74" s="55">
        <v>46121.555102800921</v>
      </c>
      <c r="M74" s="26"/>
      <c r="N74" s="4" t="s">
        <v>121</v>
      </c>
    </row>
    <row r="75" spans="1:14" ht="75" customHeight="1" thickTop="1" thickBot="1">
      <c r="A75" s="34">
        <v>73</v>
      </c>
      <c r="B75" s="55">
        <f ca="1">IFERROR(__xludf.DUMMYFUNCTION("""COMPUTED_VALUE"""),46121.5471494907)</f>
        <v>46121.547149490703</v>
      </c>
      <c r="C75" s="56" t="str">
        <f ca="1">IFERROR(__xludf.DUMMYFUNCTION("""COMPUTED_VALUE"""),"الحر")</f>
        <v>الحر</v>
      </c>
      <c r="D75" s="56" t="str">
        <f ca="1">IFERROR(__xludf.DUMMYFUNCTION("""COMPUTED_VALUE"""),"عيسى صالح ")</f>
        <v xml:space="preserve">عيسى صالح </v>
      </c>
      <c r="E75" s="26" t="str">
        <f ca="1">IFERROR(__xludf.DUMMYFUNCTION("""COMPUTED_VALUE"""),"قسم المشاريع الهندسية")</f>
        <v>قسم المشاريع الهندسية</v>
      </c>
      <c r="F75" s="26" t="str">
        <f ca="1">IFERROR(__xludf.DUMMYFUNCTION("""COMPUTED_VALUE"""),"C- المتوسطة (البناية 3)")</f>
        <v>C- المتوسطة (البناية 3)</v>
      </c>
      <c r="G75" s="26" t="str">
        <f ca="1">IFERROR(__xludf.DUMMYFUNCTION("""COMPUTED_VALUE"""),"ZONE B - الطابق الاول")</f>
        <v>ZONE B - الطابق الاول</v>
      </c>
      <c r="H75" s="26" t="str">
        <f ca="1">IFERROR(__xludf.DUMMYFUNCTION("""COMPUTED_VALUE"""),"تثبيت مرد ماء صحيات البنايه الثالثه الطابق الاول zone b")</f>
        <v>تثبيت مرد ماء صحيات البنايه الثالثه الطابق الاول zone b</v>
      </c>
      <c r="I75" s="26"/>
      <c r="J75" s="26" t="s">
        <v>16</v>
      </c>
      <c r="K75" s="26" t="s">
        <v>13</v>
      </c>
      <c r="L75" s="55">
        <v>46121.55516314815</v>
      </c>
      <c r="M75" s="26"/>
      <c r="N75" s="4" t="s">
        <v>121</v>
      </c>
    </row>
    <row r="76" spans="1:14" ht="75" customHeight="1" thickTop="1" thickBot="1">
      <c r="A76" s="26">
        <v>74</v>
      </c>
      <c r="B76" s="55">
        <f ca="1">IFERROR(__xludf.DUMMYFUNCTION("""COMPUTED_VALUE"""),46121.5480014351)</f>
        <v>46121.548001435098</v>
      </c>
      <c r="C76" s="56" t="str">
        <f ca="1">IFERROR(__xludf.DUMMYFUNCTION("""COMPUTED_VALUE"""),"الحر")</f>
        <v>الحر</v>
      </c>
      <c r="D76" s="56" t="str">
        <f ca="1">IFERROR(__xludf.DUMMYFUNCTION("""COMPUTED_VALUE"""),"عيسى صالح ")</f>
        <v xml:space="preserve">عيسى صالح </v>
      </c>
      <c r="E76" s="26" t="str">
        <f ca="1">IFERROR(__xludf.DUMMYFUNCTION("""COMPUTED_VALUE"""),"قسم المشاريع الهندسية")</f>
        <v>قسم المشاريع الهندسية</v>
      </c>
      <c r="F76" s="26" t="str">
        <f ca="1">IFERROR(__xludf.DUMMYFUNCTION("""COMPUTED_VALUE"""),"C- المتوسطة (البناية 3), D- الاعدادية (البناية 4)")</f>
        <v>C- المتوسطة (البناية 3), D- الاعدادية (البناية 4)</v>
      </c>
      <c r="G76" s="26" t="str">
        <f ca="1">IFERROR(__xludf.DUMMYFUNCTION("""COMPUTED_VALUE"""),"جميع الطوابق ")</f>
        <v xml:space="preserve">جميع الطوابق </v>
      </c>
      <c r="H76" s="26" t="str">
        <f ca="1">IFERROR(__xludf.DUMMYFUNCTION("""COMPUTED_VALUE"""),"تم سد فتحات دكت التبريد في المدارس الرابعة و الثالثة جميع الطوابق زون A")</f>
        <v>تم سد فتحات دكت التبريد في المدارس الرابعة و الثالثة جميع الطوابق زون A</v>
      </c>
      <c r="I76" s="26"/>
      <c r="J76" s="26" t="s">
        <v>16</v>
      </c>
      <c r="K76" s="26" t="s">
        <v>13</v>
      </c>
      <c r="L76" s="55">
        <v>46121.55521953704</v>
      </c>
      <c r="M76" s="26"/>
      <c r="N76" s="4" t="s">
        <v>121</v>
      </c>
    </row>
    <row r="77" spans="1:14" ht="75" customHeight="1" thickTop="1" thickBot="1">
      <c r="A77" s="34">
        <v>75</v>
      </c>
      <c r="B77" s="55">
        <f ca="1">IFERROR(__xludf.DUMMYFUNCTION("""COMPUTED_VALUE"""),46121.5485456018)</f>
        <v>46121.5485456018</v>
      </c>
      <c r="C77" s="56" t="str">
        <f ca="1">IFERROR(__xludf.DUMMYFUNCTION("""COMPUTED_VALUE"""),"الحر")</f>
        <v>الحر</v>
      </c>
      <c r="D77" s="56" t="str">
        <f ca="1">IFERROR(__xludf.DUMMYFUNCTION("""COMPUTED_VALUE"""),"عيسى صالح ")</f>
        <v xml:space="preserve">عيسى صالح </v>
      </c>
      <c r="E77" s="26" t="str">
        <f ca="1">IFERROR(__xludf.DUMMYFUNCTION("""COMPUTED_VALUE"""),"قسم المشاريع الهندسية")</f>
        <v>قسم المشاريع الهندسية</v>
      </c>
      <c r="F77" s="26" t="str">
        <f ca="1">IFERROR(__xludf.DUMMYFUNCTION("""COMPUTED_VALUE"""),"B- الابتدائية (البناية 2)")</f>
        <v>B- الابتدائية (البناية 2)</v>
      </c>
      <c r="G77" s="26" t="str">
        <f ca="1">IFERROR(__xludf.DUMMYFUNCTION("""COMPUTED_VALUE"""),"القاعة الرياضية جهة المتوسطة")</f>
        <v>القاعة الرياضية جهة المتوسطة</v>
      </c>
      <c r="H77" s="26" t="str">
        <f ca="1">IFERROR(__xludf.DUMMYFUNCTION("""COMPUTED_VALUE"""),"تم تبديل قفل باب القاعه الرياضية من جهة المدرسه الثالثة")</f>
        <v>تم تبديل قفل باب القاعه الرياضية من جهة المدرسه الثالثة</v>
      </c>
      <c r="I77" s="26"/>
      <c r="J77" s="26" t="s">
        <v>16</v>
      </c>
      <c r="K77" s="26" t="s">
        <v>13</v>
      </c>
      <c r="L77" s="55">
        <v>46121.555286168979</v>
      </c>
      <c r="M77" s="26"/>
      <c r="N77" s="4" t="s">
        <v>121</v>
      </c>
    </row>
    <row r="78" spans="1:14" ht="75" customHeight="1" thickTop="1" thickBot="1">
      <c r="A78" s="26">
        <v>76</v>
      </c>
      <c r="B78" s="55">
        <f ca="1">IFERROR(__xludf.DUMMYFUNCTION("""COMPUTED_VALUE"""),46121.5494005555)</f>
        <v>46121.549400555501</v>
      </c>
      <c r="C78" s="56" t="str">
        <f ca="1">IFERROR(__xludf.DUMMYFUNCTION("""COMPUTED_VALUE"""),"الحر")</f>
        <v>الحر</v>
      </c>
      <c r="D78" s="56" t="str">
        <f ca="1">IFERROR(__xludf.DUMMYFUNCTION("""COMPUTED_VALUE"""),"عيسى صالح ")</f>
        <v xml:space="preserve">عيسى صالح </v>
      </c>
      <c r="E78" s="26" t="str">
        <f ca="1">IFERROR(__xludf.DUMMYFUNCTION("""COMPUTED_VALUE"""),"قسم المشاريع الهندسية")</f>
        <v>قسم المشاريع الهندسية</v>
      </c>
      <c r="F78" s="26" t="str">
        <f ca="1">IFERROR(__xludf.DUMMYFUNCTION("""COMPUTED_VALUE"""),"B- الابتدائية (البناية 2)")</f>
        <v>B- الابتدائية (البناية 2)</v>
      </c>
      <c r="G78" s="26" t="str">
        <f ca="1">IFERROR(__xludf.DUMMYFUNCTION("""COMPUTED_VALUE"""),"القاعة الرياضية جهة الابتدائية")</f>
        <v>القاعة الرياضية جهة الابتدائية</v>
      </c>
      <c r="H78" s="26" t="str">
        <f ca="1">IFERROR(__xludf.DUMMYFUNCTION("""COMPUTED_VALUE"""),"تم تبديل قفل باب القاعه الرياضية من جهة المدرسه الأولى")</f>
        <v>تم تبديل قفل باب القاعه الرياضية من جهة المدرسه الأولى</v>
      </c>
      <c r="I78" s="26"/>
      <c r="J78" s="26" t="s">
        <v>16</v>
      </c>
      <c r="K78" s="26" t="s">
        <v>13</v>
      </c>
      <c r="L78" s="55">
        <v>46121.555336863428</v>
      </c>
      <c r="M78" s="26"/>
      <c r="N78" s="4" t="s">
        <v>121</v>
      </c>
    </row>
    <row r="79" spans="1:14" ht="75" customHeight="1" thickTop="1" thickBot="1">
      <c r="A79" s="34">
        <v>77</v>
      </c>
      <c r="B79" s="55">
        <f ca="1">IFERROR(__xludf.DUMMYFUNCTION("""COMPUTED_VALUE"""),46121.5501070601)</f>
        <v>46121.550107060102</v>
      </c>
      <c r="C79" s="56" t="str">
        <f ca="1">IFERROR(__xludf.DUMMYFUNCTION("""COMPUTED_VALUE"""),"الحر")</f>
        <v>الحر</v>
      </c>
      <c r="D79" s="56" t="str">
        <f ca="1">IFERROR(__xludf.DUMMYFUNCTION("""COMPUTED_VALUE"""),"عيسى صالح ")</f>
        <v xml:space="preserve">عيسى صالح </v>
      </c>
      <c r="E79" s="26" t="str">
        <f ca="1">IFERROR(__xludf.DUMMYFUNCTION("""COMPUTED_VALUE"""),"قسم المشاريع الهندسية")</f>
        <v>قسم المشاريع الهندسية</v>
      </c>
      <c r="F79" s="26" t="str">
        <f ca="1">IFERROR(__xludf.DUMMYFUNCTION("""COMPUTED_VALUE"""),"C- المتوسطة (البناية 3)")</f>
        <v>C- المتوسطة (البناية 3)</v>
      </c>
      <c r="G79" s="26" t="str">
        <f ca="1">IFERROR(__xludf.DUMMYFUNCTION("""COMPUTED_VALUE"""),"ZONE B - الطابق الارضي")</f>
        <v>ZONE B - الطابق الارضي</v>
      </c>
      <c r="H79" s="26" t="str">
        <f ca="1">IFERROR(__xludf.DUMMYFUNCTION("""COMPUTED_VALUE"""),"تم صيانه يده باب pvc  غرفه الضيافه ارضي زون A المدرسة الثالثة")</f>
        <v>تم صيانه يده باب pvc  غرفه الضيافه ارضي زون A المدرسة الثالثة</v>
      </c>
      <c r="I79" s="26"/>
      <c r="J79" s="26" t="s">
        <v>16</v>
      </c>
      <c r="K79" s="26" t="s">
        <v>13</v>
      </c>
      <c r="L79" s="55">
        <v>46121.555377962963</v>
      </c>
      <c r="M79" s="26"/>
      <c r="N79" s="4" t="s">
        <v>121</v>
      </c>
    </row>
    <row r="80" spans="1:14" ht="75" customHeight="1" thickTop="1" thickBot="1">
      <c r="A80" s="26">
        <v>78</v>
      </c>
      <c r="B80" s="55">
        <f ca="1">IFERROR(__xludf.DUMMYFUNCTION("""COMPUTED_VALUE"""),46121.552368449)</f>
        <v>46121.552368449004</v>
      </c>
      <c r="C80" s="56" t="str">
        <f ca="1">IFERROR(__xludf.DUMMYFUNCTION("""COMPUTED_VALUE"""),"الحر")</f>
        <v>الحر</v>
      </c>
      <c r="D80" s="56" t="str">
        <f ca="1">IFERROR(__xludf.DUMMYFUNCTION("""COMPUTED_VALUE"""),"عيسى صالح ")</f>
        <v xml:space="preserve">عيسى صالح </v>
      </c>
      <c r="E80" s="26" t="str">
        <f ca="1">IFERROR(__xludf.DUMMYFUNCTION("""COMPUTED_VALUE"""),"قسم المشاريع الهندسية")</f>
        <v>قسم المشاريع الهندسية</v>
      </c>
      <c r="F80" s="26" t="str">
        <f ca="1">IFERROR(__xludf.DUMMYFUNCTION("""COMPUTED_VALUE"""),"C- المتوسطة (البناية 3), D- الاعدادية (البناية 4)")</f>
        <v>C- المتوسطة (البناية 3), D- الاعدادية (البناية 4)</v>
      </c>
      <c r="G80" s="26" t="str">
        <f ca="1">IFERROR(__xludf.DUMMYFUNCTION("""COMPUTED_VALUE"""),"جميع الطوابق ")</f>
        <v xml:space="preserve">جميع الطوابق </v>
      </c>
      <c r="H80" s="26" t="str">
        <f ca="1">IFERROR(__xludf.DUMMYFUNCTION("""COMPUTED_VALUE"""),"اعمال غلق فتحات الدكت في صحيات الزون A المدرسة الثالث والرابعة 
(عدد ٧صحيات)")</f>
        <v>اعمال غلق فتحات الدكت في صحيات الزون A المدرسة الثالث والرابعة 
(عدد ٧صحيات)</v>
      </c>
      <c r="I80" s="26"/>
      <c r="J80" s="26" t="s">
        <v>16</v>
      </c>
      <c r="K80" s="26" t="s">
        <v>13</v>
      </c>
      <c r="L80" s="55">
        <v>46121.555486504629</v>
      </c>
      <c r="M80" s="26"/>
      <c r="N80" s="4" t="s">
        <v>121</v>
      </c>
    </row>
    <row r="81" spans="1:14" ht="75" customHeight="1" thickTop="1" thickBot="1">
      <c r="A81" s="34">
        <v>79</v>
      </c>
      <c r="B81" s="55">
        <f ca="1">IFERROR(__xludf.DUMMYFUNCTION("""COMPUTED_VALUE"""),46121.5540372916)</f>
        <v>46121.5540372916</v>
      </c>
      <c r="C81" s="56" t="str">
        <f ca="1">IFERROR(__xludf.DUMMYFUNCTION("""COMPUTED_VALUE"""),"الحر")</f>
        <v>الحر</v>
      </c>
      <c r="D81" s="56" t="str">
        <f ca="1">IFERROR(__xludf.DUMMYFUNCTION("""COMPUTED_VALUE"""),"عيسى صالح ")</f>
        <v xml:space="preserve">عيسى صالح </v>
      </c>
      <c r="E81" s="26" t="str">
        <f ca="1">IFERROR(__xludf.DUMMYFUNCTION("""COMPUTED_VALUE"""),"قسم المشاريع الهندسية")</f>
        <v>قسم المشاريع الهندسية</v>
      </c>
      <c r="F81" s="26" t="str">
        <f ca="1">IFERROR(__xludf.DUMMYFUNCTION("""COMPUTED_VALUE"""),"C- المتوسطة (البناية 3)")</f>
        <v>C- المتوسطة (البناية 3)</v>
      </c>
      <c r="G81" s="26" t="str">
        <f ca="1">IFERROR(__xludf.DUMMYFUNCTION("""COMPUTED_VALUE"""),"ZONE A - الطابق الاول")</f>
        <v>ZONE A - الطابق الاول</v>
      </c>
      <c r="H81" s="26" t="str">
        <f ca="1">IFERROR(__xludf.DUMMYFUNCTION("""COMPUTED_VALUE"""),"أعمال غلق الفتحات  المحيطه بدكت التبريد في منور الصحيات البنايه الرابعه  الطابق الأول zone a")</f>
        <v>أعمال غلق الفتحات  المحيطه بدكت التبريد في منور الصحيات البنايه الرابعه  الطابق الأول zone a</v>
      </c>
      <c r="I81" s="26"/>
      <c r="J81" s="26" t="s">
        <v>16</v>
      </c>
      <c r="K81" s="26" t="s">
        <v>13</v>
      </c>
      <c r="L81" s="55">
        <v>46121.555528124998</v>
      </c>
      <c r="M81" s="26"/>
      <c r="N81" s="4" t="s">
        <v>121</v>
      </c>
    </row>
    <row r="82" spans="1:14" ht="75" customHeight="1" thickTop="1" thickBot="1">
      <c r="A82" s="26">
        <v>80</v>
      </c>
      <c r="B82" s="55">
        <f ca="1">IFERROR(__xludf.DUMMYFUNCTION("""COMPUTED_VALUE"""),46121.5547051736)</f>
        <v>46121.554705173599</v>
      </c>
      <c r="C82" s="56" t="str">
        <f ca="1">IFERROR(__xludf.DUMMYFUNCTION("""COMPUTED_VALUE"""),"الحر")</f>
        <v>الحر</v>
      </c>
      <c r="D82" s="56" t="str">
        <f ca="1">IFERROR(__xludf.DUMMYFUNCTION("""COMPUTED_VALUE"""),"عيسى صالح ")</f>
        <v xml:space="preserve">عيسى صالح </v>
      </c>
      <c r="E82" s="26" t="str">
        <f ca="1">IFERROR(__xludf.DUMMYFUNCTION("""COMPUTED_VALUE"""),"قسم المشاريع الهندسية")</f>
        <v>قسم المشاريع الهندسية</v>
      </c>
      <c r="F82" s="26" t="str">
        <f ca="1">IFERROR(__xludf.DUMMYFUNCTION("""COMPUTED_VALUE"""),"C- المتوسطة (البناية 3)")</f>
        <v>C- المتوسطة (البناية 3)</v>
      </c>
      <c r="G82" s="26" t="str">
        <f ca="1">IFERROR(__xludf.DUMMYFUNCTION("""COMPUTED_VALUE"""),"ZONE A - الطابق الثاني")</f>
        <v>ZONE A - الطابق الثاني</v>
      </c>
      <c r="H82" s="26" t="str">
        <f ca="1">IFERROR(__xludf.DUMMYFUNCTION("""COMPUTED_VALUE"""),"أعمال وضع معجون الشبابيك البنايه الثالثه الطابق الثاني zone A")</f>
        <v>أعمال وضع معجون الشبابيك البنايه الثالثه الطابق الثاني zone A</v>
      </c>
      <c r="I82" s="26"/>
      <c r="J82" s="26" t="s">
        <v>16</v>
      </c>
      <c r="K82" s="26" t="s">
        <v>13</v>
      </c>
      <c r="L82" s="55">
        <v>46121.555576898143</v>
      </c>
      <c r="M82" s="26"/>
      <c r="N82" s="4" t="s">
        <v>121</v>
      </c>
    </row>
    <row r="83" spans="1:14" ht="75" customHeight="1" thickTop="1" thickBot="1">
      <c r="A83" s="34">
        <v>81</v>
      </c>
      <c r="B83" s="55">
        <f ca="1">IFERROR(__xludf.DUMMYFUNCTION("""COMPUTED_VALUE"""),46121.5645330902)</f>
        <v>46121.564533090197</v>
      </c>
      <c r="C83" s="56" t="str">
        <f ca="1">IFERROR(__xludf.DUMMYFUNCTION("""COMPUTED_VALUE"""),"الحر")</f>
        <v>الحر</v>
      </c>
      <c r="D83" s="56" t="str">
        <f ca="1">IFERROR(__xludf.DUMMYFUNCTION("""COMPUTED_VALUE"""),"عيسى صالح ")</f>
        <v xml:space="preserve">عيسى صالح </v>
      </c>
      <c r="E83" s="26" t="str">
        <f ca="1">IFERROR(__xludf.DUMMYFUNCTION("""COMPUTED_VALUE"""),"قسم المشاريع الهندسية")</f>
        <v>قسم المشاريع الهندسية</v>
      </c>
      <c r="F83" s="26" t="str">
        <f ca="1">IFERROR(__xludf.DUMMYFUNCTION("""COMPUTED_VALUE"""),"C- المتوسطة (البناية 3)")</f>
        <v>C- المتوسطة (البناية 3)</v>
      </c>
      <c r="G83" s="26" t="str">
        <f ca="1">IFERROR(__xludf.DUMMYFUNCTION("""COMPUTED_VALUE"""),"ZONE B - الطابق الارضي")</f>
        <v>ZONE B - الطابق الارضي</v>
      </c>
      <c r="H83" s="26" t="str">
        <f ca="1">IFERROR(__xludf.DUMMYFUNCTION("""COMPUTED_VALUE"""),"تبديل قطع سقف ثانوي عدد٢ البنايه الثالثه الطابق الأرضي zone b")</f>
        <v>تبديل قطع سقف ثانوي عدد٢ البنايه الثالثه الطابق الأرضي zone b</v>
      </c>
      <c r="I83" s="26"/>
      <c r="J83" s="26" t="s">
        <v>16</v>
      </c>
      <c r="K83" s="26" t="s">
        <v>13</v>
      </c>
      <c r="L83" s="55">
        <v>46121.564693564811</v>
      </c>
      <c r="M83" s="26"/>
      <c r="N83" s="4" t="s">
        <v>121</v>
      </c>
    </row>
    <row r="84" spans="1:14" ht="75" customHeight="1" thickTop="1" thickBot="1">
      <c r="A84" s="26">
        <v>82</v>
      </c>
      <c r="B84" s="55">
        <f ca="1">IFERROR(__xludf.DUMMYFUNCTION("""COMPUTED_VALUE"""),46124.5972941435)</f>
        <v>46124.597294143503</v>
      </c>
      <c r="C84" s="56" t="str">
        <f ca="1">IFERROR(__xludf.DUMMYFUNCTION("""COMPUTED_VALUE"""),"الحر")</f>
        <v>الحر</v>
      </c>
      <c r="D84" s="56" t="str">
        <f ca="1">IFERROR(__xludf.DUMMYFUNCTION("""COMPUTED_VALUE"""),"عيسى صالح ")</f>
        <v xml:space="preserve">عيسى صالح </v>
      </c>
      <c r="E84" s="26" t="str">
        <f ca="1">IFERROR(__xludf.DUMMYFUNCTION("""COMPUTED_VALUE"""),"قسم المشاريع الهندسية")</f>
        <v>قسم المشاريع الهندسية</v>
      </c>
      <c r="F84" s="26" t="str">
        <f ca="1">IFERROR(__xludf.DUMMYFUNCTION("""COMPUTED_VALUE"""),"A- الابتدائية (البناية 1)")</f>
        <v>A- الابتدائية (البناية 1)</v>
      </c>
      <c r="G84" s="26" t="str">
        <f ca="1">IFERROR(__xludf.DUMMYFUNCTION("""COMPUTED_VALUE"""),"ZONE B - الطابق الارضي, ZONE B - الطابق الاول, ZONE B - الطابق الثاني")</f>
        <v>ZONE B - الطابق الارضي, ZONE B - الطابق الاول, ZONE B - الطابق الثاني</v>
      </c>
      <c r="H84" s="26" t="str">
        <f ca="1">IFERROR(__xludf.DUMMYFUNCTION("""COMPUTED_VALUE"""),"تم إرجاع السقف الثانوي البنايه الأولى زون B طابق الارضي ١٥ 
طابق اول ٣٠ طابق الثاني ٢٥")</f>
        <v>تم إرجاع السقف الثانوي البنايه الأولى زون B طابق الارضي ١٥ 
طابق اول ٣٠ طابق الثاني ٢٥</v>
      </c>
      <c r="I84" s="26"/>
      <c r="J84" s="26" t="s">
        <v>16</v>
      </c>
      <c r="K84" s="26" t="s">
        <v>13</v>
      </c>
      <c r="L84" s="55">
        <v>46124.612333773148</v>
      </c>
      <c r="M84" s="26"/>
      <c r="N84" s="4" t="s">
        <v>121</v>
      </c>
    </row>
    <row r="85" spans="1:14" ht="75" customHeight="1" thickTop="1" thickBot="1">
      <c r="A85" s="34">
        <v>83</v>
      </c>
      <c r="B85" s="55">
        <f ca="1">IFERROR(__xludf.DUMMYFUNCTION("""COMPUTED_VALUE"""),46124.59902375)</f>
        <v>46124.599023750001</v>
      </c>
      <c r="C85" s="56" t="str">
        <f ca="1">IFERROR(__xludf.DUMMYFUNCTION("""COMPUTED_VALUE"""),"الحر")</f>
        <v>الحر</v>
      </c>
      <c r="D85" s="56" t="str">
        <f ca="1">IFERROR(__xludf.DUMMYFUNCTION("""COMPUTED_VALUE"""),"عيسى صالح ")</f>
        <v xml:space="preserve">عيسى صالح </v>
      </c>
      <c r="E85" s="26" t="str">
        <f ca="1">IFERROR(__xludf.DUMMYFUNCTION("""COMPUTED_VALUE"""),"قسم المشاريع الهندسية")</f>
        <v>قسم المشاريع الهندسية</v>
      </c>
      <c r="F85" s="26" t="str">
        <f ca="1">IFERROR(__xludf.DUMMYFUNCTION("""COMPUTED_VALUE"""),"D- الاعدادية (البناية 4)")</f>
        <v>D- الاعدادية (البناية 4)</v>
      </c>
      <c r="G85" s="26" t="str">
        <f ca="1">IFERROR(__xludf.DUMMYFUNCTION("""COMPUTED_VALUE"""),"ZONE A - الطابق الاول")</f>
        <v>ZONE A - الطابق الاول</v>
      </c>
      <c r="H85" s="26" t="str">
        <f ca="1">IFERROR(__xludf.DUMMYFUNCTION("""COMPUTED_VALUE"""),"فتح وتفريغ صندوق المقترحات (لنستمع إليك)البناية الرابعة – الطابق الأول – الزون (A) غرفة الارشاد التربوي")</f>
        <v>فتح وتفريغ صندوق المقترحات (لنستمع إليك)البناية الرابعة – الطابق الأول – الزون (A) غرفة الارشاد التربوي</v>
      </c>
      <c r="I85" s="26"/>
      <c r="J85" s="26" t="s">
        <v>16</v>
      </c>
      <c r="K85" s="26" t="s">
        <v>13</v>
      </c>
      <c r="L85" s="55"/>
      <c r="M85" s="26"/>
      <c r="N85" s="4" t="s">
        <v>121</v>
      </c>
    </row>
    <row r="86" spans="1:14" ht="75" customHeight="1" thickTop="1" thickBot="1">
      <c r="A86" s="26">
        <v>84</v>
      </c>
      <c r="B86" s="55">
        <f ca="1">IFERROR(__xludf.DUMMYFUNCTION("""COMPUTED_VALUE"""),46124.5997627893)</f>
        <v>46124.599762789301</v>
      </c>
      <c r="C86" s="56" t="str">
        <f ca="1">IFERROR(__xludf.DUMMYFUNCTION("""COMPUTED_VALUE"""),"الحر")</f>
        <v>الحر</v>
      </c>
      <c r="D86" s="56" t="str">
        <f ca="1">IFERROR(__xludf.DUMMYFUNCTION("""COMPUTED_VALUE"""),"عيسى صالح ")</f>
        <v xml:space="preserve">عيسى صالح </v>
      </c>
      <c r="E86" s="26" t="str">
        <f ca="1">IFERROR(__xludf.DUMMYFUNCTION("""COMPUTED_VALUE"""),"قسم المشاريع الهندسية")</f>
        <v>قسم المشاريع الهندسية</v>
      </c>
      <c r="F86" s="26" t="str">
        <f ca="1">IFERROR(__xludf.DUMMYFUNCTION("""COMPUTED_VALUE"""),"C- المتوسطة (البناية 3)")</f>
        <v>C- المتوسطة (البناية 3)</v>
      </c>
      <c r="G86" s="26" t="str">
        <f ca="1">IFERROR(__xludf.DUMMYFUNCTION("""COMPUTED_VALUE"""),"ZONE A - الطابق الثاني")</f>
        <v>ZONE A - الطابق الثاني</v>
      </c>
      <c r="H86" s="26" t="str">
        <f ca="1">IFERROR(__xludf.DUMMYFUNCTION("""COMPUTED_VALUE"""),"تركيب صيانة تاير حاويه نفايات البنايه الثالثه الطابق الثاني")</f>
        <v>تركيب صيانة تاير حاويه نفايات البنايه الثالثه الطابق الثاني</v>
      </c>
      <c r="I86" s="26"/>
      <c r="J86" s="26" t="s">
        <v>16</v>
      </c>
      <c r="K86" s="26" t="s">
        <v>13</v>
      </c>
      <c r="L86" s="55"/>
      <c r="M86" s="26"/>
      <c r="N86" s="4" t="s">
        <v>121</v>
      </c>
    </row>
    <row r="87" spans="1:14" ht="75" customHeight="1" thickTop="1" thickBot="1">
      <c r="A87" s="34">
        <v>85</v>
      </c>
      <c r="B87" s="55">
        <f ca="1">IFERROR(__xludf.DUMMYFUNCTION("""COMPUTED_VALUE"""),46124.6006645486)</f>
        <v>46124.600664548598</v>
      </c>
      <c r="C87" s="56" t="str">
        <f ca="1">IFERROR(__xludf.DUMMYFUNCTION("""COMPUTED_VALUE"""),"الحر")</f>
        <v>الحر</v>
      </c>
      <c r="D87" s="56" t="str">
        <f ca="1">IFERROR(__xludf.DUMMYFUNCTION("""COMPUTED_VALUE"""),"عيسى صالح ")</f>
        <v xml:space="preserve">عيسى صالح </v>
      </c>
      <c r="E87" s="26" t="str">
        <f ca="1">IFERROR(__xludf.DUMMYFUNCTION("""COMPUTED_VALUE"""),"قسم المشاريع الهندسية")</f>
        <v>قسم المشاريع الهندسية</v>
      </c>
      <c r="F87" s="26" t="str">
        <f ca="1">IFERROR(__xludf.DUMMYFUNCTION("""COMPUTED_VALUE"""),"C- المتوسطة (البناية 3)")</f>
        <v>C- المتوسطة (البناية 3)</v>
      </c>
      <c r="G87" s="26" t="str">
        <f ca="1">IFERROR(__xludf.DUMMYFUNCTION("""COMPUTED_VALUE"""),"ZONE A - الطابق الارضي")</f>
        <v>ZONE A - الطابق الارضي</v>
      </c>
      <c r="H87" s="26" t="str">
        <f ca="1">IFERROR(__xludf.DUMMYFUNCTION("""COMPUTED_VALUE"""),"أعاده تركيب قطعه المرمر المتضررة في درج البنايه الثالثه جه الاستعلامات")</f>
        <v>أعاده تركيب قطعه المرمر المتضررة في درج البنايه الثالثه جه الاستعلامات</v>
      </c>
      <c r="I87" s="26"/>
      <c r="J87" s="26" t="s">
        <v>16</v>
      </c>
      <c r="K87" s="26" t="s">
        <v>13</v>
      </c>
      <c r="L87" s="55"/>
      <c r="M87" s="26"/>
      <c r="N87" s="4" t="s">
        <v>121</v>
      </c>
    </row>
    <row r="88" spans="1:14" ht="75" customHeight="1" thickTop="1" thickBot="1">
      <c r="A88" s="26">
        <v>86</v>
      </c>
      <c r="B88" s="55">
        <f ca="1">IFERROR(__xludf.DUMMYFUNCTION("""COMPUTED_VALUE"""),46124.6179379745)</f>
        <v>46124.617937974501</v>
      </c>
      <c r="C88" s="56" t="str">
        <f ca="1">IFERROR(__xludf.DUMMYFUNCTION("""COMPUTED_VALUE"""),"الحر")</f>
        <v>الحر</v>
      </c>
      <c r="D88" s="56" t="str">
        <f ca="1">IFERROR(__xludf.DUMMYFUNCTION("""COMPUTED_VALUE"""),"عيسى صالح ")</f>
        <v xml:space="preserve">عيسى صالح </v>
      </c>
      <c r="E88" s="26" t="str">
        <f ca="1">IFERROR(__xludf.DUMMYFUNCTION("""COMPUTED_VALUE"""),"قسم المشاريع الهندسية")</f>
        <v>قسم المشاريع الهندسية</v>
      </c>
      <c r="F88" s="26" t="str">
        <f ca="1">IFERROR(__xludf.DUMMYFUNCTION("""COMPUTED_VALUE"""),"C- المتوسطة (البناية 3)")</f>
        <v>C- المتوسطة (البناية 3)</v>
      </c>
      <c r="G88" s="26" t="str">
        <f ca="1">IFERROR(__xludf.DUMMYFUNCTION("""COMPUTED_VALUE"""),"ZONE B - الطابق الاول, ZONE B - الطابق الثاني")</f>
        <v>ZONE B - الطابق الاول, ZONE B - الطابق الثاني</v>
      </c>
      <c r="H88" s="26" t="str">
        <f ca="1">IFERROR(__xludf.DUMMYFUNCTION("""COMPUTED_VALUE"""),"أعاده تركيب السقف الثانوي للبنايه الثالثه الطابق الاول والثاني عدد 100 قطعه مع اعاده ترتيب وتركب مفاصل السقف الثانوي")</f>
        <v>أعاده تركيب السقف الثانوي للبنايه الثالثه الطابق الاول والثاني عدد 100 قطعه مع اعاده ترتيب وتركب مفاصل السقف الثانوي</v>
      </c>
      <c r="I88" s="26"/>
      <c r="J88" s="26" t="s">
        <v>16</v>
      </c>
      <c r="K88" s="26" t="s">
        <v>13</v>
      </c>
      <c r="L88" s="55">
        <v>46124.63054543981</v>
      </c>
      <c r="M88" s="26"/>
      <c r="N88" s="4" t="s">
        <v>121</v>
      </c>
    </row>
    <row r="89" spans="1:14" ht="75" customHeight="1" thickTop="1" thickBot="1">
      <c r="A89" s="34">
        <v>87</v>
      </c>
      <c r="B89" s="55">
        <f ca="1">IFERROR(__xludf.DUMMYFUNCTION("""COMPUTED_VALUE"""),46124.6193243981)</f>
        <v>46124.619324398103</v>
      </c>
      <c r="C89" s="56" t="str">
        <f ca="1">IFERROR(__xludf.DUMMYFUNCTION("""COMPUTED_VALUE"""),"الحر")</f>
        <v>الحر</v>
      </c>
      <c r="D89" s="56" t="str">
        <f ca="1">IFERROR(__xludf.DUMMYFUNCTION("""COMPUTED_VALUE"""),"عيسى صالح ")</f>
        <v xml:space="preserve">عيسى صالح </v>
      </c>
      <c r="E89" s="26" t="str">
        <f ca="1">IFERROR(__xludf.DUMMYFUNCTION("""COMPUTED_VALUE"""),"قسم المشاريع الهندسية")</f>
        <v>قسم المشاريع الهندسية</v>
      </c>
      <c r="F89" s="26" t="str">
        <f ca="1">IFERROR(__xludf.DUMMYFUNCTION("""COMPUTED_VALUE"""),"A- الابتدائية (البناية 1)")</f>
        <v>A- الابتدائية (البناية 1)</v>
      </c>
      <c r="G89" s="26" t="str">
        <f ca="1">IFERROR(__xludf.DUMMYFUNCTION("""COMPUTED_VALUE"""),"ZONE A - الطابق الارضي")</f>
        <v>ZONE A - الطابق الارضي</v>
      </c>
      <c r="H89" s="26" t="str">
        <f ca="1">IFERROR(__xludf.DUMMYFUNCTION("""COMPUTED_VALUE"""),"إعادة تثبيت وتركيب شريط الميز الخشبي المتضرر الخاص (بمرسم) البناية الأولى - الزون A - الطابق الأرضي")</f>
        <v>إعادة تثبيت وتركيب شريط الميز الخشبي المتضرر الخاص (بمرسم) البناية الأولى - الزون A - الطابق الأرضي</v>
      </c>
      <c r="I89" s="26"/>
      <c r="J89" s="26" t="s">
        <v>16</v>
      </c>
      <c r="K89" s="26" t="s">
        <v>13</v>
      </c>
      <c r="L89" s="55">
        <v>46124.630589618057</v>
      </c>
      <c r="M89" s="26"/>
      <c r="N89" s="4" t="s">
        <v>121</v>
      </c>
    </row>
    <row r="90" spans="1:14" ht="75" customHeight="1" thickTop="1" thickBot="1">
      <c r="A90" s="26">
        <v>88</v>
      </c>
      <c r="B90" s="55">
        <f ca="1">IFERROR(__xludf.DUMMYFUNCTION("""COMPUTED_VALUE"""),46124.6208917129)</f>
        <v>46124.620891712897</v>
      </c>
      <c r="C90" s="56" t="str">
        <f ca="1">IFERROR(__xludf.DUMMYFUNCTION("""COMPUTED_VALUE"""),"الحر")</f>
        <v>الحر</v>
      </c>
      <c r="D90" s="56" t="str">
        <f ca="1">IFERROR(__xludf.DUMMYFUNCTION("""COMPUTED_VALUE"""),"عيسى صالح ")</f>
        <v xml:space="preserve">عيسى صالح </v>
      </c>
      <c r="E90" s="26" t="str">
        <f ca="1">IFERROR(__xludf.DUMMYFUNCTION("""COMPUTED_VALUE"""),"قسم المشاريع الهندسية")</f>
        <v>قسم المشاريع الهندسية</v>
      </c>
      <c r="F90" s="26" t="str">
        <f ca="1">IFERROR(__xludf.DUMMYFUNCTION("""COMPUTED_VALUE"""),"A- الابتدائية (البناية 1)")</f>
        <v>A- الابتدائية (البناية 1)</v>
      </c>
      <c r="G90" s="26" t="str">
        <f ca="1">IFERROR(__xludf.DUMMYFUNCTION("""COMPUTED_VALUE"""),"ZONE A - الطابق الثاني")</f>
        <v>ZONE A - الطابق الثاني</v>
      </c>
      <c r="H90" s="26" t="str">
        <f ca="1">IFERROR(__xludf.DUMMYFUNCTION("""COMPUTED_VALUE"""),"1_تبديل مقابض (يدات) شبابيك حديد تالفة عدد (3)
2_تركيب قفل شباك قلاب جديد عدد (1)
البناية الأولى - الطابق الثاني
المصلى")</f>
        <v>1_تبديل مقابض (يدات) شبابيك حديد تالفة عدد (3)
2_تركيب قفل شباك قلاب جديد عدد (1)
البناية الأولى - الطابق الثاني
المصلى</v>
      </c>
      <c r="I90" s="26"/>
      <c r="J90" s="26" t="s">
        <v>16</v>
      </c>
      <c r="K90" s="26" t="s">
        <v>13</v>
      </c>
      <c r="L90" s="55">
        <v>46124.630699143519</v>
      </c>
      <c r="M90" s="26"/>
      <c r="N90" s="4" t="s">
        <v>121</v>
      </c>
    </row>
    <row r="91" spans="1:14" ht="75" customHeight="1" thickTop="1" thickBot="1">
      <c r="A91" s="34">
        <v>89</v>
      </c>
      <c r="B91" s="55">
        <f ca="1">IFERROR(__xludf.DUMMYFUNCTION("""COMPUTED_VALUE"""),46124.6218529398)</f>
        <v>46124.621852939803</v>
      </c>
      <c r="C91" s="56" t="str">
        <f ca="1">IFERROR(__xludf.DUMMYFUNCTION("""COMPUTED_VALUE"""),"الحر")</f>
        <v>الحر</v>
      </c>
      <c r="D91" s="56" t="str">
        <f ca="1">IFERROR(__xludf.DUMMYFUNCTION("""COMPUTED_VALUE"""),"عيسى صالح ")</f>
        <v xml:space="preserve">عيسى صالح </v>
      </c>
      <c r="E91" s="26" t="str">
        <f ca="1">IFERROR(__xludf.DUMMYFUNCTION("""COMPUTED_VALUE"""),"قسم المشاريع الهندسية")</f>
        <v>قسم المشاريع الهندسية</v>
      </c>
      <c r="F91" s="26" t="str">
        <f ca="1">IFERROR(__xludf.DUMMYFUNCTION("""COMPUTED_VALUE"""),"A- الابتدائية (البناية 1)")</f>
        <v>A- الابتدائية (البناية 1)</v>
      </c>
      <c r="G91" s="26" t="str">
        <f ca="1">IFERROR(__xludf.DUMMYFUNCTION("""COMPUTED_VALUE"""),"ZONE B - الطابق الارضي")</f>
        <v>ZONE B - الطابق الارضي</v>
      </c>
      <c r="H91" s="26" t="str">
        <f ca="1">IFERROR(__xludf.DUMMYFUNCTION("""COMPUTED_VALUE"""),"صيانة وإصلاح خشبة جدارية (البناية الأولى)
الطابق الأرضي - الزون B - الصف الرابع الابتدائي (ب)")</f>
        <v>صيانة وإصلاح خشبة جدارية (البناية الأولى)
الطابق الأرضي - الزون B - الصف الرابع الابتدائي (ب)</v>
      </c>
      <c r="I91" s="26"/>
      <c r="J91" s="26" t="s">
        <v>16</v>
      </c>
      <c r="K91" s="26" t="s">
        <v>13</v>
      </c>
      <c r="L91" s="55">
        <v>46124.630741284724</v>
      </c>
      <c r="M91" s="26"/>
      <c r="N91" s="4" t="s">
        <v>121</v>
      </c>
    </row>
    <row r="92" spans="1:14" ht="75" customHeight="1" thickTop="1" thickBot="1">
      <c r="A92" s="26">
        <v>90</v>
      </c>
      <c r="B92" s="55">
        <f ca="1">IFERROR(__xludf.DUMMYFUNCTION("""COMPUTED_VALUE"""),46124.6230192824)</f>
        <v>46124.6230192824</v>
      </c>
      <c r="C92" s="56" t="str">
        <f ca="1">IFERROR(__xludf.DUMMYFUNCTION("""COMPUTED_VALUE"""),"الحر")</f>
        <v>الحر</v>
      </c>
      <c r="D92" s="56" t="str">
        <f ca="1">IFERROR(__xludf.DUMMYFUNCTION("""COMPUTED_VALUE"""),"عيسى صالح ")</f>
        <v xml:space="preserve">عيسى صالح </v>
      </c>
      <c r="E92" s="26" t="str">
        <f ca="1">IFERROR(__xludf.DUMMYFUNCTION("""COMPUTED_VALUE"""),"قسم المشاريع الهندسية")</f>
        <v>قسم المشاريع الهندسية</v>
      </c>
      <c r="F92" s="26" t="str">
        <f ca="1">IFERROR(__xludf.DUMMYFUNCTION("""COMPUTED_VALUE"""),"A- الابتدائية (البناية 1)")</f>
        <v>A- الابتدائية (البناية 1)</v>
      </c>
      <c r="G92" s="26" t="str">
        <f ca="1">IFERROR(__xludf.DUMMYFUNCTION("""COMPUTED_VALUE"""),"ZONE A - الطابق الارضي")</f>
        <v>ZONE A - الطابق الارضي</v>
      </c>
      <c r="H92" s="26" t="str">
        <f ca="1">IFERROR(__xludf.DUMMYFUNCTION("""COMPUTED_VALUE"""),"إعادة تركيب الأجزاء المنفصلة (مساند الذراعين والقواعد) للكراسي(الهيدروليك)
البناية الأولى - الطابق الأرضي - الزون A صف المرسم")</f>
        <v>إعادة تركيب الأجزاء المنفصلة (مساند الذراعين والقواعد) للكراسي(الهيدروليك)
البناية الأولى - الطابق الأرضي - الزون A صف المرسم</v>
      </c>
      <c r="I92" s="26"/>
      <c r="J92" s="26" t="s">
        <v>16</v>
      </c>
      <c r="K92" s="26" t="s">
        <v>13</v>
      </c>
      <c r="L92" s="55">
        <v>46124.630796400466</v>
      </c>
      <c r="M92" s="26"/>
      <c r="N92" s="4" t="s">
        <v>121</v>
      </c>
    </row>
    <row r="93" spans="1:14" ht="75" customHeight="1" thickTop="1" thickBot="1">
      <c r="A93" s="34">
        <v>91</v>
      </c>
      <c r="B93" s="55">
        <f ca="1">IFERROR(__xludf.DUMMYFUNCTION("""COMPUTED_VALUE"""),46124.6239564467)</f>
        <v>46124.623956446703</v>
      </c>
      <c r="C93" s="56" t="str">
        <f ca="1">IFERROR(__xludf.DUMMYFUNCTION("""COMPUTED_VALUE"""),"الحر")</f>
        <v>الحر</v>
      </c>
      <c r="D93" s="56" t="str">
        <f ca="1">IFERROR(__xludf.DUMMYFUNCTION("""COMPUTED_VALUE"""),"عيسى صالح ")</f>
        <v xml:space="preserve">عيسى صالح </v>
      </c>
      <c r="E93" s="26" t="str">
        <f ca="1">IFERROR(__xludf.DUMMYFUNCTION("""COMPUTED_VALUE"""),"قسم المشاريع الهندسية")</f>
        <v>قسم المشاريع الهندسية</v>
      </c>
      <c r="F93" s="26" t="str">
        <f ca="1">IFERROR(__xludf.DUMMYFUNCTION("""COMPUTED_VALUE"""),"A- الابتدائية (البناية 1)")</f>
        <v>A- الابتدائية (البناية 1)</v>
      </c>
      <c r="G93" s="26" t="str">
        <f ca="1">IFERROR(__xludf.DUMMYFUNCTION("""COMPUTED_VALUE"""),"ZONE B - الطابق الارضي")</f>
        <v>ZONE B - الطابق الارضي</v>
      </c>
      <c r="H93" s="26" t="str">
        <f ca="1">IFERROR(__xludf.DUMMYFUNCTION("""COMPUTED_VALUE"""),"إجراء أعمال الصيانة الدورية لجرجوبة (إطار) الباب الخشبي الخاص بصف الرابع الابتدائي (أ) البناية الاولى الطابق الارضي الزونB")</f>
        <v>إجراء أعمال الصيانة الدورية لجرجوبة (إطار) الباب الخشبي الخاص بصف الرابع الابتدائي (أ) البناية الاولى الطابق الارضي الزونB</v>
      </c>
      <c r="I93" s="26"/>
      <c r="J93" s="26" t="s">
        <v>16</v>
      </c>
      <c r="K93" s="26" t="s">
        <v>13</v>
      </c>
      <c r="L93" s="55">
        <v>46124.630840787038</v>
      </c>
      <c r="M93" s="26"/>
      <c r="N93" s="4" t="s">
        <v>121</v>
      </c>
    </row>
    <row r="94" spans="1:14" ht="75" customHeight="1" thickTop="1" thickBot="1">
      <c r="A94" s="26">
        <v>92</v>
      </c>
      <c r="B94" s="55">
        <f ca="1">IFERROR(__xludf.DUMMYFUNCTION("""COMPUTED_VALUE"""),46124.6245018287)</f>
        <v>46124.624501828701</v>
      </c>
      <c r="C94" s="56" t="str">
        <f ca="1">IFERROR(__xludf.DUMMYFUNCTION("""COMPUTED_VALUE"""),"الحر")</f>
        <v>الحر</v>
      </c>
      <c r="D94" s="56" t="str">
        <f ca="1">IFERROR(__xludf.DUMMYFUNCTION("""COMPUTED_VALUE"""),"عيسى صالح ")</f>
        <v xml:space="preserve">عيسى صالح </v>
      </c>
      <c r="E94" s="26" t="str">
        <f ca="1">IFERROR(__xludf.DUMMYFUNCTION("""COMPUTED_VALUE"""),"قسم المشاريع الهندسية")</f>
        <v>قسم المشاريع الهندسية</v>
      </c>
      <c r="F94" s="26" t="str">
        <f ca="1">IFERROR(__xludf.DUMMYFUNCTION("""COMPUTED_VALUE"""),"C- المتوسطة (البناية 3)")</f>
        <v>C- المتوسطة (البناية 3)</v>
      </c>
      <c r="G94" s="26" t="str">
        <f ca="1">IFERROR(__xludf.DUMMYFUNCTION("""COMPUTED_VALUE"""),"جميع الطوابق ")</f>
        <v xml:space="preserve">جميع الطوابق </v>
      </c>
      <c r="H94" s="26" t="str">
        <f ca="1">IFERROR(__xludf.DUMMYFUNCTION("""COMPUTED_VALUE"""),"صيانة رحلات عدد ٦ في المدرسة الثانية")</f>
        <v>صيانة رحلات عدد ٦ في المدرسة الثانية</v>
      </c>
      <c r="I94" s="26"/>
      <c r="J94" s="26" t="s">
        <v>16</v>
      </c>
      <c r="K94" s="26" t="s">
        <v>13</v>
      </c>
      <c r="L94" s="55">
        <v>46124.63089487268</v>
      </c>
      <c r="M94" s="26"/>
      <c r="N94" s="4" t="s">
        <v>121</v>
      </c>
    </row>
    <row r="95" spans="1:14" ht="75" customHeight="1" thickTop="1" thickBot="1">
      <c r="A95" s="34">
        <v>93</v>
      </c>
      <c r="B95" s="55">
        <f ca="1">IFERROR(__xludf.DUMMYFUNCTION("""COMPUTED_VALUE"""),46124.6250460185)</f>
        <v>46124.625046018497</v>
      </c>
      <c r="C95" s="56" t="str">
        <f ca="1">IFERROR(__xludf.DUMMYFUNCTION("""COMPUTED_VALUE"""),"الحر")</f>
        <v>الحر</v>
      </c>
      <c r="D95" s="56" t="str">
        <f ca="1">IFERROR(__xludf.DUMMYFUNCTION("""COMPUTED_VALUE"""),"عيسى صالح ")</f>
        <v xml:space="preserve">عيسى صالح </v>
      </c>
      <c r="E95" s="26" t="str">
        <f ca="1">IFERROR(__xludf.DUMMYFUNCTION("""COMPUTED_VALUE"""),"قسم المشاريع الهندسية")</f>
        <v>قسم المشاريع الهندسية</v>
      </c>
      <c r="F95" s="26" t="str">
        <f ca="1">IFERROR(__xludf.DUMMYFUNCTION("""COMPUTED_VALUE"""),"A- الابتدائية (البناية 1)")</f>
        <v>A- الابتدائية (البناية 1)</v>
      </c>
      <c r="G95" s="26" t="str">
        <f ca="1">IFERROR(__xludf.DUMMYFUNCTION("""COMPUTED_VALUE"""),"ZONE A - الطابق الارضي, ZONE A - الطابق الاول, ZONE A - الطابق الثاني")</f>
        <v>ZONE A - الطابق الارضي, ZONE A - الطابق الاول, ZONE A - الطابق الثاني</v>
      </c>
      <c r="H95" s="26" t="str">
        <f ca="1">IFERROR(__xludf.DUMMYFUNCTION("""COMPUTED_VALUE"""),"اعادة سقوف ثانوية في المدرسة الاولى عدد ٦ الزون A")</f>
        <v>اعادة سقوف ثانوية في المدرسة الاولى عدد ٦ الزون A</v>
      </c>
      <c r="I95" s="26"/>
      <c r="J95" s="26" t="s">
        <v>16</v>
      </c>
      <c r="K95" s="26" t="s">
        <v>13</v>
      </c>
      <c r="L95" s="55">
        <v>46124.630956712965</v>
      </c>
      <c r="M95" s="26"/>
      <c r="N95" s="4" t="s">
        <v>121</v>
      </c>
    </row>
    <row r="96" spans="1:14" ht="75" customHeight="1" thickTop="1" thickBot="1">
      <c r="A96" s="26">
        <v>94</v>
      </c>
      <c r="B96" s="55">
        <f ca="1">IFERROR(__xludf.DUMMYFUNCTION("""COMPUTED_VALUE"""),46124.6255880671)</f>
        <v>46124.625588067101</v>
      </c>
      <c r="C96" s="56" t="str">
        <f ca="1">IFERROR(__xludf.DUMMYFUNCTION("""COMPUTED_VALUE"""),"الحر")</f>
        <v>الحر</v>
      </c>
      <c r="D96" s="56" t="str">
        <f ca="1">IFERROR(__xludf.DUMMYFUNCTION("""COMPUTED_VALUE"""),"عيسى صالح ")</f>
        <v xml:space="preserve">عيسى صالح </v>
      </c>
      <c r="E96" s="26" t="str">
        <f ca="1">IFERROR(__xludf.DUMMYFUNCTION("""COMPUTED_VALUE"""),"قسم المشاريع الهندسية")</f>
        <v>قسم المشاريع الهندسية</v>
      </c>
      <c r="F96" s="26" t="str">
        <f ca="1">IFERROR(__xludf.DUMMYFUNCTION("""COMPUTED_VALUE"""),"A- الابتدائية (البناية 1)")</f>
        <v>A- الابتدائية (البناية 1)</v>
      </c>
      <c r="G96" s="26" t="str">
        <f ca="1">IFERROR(__xludf.DUMMYFUNCTION("""COMPUTED_VALUE"""),"ZONE A - الطابق الاول")</f>
        <v>ZONE A - الطابق الاول</v>
      </c>
      <c r="H96" s="26" t="str">
        <f ca="1">IFERROR(__xludf.DUMMYFUNCTION("""COMPUTED_VALUE"""),"صيانة بيم باب خشب في المدرسة الاولى الزون A طابق الاول")</f>
        <v>صيانة بيم باب خشب في المدرسة الاولى الزون A طابق الاول</v>
      </c>
      <c r="I96" s="26"/>
      <c r="J96" s="26" t="s">
        <v>16</v>
      </c>
      <c r="K96" s="26" t="s">
        <v>13</v>
      </c>
      <c r="L96" s="55">
        <v>46124.631011608799</v>
      </c>
      <c r="M96" s="26"/>
      <c r="N96" s="4" t="s">
        <v>121</v>
      </c>
    </row>
    <row r="97" spans="1:14" ht="75" customHeight="1" thickTop="1" thickBot="1">
      <c r="A97" s="34">
        <v>95</v>
      </c>
      <c r="B97" s="55">
        <f ca="1">IFERROR(__xludf.DUMMYFUNCTION("""COMPUTED_VALUE"""),46124.6260374305)</f>
        <v>46124.626037430498</v>
      </c>
      <c r="C97" s="56" t="str">
        <f ca="1">IFERROR(__xludf.DUMMYFUNCTION("""COMPUTED_VALUE"""),"الحر")</f>
        <v>الحر</v>
      </c>
      <c r="D97" s="56" t="str">
        <f ca="1">IFERROR(__xludf.DUMMYFUNCTION("""COMPUTED_VALUE"""),"عيسى صالح ")</f>
        <v xml:space="preserve">عيسى صالح </v>
      </c>
      <c r="E97" s="26" t="str">
        <f ca="1">IFERROR(__xludf.DUMMYFUNCTION("""COMPUTED_VALUE"""),"قسم المشاريع الهندسية")</f>
        <v>قسم المشاريع الهندسية</v>
      </c>
      <c r="F97" s="26" t="str">
        <f ca="1">IFERROR(__xludf.DUMMYFUNCTION("""COMPUTED_VALUE"""),"A- الابتدائية (البناية 1)")</f>
        <v>A- الابتدائية (البناية 1)</v>
      </c>
      <c r="G97" s="26" t="str">
        <f ca="1">IFERROR(__xludf.DUMMYFUNCTION("""COMPUTED_VALUE"""),"ZONE A - الطابق الثاني")</f>
        <v>ZONE A - الطابق الثاني</v>
      </c>
      <c r="H97" s="26" t="str">
        <f ca="1">IFERROR(__xludf.DUMMYFUNCTION("""COMPUTED_VALUE"""),"صيانة يدة شباك عدد ١ في المدرسة الاولى الزون A طابق المصلى")</f>
        <v>صيانة يدة شباك عدد ١ في المدرسة الاولى الزون A طابق المصلى</v>
      </c>
      <c r="I97" s="26"/>
      <c r="J97" s="26" t="s">
        <v>16</v>
      </c>
      <c r="K97" s="26" t="s">
        <v>13</v>
      </c>
      <c r="L97" s="55">
        <v>46124.631060173611</v>
      </c>
      <c r="M97" s="26"/>
      <c r="N97" s="4" t="s">
        <v>121</v>
      </c>
    </row>
    <row r="98" spans="1:14" ht="75" customHeight="1" thickTop="1" thickBot="1">
      <c r="A98" s="26">
        <v>96</v>
      </c>
      <c r="B98" s="55">
        <f ca="1">IFERROR(__xludf.DUMMYFUNCTION("""COMPUTED_VALUE"""),46124.626540405)</f>
        <v>46124.626540404999</v>
      </c>
      <c r="C98" s="56" t="str">
        <f ca="1">IFERROR(__xludf.DUMMYFUNCTION("""COMPUTED_VALUE"""),"الحر")</f>
        <v>الحر</v>
      </c>
      <c r="D98" s="56" t="str">
        <f ca="1">IFERROR(__xludf.DUMMYFUNCTION("""COMPUTED_VALUE"""),"عيسى صالح ")</f>
        <v xml:space="preserve">عيسى صالح </v>
      </c>
      <c r="E98" s="26" t="str">
        <f ca="1">IFERROR(__xludf.DUMMYFUNCTION("""COMPUTED_VALUE"""),"قسم المشاريع الهندسية")</f>
        <v>قسم المشاريع الهندسية</v>
      </c>
      <c r="F98" s="26" t="str">
        <f ca="1">IFERROR(__xludf.DUMMYFUNCTION("""COMPUTED_VALUE"""),"A- الابتدائية (البناية 1)")</f>
        <v>A- الابتدائية (البناية 1)</v>
      </c>
      <c r="G98" s="26" t="str">
        <f ca="1">IFERROR(__xludf.DUMMYFUNCTION("""COMPUTED_VALUE"""),"ZONE B - الطابق الثاني")</f>
        <v>ZONE B - الطابق الثاني</v>
      </c>
      <c r="H98" s="26" t="str">
        <f ca="1">IFERROR(__xludf.DUMMYFUNCTION("""COMPUTED_VALUE"""),"صيانة رحلات عدد ٣ في المدرسة الاولى طابق الثاني زون B")</f>
        <v>صيانة رحلات عدد ٣ في المدرسة الاولى طابق الثاني زون B</v>
      </c>
      <c r="I98" s="26"/>
      <c r="J98" s="26" t="s">
        <v>16</v>
      </c>
      <c r="K98" s="26" t="s">
        <v>13</v>
      </c>
      <c r="L98" s="55">
        <v>46124.631132314811</v>
      </c>
      <c r="M98" s="26"/>
      <c r="N98" s="4" t="s">
        <v>121</v>
      </c>
    </row>
    <row r="99" spans="1:14" ht="75" customHeight="1" thickTop="1" thickBot="1">
      <c r="A99" s="34">
        <v>97</v>
      </c>
      <c r="B99" s="55">
        <f ca="1">IFERROR(__xludf.DUMMYFUNCTION("""COMPUTED_VALUE"""),46124.6270724768)</f>
        <v>46124.627072476796</v>
      </c>
      <c r="C99" s="56" t="str">
        <f ca="1">IFERROR(__xludf.DUMMYFUNCTION("""COMPUTED_VALUE"""),"الحر")</f>
        <v>الحر</v>
      </c>
      <c r="D99" s="56" t="str">
        <f ca="1">IFERROR(__xludf.DUMMYFUNCTION("""COMPUTED_VALUE"""),"عيسى صالح ")</f>
        <v xml:space="preserve">عيسى صالح </v>
      </c>
      <c r="E99" s="26" t="str">
        <f ca="1">IFERROR(__xludf.DUMMYFUNCTION("""COMPUTED_VALUE"""),"قسم المشاريع الهندسية")</f>
        <v>قسم المشاريع الهندسية</v>
      </c>
      <c r="F99" s="26" t="str">
        <f ca="1">IFERROR(__xludf.DUMMYFUNCTION("""COMPUTED_VALUE"""),"A- الابتدائية (البناية 1)")</f>
        <v>A- الابتدائية (البناية 1)</v>
      </c>
      <c r="G99" s="26" t="str">
        <f ca="1">IFERROR(__xludf.DUMMYFUNCTION("""COMPUTED_VALUE"""),"ZONE B - الطابق الارضي, ZONE B - الطابق الاول, ZONE B - الطابق الثاني")</f>
        <v>ZONE B - الطابق الارضي, ZONE B - الطابق الاول, ZONE B - الطابق الثاني</v>
      </c>
      <c r="H99" s="26" t="str">
        <f ca="1">IFERROR(__xludf.DUMMYFUNCTION("""COMPUTED_VALUE"""),"صيانة تور شباك عدد ٢ في المدرسة الاولى زون B")</f>
        <v>صيانة تور شباك عدد ٢ في المدرسة الاولى زون B</v>
      </c>
      <c r="I99" s="26"/>
      <c r="J99" s="26" t="s">
        <v>16</v>
      </c>
      <c r="K99" s="26" t="s">
        <v>13</v>
      </c>
      <c r="L99" s="55">
        <v>46124.631184942133</v>
      </c>
      <c r="M99" s="26"/>
      <c r="N99" s="4" t="s">
        <v>121</v>
      </c>
    </row>
    <row r="100" spans="1:14" ht="75" customHeight="1" thickTop="1" thickBot="1">
      <c r="A100" s="26">
        <v>98</v>
      </c>
      <c r="B100" s="55">
        <f ca="1">IFERROR(__xludf.DUMMYFUNCTION("""COMPUTED_VALUE"""),46124.6275537384)</f>
        <v>46124.627553738399</v>
      </c>
      <c r="C100" s="56" t="str">
        <f ca="1">IFERROR(__xludf.DUMMYFUNCTION("""COMPUTED_VALUE"""),"الحر")</f>
        <v>الحر</v>
      </c>
      <c r="D100" s="56" t="str">
        <f ca="1">IFERROR(__xludf.DUMMYFUNCTION("""COMPUTED_VALUE"""),"عيسى صالح ")</f>
        <v xml:space="preserve">عيسى صالح </v>
      </c>
      <c r="E100" s="26" t="str">
        <f ca="1">IFERROR(__xludf.DUMMYFUNCTION("""COMPUTED_VALUE"""),"قسم المشاريع الهندسية")</f>
        <v>قسم المشاريع الهندسية</v>
      </c>
      <c r="F100" s="26" t="str">
        <f ca="1">IFERROR(__xludf.DUMMYFUNCTION("""COMPUTED_VALUE"""),"A- الابتدائية (البناية 1)")</f>
        <v>A- الابتدائية (البناية 1)</v>
      </c>
      <c r="G100" s="26" t="str">
        <f ca="1">IFERROR(__xludf.DUMMYFUNCTION("""COMPUTED_VALUE"""),"ZONE B - الطابق الارضي")</f>
        <v>ZONE B - الطابق الارضي</v>
      </c>
      <c r="H100" s="26" t="str">
        <f ca="1">IFERROR(__xludf.DUMMYFUNCTION("""COMPUTED_VALUE"""),"تم تبديل يده شباك في البنايه الاولى الطابق الارضي الزون B الرابع أ")</f>
        <v>تم تبديل يده شباك في البنايه الاولى الطابق الارضي الزون B الرابع أ</v>
      </c>
      <c r="I100" s="26"/>
      <c r="J100" s="26" t="s">
        <v>16</v>
      </c>
      <c r="K100" s="26" t="s">
        <v>13</v>
      </c>
      <c r="L100" s="55">
        <v>46124.6312305787</v>
      </c>
      <c r="M100" s="26"/>
      <c r="N100" s="4" t="s">
        <v>121</v>
      </c>
    </row>
    <row r="101" spans="1:14" ht="75" customHeight="1" thickTop="1" thickBot="1">
      <c r="A101" s="34">
        <v>99</v>
      </c>
      <c r="B101" s="55">
        <f ca="1">IFERROR(__xludf.DUMMYFUNCTION("""COMPUTED_VALUE"""),46124.6279688541)</f>
        <v>46124.627968854104</v>
      </c>
      <c r="C101" s="56" t="str">
        <f ca="1">IFERROR(__xludf.DUMMYFUNCTION("""COMPUTED_VALUE"""),"الحر")</f>
        <v>الحر</v>
      </c>
      <c r="D101" s="56" t="str">
        <f ca="1">IFERROR(__xludf.DUMMYFUNCTION("""COMPUTED_VALUE"""),"عيسى صالح ")</f>
        <v xml:space="preserve">عيسى صالح </v>
      </c>
      <c r="E101" s="26" t="str">
        <f ca="1">IFERROR(__xludf.DUMMYFUNCTION("""COMPUTED_VALUE"""),"قسم المشاريع الهندسية")</f>
        <v>قسم المشاريع الهندسية</v>
      </c>
      <c r="F101" s="26" t="str">
        <f ca="1">IFERROR(__xludf.DUMMYFUNCTION("""COMPUTED_VALUE"""),"A- الابتدائية (البناية 1)")</f>
        <v>A- الابتدائية (البناية 1)</v>
      </c>
      <c r="G101" s="26" t="str">
        <f ca="1">IFERROR(__xludf.DUMMYFUNCTION("""COMPUTED_VALUE"""),"ZONE B - الطابق الارضي")</f>
        <v>ZONE B - الطابق الارضي</v>
      </c>
      <c r="H101" s="26" t="str">
        <f ca="1">IFERROR(__xludf.DUMMYFUNCTION("""COMPUTED_VALUE"""),"تم صيانه تور شباك في البنايه الاولى الطابق الارضي الزون B الرابع و")</f>
        <v>تم صيانه تور شباك في البنايه الاولى الطابق الارضي الزون B الرابع و</v>
      </c>
      <c r="I101" s="26"/>
      <c r="J101" s="26" t="s">
        <v>16</v>
      </c>
      <c r="K101" s="26" t="s">
        <v>13</v>
      </c>
      <c r="L101" s="55">
        <v>46124.631293252314</v>
      </c>
      <c r="M101" s="26"/>
      <c r="N101" s="4" t="s">
        <v>121</v>
      </c>
    </row>
    <row r="102" spans="1:14" ht="75" customHeight="1" thickTop="1" thickBot="1">
      <c r="A102" s="26">
        <v>100</v>
      </c>
      <c r="B102" s="55">
        <f ca="1">IFERROR(__xludf.DUMMYFUNCTION("""COMPUTED_VALUE"""),46124.6284578587)</f>
        <v>46124.6284578587</v>
      </c>
      <c r="C102" s="56" t="str">
        <f ca="1">IFERROR(__xludf.DUMMYFUNCTION("""COMPUTED_VALUE"""),"الحر")</f>
        <v>الحر</v>
      </c>
      <c r="D102" s="56" t="str">
        <f ca="1">IFERROR(__xludf.DUMMYFUNCTION("""COMPUTED_VALUE"""),"عيسى صالح ")</f>
        <v xml:space="preserve">عيسى صالح </v>
      </c>
      <c r="E102" s="26" t="str">
        <f ca="1">IFERROR(__xludf.DUMMYFUNCTION("""COMPUTED_VALUE"""),"قسم المشاريع الهندسية")</f>
        <v>قسم المشاريع الهندسية</v>
      </c>
      <c r="F102" s="26" t="str">
        <f ca="1">IFERROR(__xludf.DUMMYFUNCTION("""COMPUTED_VALUE"""),"A- الابتدائية (البناية 1)")</f>
        <v>A- الابتدائية (البناية 1)</v>
      </c>
      <c r="G102" s="26" t="str">
        <f ca="1">IFERROR(__xludf.DUMMYFUNCTION("""COMPUTED_VALUE"""),"ZONE B - الطابق الارضي, ZONE B - الطابق الاول")</f>
        <v>ZONE B - الطابق الارضي, ZONE B - الطابق الاول</v>
      </c>
      <c r="H102" s="26" t="str">
        <f ca="1">IFERROR(__xludf.DUMMYFUNCTION("""COMPUTED_VALUE"""),"تم صيانه رحلات عدد ٩ في البنايه الاولى الطابق الارضي والاول عدد ٩ مختلف الصفوف الزون B")</f>
        <v>تم صيانه رحلات عدد ٩ في البنايه الاولى الطابق الارضي والاول عدد ٩ مختلف الصفوف الزون B</v>
      </c>
      <c r="I102" s="26"/>
      <c r="J102" s="26" t="s">
        <v>16</v>
      </c>
      <c r="K102" s="26" t="s">
        <v>13</v>
      </c>
      <c r="L102" s="55">
        <v>46124.631338680556</v>
      </c>
      <c r="M102" s="26"/>
      <c r="N102" s="4" t="s">
        <v>121</v>
      </c>
    </row>
    <row r="103" spans="1:14" ht="75" customHeight="1" thickTop="1" thickBot="1">
      <c r="A103" s="34">
        <v>101</v>
      </c>
      <c r="B103" s="55">
        <f ca="1">IFERROR(__xludf.DUMMYFUNCTION("""COMPUTED_VALUE"""),46124.6289668171)</f>
        <v>46124.628966817101</v>
      </c>
      <c r="C103" s="56" t="str">
        <f ca="1">IFERROR(__xludf.DUMMYFUNCTION("""COMPUTED_VALUE"""),"الحر")</f>
        <v>الحر</v>
      </c>
      <c r="D103" s="56" t="str">
        <f ca="1">IFERROR(__xludf.DUMMYFUNCTION("""COMPUTED_VALUE"""),"عيسى صالح ")</f>
        <v xml:space="preserve">عيسى صالح </v>
      </c>
      <c r="E103" s="26" t="str">
        <f ca="1">IFERROR(__xludf.DUMMYFUNCTION("""COMPUTED_VALUE"""),"قسم المشاريع الهندسية")</f>
        <v>قسم المشاريع الهندسية</v>
      </c>
      <c r="F103" s="26" t="str">
        <f ca="1">IFERROR(__xludf.DUMMYFUNCTION("""COMPUTED_VALUE"""),"A- الابتدائية (البناية 1)")</f>
        <v>A- الابتدائية (البناية 1)</v>
      </c>
      <c r="G103" s="26" t="str">
        <f ca="1">IFERROR(__xludf.DUMMYFUNCTION("""COMPUTED_VALUE"""),"ZONE A - الطابق الاول")</f>
        <v>ZONE A - الطابق الاول</v>
      </c>
      <c r="H103" s="26" t="str">
        <f ca="1">IFERROR(__xludf.DUMMYFUNCTION("""COMPUTED_VALUE"""),"تم صيانه كراسي عدد ٤ في البنايه الاولى الطابق الاول الزون A مختبر الحاسوب")</f>
        <v>تم صيانه كراسي عدد ٤ في البنايه الاولى الطابق الاول الزون A مختبر الحاسوب</v>
      </c>
      <c r="I103" s="26"/>
      <c r="J103" s="26" t="s">
        <v>16</v>
      </c>
      <c r="K103" s="26" t="s">
        <v>13</v>
      </c>
      <c r="L103" s="55">
        <v>46124.631420729165</v>
      </c>
      <c r="M103" s="26"/>
      <c r="N103" s="4" t="s">
        <v>121</v>
      </c>
    </row>
    <row r="104" spans="1:14" ht="75" customHeight="1" thickTop="1" thickBot="1">
      <c r="A104" s="26">
        <v>102</v>
      </c>
      <c r="B104" s="55">
        <f ca="1">IFERROR(__xludf.DUMMYFUNCTION("""COMPUTED_VALUE"""),46124.6294531365)</f>
        <v>46124.629453136498</v>
      </c>
      <c r="C104" s="56" t="str">
        <f ca="1">IFERROR(__xludf.DUMMYFUNCTION("""COMPUTED_VALUE"""),"الحر")</f>
        <v>الحر</v>
      </c>
      <c r="D104" s="56" t="str">
        <f ca="1">IFERROR(__xludf.DUMMYFUNCTION("""COMPUTED_VALUE"""),"عيسى صالح ")</f>
        <v xml:space="preserve">عيسى صالح </v>
      </c>
      <c r="E104" s="26" t="str">
        <f ca="1">IFERROR(__xludf.DUMMYFUNCTION("""COMPUTED_VALUE"""),"قسم المشاريع الهندسية")</f>
        <v>قسم المشاريع الهندسية</v>
      </c>
      <c r="F104" s="26" t="str">
        <f ca="1">IFERROR(__xludf.DUMMYFUNCTION("""COMPUTED_VALUE"""),"D- الاعدادية (البناية 4)")</f>
        <v>D- الاعدادية (البناية 4)</v>
      </c>
      <c r="G104" s="26" t="str">
        <f ca="1">IFERROR(__xludf.DUMMYFUNCTION("""COMPUTED_VALUE"""),"ZONE B - الطابق الارضي")</f>
        <v>ZONE B - الطابق الارضي</v>
      </c>
      <c r="H104" s="26" t="str">
        <f ca="1">IFERROR(__xludf.DUMMYFUNCTION("""COMPUTED_VALUE"""),"تبديل يده باب الفاصل بين الجناح الادراي وzone b البنايه الرابعه الطابق الأرضي")</f>
        <v>تبديل يده باب الفاصل بين الجناح الادراي وzone b البنايه الرابعه الطابق الأرضي</v>
      </c>
      <c r="I104" s="26"/>
      <c r="J104" s="26" t="s">
        <v>16</v>
      </c>
      <c r="K104" s="26" t="s">
        <v>13</v>
      </c>
      <c r="L104" s="55">
        <v>46124.631472395835</v>
      </c>
      <c r="M104" s="26"/>
      <c r="N104" s="4" t="s">
        <v>121</v>
      </c>
    </row>
    <row r="105" spans="1:14" ht="75" customHeight="1" thickTop="1" thickBot="1">
      <c r="A105" s="34">
        <v>103</v>
      </c>
      <c r="B105" s="55">
        <f ca="1">IFERROR(__xludf.DUMMYFUNCTION("""COMPUTED_VALUE"""),46124.6302439814)</f>
        <v>46124.630243981403</v>
      </c>
      <c r="C105" s="56" t="str">
        <f ca="1">IFERROR(__xludf.DUMMYFUNCTION("""COMPUTED_VALUE"""),"الحر")</f>
        <v>الحر</v>
      </c>
      <c r="D105" s="56" t="str">
        <f ca="1">IFERROR(__xludf.DUMMYFUNCTION("""COMPUTED_VALUE"""),"عيسى صالح ")</f>
        <v xml:space="preserve">عيسى صالح </v>
      </c>
      <c r="E105" s="26" t="str">
        <f ca="1">IFERROR(__xludf.DUMMYFUNCTION("""COMPUTED_VALUE"""),"قسم المشاريع الهندسية")</f>
        <v>قسم المشاريع الهندسية</v>
      </c>
      <c r="F105" s="26" t="str">
        <f ca="1">IFERROR(__xludf.DUMMYFUNCTION("""COMPUTED_VALUE"""),"C- المتوسطة (البناية 3)")</f>
        <v>C- المتوسطة (البناية 3)</v>
      </c>
      <c r="G105" s="26" t="str">
        <f ca="1">IFERROR(__xludf.DUMMYFUNCTION("""COMPUTED_VALUE"""),"ZONE B - الطابق الارضي")</f>
        <v>ZONE B - الطابق الارضي</v>
      </c>
      <c r="H105" s="26" t="str">
        <f ca="1">IFERROR(__xludf.DUMMYFUNCTION("""COMPUTED_VALUE"""),"تبديل قطع سقف ثانوي عدد٢ البنايه الثالثه الطابق الأرضي zone b")</f>
        <v>تبديل قطع سقف ثانوي عدد٢ البنايه الثالثه الطابق الأرضي zone b</v>
      </c>
      <c r="I105" s="26"/>
      <c r="J105" s="26" t="s">
        <v>16</v>
      </c>
      <c r="K105" s="26" t="s">
        <v>13</v>
      </c>
      <c r="L105" s="55">
        <v>46124.631515949077</v>
      </c>
      <c r="M105" s="26"/>
      <c r="N105" s="4" t="s">
        <v>121</v>
      </c>
    </row>
    <row r="106" spans="1:14" ht="75" customHeight="1" thickTop="1" thickBot="1">
      <c r="A106" s="26">
        <v>104</v>
      </c>
      <c r="B106" s="55">
        <f ca="1">IFERROR(__xludf.DUMMYFUNCTION("""COMPUTED_VALUE"""),46125.4342683564)</f>
        <v>46125.434268356403</v>
      </c>
      <c r="C106" s="56" t="str">
        <f ca="1">IFERROR(__xludf.DUMMYFUNCTION("""COMPUTED_VALUE"""),"الحر")</f>
        <v>الحر</v>
      </c>
      <c r="D106" s="56" t="str">
        <f ca="1">IFERROR(__xludf.DUMMYFUNCTION("""COMPUTED_VALUE"""),"عيسى صالح ")</f>
        <v xml:space="preserve">عيسى صالح </v>
      </c>
      <c r="E106" s="26" t="str">
        <f ca="1">IFERROR(__xludf.DUMMYFUNCTION("""COMPUTED_VALUE"""),"قسم المشاريع الهندسية")</f>
        <v>قسم المشاريع الهندسية</v>
      </c>
      <c r="F106" s="26" t="str">
        <f ca="1">IFERROR(__xludf.DUMMYFUNCTION("""COMPUTED_VALUE"""),"A- الابتدائية (البناية 1)")</f>
        <v>A- الابتدائية (البناية 1)</v>
      </c>
      <c r="G106" s="26" t="str">
        <f ca="1">IFERROR(__xludf.DUMMYFUNCTION("""COMPUTED_VALUE"""),"ZONE A - الطابق الثاني")</f>
        <v>ZONE A - الطابق الثاني</v>
      </c>
      <c r="H106" s="26" t="str">
        <f ca="1">IFERROR(__xludf.DUMMYFUNCTION("""COMPUTED_VALUE"""),"تم تبديل يده شباك عدد(1) في الحانوت ط الثاني الزون A المدرسة الاولى")</f>
        <v>تم تبديل يده شباك عدد(1) في الحانوت ط الثاني الزون A المدرسة الاولى</v>
      </c>
      <c r="I106" s="26"/>
      <c r="J106" s="26" t="s">
        <v>16</v>
      </c>
      <c r="K106" s="26" t="s">
        <v>13</v>
      </c>
      <c r="L106" s="55">
        <v>46125.440491250003</v>
      </c>
      <c r="M106" s="26"/>
      <c r="N106" s="4" t="s">
        <v>121</v>
      </c>
    </row>
    <row r="107" spans="1:14" ht="75" customHeight="1" thickTop="1" thickBot="1">
      <c r="A107" s="34">
        <v>105</v>
      </c>
      <c r="B107" s="55">
        <f ca="1">IFERROR(__xludf.DUMMYFUNCTION("""COMPUTED_VALUE"""),46125.4352945486)</f>
        <v>46125.435294548603</v>
      </c>
      <c r="C107" s="56" t="str">
        <f ca="1">IFERROR(__xludf.DUMMYFUNCTION("""COMPUTED_VALUE"""),"الحر")</f>
        <v>الحر</v>
      </c>
      <c r="D107" s="56" t="str">
        <f ca="1">IFERROR(__xludf.DUMMYFUNCTION("""COMPUTED_VALUE"""),"عيسى صالح ")</f>
        <v xml:space="preserve">عيسى صالح </v>
      </c>
      <c r="E107" s="26" t="str">
        <f ca="1">IFERROR(__xludf.DUMMYFUNCTION("""COMPUTED_VALUE"""),"قسم المشاريع الهندسية")</f>
        <v>قسم المشاريع الهندسية</v>
      </c>
      <c r="F107" s="26" t="str">
        <f ca="1">IFERROR(__xludf.DUMMYFUNCTION("""COMPUTED_VALUE"""),"D- الاعدادية (البناية 4)")</f>
        <v>D- الاعدادية (البناية 4)</v>
      </c>
      <c r="G107" s="26" t="str">
        <f ca="1">IFERROR(__xludf.DUMMYFUNCTION("""COMPUTED_VALUE"""),"ZONE B - الطابق الاول")</f>
        <v>ZONE B - الطابق الاول</v>
      </c>
      <c r="H107" s="26" t="str">
        <f ca="1">IFERROR(__xludf.DUMMYFUNCTION("""COMPUTED_VALUE"""),"صيانة وإصلاح خشبة جدارية (البناية الرابعة)
الطابق الأول - الزون B - الصف الثالث المتوسط (و)")</f>
        <v>صيانة وإصلاح خشبة جدارية (البناية الرابعة)
الطابق الأول - الزون B - الصف الثالث المتوسط (و)</v>
      </c>
      <c r="I107" s="26"/>
      <c r="J107" s="26" t="s">
        <v>16</v>
      </c>
      <c r="K107" s="26" t="s">
        <v>13</v>
      </c>
      <c r="L107" s="55">
        <v>46125.440572025458</v>
      </c>
      <c r="M107" s="26"/>
      <c r="N107" s="4" t="s">
        <v>121</v>
      </c>
    </row>
    <row r="108" spans="1:14" ht="75" customHeight="1" thickTop="1" thickBot="1">
      <c r="A108" s="26">
        <v>106</v>
      </c>
      <c r="B108" s="55">
        <f ca="1">IFERROR(__xludf.DUMMYFUNCTION("""COMPUTED_VALUE"""),46125.4369243402)</f>
        <v>46125.436924340203</v>
      </c>
      <c r="C108" s="56" t="str">
        <f ca="1">IFERROR(__xludf.DUMMYFUNCTION("""COMPUTED_VALUE"""),"الحر")</f>
        <v>الحر</v>
      </c>
      <c r="D108" s="56" t="str">
        <f ca="1">IFERROR(__xludf.DUMMYFUNCTION("""COMPUTED_VALUE"""),"عيسى صالح ")</f>
        <v xml:space="preserve">عيسى صالح </v>
      </c>
      <c r="E108" s="26" t="str">
        <f ca="1">IFERROR(__xludf.DUMMYFUNCTION("""COMPUTED_VALUE"""),"قسم المشاريع الهندسية")</f>
        <v>قسم المشاريع الهندسية</v>
      </c>
      <c r="F108" s="26" t="str">
        <f ca="1">IFERROR(__xludf.DUMMYFUNCTION("""COMPUTED_VALUE"""),"D- الاعدادية (البناية 4)")</f>
        <v>D- الاعدادية (البناية 4)</v>
      </c>
      <c r="G108" s="26" t="str">
        <f ca="1">IFERROR(__xludf.DUMMYFUNCTION("""COMPUTED_VALUE"""),"ZONE B - الطابق الاول")</f>
        <v>ZONE B - الطابق الاول</v>
      </c>
      <c r="H108" s="26" t="str">
        <f ca="1">IFERROR(__xludf.DUMMYFUNCTION("""COMPUTED_VALUE"""),"
صيانه رحلات عدد 15
البنايه الرابعه الطابق الاول zone b")</f>
        <v xml:space="preserve">
صيانه رحلات عدد 15
البنايه الرابعه الطابق الاول zone b</v>
      </c>
      <c r="I108" s="26"/>
      <c r="J108" s="26" t="s">
        <v>16</v>
      </c>
      <c r="K108" s="26" t="s">
        <v>13</v>
      </c>
      <c r="L108" s="55">
        <v>46125.440660312495</v>
      </c>
      <c r="M108" s="26"/>
      <c r="N108" s="4" t="s">
        <v>121</v>
      </c>
    </row>
    <row r="109" spans="1:14" ht="75" customHeight="1" thickTop="1" thickBot="1">
      <c r="A109" s="34">
        <v>107</v>
      </c>
      <c r="B109" s="55">
        <f ca="1">IFERROR(__xludf.DUMMYFUNCTION("""COMPUTED_VALUE"""),46125.4375103125)</f>
        <v>46125.437510312498</v>
      </c>
      <c r="C109" s="56" t="str">
        <f ca="1">IFERROR(__xludf.DUMMYFUNCTION("""COMPUTED_VALUE"""),"الحر")</f>
        <v>الحر</v>
      </c>
      <c r="D109" s="56" t="str">
        <f ca="1">IFERROR(__xludf.DUMMYFUNCTION("""COMPUTED_VALUE"""),"عيسى صالح ")</f>
        <v xml:space="preserve">عيسى صالح </v>
      </c>
      <c r="E109" s="26" t="str">
        <f ca="1">IFERROR(__xludf.DUMMYFUNCTION("""COMPUTED_VALUE"""),"قسم المشاريع الهندسية")</f>
        <v>قسم المشاريع الهندسية</v>
      </c>
      <c r="F109" s="26" t="str">
        <f ca="1">IFERROR(__xludf.DUMMYFUNCTION("""COMPUTED_VALUE"""),"C- المتوسطة (البناية 3)")</f>
        <v>C- المتوسطة (البناية 3)</v>
      </c>
      <c r="G109" s="26" t="str">
        <f ca="1">IFERROR(__xludf.DUMMYFUNCTION("""COMPUTED_VALUE"""),"ZONE B - الطابق الثاني")</f>
        <v>ZONE B - الطابق الثاني</v>
      </c>
      <c r="H109" s="26" t="str">
        <f ca="1">IFERROR(__xludf.DUMMYFUNCTION("""COMPUTED_VALUE"""),"اعاده قطع السقف الثانوي البنايه الثالثه 
الطابق الثاني zone b 
عدد 10")</f>
        <v>اعاده قطع السقف الثانوي البنايه الثالثه 
الطابق الثاني zone b 
عدد 10</v>
      </c>
      <c r="I109" s="26"/>
      <c r="J109" s="26" t="s">
        <v>16</v>
      </c>
      <c r="K109" s="26" t="s">
        <v>13</v>
      </c>
      <c r="L109" s="55">
        <v>46125.440792222224</v>
      </c>
      <c r="M109" s="26"/>
      <c r="N109" s="4" t="s">
        <v>121</v>
      </c>
    </row>
    <row r="110" spans="1:14" ht="75" customHeight="1" thickTop="1" thickBot="1">
      <c r="A110" s="26">
        <v>108</v>
      </c>
      <c r="B110" s="55">
        <f ca="1">IFERROR(__xludf.DUMMYFUNCTION("""COMPUTED_VALUE"""),46125.4382694444)</f>
        <v>46125.438269444399</v>
      </c>
      <c r="C110" s="56" t="str">
        <f ca="1">IFERROR(__xludf.DUMMYFUNCTION("""COMPUTED_VALUE"""),"الحر")</f>
        <v>الحر</v>
      </c>
      <c r="D110" s="56" t="str">
        <f ca="1">IFERROR(__xludf.DUMMYFUNCTION("""COMPUTED_VALUE"""),"عيسى صالح ")</f>
        <v xml:space="preserve">عيسى صالح </v>
      </c>
      <c r="E110" s="26" t="str">
        <f ca="1">IFERROR(__xludf.DUMMYFUNCTION("""COMPUTED_VALUE"""),"قسم المشاريع الهندسية")</f>
        <v>قسم المشاريع الهندسية</v>
      </c>
      <c r="F110" s="26" t="str">
        <f ca="1">IFERROR(__xludf.DUMMYFUNCTION("""COMPUTED_VALUE"""),"C- المتوسطة (البناية 3)")</f>
        <v>C- المتوسطة (البناية 3)</v>
      </c>
      <c r="G110" s="26" t="str">
        <f ca="1">IFERROR(__xludf.DUMMYFUNCTION("""COMPUTED_VALUE"""),"ZONE B - الطابق الثاني")</f>
        <v>ZONE B - الطابق الثاني</v>
      </c>
      <c r="H110" s="26" t="str">
        <f ca="1">IFERROR(__xludf.DUMMYFUNCTION("""COMPUTED_VALUE"""),"صيانه رحلات البنايه الثالثه الطابق الثاني zone b عدد 15")</f>
        <v>صيانه رحلات البنايه الثالثه الطابق الثاني zone b عدد 15</v>
      </c>
      <c r="I110" s="26"/>
      <c r="J110" s="26" t="s">
        <v>16</v>
      </c>
      <c r="K110" s="26" t="s">
        <v>13</v>
      </c>
      <c r="L110" s="55">
        <v>46125.440862233794</v>
      </c>
      <c r="M110" s="26"/>
      <c r="N110" s="4" t="s">
        <v>121</v>
      </c>
    </row>
    <row r="111" spans="1:14" ht="75" customHeight="1" thickTop="1" thickBot="1">
      <c r="A111" s="34">
        <v>109</v>
      </c>
      <c r="B111" s="55">
        <f ca="1">IFERROR(__xludf.DUMMYFUNCTION("""COMPUTED_VALUE"""),46125.4500107638)</f>
        <v>46125.450010763801</v>
      </c>
      <c r="C111" s="56" t="str">
        <f ca="1">IFERROR(__xludf.DUMMYFUNCTION("""COMPUTED_VALUE"""),"الحر")</f>
        <v>الحر</v>
      </c>
      <c r="D111" s="56" t="str">
        <f ca="1">IFERROR(__xludf.DUMMYFUNCTION("""COMPUTED_VALUE"""),"عيسى صالح ")</f>
        <v xml:space="preserve">عيسى صالح </v>
      </c>
      <c r="E111" s="26" t="str">
        <f ca="1">IFERROR(__xludf.DUMMYFUNCTION("""COMPUTED_VALUE"""),"قسم المشاريع الهندسية")</f>
        <v>قسم المشاريع الهندسية</v>
      </c>
      <c r="F111" s="26" t="str">
        <f ca="1">IFERROR(__xludf.DUMMYFUNCTION("""COMPUTED_VALUE"""),"C- المتوسطة (البناية 3)")</f>
        <v>C- المتوسطة (البناية 3)</v>
      </c>
      <c r="G111" s="26" t="str">
        <f ca="1">IFERROR(__xludf.DUMMYFUNCTION("""COMPUTED_VALUE"""),"ZONE B - الطابق الثاني")</f>
        <v>ZONE B - الطابق الثاني</v>
      </c>
      <c r="H111" s="26" t="str">
        <f ca="1">IFERROR(__xludf.DUMMYFUNCTION("""COMPUTED_VALUE"""),"صيانه رحلات البنايه الثالثه الطابق الثاني zone b عدد 15")</f>
        <v>صيانه رحلات البنايه الثالثه الطابق الثاني zone b عدد 15</v>
      </c>
      <c r="I111" s="26"/>
      <c r="J111" s="26" t="s">
        <v>16</v>
      </c>
      <c r="K111" s="26" t="s">
        <v>13</v>
      </c>
      <c r="L111" s="55">
        <v>46125.453659305553</v>
      </c>
      <c r="M111" s="26"/>
      <c r="N111" s="4" t="s">
        <v>121</v>
      </c>
    </row>
    <row r="112" spans="1:14" ht="75" customHeight="1" thickTop="1" thickBot="1">
      <c r="A112" s="26">
        <v>110</v>
      </c>
      <c r="B112" s="55">
        <f ca="1">IFERROR(__xludf.DUMMYFUNCTION("""COMPUTED_VALUE"""),46125.4509771875)</f>
        <v>46125.450977187502</v>
      </c>
      <c r="C112" s="56" t="str">
        <f ca="1">IFERROR(__xludf.DUMMYFUNCTION("""COMPUTED_VALUE"""),"الحر")</f>
        <v>الحر</v>
      </c>
      <c r="D112" s="56" t="str">
        <f ca="1">IFERROR(__xludf.DUMMYFUNCTION("""COMPUTED_VALUE"""),"عيسى صالح ")</f>
        <v xml:space="preserve">عيسى صالح </v>
      </c>
      <c r="E112" s="26" t="str">
        <f ca="1">IFERROR(__xludf.DUMMYFUNCTION("""COMPUTED_VALUE"""),"قسم المشاريع الهندسية")</f>
        <v>قسم المشاريع الهندسية</v>
      </c>
      <c r="F112" s="26" t="str">
        <f ca="1">IFERROR(__xludf.DUMMYFUNCTION("""COMPUTED_VALUE"""),"A- الابتدائية (البناية 1)")</f>
        <v>A- الابتدائية (البناية 1)</v>
      </c>
      <c r="G112" s="26" t="str">
        <f ca="1">IFERROR(__xludf.DUMMYFUNCTION("""COMPUTED_VALUE"""),"ZONE A - الطابق الارضي")</f>
        <v>ZONE A - الطابق الارضي</v>
      </c>
      <c r="H112" s="26" t="str">
        <f ca="1">IFERROR(__xludf.DUMMYFUNCTION("""COMPUTED_VALUE"""),"لحيم (راسطة) لقفل باب المضخات في البناية الاولى")</f>
        <v>لحيم (راسطة) لقفل باب المضخات في البناية الاولى</v>
      </c>
      <c r="I112" s="26"/>
      <c r="J112" s="26" t="s">
        <v>16</v>
      </c>
      <c r="K112" s="26" t="s">
        <v>13</v>
      </c>
      <c r="L112" s="55">
        <v>46125.453688576388</v>
      </c>
      <c r="M112" s="26"/>
      <c r="N112" s="4" t="s">
        <v>121</v>
      </c>
    </row>
    <row r="113" spans="1:14" ht="75" customHeight="1" thickTop="1" thickBot="1">
      <c r="A113" s="34">
        <v>111</v>
      </c>
      <c r="B113" s="55">
        <f ca="1">IFERROR(__xludf.DUMMYFUNCTION("""COMPUTED_VALUE"""),46125.4532856597)</f>
        <v>46125.4532856597</v>
      </c>
      <c r="C113" s="56" t="str">
        <f ca="1">IFERROR(__xludf.DUMMYFUNCTION("""COMPUTED_VALUE"""),"الحر")</f>
        <v>الحر</v>
      </c>
      <c r="D113" s="56" t="str">
        <f ca="1">IFERROR(__xludf.DUMMYFUNCTION("""COMPUTED_VALUE"""),"عيسى صالح ")</f>
        <v xml:space="preserve">عيسى صالح </v>
      </c>
      <c r="E113" s="26" t="str">
        <f ca="1">IFERROR(__xludf.DUMMYFUNCTION("""COMPUTED_VALUE"""),"قسم المشاريع الهندسية")</f>
        <v>قسم المشاريع الهندسية</v>
      </c>
      <c r="F113" s="26" t="str">
        <f ca="1">IFERROR(__xludf.DUMMYFUNCTION("""COMPUTED_VALUE"""),"C- المتوسطة (البناية 3)")</f>
        <v>C- المتوسطة (البناية 3)</v>
      </c>
      <c r="G113" s="26" t="str">
        <f ca="1">IFERROR(__xludf.DUMMYFUNCTION("""COMPUTED_VALUE"""),"ZONE B - الطابق الارضي")</f>
        <v>ZONE B - الطابق الارضي</v>
      </c>
      <c r="H113" s="26" t="str">
        <f ca="1">IFERROR(__xludf.DUMMYFUNCTION("""COMPUTED_VALUE"""),"فتح صندوق المقترحات (لنستمع إليك ) البنايه الثالثه الطابق الأرضي zone b")</f>
        <v>فتح صندوق المقترحات (لنستمع إليك ) البنايه الثالثه الطابق الأرضي zone b</v>
      </c>
      <c r="I113" s="26"/>
      <c r="J113" s="26" t="s">
        <v>16</v>
      </c>
      <c r="K113" s="26" t="s">
        <v>13</v>
      </c>
      <c r="L113" s="55">
        <v>46125.453774212961</v>
      </c>
      <c r="M113" s="26"/>
      <c r="N113" s="4" t="s">
        <v>121</v>
      </c>
    </row>
    <row r="114" spans="1:14" ht="75" customHeight="1" thickTop="1" thickBot="1">
      <c r="A114" s="26">
        <v>112</v>
      </c>
      <c r="B114" s="55">
        <f ca="1">IFERROR(__xludf.DUMMYFUNCTION("""COMPUTED_VALUE"""),46125.4882208449)</f>
        <v>46125.488220844898</v>
      </c>
      <c r="C114" s="56" t="str">
        <f ca="1">IFERROR(__xludf.DUMMYFUNCTION("""COMPUTED_VALUE"""),"الحر")</f>
        <v>الحر</v>
      </c>
      <c r="D114" s="56" t="str">
        <f ca="1">IFERROR(__xludf.DUMMYFUNCTION("""COMPUTED_VALUE"""),"علي حسين عليوي ")</f>
        <v xml:space="preserve">علي حسين عليوي </v>
      </c>
      <c r="E114" s="26" t="str">
        <f ca="1">IFERROR(__xludf.DUMMYFUNCTION("""COMPUTED_VALUE"""),"قسم التربية والتعليم العالي")</f>
        <v>قسم التربية والتعليم العالي</v>
      </c>
      <c r="F114" s="26" t="str">
        <f ca="1">IFERROR(__xludf.DUMMYFUNCTION("""COMPUTED_VALUE"""),"B- الابتدائية (البناية 2)")</f>
        <v>B- الابتدائية (البناية 2)</v>
      </c>
      <c r="G114" s="26" t="str">
        <f ca="1">IFERROR(__xludf.DUMMYFUNCTION("""COMPUTED_VALUE"""),"ZONE A - الطابق الارضي")</f>
        <v>ZONE A - الطابق الارضي</v>
      </c>
      <c r="H114" s="26" t="str">
        <f ca="1">IFERROR(__xludf.DUMMYFUNCTION("""COMPUTED_VALUE"""),"سبورة خلعت من مكانها ")</f>
        <v xml:space="preserve">سبورة خلعت من مكانها </v>
      </c>
      <c r="I114" s="26"/>
      <c r="J114" s="26" t="s">
        <v>16</v>
      </c>
      <c r="K114" s="26" t="s">
        <v>13</v>
      </c>
      <c r="L114" s="55">
        <v>46125.534419456017</v>
      </c>
      <c r="M114" s="26"/>
      <c r="N114" s="4" t="s">
        <v>121</v>
      </c>
    </row>
    <row r="115" spans="1:14" ht="75" customHeight="1" thickTop="1" thickBot="1">
      <c r="A115" s="34">
        <v>113</v>
      </c>
      <c r="B115" s="55">
        <f ca="1">IFERROR(__xludf.DUMMYFUNCTION("""COMPUTED_VALUE"""),46126.3935439236)</f>
        <v>46126.393543923601</v>
      </c>
      <c r="C115" s="56" t="str">
        <f ca="1">IFERROR(__xludf.DUMMYFUNCTION("""COMPUTED_VALUE"""),"الحر")</f>
        <v>الحر</v>
      </c>
      <c r="D115" s="56" t="str">
        <f ca="1">IFERROR(__xludf.DUMMYFUNCTION("""COMPUTED_VALUE"""),"ادارة المجمع")</f>
        <v>ادارة المجمع</v>
      </c>
      <c r="E115" s="26" t="str">
        <f ca="1">IFERROR(__xludf.DUMMYFUNCTION("""COMPUTED_VALUE"""),"قسم التربية والتعليم العالي")</f>
        <v>قسم التربية والتعليم العالي</v>
      </c>
      <c r="F115" s="26" t="str">
        <f ca="1">IFERROR(__xludf.DUMMYFUNCTION("""COMPUTED_VALUE"""),"A- الابتدائية (البناية 1)")</f>
        <v>A- الابتدائية (البناية 1)</v>
      </c>
      <c r="G115" s="26" t="str">
        <f ca="1">IFERROR(__xludf.DUMMYFUNCTION("""COMPUTED_VALUE"""),"ZONE A - الطابق الارضي, مخل البناية")</f>
        <v>ZONE A - الطابق الارضي, مخل البناية</v>
      </c>
      <c r="H115" s="26" t="str">
        <f ca="1">IFERROR(__xludf.DUMMYFUNCTION("""COMPUTED_VALUE"""),"خلع الباية الرئيسية للمدرج ")</f>
        <v xml:space="preserve">خلع الباية الرئيسية للمدرج </v>
      </c>
      <c r="I115" s="26"/>
      <c r="J115" s="26" t="s">
        <v>16</v>
      </c>
      <c r="K115" s="26" t="s">
        <v>13</v>
      </c>
      <c r="L115" s="55">
        <v>46126.446841296296</v>
      </c>
      <c r="M115" s="26"/>
      <c r="N115" s="4" t="s">
        <v>121</v>
      </c>
    </row>
    <row r="116" spans="1:14" ht="75" customHeight="1" thickTop="1" thickBot="1">
      <c r="A116" s="26">
        <v>114</v>
      </c>
      <c r="B116" s="55">
        <f ca="1">IFERROR(__xludf.DUMMYFUNCTION("""COMPUTED_VALUE"""),46126.3953158796)</f>
        <v>46126.395315879599</v>
      </c>
      <c r="C116" s="56" t="str">
        <f ca="1">IFERROR(__xludf.DUMMYFUNCTION("""COMPUTED_VALUE"""),"الحر")</f>
        <v>الحر</v>
      </c>
      <c r="D116" s="56" t="str">
        <f ca="1">IFERROR(__xludf.DUMMYFUNCTION("""COMPUTED_VALUE"""),"ادارة المجمع")</f>
        <v>ادارة المجمع</v>
      </c>
      <c r="E116" s="26" t="str">
        <f ca="1">IFERROR(__xludf.DUMMYFUNCTION("""COMPUTED_VALUE"""),"قسم التربية والتعليم العالي")</f>
        <v>قسم التربية والتعليم العالي</v>
      </c>
      <c r="F116" s="26" t="str">
        <f ca="1">IFERROR(__xludf.DUMMYFUNCTION("""COMPUTED_VALUE"""),"B- الابتدائية (البناية 2)")</f>
        <v>B- الابتدائية (البناية 2)</v>
      </c>
      <c r="G116" s="26" t="str">
        <f ca="1">IFERROR(__xludf.DUMMYFUNCTION("""COMPUTED_VALUE"""),"ZONE A - الطابق الارضي, الباب الحديد الرئيسي  لمدخل البناية ")</f>
        <v xml:space="preserve">ZONE A - الطابق الارضي, الباب الحديد الرئيسي  لمدخل البناية </v>
      </c>
      <c r="H116" s="26" t="str">
        <f ca="1">IFERROR(__xludf.DUMMYFUNCTION("""COMPUTED_VALUE"""),"خروج الباب من مكانه مما يشكل خطر على المتعلميين  لطفا المعلاجة باسرع وقت
")</f>
        <v xml:space="preserve">خروج الباب من مكانه مما يشكل خطر على المتعلميين  لطفا المعلاجة باسرع وقت
</v>
      </c>
      <c r="I116" s="26"/>
      <c r="J116" s="26" t="s">
        <v>16</v>
      </c>
      <c r="K116" s="26" t="s">
        <v>13</v>
      </c>
      <c r="L116" s="55">
        <v>46126.446979826389</v>
      </c>
      <c r="M116" s="26"/>
      <c r="N116" s="4" t="s">
        <v>121</v>
      </c>
    </row>
    <row r="117" spans="1:14" ht="75" customHeight="1" thickTop="1" thickBot="1">
      <c r="A117" s="34">
        <v>115</v>
      </c>
      <c r="B117" s="55">
        <f ca="1">IFERROR(__xludf.DUMMYFUNCTION("""COMPUTED_VALUE"""),46126.4058819675)</f>
        <v>46126.405881967497</v>
      </c>
      <c r="C117" s="56" t="str">
        <f ca="1">IFERROR(__xludf.DUMMYFUNCTION("""COMPUTED_VALUE"""),"الحر")</f>
        <v>الحر</v>
      </c>
      <c r="D117" s="56" t="str">
        <f ca="1">IFERROR(__xludf.DUMMYFUNCTION("""COMPUTED_VALUE"""),"ادارة المجمع")</f>
        <v>ادارة المجمع</v>
      </c>
      <c r="E117" s="26" t="str">
        <f ca="1">IFERROR(__xludf.DUMMYFUNCTION("""COMPUTED_VALUE"""),"قسم التربية والتعليم العالي")</f>
        <v>قسم التربية والتعليم العالي</v>
      </c>
      <c r="F117" s="26" t="str">
        <f ca="1">IFERROR(__xludf.DUMMYFUNCTION("""COMPUTED_VALUE"""),"A- الابتدائية (البناية 1)")</f>
        <v>A- الابتدائية (البناية 1)</v>
      </c>
      <c r="G117" s="26" t="str">
        <f ca="1">IFERROR(__xludf.DUMMYFUNCTION("""COMPUTED_VALUE"""),"القاعة الرياضية جهة الابتدائية")</f>
        <v>القاعة الرياضية جهة الابتدائية</v>
      </c>
      <c r="H117" s="26" t="str">
        <f ca="1">IFERROR(__xludf.DUMMYFUNCTION("""COMPUTED_VALUE"""),"خلع باية الحمامات")</f>
        <v>خلع باية الحمامات</v>
      </c>
      <c r="I117" s="26"/>
      <c r="J117" s="26" t="s">
        <v>16</v>
      </c>
      <c r="K117" s="26" t="s">
        <v>13</v>
      </c>
      <c r="L117" s="55">
        <v>46127.376290335647</v>
      </c>
      <c r="M117" s="26"/>
      <c r="N117" s="4" t="s">
        <v>121</v>
      </c>
    </row>
    <row r="118" spans="1:14" ht="75" customHeight="1" thickTop="1" thickBot="1">
      <c r="A118" s="26">
        <v>116</v>
      </c>
      <c r="B118" s="55">
        <f ca="1">IFERROR(__xludf.DUMMYFUNCTION("""COMPUTED_VALUE"""),46127.588794074)</f>
        <v>46127.588794073999</v>
      </c>
      <c r="C118" s="56" t="str">
        <f ca="1">IFERROR(__xludf.DUMMYFUNCTION("""COMPUTED_VALUE"""),"الحر")</f>
        <v>الحر</v>
      </c>
      <c r="D118" s="56" t="str">
        <f ca="1">IFERROR(__xludf.DUMMYFUNCTION("""COMPUTED_VALUE"""),"عيسى صالح ")</f>
        <v xml:space="preserve">عيسى صالح </v>
      </c>
      <c r="E118" s="26" t="str">
        <f ca="1">IFERROR(__xludf.DUMMYFUNCTION("""COMPUTED_VALUE"""),"قسم المشاريع الهندسية")</f>
        <v>قسم المشاريع الهندسية</v>
      </c>
      <c r="F118" s="26" t="str">
        <f ca="1">IFERROR(__xludf.DUMMYFUNCTION("""COMPUTED_VALUE"""),"A- الابتدائية (البناية 1)")</f>
        <v>A- الابتدائية (البناية 1)</v>
      </c>
      <c r="G118" s="26" t="str">
        <f ca="1">IFERROR(__xludf.DUMMYFUNCTION("""COMPUTED_VALUE"""),"ZONE B - الطابق الاول")</f>
        <v>ZONE B - الطابق الاول</v>
      </c>
      <c r="H118" s="26" t="str">
        <f ca="1">IFERROR(__xludf.DUMMYFUNCTION("""COMPUTED_VALUE"""),"إرجاع قطع سقف ثانوي عدد 9 
صيانه رحله عدد 1 
البنايه الاولى الطابق الاول zone b")</f>
        <v>إرجاع قطع سقف ثانوي عدد 9 
صيانه رحله عدد 1 
البنايه الاولى الطابق الاول zone b</v>
      </c>
      <c r="I118" s="26"/>
      <c r="J118" s="26" t="s">
        <v>16</v>
      </c>
      <c r="K118" s="26" t="s">
        <v>13</v>
      </c>
      <c r="L118" s="55">
        <v>46127.599957928236</v>
      </c>
      <c r="M118" s="26"/>
      <c r="N118" s="4" t="s">
        <v>121</v>
      </c>
    </row>
    <row r="119" spans="1:14" ht="75" customHeight="1" thickTop="1" thickBot="1">
      <c r="A119" s="34">
        <v>117</v>
      </c>
      <c r="B119" s="55">
        <f ca="1">IFERROR(__xludf.DUMMYFUNCTION("""COMPUTED_VALUE"""),46127.6061381481)</f>
        <v>46127.606138148098</v>
      </c>
      <c r="C119" s="56" t="str">
        <f ca="1">IFERROR(__xludf.DUMMYFUNCTION("""COMPUTED_VALUE"""),"الحر")</f>
        <v>الحر</v>
      </c>
      <c r="D119" s="56" t="str">
        <f ca="1">IFERROR(__xludf.DUMMYFUNCTION("""COMPUTED_VALUE"""),"عيسى صالح ")</f>
        <v xml:space="preserve">عيسى صالح </v>
      </c>
      <c r="E119" s="26" t="str">
        <f ca="1">IFERROR(__xludf.DUMMYFUNCTION("""COMPUTED_VALUE"""),"قسم المشاريع الهندسية")</f>
        <v>قسم المشاريع الهندسية</v>
      </c>
      <c r="F119" s="26" t="str">
        <f ca="1">IFERROR(__xludf.DUMMYFUNCTION("""COMPUTED_VALUE"""),"B- الابتدائية (البناية 2)")</f>
        <v>B- الابتدائية (البناية 2)</v>
      </c>
      <c r="G119" s="26" t="str">
        <f ca="1">IFERROR(__xludf.DUMMYFUNCTION("""COMPUTED_VALUE"""),"ZONE A - الطابق الاول")</f>
        <v>ZONE A - الطابق الاول</v>
      </c>
      <c r="H119" s="26" t="str">
        <f ca="1">IFERROR(__xludf.DUMMYFUNCTION("""COMPUTED_VALUE"""),"صيانه باب خشب مع مصد باب البنايه الثانيه")</f>
        <v>صيانه باب خشب مع مصد باب البنايه الثانيه</v>
      </c>
      <c r="I119" s="26"/>
      <c r="J119" s="26" t="s">
        <v>16</v>
      </c>
      <c r="K119" s="26" t="s">
        <v>13</v>
      </c>
      <c r="L119" s="55">
        <v>46127.637726516201</v>
      </c>
      <c r="M119" s="26"/>
      <c r="N119" s="4" t="s">
        <v>121</v>
      </c>
    </row>
    <row r="120" spans="1:14" ht="75" customHeight="1" thickTop="1" thickBot="1">
      <c r="A120" s="26">
        <v>118</v>
      </c>
      <c r="B120" s="55">
        <f ca="1">IFERROR(__xludf.DUMMYFUNCTION("""COMPUTED_VALUE"""),46127.6070503819)</f>
        <v>46127.607050381899</v>
      </c>
      <c r="C120" s="56" t="str">
        <f ca="1">IFERROR(__xludf.DUMMYFUNCTION("""COMPUTED_VALUE"""),"الحر")</f>
        <v>الحر</v>
      </c>
      <c r="D120" s="56" t="str">
        <f ca="1">IFERROR(__xludf.DUMMYFUNCTION("""COMPUTED_VALUE"""),"عيسى صالح ")</f>
        <v xml:space="preserve">عيسى صالح </v>
      </c>
      <c r="E120" s="26" t="str">
        <f ca="1">IFERROR(__xludf.DUMMYFUNCTION("""COMPUTED_VALUE"""),"قسم المشاريع الهندسية")</f>
        <v>قسم المشاريع الهندسية</v>
      </c>
      <c r="F120" s="26" t="str">
        <f ca="1">IFERROR(__xludf.DUMMYFUNCTION("""COMPUTED_VALUE"""),"A- الابتدائية (البناية 1)")</f>
        <v>A- الابتدائية (البناية 1)</v>
      </c>
      <c r="G120" s="26" t="str">
        <f ca="1">IFERROR(__xludf.DUMMYFUNCTION("""COMPUTED_VALUE"""),"ZONE A - الطابق الارضي")</f>
        <v>ZONE A - الطابق الارضي</v>
      </c>
      <c r="H120" s="26" t="str">
        <f ca="1">IFERROR(__xludf.DUMMYFUNCTION("""COMPUTED_VALUE"""),"تزيت باب المضخة الحديد في المدرسة الاولى")</f>
        <v>تزيت باب المضخة الحديد في المدرسة الاولى</v>
      </c>
      <c r="I120" s="26"/>
      <c r="J120" s="26" t="s">
        <v>16</v>
      </c>
      <c r="K120" s="26" t="s">
        <v>13</v>
      </c>
      <c r="L120" s="55">
        <v>46127.637643668982</v>
      </c>
      <c r="M120" s="26"/>
      <c r="N120" s="4" t="s">
        <v>121</v>
      </c>
    </row>
    <row r="121" spans="1:14" ht="75" customHeight="1" thickTop="1" thickBot="1">
      <c r="A121" s="34">
        <v>119</v>
      </c>
      <c r="B121" s="55">
        <f ca="1">IFERROR(__xludf.DUMMYFUNCTION("""COMPUTED_VALUE"""),46127.6077679861)</f>
        <v>46127.607767986097</v>
      </c>
      <c r="C121" s="56" t="str">
        <f ca="1">IFERROR(__xludf.DUMMYFUNCTION("""COMPUTED_VALUE"""),"الحر")</f>
        <v>الحر</v>
      </c>
      <c r="D121" s="56" t="str">
        <f ca="1">IFERROR(__xludf.DUMMYFUNCTION("""COMPUTED_VALUE"""),"عيسى صالح ")</f>
        <v xml:space="preserve">عيسى صالح </v>
      </c>
      <c r="E121" s="26" t="str">
        <f ca="1">IFERROR(__xludf.DUMMYFUNCTION("""COMPUTED_VALUE"""),"قسم المشاريع الهندسية")</f>
        <v>قسم المشاريع الهندسية</v>
      </c>
      <c r="F121" s="26" t="str">
        <f ca="1">IFERROR(__xludf.DUMMYFUNCTION("""COMPUTED_VALUE"""),"B- الابتدائية (البناية 2)")</f>
        <v>B- الابتدائية (البناية 2)</v>
      </c>
      <c r="G121" s="26" t="str">
        <f ca="1">IFERROR(__xludf.DUMMYFUNCTION("""COMPUTED_VALUE"""),"ZONE A - الطابق الارضي")</f>
        <v>ZONE A - الطابق الارضي</v>
      </c>
      <c r="H121" s="26" t="str">
        <f ca="1">IFERROR(__xludf.DUMMYFUNCTION("""COMPUTED_VALUE"""),"تثبيت سبورة عدد ١ في المدرسة الثانية طابق الارضي")</f>
        <v>تثبيت سبورة عدد ١ في المدرسة الثانية طابق الارضي</v>
      </c>
      <c r="I121" s="26"/>
      <c r="J121" s="26" t="s">
        <v>16</v>
      </c>
      <c r="K121" s="26" t="s">
        <v>13</v>
      </c>
      <c r="L121" s="55">
        <v>46127.637564456018</v>
      </c>
      <c r="M121" s="26"/>
      <c r="N121" s="4" t="s">
        <v>121</v>
      </c>
    </row>
    <row r="122" spans="1:14" ht="75" customHeight="1" thickTop="1" thickBot="1">
      <c r="A122" s="26">
        <v>120</v>
      </c>
      <c r="B122" s="55">
        <f ca="1">IFERROR(__xludf.DUMMYFUNCTION("""COMPUTED_VALUE"""),46127.6089724537)</f>
        <v>46127.608972453701</v>
      </c>
      <c r="C122" s="56" t="str">
        <f ca="1">IFERROR(__xludf.DUMMYFUNCTION("""COMPUTED_VALUE"""),"الحر")</f>
        <v>الحر</v>
      </c>
      <c r="D122" s="56" t="str">
        <f ca="1">IFERROR(__xludf.DUMMYFUNCTION("""COMPUTED_VALUE"""),"عيسى صالح ")</f>
        <v xml:space="preserve">عيسى صالح </v>
      </c>
      <c r="E122" s="26" t="str">
        <f ca="1">IFERROR(__xludf.DUMMYFUNCTION("""COMPUTED_VALUE"""),"قسم المشاريع الهندسية")</f>
        <v>قسم المشاريع الهندسية</v>
      </c>
      <c r="F122" s="26" t="str">
        <f ca="1">IFERROR(__xludf.DUMMYFUNCTION("""COMPUTED_VALUE"""),"C- المتوسطة (البناية 3)")</f>
        <v>C- المتوسطة (البناية 3)</v>
      </c>
      <c r="G122" s="26" t="str">
        <f ca="1">IFERROR(__xludf.DUMMYFUNCTION("""COMPUTED_VALUE"""),"مختلف الطوابق ")</f>
        <v xml:space="preserve">مختلف الطوابق </v>
      </c>
      <c r="H122" s="26" t="str">
        <f ca="1">IFERROR(__xludf.DUMMYFUNCTION("""COMPUTED_VALUE"""),"صيانة تور شباك عدد ٩ في البناية الثالثة مختلف الطوابق")</f>
        <v>صيانة تور شباك عدد ٩ في البناية الثالثة مختلف الطوابق</v>
      </c>
      <c r="I122" s="26"/>
      <c r="J122" s="26" t="s">
        <v>16</v>
      </c>
      <c r="K122" s="26" t="s">
        <v>13</v>
      </c>
      <c r="L122" s="55">
        <v>46127.637486400461</v>
      </c>
      <c r="M122" s="26"/>
      <c r="N122" s="4" t="s">
        <v>121</v>
      </c>
    </row>
    <row r="123" spans="1:14" ht="75" customHeight="1" thickTop="1" thickBot="1">
      <c r="A123" s="34">
        <v>121</v>
      </c>
      <c r="B123" s="55">
        <f ca="1">IFERROR(__xludf.DUMMYFUNCTION("""COMPUTED_VALUE"""),46127.6096668865)</f>
        <v>46127.609666886499</v>
      </c>
      <c r="C123" s="56" t="str">
        <f ca="1">IFERROR(__xludf.DUMMYFUNCTION("""COMPUTED_VALUE"""),"الحر")</f>
        <v>الحر</v>
      </c>
      <c r="D123" s="56" t="str">
        <f ca="1">IFERROR(__xludf.DUMMYFUNCTION("""COMPUTED_VALUE"""),"عيسى صالح ")</f>
        <v xml:space="preserve">عيسى صالح </v>
      </c>
      <c r="E123" s="26" t="str">
        <f ca="1">IFERROR(__xludf.DUMMYFUNCTION("""COMPUTED_VALUE"""),"قسم المشاريع الهندسية")</f>
        <v>قسم المشاريع الهندسية</v>
      </c>
      <c r="F123" s="26" t="str">
        <f ca="1">IFERROR(__xludf.DUMMYFUNCTION("""COMPUTED_VALUE"""),"C- المتوسطة (البناية 3)")</f>
        <v>C- المتوسطة (البناية 3)</v>
      </c>
      <c r="G123" s="26" t="str">
        <f ca="1">IFERROR(__xludf.DUMMYFUNCTION("""COMPUTED_VALUE"""),"ZONE A - الطابق الاول")</f>
        <v>ZONE A - الطابق الاول</v>
      </c>
      <c r="H123" s="26" t="str">
        <f ca="1">IFERROR(__xludf.DUMMYFUNCTION("""COMPUTED_VALUE"""),"اعادة سقف ثانوي في المدرسة الثالثه عدد ٦")</f>
        <v>اعادة سقف ثانوي في المدرسة الثالثه عدد ٦</v>
      </c>
      <c r="I123" s="26"/>
      <c r="J123" s="26" t="s">
        <v>16</v>
      </c>
      <c r="K123" s="26" t="s">
        <v>13</v>
      </c>
      <c r="L123" s="55">
        <v>46127.637444120366</v>
      </c>
      <c r="M123" s="26"/>
      <c r="N123" s="4" t="s">
        <v>121</v>
      </c>
    </row>
    <row r="124" spans="1:14" ht="75" customHeight="1" thickTop="1" thickBot="1">
      <c r="A124" s="26">
        <v>122</v>
      </c>
      <c r="B124" s="55">
        <f ca="1">IFERROR(__xludf.DUMMYFUNCTION("""COMPUTED_VALUE"""),46127.6103424884)</f>
        <v>46127.610342488399</v>
      </c>
      <c r="C124" s="56" t="str">
        <f ca="1">IFERROR(__xludf.DUMMYFUNCTION("""COMPUTED_VALUE"""),"الحر")</f>
        <v>الحر</v>
      </c>
      <c r="D124" s="56" t="str">
        <f ca="1">IFERROR(__xludf.DUMMYFUNCTION("""COMPUTED_VALUE"""),"عيسى صالح ")</f>
        <v xml:space="preserve">عيسى صالح </v>
      </c>
      <c r="E124" s="26" t="str">
        <f ca="1">IFERROR(__xludf.DUMMYFUNCTION("""COMPUTED_VALUE"""),"قسم المشاريع الهندسية")</f>
        <v>قسم المشاريع الهندسية</v>
      </c>
      <c r="F124" s="26" t="str">
        <f ca="1">IFERROR(__xludf.DUMMYFUNCTION("""COMPUTED_VALUE"""),"C- المتوسطة (البناية 3)")</f>
        <v>C- المتوسطة (البناية 3)</v>
      </c>
      <c r="G124" s="26" t="str">
        <f ca="1">IFERROR(__xludf.DUMMYFUNCTION("""COMPUTED_VALUE"""),"مختلف الطوابق ")</f>
        <v xml:space="preserve">مختلف الطوابق </v>
      </c>
      <c r="H124" s="26" t="str">
        <f ca="1">IFERROR(__xludf.DUMMYFUNCTION("""COMPUTED_VALUE"""),"صيانة ابواب خشبية عدد ٣ في المدرسة الثالثة")</f>
        <v>صيانة ابواب خشبية عدد ٣ في المدرسة الثالثة</v>
      </c>
      <c r="I124" s="26"/>
      <c r="J124" s="26" t="s">
        <v>16</v>
      </c>
      <c r="K124" s="26" t="s">
        <v>13</v>
      </c>
      <c r="L124" s="55">
        <v>46127.637373935184</v>
      </c>
      <c r="M124" s="26"/>
      <c r="N124" s="4" t="s">
        <v>121</v>
      </c>
    </row>
    <row r="125" spans="1:14" ht="75" customHeight="1" thickTop="1" thickBot="1">
      <c r="A125" s="34">
        <v>123</v>
      </c>
      <c r="B125" s="55">
        <f ca="1">IFERROR(__xludf.DUMMYFUNCTION("""COMPUTED_VALUE"""),46127.6109162963)</f>
        <v>46127.610916296297</v>
      </c>
      <c r="C125" s="56" t="str">
        <f ca="1">IFERROR(__xludf.DUMMYFUNCTION("""COMPUTED_VALUE"""),"الحر")</f>
        <v>الحر</v>
      </c>
      <c r="D125" s="56" t="str">
        <f ca="1">IFERROR(__xludf.DUMMYFUNCTION("""COMPUTED_VALUE"""),"عيسى صالح ")</f>
        <v xml:space="preserve">عيسى صالح </v>
      </c>
      <c r="E125" s="26" t="str">
        <f ca="1">IFERROR(__xludf.DUMMYFUNCTION("""COMPUTED_VALUE"""),"قسم المشاريع الهندسية")</f>
        <v>قسم المشاريع الهندسية</v>
      </c>
      <c r="F125" s="26" t="str">
        <f ca="1">IFERROR(__xludf.DUMMYFUNCTION("""COMPUTED_VALUE"""),"C- المتوسطة (البناية 3)")</f>
        <v>C- المتوسطة (البناية 3)</v>
      </c>
      <c r="G125" s="26" t="str">
        <f ca="1">IFERROR(__xludf.DUMMYFUNCTION("""COMPUTED_VALUE"""),"مختلف الطوابق ")</f>
        <v xml:space="preserve">مختلف الطوابق </v>
      </c>
      <c r="H125" s="26" t="str">
        <f ca="1">IFERROR(__xludf.DUMMYFUNCTION("""COMPUTED_VALUE"""),"تبديل يدات شباك عدد ٢ في المدرسة الثالثة")</f>
        <v>تبديل يدات شباك عدد ٢ في المدرسة الثالثة</v>
      </c>
      <c r="I125" s="26"/>
      <c r="J125" s="26" t="s">
        <v>16</v>
      </c>
      <c r="K125" s="26" t="s">
        <v>13</v>
      </c>
      <c r="L125" s="55">
        <v>46127.637297534719</v>
      </c>
      <c r="M125" s="26"/>
      <c r="N125" s="4" t="s">
        <v>121</v>
      </c>
    </row>
    <row r="126" spans="1:14" ht="75" customHeight="1" thickTop="1" thickBot="1">
      <c r="A126" s="26">
        <v>124</v>
      </c>
      <c r="B126" s="55">
        <f ca="1">IFERROR(__xludf.DUMMYFUNCTION("""COMPUTED_VALUE"""),46127.6115148379)</f>
        <v>46127.611514837903</v>
      </c>
      <c r="C126" s="56" t="str">
        <f ca="1">IFERROR(__xludf.DUMMYFUNCTION("""COMPUTED_VALUE"""),"الحر")</f>
        <v>الحر</v>
      </c>
      <c r="D126" s="56" t="str">
        <f ca="1">IFERROR(__xludf.DUMMYFUNCTION("""COMPUTED_VALUE"""),"عيسى صالح ")</f>
        <v xml:space="preserve">عيسى صالح </v>
      </c>
      <c r="E126" s="26" t="str">
        <f ca="1">IFERROR(__xludf.DUMMYFUNCTION("""COMPUTED_VALUE"""),"قسم المشاريع الهندسية")</f>
        <v>قسم المشاريع الهندسية</v>
      </c>
      <c r="F126" s="26" t="str">
        <f ca="1">IFERROR(__xludf.DUMMYFUNCTION("""COMPUTED_VALUE"""),"C- المتوسطة (البناية 3)")</f>
        <v>C- المتوسطة (البناية 3)</v>
      </c>
      <c r="G126" s="26" t="str">
        <f ca="1">IFERROR(__xludf.DUMMYFUNCTION("""COMPUTED_VALUE"""),"ZONE A - الطابق الاول")</f>
        <v>ZONE A - الطابق الاول</v>
      </c>
      <c r="H126" s="26" t="str">
        <f ca="1">IFERROR(__xludf.DUMMYFUNCTION("""COMPUTED_VALUE"""),"تثبيت مصد ابواب عدد ١ في المدرسة الثالثة")</f>
        <v>تثبيت مصد ابواب عدد ١ في المدرسة الثالثة</v>
      </c>
      <c r="I126" s="26"/>
      <c r="J126" s="26" t="s">
        <v>16</v>
      </c>
      <c r="K126" s="26" t="s">
        <v>13</v>
      </c>
      <c r="L126" s="55">
        <v>46127.637249976848</v>
      </c>
      <c r="M126" s="26"/>
      <c r="N126" s="4" t="s">
        <v>121</v>
      </c>
    </row>
    <row r="127" spans="1:14" ht="75" customHeight="1" thickTop="1" thickBot="1">
      <c r="A127" s="34">
        <v>125</v>
      </c>
      <c r="B127" s="55">
        <f ca="1">IFERROR(__xludf.DUMMYFUNCTION("""COMPUTED_VALUE"""),46127.6120851041)</f>
        <v>46127.612085104098</v>
      </c>
      <c r="C127" s="56" t="str">
        <f ca="1">IFERROR(__xludf.DUMMYFUNCTION("""COMPUTED_VALUE"""),"الحر")</f>
        <v>الحر</v>
      </c>
      <c r="D127" s="56" t="str">
        <f ca="1">IFERROR(__xludf.DUMMYFUNCTION("""COMPUTED_VALUE"""),"عيسى صالح ")</f>
        <v xml:space="preserve">عيسى صالح </v>
      </c>
      <c r="E127" s="26" t="str">
        <f ca="1">IFERROR(__xludf.DUMMYFUNCTION("""COMPUTED_VALUE"""),"قسم المشاريع الهندسية")</f>
        <v>قسم المشاريع الهندسية</v>
      </c>
      <c r="F127" s="26" t="str">
        <f ca="1">IFERROR(__xludf.DUMMYFUNCTION("""COMPUTED_VALUE"""),"C- المتوسطة (البناية 3)")</f>
        <v>C- المتوسطة (البناية 3)</v>
      </c>
      <c r="G127" s="26" t="str">
        <f ca="1">IFERROR(__xludf.DUMMYFUNCTION("""COMPUTED_VALUE"""),"ZONE A - الطابق الاول, ")</f>
        <v xml:space="preserve">ZONE A - الطابق الاول, </v>
      </c>
      <c r="H127" s="26" t="str">
        <f ca="1">IFERROR(__xludf.DUMMYFUNCTION("""COMPUTED_VALUE"""),"صيانة شباك قلاب عدد ٢ في المدرسة الثالثة")</f>
        <v>صيانة شباك قلاب عدد ٢ في المدرسة الثالثة</v>
      </c>
      <c r="I127" s="26"/>
      <c r="J127" s="26" t="s">
        <v>16</v>
      </c>
      <c r="K127" s="26" t="s">
        <v>13</v>
      </c>
      <c r="L127" s="55">
        <v>46127.63684486111</v>
      </c>
      <c r="M127" s="26"/>
      <c r="N127" s="4" t="s">
        <v>121</v>
      </c>
    </row>
    <row r="128" spans="1:14" ht="75" customHeight="1" thickTop="1" thickBot="1">
      <c r="A128" s="26">
        <v>126</v>
      </c>
      <c r="B128" s="55">
        <f ca="1">IFERROR(__xludf.DUMMYFUNCTION("""COMPUTED_VALUE"""),46127.6128574652)</f>
        <v>46127.612857465203</v>
      </c>
      <c r="C128" s="56" t="str">
        <f ca="1">IFERROR(__xludf.DUMMYFUNCTION("""COMPUTED_VALUE"""),"الحر")</f>
        <v>الحر</v>
      </c>
      <c r="D128" s="56" t="str">
        <f ca="1">IFERROR(__xludf.DUMMYFUNCTION("""COMPUTED_VALUE"""),"عيسى صالح ")</f>
        <v xml:space="preserve">عيسى صالح </v>
      </c>
      <c r="E128" s="26" t="str">
        <f ca="1">IFERROR(__xludf.DUMMYFUNCTION("""COMPUTED_VALUE"""),"قسم المشاريع الهندسية")</f>
        <v>قسم المشاريع الهندسية</v>
      </c>
      <c r="F128" s="26" t="str">
        <f ca="1">IFERROR(__xludf.DUMMYFUNCTION("""COMPUTED_VALUE"""),"C- المتوسطة (البناية 3)")</f>
        <v>C- المتوسطة (البناية 3)</v>
      </c>
      <c r="G128" s="26" t="str">
        <f ca="1">IFERROR(__xludf.DUMMYFUNCTION("""COMPUTED_VALUE"""),"ZONE A - الطابق الارضي")</f>
        <v>ZONE A - الطابق الارضي</v>
      </c>
      <c r="H128" s="26" t="str">
        <f ca="1">IFERROR(__xludf.DUMMYFUNCTION("""COMPUTED_VALUE"""),"تثبيت ساقية ماء في ساحة المدرسة الثالثة")</f>
        <v>تثبيت ساقية ماء في ساحة المدرسة الثالثة</v>
      </c>
      <c r="I128" s="26"/>
      <c r="J128" s="26" t="s">
        <v>16</v>
      </c>
      <c r="K128" s="26" t="s">
        <v>13</v>
      </c>
      <c r="L128" s="55">
        <v>46127.636798321764</v>
      </c>
      <c r="M128" s="26"/>
      <c r="N128" s="4" t="s">
        <v>121</v>
      </c>
    </row>
    <row r="129" spans="1:14" ht="75" customHeight="1" thickTop="1" thickBot="1">
      <c r="A129" s="34">
        <v>127</v>
      </c>
      <c r="B129" s="55">
        <f ca="1">IFERROR(__xludf.DUMMYFUNCTION("""COMPUTED_VALUE"""),46127.6137910416)</f>
        <v>46127.6137910416</v>
      </c>
      <c r="C129" s="56" t="str">
        <f ca="1">IFERROR(__xludf.DUMMYFUNCTION("""COMPUTED_VALUE"""),"الحر")</f>
        <v>الحر</v>
      </c>
      <c r="D129" s="56" t="str">
        <f ca="1">IFERROR(__xludf.DUMMYFUNCTION("""COMPUTED_VALUE"""),"عيسى صالح ")</f>
        <v xml:space="preserve">عيسى صالح </v>
      </c>
      <c r="E129" s="26" t="str">
        <f ca="1">IFERROR(__xludf.DUMMYFUNCTION("""COMPUTED_VALUE"""),"قسم المشاريع الهندسية")</f>
        <v>قسم المشاريع الهندسية</v>
      </c>
      <c r="F129" s="26" t="str">
        <f ca="1">IFERROR(__xludf.DUMMYFUNCTION("""COMPUTED_VALUE"""),"B- الابتدائية (البناية 2)")</f>
        <v>B- الابتدائية (البناية 2)</v>
      </c>
      <c r="G129" s="26" t="str">
        <f ca="1">IFERROR(__xludf.DUMMYFUNCTION("""COMPUTED_VALUE"""),"القاعة الرياضية جهة الابتدائية")</f>
        <v>القاعة الرياضية جهة الابتدائية</v>
      </c>
      <c r="H129" s="26" t="str">
        <f ca="1">IFERROR(__xludf.DUMMYFUNCTION("""COMPUTED_VALUE"""),"تركيب قطعه مرمر البنايه الثانيه صحيات القاعه الرياضيه")</f>
        <v>تركيب قطعه مرمر البنايه الثانيه صحيات القاعه الرياضيه</v>
      </c>
      <c r="I129" s="26"/>
      <c r="J129" s="26" t="s">
        <v>16</v>
      </c>
      <c r="K129" s="26" t="s">
        <v>13</v>
      </c>
      <c r="L129" s="55">
        <v>46127.636769618053</v>
      </c>
      <c r="M129" s="26"/>
      <c r="N129" s="4" t="s">
        <v>121</v>
      </c>
    </row>
    <row r="130" spans="1:14" ht="75" customHeight="1" thickTop="1" thickBot="1">
      <c r="A130" s="26">
        <v>128</v>
      </c>
      <c r="B130" s="55">
        <f ca="1">IFERROR(__xludf.DUMMYFUNCTION("""COMPUTED_VALUE"""),46127.614384618)</f>
        <v>46127.614384617998</v>
      </c>
      <c r="C130" s="56" t="str">
        <f ca="1">IFERROR(__xludf.DUMMYFUNCTION("""COMPUTED_VALUE"""),"الحر")</f>
        <v>الحر</v>
      </c>
      <c r="D130" s="56" t="str">
        <f ca="1">IFERROR(__xludf.DUMMYFUNCTION("""COMPUTED_VALUE"""),"عيسى صالح ")</f>
        <v xml:space="preserve">عيسى صالح </v>
      </c>
      <c r="E130" s="26" t="str">
        <f ca="1">IFERROR(__xludf.DUMMYFUNCTION("""COMPUTED_VALUE"""),"قسم المشاريع الهندسية")</f>
        <v>قسم المشاريع الهندسية</v>
      </c>
      <c r="F130" s="26" t="str">
        <f ca="1">IFERROR(__xludf.DUMMYFUNCTION("""COMPUTED_VALUE"""),"A- الابتدائية (البناية 1)")</f>
        <v>A- الابتدائية (البناية 1)</v>
      </c>
      <c r="G130" s="26" t="str">
        <f ca="1">IFERROR(__xludf.DUMMYFUNCTION("""COMPUTED_VALUE"""),"ZONE A - الطابق الارضي")</f>
        <v>ZONE A - الطابق الارضي</v>
      </c>
      <c r="H130" s="26" t="str">
        <f ca="1">IFERROR(__xludf.DUMMYFUNCTION("""COMPUTED_VALUE"""),"تركيب قطعه مرمر مع هزاره درج البنايه الاولى zone A")</f>
        <v>تركيب قطعه مرمر مع هزاره درج البنايه الاولى zone A</v>
      </c>
      <c r="I130" s="26"/>
      <c r="J130" s="26" t="s">
        <v>16</v>
      </c>
      <c r="K130" s="26" t="s">
        <v>13</v>
      </c>
      <c r="L130" s="55">
        <v>46127.636706215279</v>
      </c>
      <c r="M130" s="26"/>
      <c r="N130" s="4" t="s">
        <v>121</v>
      </c>
    </row>
    <row r="131" spans="1:14" ht="75" customHeight="1" thickTop="1" thickBot="1">
      <c r="A131" s="34">
        <v>129</v>
      </c>
      <c r="B131" s="55">
        <f ca="1">IFERROR(__xludf.DUMMYFUNCTION("""COMPUTED_VALUE"""),46127.6156122685)</f>
        <v>46127.615612268499</v>
      </c>
      <c r="C131" s="56" t="str">
        <f ca="1">IFERROR(__xludf.DUMMYFUNCTION("""COMPUTED_VALUE"""),"الحر")</f>
        <v>الحر</v>
      </c>
      <c r="D131" s="56" t="str">
        <f ca="1">IFERROR(__xludf.DUMMYFUNCTION("""COMPUTED_VALUE"""),"عيسى صالح ")</f>
        <v xml:space="preserve">عيسى صالح </v>
      </c>
      <c r="E131" s="26" t="str">
        <f ca="1">IFERROR(__xludf.DUMMYFUNCTION("""COMPUTED_VALUE"""),"قسم المشاريع الهندسية")</f>
        <v>قسم المشاريع الهندسية</v>
      </c>
      <c r="F131" s="26" t="str">
        <f ca="1">IFERROR(__xludf.DUMMYFUNCTION("""COMPUTED_VALUE"""),"B- الابتدائية (البناية 2)")</f>
        <v>B- الابتدائية (البناية 2)</v>
      </c>
      <c r="G131" s="26" t="str">
        <f ca="1">IFERROR(__xludf.DUMMYFUNCTION("""COMPUTED_VALUE"""),"ZONE A - الطابق الارضي")</f>
        <v>ZONE A - الطابق الارضي</v>
      </c>
      <c r="H131" s="26" t="str">
        <f ca="1">IFERROR(__xludf.DUMMYFUNCTION("""COMPUTED_VALUE"""),"تركيب كوبون الباب الرئيسي البنايه الثانيه")</f>
        <v>تركيب كوبون الباب الرئيسي البنايه الثانيه</v>
      </c>
      <c r="I131" s="26"/>
      <c r="J131" s="26" t="s">
        <v>16</v>
      </c>
      <c r="K131" s="26" t="s">
        <v>13</v>
      </c>
      <c r="L131" s="55">
        <v>46127.636592893519</v>
      </c>
      <c r="M131" s="26"/>
      <c r="N131" s="4" t="s">
        <v>121</v>
      </c>
    </row>
    <row r="132" spans="1:14" ht="75" customHeight="1" thickTop="1" thickBot="1">
      <c r="A132" s="26">
        <v>130</v>
      </c>
      <c r="B132" s="55">
        <f ca="1">IFERROR(__xludf.DUMMYFUNCTION("""COMPUTED_VALUE"""),46127.6165867824)</f>
        <v>46127.616586782402</v>
      </c>
      <c r="C132" s="56" t="str">
        <f ca="1">IFERROR(__xludf.DUMMYFUNCTION("""COMPUTED_VALUE"""),"الحر")</f>
        <v>الحر</v>
      </c>
      <c r="D132" s="56" t="str">
        <f ca="1">IFERROR(__xludf.DUMMYFUNCTION("""COMPUTED_VALUE"""),"عيسى صالح ")</f>
        <v xml:space="preserve">عيسى صالح </v>
      </c>
      <c r="E132" s="26" t="str">
        <f ca="1">IFERROR(__xludf.DUMMYFUNCTION("""COMPUTED_VALUE"""),"قسم المشاريع الهندسية")</f>
        <v>قسم المشاريع الهندسية</v>
      </c>
      <c r="F132" s="26" t="str">
        <f ca="1">IFERROR(__xludf.DUMMYFUNCTION("""COMPUTED_VALUE"""),"B- الابتدائية (البناية 2)")</f>
        <v>B- الابتدائية (البناية 2)</v>
      </c>
      <c r="G132" s="26" t="str">
        <f ca="1">IFERROR(__xludf.DUMMYFUNCTION("""COMPUTED_VALUE"""),"ZONE A - الطابق الارضي")</f>
        <v>ZONE A - الطابق الارضي</v>
      </c>
      <c r="H132" s="26" t="str">
        <f ca="1">IFERROR(__xludf.DUMMYFUNCTION("""COMPUTED_VALUE"""),"لحيم مصد الباب الرئيسي البنايه الثانيه")</f>
        <v>لحيم مصد الباب الرئيسي البنايه الثانيه</v>
      </c>
      <c r="I132" s="26"/>
      <c r="J132" s="26" t="s">
        <v>16</v>
      </c>
      <c r="K132" s="26" t="s">
        <v>13</v>
      </c>
      <c r="L132" s="55">
        <v>46127.636519513893</v>
      </c>
      <c r="M132" s="26"/>
      <c r="N132" s="4" t="s">
        <v>121</v>
      </c>
    </row>
    <row r="133" spans="1:14" ht="75" customHeight="1" thickTop="1" thickBot="1">
      <c r="A133" s="34">
        <v>131</v>
      </c>
      <c r="B133" s="55">
        <f ca="1">IFERROR(__xludf.DUMMYFUNCTION("""COMPUTED_VALUE"""),46127.6174458564)</f>
        <v>46127.617445856398</v>
      </c>
      <c r="C133" s="56" t="str">
        <f ca="1">IFERROR(__xludf.DUMMYFUNCTION("""COMPUTED_VALUE"""),"الحر")</f>
        <v>الحر</v>
      </c>
      <c r="D133" s="56" t="str">
        <f ca="1">IFERROR(__xludf.DUMMYFUNCTION("""COMPUTED_VALUE"""),"عيسى صالح ")</f>
        <v xml:space="preserve">عيسى صالح </v>
      </c>
      <c r="E133" s="26" t="str">
        <f ca="1">IFERROR(__xludf.DUMMYFUNCTION("""COMPUTED_VALUE"""),"قسم المشاريع الهندسية")</f>
        <v>قسم المشاريع الهندسية</v>
      </c>
      <c r="F133" s="26" t="str">
        <f ca="1">IFERROR(__xludf.DUMMYFUNCTION("""COMPUTED_VALUE"""),"D- الاعدادية (البناية 4)")</f>
        <v>D- الاعدادية (البناية 4)</v>
      </c>
      <c r="G133" s="26" t="str">
        <f ca="1">IFERROR(__xludf.DUMMYFUNCTION("""COMPUTED_VALUE"""),"ZONE B - الطابق الاول")</f>
        <v>ZONE B - الطابق الاول</v>
      </c>
      <c r="H133" s="26" t="str">
        <f ca="1">IFERROR(__xludf.DUMMYFUNCTION("""COMPUTED_VALUE"""),"تضليل شبابيك البنايه الرابعه zone b الطابق الاول عدد 7")</f>
        <v>تضليل شبابيك البنايه الرابعه zone b الطابق الاول عدد 7</v>
      </c>
      <c r="I133" s="26"/>
      <c r="J133" s="26" t="s">
        <v>16</v>
      </c>
      <c r="K133" s="26" t="s">
        <v>13</v>
      </c>
      <c r="L133" s="55">
        <v>46127.6364612037</v>
      </c>
      <c r="M133" s="26"/>
      <c r="N133" s="4" t="s">
        <v>121</v>
      </c>
    </row>
    <row r="134" spans="1:14" ht="75" customHeight="1" thickTop="1" thickBot="1">
      <c r="A134" s="26">
        <v>132</v>
      </c>
      <c r="B134" s="55">
        <f ca="1">IFERROR(__xludf.DUMMYFUNCTION("""COMPUTED_VALUE"""),46127.6184805208)</f>
        <v>46127.618480520803</v>
      </c>
      <c r="C134" s="56" t="str">
        <f ca="1">IFERROR(__xludf.DUMMYFUNCTION("""COMPUTED_VALUE"""),"الحر")</f>
        <v>الحر</v>
      </c>
      <c r="D134" s="56" t="str">
        <f ca="1">IFERROR(__xludf.DUMMYFUNCTION("""COMPUTED_VALUE"""),"عيسى صالح ")</f>
        <v xml:space="preserve">عيسى صالح </v>
      </c>
      <c r="E134" s="26" t="str">
        <f ca="1">IFERROR(__xludf.DUMMYFUNCTION("""COMPUTED_VALUE"""),"قسم المشاريع الهندسية")</f>
        <v>قسم المشاريع الهندسية</v>
      </c>
      <c r="F134" s="26" t="str">
        <f ca="1">IFERROR(__xludf.DUMMYFUNCTION("""COMPUTED_VALUE"""),"D- الاعدادية (البناية 4)")</f>
        <v>D- الاعدادية (البناية 4)</v>
      </c>
      <c r="G134" s="26" t="str">
        <f ca="1">IFERROR(__xludf.DUMMYFUNCTION("""COMPUTED_VALUE"""),"ZONE A - الطابق الثاني")</f>
        <v>ZONE A - الطابق الثاني</v>
      </c>
      <c r="H134" s="26" t="str">
        <f ca="1">IFERROR(__xludf.DUMMYFUNCTION("""COMPUTED_VALUE"""),"تضليل شبابيك البنايه الرابعه الطابق الثاني عدد 14")</f>
        <v>تضليل شبابيك البنايه الرابعه الطابق الثاني عدد 14</v>
      </c>
      <c r="I134" s="26"/>
      <c r="J134" s="26" t="s">
        <v>16</v>
      </c>
      <c r="K134" s="26" t="s">
        <v>13</v>
      </c>
      <c r="L134" s="55">
        <v>46127.636418888884</v>
      </c>
      <c r="M134" s="26"/>
      <c r="N134" s="4" t="s">
        <v>121</v>
      </c>
    </row>
    <row r="135" spans="1:14" ht="75" customHeight="1" thickTop="1" thickBot="1">
      <c r="A135" s="34">
        <v>133</v>
      </c>
      <c r="B135" s="55">
        <f ca="1">IFERROR(__xludf.DUMMYFUNCTION("""COMPUTED_VALUE"""),46127.6194219328)</f>
        <v>46127.619421932803</v>
      </c>
      <c r="C135" s="56" t="str">
        <f ca="1">IFERROR(__xludf.DUMMYFUNCTION("""COMPUTED_VALUE"""),"الحر")</f>
        <v>الحر</v>
      </c>
      <c r="D135" s="56" t="str">
        <f ca="1">IFERROR(__xludf.DUMMYFUNCTION("""COMPUTED_VALUE"""),"عيسى صالح ")</f>
        <v xml:space="preserve">عيسى صالح </v>
      </c>
      <c r="E135" s="26" t="str">
        <f ca="1">IFERROR(__xludf.DUMMYFUNCTION("""COMPUTED_VALUE"""),"قسم المشاريع الهندسية")</f>
        <v>قسم المشاريع الهندسية</v>
      </c>
      <c r="F135" s="26" t="str">
        <f ca="1">IFERROR(__xludf.DUMMYFUNCTION("""COMPUTED_VALUE"""),"D- الاعدادية (البناية 4)")</f>
        <v>D- الاعدادية (البناية 4)</v>
      </c>
      <c r="G135" s="26" t="str">
        <f ca="1">IFERROR(__xludf.DUMMYFUNCTION("""COMPUTED_VALUE"""),"ZONE B - الطابق الثاني")</f>
        <v>ZONE B - الطابق الثاني</v>
      </c>
      <c r="H135" s="26" t="str">
        <f ca="1">IFERROR(__xludf.DUMMYFUNCTION("""COMPUTED_VALUE"""),"تبديل تور شباب صف الرابع (و) 
البنايه الرابعه الطابق الثاني")</f>
        <v>تبديل تور شباب صف الرابع (و) 
البنايه الرابعه الطابق الثاني</v>
      </c>
      <c r="I135" s="26"/>
      <c r="J135" s="26" t="s">
        <v>16</v>
      </c>
      <c r="K135" s="26" t="s">
        <v>13</v>
      </c>
      <c r="L135" s="55">
        <v>46127.636319305559</v>
      </c>
      <c r="M135" s="26"/>
      <c r="N135" s="4" t="s">
        <v>121</v>
      </c>
    </row>
    <row r="136" spans="1:14" ht="75" customHeight="1" thickTop="1" thickBot="1">
      <c r="A136" s="26">
        <v>134</v>
      </c>
      <c r="B136" s="55">
        <f ca="1">IFERROR(__xludf.DUMMYFUNCTION("""COMPUTED_VALUE"""),46127.6210233333)</f>
        <v>46127.621023333297</v>
      </c>
      <c r="C136" s="56" t="str">
        <f ca="1">IFERROR(__xludf.DUMMYFUNCTION("""COMPUTED_VALUE"""),"الحر")</f>
        <v>الحر</v>
      </c>
      <c r="D136" s="56" t="str">
        <f ca="1">IFERROR(__xludf.DUMMYFUNCTION("""COMPUTED_VALUE"""),"عيسى صالح ")</f>
        <v xml:space="preserve">عيسى صالح </v>
      </c>
      <c r="E136" s="26" t="str">
        <f ca="1">IFERROR(__xludf.DUMMYFUNCTION("""COMPUTED_VALUE"""),"قسم المشاريع الهندسية")</f>
        <v>قسم المشاريع الهندسية</v>
      </c>
      <c r="F136" s="26" t="str">
        <f ca="1">IFERROR(__xludf.DUMMYFUNCTION("""COMPUTED_VALUE"""),"D- الاعدادية (البناية 4)")</f>
        <v>D- الاعدادية (البناية 4)</v>
      </c>
      <c r="G136" s="26" t="str">
        <f ca="1">IFERROR(__xludf.DUMMYFUNCTION("""COMPUTED_VALUE"""),"ZONE B - الطابق الارضي")</f>
        <v>ZONE B - الطابق الارضي</v>
      </c>
      <c r="H136" s="26" t="str">
        <f ca="1">IFERROR(__xludf.DUMMYFUNCTION("""COMPUTED_VALUE"""),"تم صيانه كيلون باب الخشب مع تزيت صف الثالث (ب) ط ارضي زون B المدرسة الرابعه")</f>
        <v>تم صيانه كيلون باب الخشب مع تزيت صف الثالث (ب) ط ارضي زون B المدرسة الرابعه</v>
      </c>
      <c r="I136" s="26"/>
      <c r="J136" s="26" t="s">
        <v>16</v>
      </c>
      <c r="K136" s="26" t="s">
        <v>13</v>
      </c>
      <c r="L136" s="55">
        <v>46127.636269641203</v>
      </c>
      <c r="M136" s="26"/>
      <c r="N136" s="4" t="s">
        <v>121</v>
      </c>
    </row>
    <row r="137" spans="1:14" ht="75" customHeight="1" thickTop="1" thickBot="1">
      <c r="A137" s="34">
        <v>135</v>
      </c>
      <c r="B137" s="55">
        <f ca="1">IFERROR(__xludf.DUMMYFUNCTION("""COMPUTED_VALUE"""),46127.6216164004)</f>
        <v>46127.6216164004</v>
      </c>
      <c r="C137" s="56" t="str">
        <f ca="1">IFERROR(__xludf.DUMMYFUNCTION("""COMPUTED_VALUE"""),"الحر")</f>
        <v>الحر</v>
      </c>
      <c r="D137" s="56" t="str">
        <f ca="1">IFERROR(__xludf.DUMMYFUNCTION("""COMPUTED_VALUE"""),"عيسى صالح ")</f>
        <v xml:space="preserve">عيسى صالح </v>
      </c>
      <c r="E137" s="26" t="str">
        <f ca="1">IFERROR(__xludf.DUMMYFUNCTION("""COMPUTED_VALUE"""),"قسم المشاريع الهندسية")</f>
        <v>قسم المشاريع الهندسية</v>
      </c>
      <c r="F137" s="26" t="str">
        <f ca="1">IFERROR(__xludf.DUMMYFUNCTION("""COMPUTED_VALUE"""),"D- الاعدادية (البناية 4)")</f>
        <v>D- الاعدادية (البناية 4)</v>
      </c>
      <c r="G137" s="26" t="str">
        <f ca="1">IFERROR(__xludf.DUMMYFUNCTION("""COMPUTED_VALUE"""),"ZONE B - الطابق الارضي")</f>
        <v>ZONE B - الطابق الارضي</v>
      </c>
      <c r="H137" s="26" t="str">
        <f ca="1">IFERROR(__xludf.DUMMYFUNCTION("""COMPUTED_VALUE"""),"تم ارجاع قطع سقف ثانوي عدد (٤) ط ارضي زون B المدرسة الرابعه")</f>
        <v>تم ارجاع قطع سقف ثانوي عدد (٤) ط ارضي زون B المدرسة الرابعه</v>
      </c>
      <c r="I137" s="26"/>
      <c r="J137" s="26" t="s">
        <v>16</v>
      </c>
      <c r="K137" s="26" t="s">
        <v>13</v>
      </c>
      <c r="L137" s="55">
        <v>46127.63622158565</v>
      </c>
      <c r="M137" s="26"/>
      <c r="N137" s="4" t="s">
        <v>121</v>
      </c>
    </row>
    <row r="138" spans="1:14" ht="75" customHeight="1" thickTop="1" thickBot="1">
      <c r="A138" s="26">
        <v>136</v>
      </c>
      <c r="B138" s="55">
        <f ca="1">IFERROR(__xludf.DUMMYFUNCTION("""COMPUTED_VALUE"""),46127.6223310648)</f>
        <v>46127.622331064798</v>
      </c>
      <c r="C138" s="56" t="str">
        <f ca="1">IFERROR(__xludf.DUMMYFUNCTION("""COMPUTED_VALUE"""),"الحر")</f>
        <v>الحر</v>
      </c>
      <c r="D138" s="56" t="str">
        <f ca="1">IFERROR(__xludf.DUMMYFUNCTION("""COMPUTED_VALUE"""),"عيسى صالح ")</f>
        <v xml:space="preserve">عيسى صالح </v>
      </c>
      <c r="E138" s="26" t="str">
        <f ca="1">IFERROR(__xludf.DUMMYFUNCTION("""COMPUTED_VALUE"""),"قسم المشاريع الهندسية")</f>
        <v>قسم المشاريع الهندسية</v>
      </c>
      <c r="F138" s="26" t="str">
        <f ca="1">IFERROR(__xludf.DUMMYFUNCTION("""COMPUTED_VALUE"""),"D- الاعدادية (البناية 4)")</f>
        <v>D- الاعدادية (البناية 4)</v>
      </c>
      <c r="G138" s="26" t="str">
        <f ca="1">IFERROR(__xludf.DUMMYFUNCTION("""COMPUTED_VALUE"""),"جميع الطوابق ")</f>
        <v xml:space="preserve">جميع الطوابق </v>
      </c>
      <c r="H138" s="26" t="str">
        <f ca="1">IFERROR(__xludf.DUMMYFUNCTION("""COMPUTED_VALUE"""),"تم صيانه رحلات عدد (٢٨) في جميع الطوابق المدرسة الرابعه زون A-B")</f>
        <v>تم صيانه رحلات عدد (٢٨) في جميع الطوابق المدرسة الرابعه زون A-B</v>
      </c>
      <c r="I138" s="26"/>
      <c r="J138" s="26" t="s">
        <v>16</v>
      </c>
      <c r="K138" s="26" t="s">
        <v>13</v>
      </c>
      <c r="L138" s="55">
        <v>46127.636123263888</v>
      </c>
      <c r="M138" s="26"/>
      <c r="N138" s="4" t="s">
        <v>121</v>
      </c>
    </row>
    <row r="139" spans="1:14" ht="75" customHeight="1" thickTop="1" thickBot="1">
      <c r="A139" s="34">
        <v>137</v>
      </c>
      <c r="B139" s="55">
        <f ca="1">IFERROR(__xludf.DUMMYFUNCTION("""COMPUTED_VALUE"""),46127.622964456)</f>
        <v>46127.622964456001</v>
      </c>
      <c r="C139" s="56" t="str">
        <f ca="1">IFERROR(__xludf.DUMMYFUNCTION("""COMPUTED_VALUE"""),"الحر")</f>
        <v>الحر</v>
      </c>
      <c r="D139" s="56" t="str">
        <f ca="1">IFERROR(__xludf.DUMMYFUNCTION("""COMPUTED_VALUE"""),"عيسى صالح ")</f>
        <v xml:space="preserve">عيسى صالح </v>
      </c>
      <c r="E139" s="26" t="str">
        <f ca="1">IFERROR(__xludf.DUMMYFUNCTION("""COMPUTED_VALUE"""),"قسم المشاريع الهندسية")</f>
        <v>قسم المشاريع الهندسية</v>
      </c>
      <c r="F139" s="26" t="str">
        <f ca="1">IFERROR(__xludf.DUMMYFUNCTION("""COMPUTED_VALUE"""),"D- الاعدادية (البناية 4)")</f>
        <v>D- الاعدادية (البناية 4)</v>
      </c>
      <c r="G139" s="26" t="str">
        <f ca="1">IFERROR(__xludf.DUMMYFUNCTION("""COMPUTED_VALUE"""),"ZONE B - الطابق الاول")</f>
        <v>ZONE B - الطابق الاول</v>
      </c>
      <c r="H139" s="26" t="str">
        <f ca="1">IFERROR(__xludf.DUMMYFUNCTION("""COMPUTED_VALUE"""),"تم ارجاع قطع سقف ثانوي عدد (٣) ط اول زون B المدرسة الرابعه")</f>
        <v>تم ارجاع قطع سقف ثانوي عدد (٣) ط اول زون B المدرسة الرابعه</v>
      </c>
      <c r="I139" s="26"/>
      <c r="J139" s="26" t="s">
        <v>16</v>
      </c>
      <c r="K139" s="26" t="s">
        <v>13</v>
      </c>
      <c r="L139" s="55">
        <v>46127.636058888893</v>
      </c>
      <c r="M139" s="26"/>
      <c r="N139" s="4" t="s">
        <v>121</v>
      </c>
    </row>
    <row r="140" spans="1:14" ht="75" customHeight="1" thickTop="1" thickBot="1">
      <c r="A140" s="26">
        <v>138</v>
      </c>
      <c r="B140" s="55">
        <f ca="1">IFERROR(__xludf.DUMMYFUNCTION("""COMPUTED_VALUE"""),46127.6235758101)</f>
        <v>46127.623575810103</v>
      </c>
      <c r="C140" s="56" t="str">
        <f ca="1">IFERROR(__xludf.DUMMYFUNCTION("""COMPUTED_VALUE"""),"الحر")</f>
        <v>الحر</v>
      </c>
      <c r="D140" s="56" t="str">
        <f ca="1">IFERROR(__xludf.DUMMYFUNCTION("""COMPUTED_VALUE"""),"عيسى صالح ")</f>
        <v xml:space="preserve">عيسى صالح </v>
      </c>
      <c r="E140" s="26" t="str">
        <f ca="1">IFERROR(__xludf.DUMMYFUNCTION("""COMPUTED_VALUE"""),"قسم المشاريع الهندسية")</f>
        <v>قسم المشاريع الهندسية</v>
      </c>
      <c r="F140" s="26" t="str">
        <f ca="1">IFERROR(__xludf.DUMMYFUNCTION("""COMPUTED_VALUE"""),"D- الاعدادية (البناية 4)")</f>
        <v>D- الاعدادية (البناية 4)</v>
      </c>
      <c r="G140" s="26" t="str">
        <f ca="1">IFERROR(__xludf.DUMMYFUNCTION("""COMPUTED_VALUE"""),"ZONE B - الطابق الاول")</f>
        <v>ZONE B - الطابق الاول</v>
      </c>
      <c r="H140" s="26" t="str">
        <f ca="1">IFERROR(__xludf.DUMMYFUNCTION("""COMPUTED_VALUE"""),"تم ارجاع مصد باب صف الرابع (ج) ط اول زون B المدرسة الرابعه")</f>
        <v>تم ارجاع مصد باب صف الرابع (ج) ط اول زون B المدرسة الرابعه</v>
      </c>
      <c r="I140" s="26"/>
      <c r="J140" s="26" t="s">
        <v>16</v>
      </c>
      <c r="K140" s="26" t="s">
        <v>13</v>
      </c>
      <c r="L140" s="55">
        <v>46127.636012812502</v>
      </c>
      <c r="M140" s="26"/>
      <c r="N140" s="4" t="s">
        <v>121</v>
      </c>
    </row>
    <row r="141" spans="1:14" ht="75" customHeight="1" thickTop="1" thickBot="1">
      <c r="A141" s="34">
        <v>139</v>
      </c>
      <c r="B141" s="55">
        <f ca="1">IFERROR(__xludf.DUMMYFUNCTION("""COMPUTED_VALUE"""),46127.6241287962)</f>
        <v>46127.624128796197</v>
      </c>
      <c r="C141" s="56" t="str">
        <f ca="1">IFERROR(__xludf.DUMMYFUNCTION("""COMPUTED_VALUE"""),"الحر")</f>
        <v>الحر</v>
      </c>
      <c r="D141" s="56" t="str">
        <f ca="1">IFERROR(__xludf.DUMMYFUNCTION("""COMPUTED_VALUE"""),"عيسى صالح ")</f>
        <v xml:space="preserve">عيسى صالح </v>
      </c>
      <c r="E141" s="26" t="str">
        <f ca="1">IFERROR(__xludf.DUMMYFUNCTION("""COMPUTED_VALUE"""),"قسم المشاريع الهندسية")</f>
        <v>قسم المشاريع الهندسية</v>
      </c>
      <c r="F141" s="26" t="str">
        <f ca="1">IFERROR(__xludf.DUMMYFUNCTION("""COMPUTED_VALUE"""),"D- الاعدادية (البناية 4)")</f>
        <v>D- الاعدادية (البناية 4)</v>
      </c>
      <c r="G141" s="26" t="str">
        <f ca="1">IFERROR(__xludf.DUMMYFUNCTION("""COMPUTED_VALUE"""),"ZONE A - الطابق الارضي")</f>
        <v>ZONE A - الطابق الارضي</v>
      </c>
      <c r="H141" s="26" t="str">
        <f ca="1">IFERROR(__xludf.DUMMYFUNCTION("""COMPUTED_VALUE"""),"تم ارجاع شريط ميز خشب صف المرسم ط ارضي زون A المدرسة الرابعه")</f>
        <v>تم ارجاع شريط ميز خشب صف المرسم ط ارضي زون A المدرسة الرابعه</v>
      </c>
      <c r="I141" s="26"/>
      <c r="J141" s="26" t="s">
        <v>16</v>
      </c>
      <c r="K141" s="26" t="s">
        <v>13</v>
      </c>
      <c r="L141" s="55">
        <v>46127.635954224534</v>
      </c>
      <c r="M141" s="26"/>
      <c r="N141" s="4" t="s">
        <v>121</v>
      </c>
    </row>
    <row r="142" spans="1:14" ht="75" customHeight="1" thickTop="1" thickBot="1">
      <c r="A142" s="26">
        <v>140</v>
      </c>
      <c r="B142" s="55">
        <f ca="1">IFERROR(__xludf.DUMMYFUNCTION("""COMPUTED_VALUE"""),46127.6246949305)</f>
        <v>46127.624694930499</v>
      </c>
      <c r="C142" s="56" t="str">
        <f ca="1">IFERROR(__xludf.DUMMYFUNCTION("""COMPUTED_VALUE"""),"الحر")</f>
        <v>الحر</v>
      </c>
      <c r="D142" s="56" t="str">
        <f ca="1">IFERROR(__xludf.DUMMYFUNCTION("""COMPUTED_VALUE"""),"عيسى صالح ")</f>
        <v xml:space="preserve">عيسى صالح </v>
      </c>
      <c r="E142" s="26" t="str">
        <f ca="1">IFERROR(__xludf.DUMMYFUNCTION("""COMPUTED_VALUE"""),"قسم المشاريع الهندسية")</f>
        <v>قسم المشاريع الهندسية</v>
      </c>
      <c r="F142" s="26" t="str">
        <f ca="1">IFERROR(__xludf.DUMMYFUNCTION("""COMPUTED_VALUE"""),"B- الابتدائية (البناية 2)")</f>
        <v>B- الابتدائية (البناية 2)</v>
      </c>
      <c r="G142" s="26" t="str">
        <f ca="1">IFERROR(__xludf.DUMMYFUNCTION("""COMPUTED_VALUE"""),"مختلف الطوابق ")</f>
        <v xml:space="preserve">مختلف الطوابق </v>
      </c>
      <c r="H142" s="26" t="str">
        <f ca="1">IFERROR(__xludf.DUMMYFUNCTION("""COMPUTED_VALUE"""),"صيانة رحلات في المدرسة الثانية عدد ٩ مختلف الصفوف")</f>
        <v>صيانة رحلات في المدرسة الثانية عدد ٩ مختلف الصفوف</v>
      </c>
      <c r="I142" s="26"/>
      <c r="J142" s="26" t="s">
        <v>16</v>
      </c>
      <c r="K142" s="26" t="s">
        <v>13</v>
      </c>
      <c r="L142" s="55">
        <v>46127.635860555558</v>
      </c>
      <c r="M142" s="26"/>
      <c r="N142" s="4" t="s">
        <v>121</v>
      </c>
    </row>
    <row r="143" spans="1:14" ht="75" customHeight="1" thickTop="1" thickBot="1">
      <c r="A143" s="34">
        <v>141</v>
      </c>
      <c r="B143" s="55">
        <f ca="1">IFERROR(__xludf.DUMMYFUNCTION("""COMPUTED_VALUE"""),46127.6256805208)</f>
        <v>46127.625680520803</v>
      </c>
      <c r="C143" s="56" t="str">
        <f ca="1">IFERROR(__xludf.DUMMYFUNCTION("""COMPUTED_VALUE"""),"الحر")</f>
        <v>الحر</v>
      </c>
      <c r="D143" s="56" t="str">
        <f ca="1">IFERROR(__xludf.DUMMYFUNCTION("""COMPUTED_VALUE"""),"عيسى صالح ")</f>
        <v xml:space="preserve">عيسى صالح </v>
      </c>
      <c r="E143" s="26" t="str">
        <f ca="1">IFERROR(__xludf.DUMMYFUNCTION("""COMPUTED_VALUE"""),"قسم المشاريع الهندسية")</f>
        <v>قسم المشاريع الهندسية</v>
      </c>
      <c r="F143" s="26" t="str">
        <f ca="1">IFERROR(__xludf.DUMMYFUNCTION("""COMPUTED_VALUE"""),"B- الابتدائية (البناية 2)")</f>
        <v>B- الابتدائية (البناية 2)</v>
      </c>
      <c r="G143" s="26" t="str">
        <f ca="1">IFERROR(__xludf.DUMMYFUNCTION("""COMPUTED_VALUE"""),"جميع الطوابق ")</f>
        <v xml:space="preserve">جميع الطوابق </v>
      </c>
      <c r="H143" s="26" t="str">
        <f ca="1">IFERROR(__xludf.DUMMYFUNCTION("""COMPUTED_VALUE"""),"صيانة يدات شباك عدد ٣ في المدرسة الثانية")</f>
        <v>صيانة يدات شباك عدد ٣ في المدرسة الثانية</v>
      </c>
      <c r="I143" s="26"/>
      <c r="J143" s="26" t="s">
        <v>16</v>
      </c>
      <c r="K143" s="26" t="s">
        <v>13</v>
      </c>
      <c r="L143" s="55">
        <v>46127.635794108792</v>
      </c>
      <c r="M143" s="26"/>
      <c r="N143" s="4" t="s">
        <v>121</v>
      </c>
    </row>
    <row r="144" spans="1:14" ht="75" customHeight="1" thickTop="1" thickBot="1">
      <c r="A144" s="26">
        <v>142</v>
      </c>
      <c r="B144" s="55">
        <f ca="1">IFERROR(__xludf.DUMMYFUNCTION("""COMPUTED_VALUE"""),46127.6302456133)</f>
        <v>46127.6302456134</v>
      </c>
      <c r="C144" s="56" t="str">
        <f ca="1">IFERROR(__xludf.DUMMYFUNCTION("""COMPUTED_VALUE"""),"الحر")</f>
        <v>الحر</v>
      </c>
      <c r="D144" s="56" t="str">
        <f ca="1">IFERROR(__xludf.DUMMYFUNCTION("""COMPUTED_VALUE"""),"عيسى صالح ")</f>
        <v xml:space="preserve">عيسى صالح </v>
      </c>
      <c r="E144" s="26" t="str">
        <f ca="1">IFERROR(__xludf.DUMMYFUNCTION("""COMPUTED_VALUE"""),"قسم المشاريع الهندسية")</f>
        <v>قسم المشاريع الهندسية</v>
      </c>
      <c r="F144" s="26" t="str">
        <f ca="1">IFERROR(__xludf.DUMMYFUNCTION("""COMPUTED_VALUE"""),"B- الابتدائية (البناية 2)")</f>
        <v>B- الابتدائية (البناية 2)</v>
      </c>
      <c r="G144" s="26" t="str">
        <f ca="1">IFERROR(__xludf.DUMMYFUNCTION("""COMPUTED_VALUE"""),"ZONE A - الطابق الثاني")</f>
        <v>ZONE A - الطابق الثاني</v>
      </c>
      <c r="H144" s="26" t="str">
        <f ca="1">IFERROR(__xludf.DUMMYFUNCTION("""COMPUTED_VALUE"""),"تزيت شبابيك المصلى في المدرسة الثانية")</f>
        <v>تزيت شبابيك المصلى في المدرسة الثانية</v>
      </c>
      <c r="I144" s="26"/>
      <c r="J144" s="26" t="s">
        <v>16</v>
      </c>
      <c r="K144" s="26" t="s">
        <v>13</v>
      </c>
      <c r="L144" s="55">
        <v>46127.635744502317</v>
      </c>
      <c r="M144" s="26"/>
      <c r="N144" s="4" t="s">
        <v>121</v>
      </c>
    </row>
    <row r="145" spans="1:14" ht="75" customHeight="1" thickTop="1" thickBot="1">
      <c r="A145" s="34">
        <v>143</v>
      </c>
      <c r="B145" s="55">
        <f ca="1">IFERROR(__xludf.DUMMYFUNCTION("""COMPUTED_VALUE"""),46127.6308053587)</f>
        <v>46127.630805358698</v>
      </c>
      <c r="C145" s="56" t="str">
        <f ca="1">IFERROR(__xludf.DUMMYFUNCTION("""COMPUTED_VALUE"""),"الحر")</f>
        <v>الحر</v>
      </c>
      <c r="D145" s="56" t="str">
        <f ca="1">IFERROR(__xludf.DUMMYFUNCTION("""COMPUTED_VALUE"""),"عيسى صالح ")</f>
        <v xml:space="preserve">عيسى صالح </v>
      </c>
      <c r="E145" s="26" t="str">
        <f ca="1">IFERROR(__xludf.DUMMYFUNCTION("""COMPUTED_VALUE"""),"قسم المشاريع الهندسية")</f>
        <v>قسم المشاريع الهندسية</v>
      </c>
      <c r="F145" s="26" t="str">
        <f ca="1">IFERROR(__xludf.DUMMYFUNCTION("""COMPUTED_VALUE"""),"B- الابتدائية (البناية 2)")</f>
        <v>B- الابتدائية (البناية 2)</v>
      </c>
      <c r="G145" s="26" t="str">
        <f ca="1">IFERROR(__xludf.DUMMYFUNCTION("""COMPUTED_VALUE"""),"جميع الطوابق ")</f>
        <v xml:space="preserve">جميع الطوابق </v>
      </c>
      <c r="H145" s="26" t="str">
        <f ca="1">IFERROR(__xludf.DUMMYFUNCTION("""COMPUTED_VALUE"""),"صيانة مصدات ابواب عدد ٥ في المدرسة الثانية")</f>
        <v>صيانة مصدات ابواب عدد ٥ في المدرسة الثانية</v>
      </c>
      <c r="I145" s="26"/>
      <c r="J145" s="26" t="s">
        <v>16</v>
      </c>
      <c r="K145" s="26" t="s">
        <v>13</v>
      </c>
      <c r="L145" s="55">
        <v>46127.635720914353</v>
      </c>
      <c r="M145" s="26"/>
      <c r="N145" s="4" t="s">
        <v>121</v>
      </c>
    </row>
    <row r="146" spans="1:14" ht="75" customHeight="1" thickTop="1" thickBot="1">
      <c r="A146" s="26">
        <v>144</v>
      </c>
      <c r="B146" s="55">
        <f ca="1">IFERROR(__xludf.DUMMYFUNCTION("""COMPUTED_VALUE"""),46127.6313723958)</f>
        <v>46127.631372395801</v>
      </c>
      <c r="C146" s="56" t="str">
        <f ca="1">IFERROR(__xludf.DUMMYFUNCTION("""COMPUTED_VALUE"""),"الحر")</f>
        <v>الحر</v>
      </c>
      <c r="D146" s="56" t="str">
        <f ca="1">IFERROR(__xludf.DUMMYFUNCTION("""COMPUTED_VALUE"""),"عيسى صالح ")</f>
        <v xml:space="preserve">عيسى صالح </v>
      </c>
      <c r="E146" s="26" t="str">
        <f ca="1">IFERROR(__xludf.DUMMYFUNCTION("""COMPUTED_VALUE"""),"قسم المشاريع الهندسية")</f>
        <v>قسم المشاريع الهندسية</v>
      </c>
      <c r="F146" s="26" t="str">
        <f ca="1">IFERROR(__xludf.DUMMYFUNCTION("""COMPUTED_VALUE"""),"B- الابتدائية (البناية 2)")</f>
        <v>B- الابتدائية (البناية 2)</v>
      </c>
      <c r="G146" s="26" t="str">
        <f ca="1">IFERROR(__xludf.DUMMYFUNCTION("""COMPUTED_VALUE"""),"ZONE A - الطابق الاول")</f>
        <v>ZONE A - الطابق الاول</v>
      </c>
      <c r="H146" s="26" t="str">
        <f ca="1">IFERROR(__xludf.DUMMYFUNCTION("""COMPUTED_VALUE"""),"صيانة بيم باب خشب عدد ٢ في المدرسة الثانية")</f>
        <v>صيانة بيم باب خشب عدد ٢ في المدرسة الثانية</v>
      </c>
      <c r="I146" s="26"/>
      <c r="J146" s="26" t="s">
        <v>16</v>
      </c>
      <c r="K146" s="26" t="s">
        <v>13</v>
      </c>
      <c r="L146" s="55">
        <v>46127.635630185185</v>
      </c>
      <c r="M146" s="26"/>
      <c r="N146" s="4" t="s">
        <v>122</v>
      </c>
    </row>
    <row r="147" spans="1:14" ht="75" customHeight="1" thickTop="1" thickBot="1">
      <c r="A147" s="34">
        <v>145</v>
      </c>
      <c r="B147" s="55">
        <f ca="1">IFERROR(__xludf.DUMMYFUNCTION("""COMPUTED_VALUE"""),46127.6326023495)</f>
        <v>46127.632602349498</v>
      </c>
      <c r="C147" s="56" t="str">
        <f ca="1">IFERROR(__xludf.DUMMYFUNCTION("""COMPUTED_VALUE"""),"الحر")</f>
        <v>الحر</v>
      </c>
      <c r="D147" s="56" t="str">
        <f ca="1">IFERROR(__xludf.DUMMYFUNCTION("""COMPUTED_VALUE"""),"عيسى صالح ")</f>
        <v xml:space="preserve">عيسى صالح </v>
      </c>
      <c r="E147" s="26" t="str">
        <f ca="1">IFERROR(__xludf.DUMMYFUNCTION("""COMPUTED_VALUE"""),"قسم المشاريع الهندسية")</f>
        <v>قسم المشاريع الهندسية</v>
      </c>
      <c r="F147" s="26" t="str">
        <f ca="1">IFERROR(__xludf.DUMMYFUNCTION("""COMPUTED_VALUE"""),"C- المتوسطة (البناية 3)")</f>
        <v>C- المتوسطة (البناية 3)</v>
      </c>
      <c r="G147" s="26" t="str">
        <f ca="1">IFERROR(__xludf.DUMMYFUNCTION("""COMPUTED_VALUE"""),"ZONE B - الطابق الارضي")</f>
        <v>ZONE B - الطابق الارضي</v>
      </c>
      <c r="H147" s="26" t="str">
        <f ca="1">IFERROR(__xludf.DUMMYFUNCTION("""COMPUTED_VALUE"""),"أعمال صيانه رحلات عدد 15 البنايه الثالثه الطابق الأرضي zone b")</f>
        <v>أعمال صيانه رحلات عدد 15 البنايه الثالثه الطابق الأرضي zone b</v>
      </c>
      <c r="I147" s="26"/>
      <c r="J147" s="26" t="s">
        <v>16</v>
      </c>
      <c r="K147" s="26" t="s">
        <v>13</v>
      </c>
      <c r="L147" s="55">
        <v>46127.635571018516</v>
      </c>
      <c r="M147" s="26"/>
      <c r="N147" s="4" t="s">
        <v>121</v>
      </c>
    </row>
    <row r="148" spans="1:14" ht="75" customHeight="1" thickTop="1" thickBot="1">
      <c r="A148" s="26">
        <v>146</v>
      </c>
      <c r="B148" s="55">
        <f ca="1">IFERROR(__xludf.DUMMYFUNCTION("""COMPUTED_VALUE"""),46127.6330813888)</f>
        <v>46127.633081388798</v>
      </c>
      <c r="C148" s="56" t="str">
        <f ca="1">IFERROR(__xludf.DUMMYFUNCTION("""COMPUTED_VALUE"""),"الحر")</f>
        <v>الحر</v>
      </c>
      <c r="D148" s="56" t="str">
        <f ca="1">IFERROR(__xludf.DUMMYFUNCTION("""COMPUTED_VALUE"""),"عيسى صالح ")</f>
        <v xml:space="preserve">عيسى صالح </v>
      </c>
      <c r="E148" s="26" t="str">
        <f ca="1">IFERROR(__xludf.DUMMYFUNCTION("""COMPUTED_VALUE"""),"قسم المشاريع الهندسية")</f>
        <v>قسم المشاريع الهندسية</v>
      </c>
      <c r="F148" s="26" t="str">
        <f ca="1">IFERROR(__xludf.DUMMYFUNCTION("""COMPUTED_VALUE"""),"C- المتوسطة (البناية 3)")</f>
        <v>C- المتوسطة (البناية 3)</v>
      </c>
      <c r="G148" s="26" t="str">
        <f ca="1">IFERROR(__xludf.DUMMYFUNCTION("""COMPUTED_VALUE"""),"ZONE B - الطابق الاول")</f>
        <v>ZONE B - الطابق الاول</v>
      </c>
      <c r="H148" s="26" t="str">
        <f ca="1">IFERROR(__xludf.DUMMYFUNCTION("""COMPUTED_VALUE"""),"أعمال صيانه رحلات عدد 8 البنايه الثالثه الطابق الاول zone b")</f>
        <v>أعمال صيانه رحلات عدد 8 البنايه الثالثه الطابق الاول zone b</v>
      </c>
      <c r="I148" s="26"/>
      <c r="J148" s="26" t="s">
        <v>16</v>
      </c>
      <c r="K148" s="26" t="s">
        <v>13</v>
      </c>
      <c r="L148" s="55">
        <v>46127.635513854169</v>
      </c>
      <c r="M148" s="26"/>
      <c r="N148" s="4" t="s">
        <v>121</v>
      </c>
    </row>
    <row r="149" spans="1:14" ht="75" customHeight="1" thickTop="1" thickBot="1">
      <c r="A149" s="34">
        <v>147</v>
      </c>
      <c r="B149" s="55">
        <f ca="1">IFERROR(__xludf.DUMMYFUNCTION("""COMPUTED_VALUE"""),46127.633918368)</f>
        <v>46127.633918368003</v>
      </c>
      <c r="C149" s="56" t="str">
        <f ca="1">IFERROR(__xludf.DUMMYFUNCTION("""COMPUTED_VALUE"""),"الحر")</f>
        <v>الحر</v>
      </c>
      <c r="D149" s="56" t="str">
        <f ca="1">IFERROR(__xludf.DUMMYFUNCTION("""COMPUTED_VALUE"""),"عيسى صالح ")</f>
        <v xml:space="preserve">عيسى صالح </v>
      </c>
      <c r="E149" s="26" t="str">
        <f ca="1">IFERROR(__xludf.DUMMYFUNCTION("""COMPUTED_VALUE"""),"قسم المشاريع الهندسية")</f>
        <v>قسم المشاريع الهندسية</v>
      </c>
      <c r="F149" s="26" t="str">
        <f ca="1">IFERROR(__xludf.DUMMYFUNCTION("""COMPUTED_VALUE"""),"C- المتوسطة (البناية 3)")</f>
        <v>C- المتوسطة (البناية 3)</v>
      </c>
      <c r="G149" s="26" t="str">
        <f ca="1">IFERROR(__xludf.DUMMYFUNCTION("""COMPUTED_VALUE"""),"ZONE B - الطابق الاول")</f>
        <v>ZONE B - الطابق الاول</v>
      </c>
      <c r="H149" s="26" t="str">
        <f ca="1">IFERROR(__xludf.DUMMYFUNCTION("""COMPUTED_VALUE"""),"أعمال صيانه مصد باب البنايه الثالثه الطابق الاول zone b")</f>
        <v>أعمال صيانه مصد باب البنايه الثالثه الطابق الاول zone b</v>
      </c>
      <c r="I149" s="26"/>
      <c r="J149" s="26" t="s">
        <v>16</v>
      </c>
      <c r="K149" s="26" t="s">
        <v>13</v>
      </c>
      <c r="L149" s="55">
        <v>46127.635433553238</v>
      </c>
      <c r="M149" s="26"/>
      <c r="N149" s="4" t="s">
        <v>121</v>
      </c>
    </row>
    <row r="150" spans="1:14" ht="75" customHeight="1" thickTop="1" thickBot="1">
      <c r="A150" s="26">
        <v>148</v>
      </c>
      <c r="B150" s="55">
        <f ca="1">IFERROR(__xludf.DUMMYFUNCTION("""COMPUTED_VALUE"""),46127.6346532291)</f>
        <v>46127.634653229099</v>
      </c>
      <c r="C150" s="56" t="str">
        <f ca="1">IFERROR(__xludf.DUMMYFUNCTION("""COMPUTED_VALUE"""),"الحر")</f>
        <v>الحر</v>
      </c>
      <c r="D150" s="56" t="str">
        <f ca="1">IFERROR(__xludf.DUMMYFUNCTION("""COMPUTED_VALUE"""),"عيسى صالح ")</f>
        <v xml:space="preserve">عيسى صالح </v>
      </c>
      <c r="E150" s="26" t="str">
        <f ca="1">IFERROR(__xludf.DUMMYFUNCTION("""COMPUTED_VALUE"""),"قسم المشاريع الهندسية")</f>
        <v>قسم المشاريع الهندسية</v>
      </c>
      <c r="F150" s="26" t="str">
        <f ca="1">IFERROR(__xludf.DUMMYFUNCTION("""COMPUTED_VALUE"""),"C- المتوسطة (البناية 3)")</f>
        <v>C- المتوسطة (البناية 3)</v>
      </c>
      <c r="G150" s="26" t="str">
        <f ca="1">IFERROR(__xludf.DUMMYFUNCTION("""COMPUTED_VALUE"""),"ZONE B - الطابق الثاني")</f>
        <v>ZONE B - الطابق الثاني</v>
      </c>
      <c r="H150" s="26" t="str">
        <f ca="1">IFERROR(__xludf.DUMMYFUNCTION("""COMPUTED_VALUE"""),"صيانه رحلات عدد 6 البنايه الثالثه 
الطابق الثاني zone b")</f>
        <v>صيانه رحلات عدد 6 البنايه الثالثه 
الطابق الثاني zone b</v>
      </c>
      <c r="I150" s="26"/>
      <c r="J150" s="26" t="s">
        <v>16</v>
      </c>
      <c r="K150" s="26" t="s">
        <v>13</v>
      </c>
      <c r="L150" s="55">
        <v>46127.635372002318</v>
      </c>
      <c r="M150" s="26"/>
      <c r="N150" s="4" t="s">
        <v>121</v>
      </c>
    </row>
    <row r="151" spans="1:14" ht="75" customHeight="1" thickTop="1" thickBot="1">
      <c r="A151" s="34">
        <v>149</v>
      </c>
      <c r="B151" s="55">
        <f ca="1">IFERROR(__xludf.DUMMYFUNCTION("""COMPUTED_VALUE"""),46127.6351452777)</f>
        <v>46127.635145277702</v>
      </c>
      <c r="C151" s="56" t="str">
        <f ca="1">IFERROR(__xludf.DUMMYFUNCTION("""COMPUTED_VALUE"""),"الحر")</f>
        <v>الحر</v>
      </c>
      <c r="D151" s="56" t="str">
        <f ca="1">IFERROR(__xludf.DUMMYFUNCTION("""COMPUTED_VALUE"""),"عيسى صالح ")</f>
        <v xml:space="preserve">عيسى صالح </v>
      </c>
      <c r="E151" s="26" t="str">
        <f ca="1">IFERROR(__xludf.DUMMYFUNCTION("""COMPUTED_VALUE"""),"قسم المشاريع الهندسية")</f>
        <v>قسم المشاريع الهندسية</v>
      </c>
      <c r="F151" s="26" t="str">
        <f ca="1">IFERROR(__xludf.DUMMYFUNCTION("""COMPUTED_VALUE"""),"C- المتوسطة (البناية 3)")</f>
        <v>C- المتوسطة (البناية 3)</v>
      </c>
      <c r="G151" s="26" t="str">
        <f ca="1">IFERROR(__xludf.DUMMYFUNCTION("""COMPUTED_VALUE"""),"ZONE A - الطابق الثاني")</f>
        <v>ZONE A - الطابق الثاني</v>
      </c>
      <c r="H151" s="26" t="str">
        <f ca="1">IFERROR(__xludf.DUMMYFUNCTION("""COMPUTED_VALUE"""),"تثبيت برده مصلى البنايه الثالثه الطابق الثاني zone A")</f>
        <v>تثبيت برده مصلى البنايه الثالثه الطابق الثاني zone A</v>
      </c>
      <c r="I151" s="26"/>
      <c r="J151" s="26" t="s">
        <v>16</v>
      </c>
      <c r="K151" s="26" t="s">
        <v>13</v>
      </c>
      <c r="L151" s="55">
        <v>46127.635306516204</v>
      </c>
      <c r="M151" s="26"/>
      <c r="N151" s="4" t="s">
        <v>121</v>
      </c>
    </row>
    <row r="152" spans="1:14" ht="75" customHeight="1" thickTop="1" thickBot="1">
      <c r="A152" s="26">
        <v>150</v>
      </c>
      <c r="B152" s="55">
        <f ca="1">IFERROR(__xludf.DUMMYFUNCTION("""COMPUTED_VALUE"""),46134.4804898032)</f>
        <v>46134.480489803202</v>
      </c>
      <c r="C152" s="56" t="str">
        <f ca="1">IFERROR(__xludf.DUMMYFUNCTION("""COMPUTED_VALUE"""),"الحر")</f>
        <v>الحر</v>
      </c>
      <c r="D152" s="56" t="str">
        <f ca="1">IFERROR(__xludf.DUMMYFUNCTION("""COMPUTED_VALUE"""),"علي حسين عليوي ")</f>
        <v xml:space="preserve">علي حسين عليوي </v>
      </c>
      <c r="E152" s="26" t="str">
        <f ca="1">IFERROR(__xludf.DUMMYFUNCTION("""COMPUTED_VALUE"""),"قسم التربية والتعليم العالي")</f>
        <v>قسم التربية والتعليم العالي</v>
      </c>
      <c r="F152" s="26" t="str">
        <f ca="1">IFERROR(__xludf.DUMMYFUNCTION("""COMPUTED_VALUE"""),"A- الابتدائية (البناية 1)")</f>
        <v>A- الابتدائية (البناية 1)</v>
      </c>
      <c r="G152" s="26" t="str">
        <f ca="1">IFERROR(__xludf.DUMMYFUNCTION("""COMPUTED_VALUE"""),"ZONE A - الطابق الاول")</f>
        <v>ZONE A - الطابق الاول</v>
      </c>
      <c r="H152" s="26" t="str">
        <f ca="1">IFERROR(__xludf.DUMMYFUNCTION("""COMPUTED_VALUE"""),"صيانة عربة نقل المواد")</f>
        <v>صيانة عربة نقل المواد</v>
      </c>
      <c r="I152" s="26"/>
      <c r="J152" s="26" t="s">
        <v>16</v>
      </c>
      <c r="K152" s="26" t="s">
        <v>13</v>
      </c>
      <c r="L152" s="55">
        <v>46134.548786678242</v>
      </c>
      <c r="M152" s="26"/>
      <c r="N152" s="4" t="s">
        <v>121</v>
      </c>
    </row>
    <row r="153" spans="1:14" ht="75" customHeight="1" thickTop="1" thickBot="1">
      <c r="A153" s="34">
        <v>151</v>
      </c>
      <c r="B153" s="55">
        <f ca="1">IFERROR(__xludf.DUMMYFUNCTION("""COMPUTED_VALUE"""),46158.4896118981)</f>
        <v>46158.489611898098</v>
      </c>
      <c r="C153" s="56" t="str">
        <f ca="1">IFERROR(__xludf.DUMMYFUNCTION("""COMPUTED_VALUE"""),"الحر")</f>
        <v>الحر</v>
      </c>
      <c r="D153" s="56" t="str">
        <f ca="1">IFERROR(__xludf.DUMMYFUNCTION("""COMPUTED_VALUE"""),"ادارة المجمع")</f>
        <v>ادارة المجمع</v>
      </c>
      <c r="E153" s="26" t="str">
        <f ca="1">IFERROR(__xludf.DUMMYFUNCTION("""COMPUTED_VALUE"""),"قسم التربية والتعليم العالي")</f>
        <v>قسم التربية والتعليم العالي</v>
      </c>
      <c r="F153" s="26" t="str">
        <f ca="1">IFERROR(__xludf.DUMMYFUNCTION("""COMPUTED_VALUE"""),"B- الابتدائية (البناية 2)")</f>
        <v>B- الابتدائية (البناية 2)</v>
      </c>
      <c r="G153" s="26" t="str">
        <f ca="1">IFERROR(__xludf.DUMMYFUNCTION("""COMPUTED_VALUE"""),"غرفة احراس امام البناية الثانية")</f>
        <v>غرفة احراس امام البناية الثانية</v>
      </c>
      <c r="H153" s="26" t="str">
        <f ca="1">IFERROR(__xludf.DUMMYFUNCTION("""COMPUTED_VALUE"""),"تثبيت لوحة مفاتيح وسبورة  في الغرفة ")</f>
        <v xml:space="preserve">تثبيت لوحة مفاتيح وسبورة  في الغرفة </v>
      </c>
      <c r="I153" s="26"/>
      <c r="J153" s="26" t="s">
        <v>16</v>
      </c>
      <c r="K153" s="26" t="s">
        <v>13</v>
      </c>
      <c r="L153" s="55">
        <v>46158.561694641205</v>
      </c>
      <c r="M153" s="26"/>
      <c r="N153" s="4" t="s">
        <v>121</v>
      </c>
    </row>
    <row r="154" spans="1:14" ht="75" customHeight="1" thickTop="1" thickBot="1">
      <c r="A154" s="26">
        <v>152</v>
      </c>
      <c r="B154" s="55">
        <f ca="1">IFERROR(__xludf.DUMMYFUNCTION("""COMPUTED_VALUE"""),46193.335081493)</f>
        <v>46193.335081493002</v>
      </c>
      <c r="C154" s="56" t="str">
        <f ca="1">IFERROR(__xludf.DUMMYFUNCTION("""COMPUTED_VALUE"""),"الحر")</f>
        <v>الحر</v>
      </c>
      <c r="D154" s="56" t="str">
        <f ca="1">IFERROR(__xludf.DUMMYFUNCTION("""COMPUTED_VALUE"""),"ادارة المجمع")</f>
        <v>ادارة المجمع</v>
      </c>
      <c r="E154" s="26" t="str">
        <f ca="1">IFERROR(__xludf.DUMMYFUNCTION("""COMPUTED_VALUE"""),"قسم التربية والتعليم العالي")</f>
        <v>قسم التربية والتعليم العالي</v>
      </c>
      <c r="F154" s="26" t="str">
        <f ca="1">IFERROR(__xludf.DUMMYFUNCTION("""COMPUTED_VALUE"""),"A- الابتدائية (البناية 1)")</f>
        <v>A- الابتدائية (البناية 1)</v>
      </c>
      <c r="G154" s="26" t="str">
        <f ca="1">IFERROR(__xludf.DUMMYFUNCTION("""COMPUTED_VALUE"""),"ZONE B - الطابق الثاني")</f>
        <v>ZONE B - الطابق الثاني</v>
      </c>
      <c r="H154" s="26" t="str">
        <f ca="1">IFERROR(__xludf.DUMMYFUNCTION("""COMPUTED_VALUE"""),"سقوط لوح من السقف الثانوي")</f>
        <v>سقوط لوح من السقف الثانوي</v>
      </c>
      <c r="I154" s="26"/>
      <c r="J154" s="26" t="s">
        <v>16</v>
      </c>
      <c r="K154" s="26" t="s">
        <v>13</v>
      </c>
      <c r="L154" s="55">
        <v>46193.497730474541</v>
      </c>
      <c r="M154" s="26"/>
      <c r="N154" s="4"/>
    </row>
    <row r="155" spans="1:14" ht="75" customHeight="1" thickTop="1" thickBot="1">
      <c r="A155" s="34">
        <v>153</v>
      </c>
      <c r="B155" s="55">
        <f ca="1">IFERROR(__xludf.DUMMYFUNCTION("""COMPUTED_VALUE"""),46193.3364743634)</f>
        <v>46193.336474363401</v>
      </c>
      <c r="C155" s="56" t="str">
        <f ca="1">IFERROR(__xludf.DUMMYFUNCTION("""COMPUTED_VALUE"""),"الحر")</f>
        <v>الحر</v>
      </c>
      <c r="D155" s="56" t="str">
        <f ca="1">IFERROR(__xludf.DUMMYFUNCTION("""COMPUTED_VALUE"""),"ادارة المجمع")</f>
        <v>ادارة المجمع</v>
      </c>
      <c r="E155" s="26" t="str">
        <f ca="1">IFERROR(__xludf.DUMMYFUNCTION("""COMPUTED_VALUE"""),"قسم التربية والتعليم العالي")</f>
        <v>قسم التربية والتعليم العالي</v>
      </c>
      <c r="F155" s="26" t="str">
        <f ca="1">IFERROR(__xludf.DUMMYFUNCTION("""COMPUTED_VALUE"""),"B- الابتدائية (البناية 2)")</f>
        <v>B- الابتدائية (البناية 2)</v>
      </c>
      <c r="G155" s="26" t="str">
        <f ca="1">IFERROR(__xludf.DUMMYFUNCTION("""COMPUTED_VALUE"""),"ZONE A - الطابق الارضي")</f>
        <v>ZONE A - الطابق الارضي</v>
      </c>
      <c r="H155" s="26" t="str">
        <f ca="1">IFERROR(__xludf.DUMMYFUNCTION("""COMPUTED_VALUE"""),"تصليح كيلون باب الحمام الثالث المجموعة الاولى للحمامات مع تثبيت وتصليح صوندة شطاف
")</f>
        <v xml:space="preserve">تصليح كيلون باب الحمام الثالث المجموعة الاولى للحمامات مع تثبيت وتصليح صوندة شطاف
</v>
      </c>
      <c r="I155" s="26"/>
      <c r="J155" s="26" t="s">
        <v>16</v>
      </c>
      <c r="K155" s="26" t="s">
        <v>13</v>
      </c>
      <c r="L155" s="55">
        <v>46193.497756192126</v>
      </c>
      <c r="M155" s="26"/>
      <c r="N155" s="4"/>
    </row>
    <row r="156" spans="1:14" ht="75" customHeight="1" thickTop="1" thickBot="1">
      <c r="A156" s="26">
        <v>154</v>
      </c>
      <c r="B156" s="55">
        <f ca="1">IFERROR(__xludf.DUMMYFUNCTION("""COMPUTED_VALUE"""),46193.3382822916)</f>
        <v>46193.338282291603</v>
      </c>
      <c r="C156" s="56" t="str">
        <f ca="1">IFERROR(__xludf.DUMMYFUNCTION("""COMPUTED_VALUE"""),"الحر")</f>
        <v>الحر</v>
      </c>
      <c r="D156" s="56" t="str">
        <f ca="1">IFERROR(__xludf.DUMMYFUNCTION("""COMPUTED_VALUE"""),"ادارة المجمع")</f>
        <v>ادارة المجمع</v>
      </c>
      <c r="E156" s="26" t="str">
        <f ca="1">IFERROR(__xludf.DUMMYFUNCTION("""COMPUTED_VALUE"""),"قسم التربية والتعليم العالي")</f>
        <v>قسم التربية والتعليم العالي</v>
      </c>
      <c r="F156" s="26" t="str">
        <f ca="1">IFERROR(__xludf.DUMMYFUNCTION("""COMPUTED_VALUE"""),"A- الابتدائية (البناية 1)")</f>
        <v>A- الابتدائية (البناية 1)</v>
      </c>
      <c r="G156" s="26" t="str">
        <f ca="1">IFERROR(__xludf.DUMMYFUNCTION("""COMPUTED_VALUE"""),"ZONE B - الطابق الثاني")</f>
        <v>ZONE B - الطابق الثاني</v>
      </c>
      <c r="H156" s="26" t="str">
        <f ca="1">IFERROR(__xludf.DUMMYFUNCTION("""COMPUTED_VALUE"""),"تثبيت بردة زيبرا  في الصف الرابع (ب)")</f>
        <v>تثبيت بردة زيبرا  في الصف الرابع (ب)</v>
      </c>
      <c r="I156" s="26"/>
      <c r="J156" s="26" t="s">
        <v>16</v>
      </c>
      <c r="K156" s="26" t="s">
        <v>13</v>
      </c>
      <c r="L156" s="55">
        <v>46193.497774409727</v>
      </c>
      <c r="M156" s="26"/>
      <c r="N156" s="4"/>
    </row>
    <row r="157" spans="1:14" ht="75" customHeight="1" thickTop="1" thickBot="1">
      <c r="A157" s="34">
        <v>155</v>
      </c>
      <c r="B157" s="55">
        <f ca="1">IFERROR(__xludf.DUMMYFUNCTION("""COMPUTED_VALUE"""),46113.3863758564)</f>
        <v>46113.386375856397</v>
      </c>
      <c r="C157" s="56" t="str">
        <f ca="1">IFERROR(__xludf.DUMMYFUNCTION("""COMPUTED_VALUE"""),"الحر")</f>
        <v>الحر</v>
      </c>
      <c r="D157" s="56" t="str">
        <f ca="1">IFERROR(__xludf.DUMMYFUNCTION("""COMPUTED_VALUE"""),"عيسى صالح ")</f>
        <v xml:space="preserve">عيسى صالح </v>
      </c>
      <c r="E157" s="26" t="str">
        <f ca="1">IFERROR(__xludf.DUMMYFUNCTION("""COMPUTED_VALUE"""),"قسم المشاريع الهندسية")</f>
        <v>قسم المشاريع الهندسية</v>
      </c>
      <c r="F157" s="26" t="str">
        <f ca="1">IFERROR(__xludf.DUMMYFUNCTION("""COMPUTED_VALUE"""),"D- الاعدادية (البناية 4)")</f>
        <v>D- الاعدادية (البناية 4)</v>
      </c>
      <c r="G157" s="26" t="str">
        <f ca="1">IFERROR(__xludf.DUMMYFUNCTION("""COMPUTED_VALUE"""),"ZONE A - الطابق الارضي")</f>
        <v>ZONE A - الطابق الارضي</v>
      </c>
      <c r="H157" s="26" t="str">
        <f ca="1">IFERROR(__xludf.DUMMYFUNCTION("""COMPUTED_VALUE"""),"
تم استبدال كاك زاويه في البنايه الرابعة الطابق الارضي زون اي.
")</f>
        <v xml:space="preserve">
تم استبدال كاك زاويه في البنايه الرابعة الطابق الارضي زون اي.
</v>
      </c>
      <c r="I157" s="26"/>
      <c r="J157" s="26" t="s">
        <v>14</v>
      </c>
      <c r="K157" s="26" t="s">
        <v>13</v>
      </c>
      <c r="L157" s="55">
        <v>46113.386514432874</v>
      </c>
      <c r="M157" s="26"/>
      <c r="N157" s="4"/>
    </row>
    <row r="158" spans="1:14" ht="75" customHeight="1" thickTop="1" thickBot="1">
      <c r="A158" s="26">
        <v>156</v>
      </c>
      <c r="B158" s="55">
        <f ca="1">IFERROR(__xludf.DUMMYFUNCTION("""COMPUTED_VALUE"""),46114.3191201851)</f>
        <v>46114.3191201851</v>
      </c>
      <c r="C158" s="56" t="str">
        <f ca="1">IFERROR(__xludf.DUMMYFUNCTION("""COMPUTED_VALUE"""),"الحر")</f>
        <v>الحر</v>
      </c>
      <c r="D158" s="56" t="str">
        <f ca="1">IFERROR(__xludf.DUMMYFUNCTION("""COMPUTED_VALUE"""),"عيسى صالح ")</f>
        <v xml:space="preserve">عيسى صالح </v>
      </c>
      <c r="E158" s="26" t="str">
        <f ca="1">IFERROR(__xludf.DUMMYFUNCTION("""COMPUTED_VALUE"""),"قسم المشاريع الهندسية")</f>
        <v>قسم المشاريع الهندسية</v>
      </c>
      <c r="F158" s="26" t="str">
        <f ca="1">IFERROR(__xludf.DUMMYFUNCTION("""COMPUTED_VALUE"""),"C- المتوسطة (البناية 3)")</f>
        <v>C- المتوسطة (البناية 3)</v>
      </c>
      <c r="G158" s="26" t="str">
        <f ca="1">IFERROR(__xludf.DUMMYFUNCTION("""COMPUTED_VALUE"""),"الكراج")</f>
        <v>الكراج</v>
      </c>
      <c r="H158" s="26" t="str">
        <f ca="1">IFERROR(__xludf.DUMMYFUNCTION("""COMPUTED_VALUE"""),"
تم حفر وتأسيس  بوري ppr قياس انج في منطقه المنهوله وايصال الppr الى الحديقه مع وضع كب لاغي.
")</f>
        <v xml:space="preserve">
تم حفر وتأسيس  بوري ppr قياس انج في منطقه المنهوله وايصال الppr الى الحديقه مع وضع كب لاغي.
</v>
      </c>
      <c r="I158" s="26"/>
      <c r="J158" s="26" t="s">
        <v>14</v>
      </c>
      <c r="K158" s="26" t="s">
        <v>13</v>
      </c>
      <c r="L158" s="55">
        <v>46114.320381030091</v>
      </c>
      <c r="M158" s="26"/>
      <c r="N158" s="4"/>
    </row>
    <row r="159" spans="1:14" ht="75" customHeight="1" thickTop="1" thickBot="1">
      <c r="A159" s="34">
        <v>157</v>
      </c>
      <c r="B159" s="55">
        <f ca="1">IFERROR(__xludf.DUMMYFUNCTION("""COMPUTED_VALUE"""),46114.3199266203)</f>
        <v>46114.319926620301</v>
      </c>
      <c r="C159" s="56" t="str">
        <f ca="1">IFERROR(__xludf.DUMMYFUNCTION("""COMPUTED_VALUE"""),"الحر")</f>
        <v>الحر</v>
      </c>
      <c r="D159" s="56" t="str">
        <f ca="1">IFERROR(__xludf.DUMMYFUNCTION("""COMPUTED_VALUE"""),"عيسى صالح ")</f>
        <v xml:space="preserve">عيسى صالح </v>
      </c>
      <c r="E159" s="26" t="str">
        <f ca="1">IFERROR(__xludf.DUMMYFUNCTION("""COMPUTED_VALUE"""),"قسم المشاريع الهندسية")</f>
        <v>قسم المشاريع الهندسية</v>
      </c>
      <c r="F159" s="26" t="str">
        <f ca="1">IFERROR(__xludf.DUMMYFUNCTION("""COMPUTED_VALUE"""),"C- المتوسطة (البناية 3)")</f>
        <v>C- المتوسطة (البناية 3)</v>
      </c>
      <c r="G159" s="26" t="str">
        <f ca="1">IFERROR(__xludf.DUMMYFUNCTION("""COMPUTED_VALUE"""),"ZONE A - الطابق الارضي")</f>
        <v>ZONE A - الطابق الارضي</v>
      </c>
      <c r="H159" s="26" t="str">
        <f ca="1">IFERROR(__xludf.DUMMYFUNCTION("""COMPUTED_VALUE"""),"
تم اضافه باندج الى بايبات القطعه الخارجيه لغرفه السنكرو
")</f>
        <v xml:space="preserve">
تم اضافه باندج الى بايبات القطعه الخارجيه لغرفه السنكرو
</v>
      </c>
      <c r="I159" s="26"/>
      <c r="J159" s="26" t="s">
        <v>14</v>
      </c>
      <c r="K159" s="26" t="s">
        <v>13</v>
      </c>
      <c r="L159" s="55">
        <v>46114.320470740742</v>
      </c>
      <c r="M159" s="26"/>
      <c r="N159" s="4"/>
    </row>
    <row r="160" spans="1:14" ht="75" customHeight="1" thickTop="1" thickBot="1">
      <c r="A160" s="26">
        <v>158</v>
      </c>
      <c r="B160" s="55">
        <f ca="1">IFERROR(__xludf.DUMMYFUNCTION("""COMPUTED_VALUE"""),46114.4595190856)</f>
        <v>46114.459519085598</v>
      </c>
      <c r="C160" s="56" t="str">
        <f ca="1">IFERROR(__xludf.DUMMYFUNCTION("""COMPUTED_VALUE"""),"الحر")</f>
        <v>الحر</v>
      </c>
      <c r="D160" s="56" t="str">
        <f ca="1">IFERROR(__xludf.DUMMYFUNCTION("""COMPUTED_VALUE"""),"ادارة المجمع")</f>
        <v>ادارة المجمع</v>
      </c>
      <c r="E160" s="26" t="str">
        <f ca="1">IFERROR(__xludf.DUMMYFUNCTION("""COMPUTED_VALUE"""),"قسم التربية والتعليم العالي")</f>
        <v>قسم التربية والتعليم العالي</v>
      </c>
      <c r="F160" s="26" t="str">
        <f ca="1">IFERROR(__xludf.DUMMYFUNCTION("""COMPUTED_VALUE"""),"C- المتوسطة (البناية 3)")</f>
        <v>C- المتوسطة (البناية 3)</v>
      </c>
      <c r="G160" s="26" t="str">
        <f ca="1">IFERROR(__xludf.DUMMYFUNCTION("""COMPUTED_VALUE"""),"ZONE B - الطابق الاول")</f>
        <v>ZONE B - الطابق الاول</v>
      </c>
      <c r="H160" s="26" t="str">
        <f ca="1">IFERROR(__xludf.DUMMYFUNCTION("""COMPUTED_VALUE"""),"صيانة بردة  (صف الاول متوصط أ)")</f>
        <v>صيانة بردة  (صف الاول متوصط أ)</v>
      </c>
      <c r="I160" s="26"/>
      <c r="J160" s="26" t="s">
        <v>14</v>
      </c>
      <c r="K160" s="26" t="s">
        <v>13</v>
      </c>
      <c r="L160" s="55">
        <v>46114.488712893522</v>
      </c>
      <c r="M160" s="26"/>
      <c r="N160" s="4"/>
    </row>
    <row r="161" spans="1:14" ht="75" customHeight="1" thickTop="1" thickBot="1">
      <c r="A161" s="34">
        <v>159</v>
      </c>
      <c r="B161" s="55">
        <f ca="1">IFERROR(__xludf.DUMMYFUNCTION("""COMPUTED_VALUE"""),46116.6067829629)</f>
        <v>46116.606782962903</v>
      </c>
      <c r="C161" s="56" t="str">
        <f ca="1">IFERROR(__xludf.DUMMYFUNCTION("""COMPUTED_VALUE"""),"الحر")</f>
        <v>الحر</v>
      </c>
      <c r="D161" s="56" t="str">
        <f ca="1">IFERROR(__xludf.DUMMYFUNCTION("""COMPUTED_VALUE"""),"عيسى صالح ")</f>
        <v xml:space="preserve">عيسى صالح </v>
      </c>
      <c r="E161" s="26" t="str">
        <f ca="1">IFERROR(__xludf.DUMMYFUNCTION("""COMPUTED_VALUE"""),"قسم المشاريع الهندسية")</f>
        <v>قسم المشاريع الهندسية</v>
      </c>
      <c r="F161" s="26" t="str">
        <f ca="1">IFERROR(__xludf.DUMMYFUNCTION("""COMPUTED_VALUE"""),"C- المتوسطة (البناية 3)")</f>
        <v>C- المتوسطة (البناية 3)</v>
      </c>
      <c r="G161" s="26" t="str">
        <f ca="1">IFERROR(__xludf.DUMMYFUNCTION("""COMPUTED_VALUE"""),"ZONE A - الطابق الارضي")</f>
        <v>ZONE A - الطابق الارضي</v>
      </c>
      <c r="H161" s="26" t="str">
        <f ca="1">IFERROR(__xludf.DUMMYFUNCTION("""COMPUTED_VALUE"""),"
تم استبدال كاك الخاص بي  ماطور الماء 
")</f>
        <v xml:space="preserve">
تم استبدال كاك الخاص بي  ماطور الماء 
</v>
      </c>
      <c r="I161" s="26"/>
      <c r="J161" s="26" t="s">
        <v>14</v>
      </c>
      <c r="K161" s="26" t="s">
        <v>13</v>
      </c>
      <c r="L161" s="55">
        <v>46116.607095277781</v>
      </c>
      <c r="M161" s="26"/>
      <c r="N161" s="4"/>
    </row>
    <row r="162" spans="1:14" ht="75" customHeight="1" thickTop="1" thickBot="1">
      <c r="A162" s="26">
        <v>160</v>
      </c>
      <c r="B162" s="55">
        <f ca="1">IFERROR(__xludf.DUMMYFUNCTION("""COMPUTED_VALUE"""),46117.4449134375)</f>
        <v>46117.444913437503</v>
      </c>
      <c r="C162" s="56" t="str">
        <f ca="1">IFERROR(__xludf.DUMMYFUNCTION("""COMPUTED_VALUE"""),"الحر")</f>
        <v>الحر</v>
      </c>
      <c r="D162" s="56" t="str">
        <f ca="1">IFERROR(__xludf.DUMMYFUNCTION("""COMPUTED_VALUE"""),"ادارة المجمع")</f>
        <v>ادارة المجمع</v>
      </c>
      <c r="E162" s="26" t="str">
        <f ca="1">IFERROR(__xludf.DUMMYFUNCTION("""COMPUTED_VALUE"""),"قسم التربية والتعليم العالي")</f>
        <v>قسم التربية والتعليم العالي</v>
      </c>
      <c r="F162" s="26" t="str">
        <f ca="1">IFERROR(__xludf.DUMMYFUNCTION("""COMPUTED_VALUE"""),"A- الابتدائية (البناية 1)")</f>
        <v>A- الابتدائية (البناية 1)</v>
      </c>
      <c r="G162" s="26" t="str">
        <f ca="1">IFERROR(__xludf.DUMMYFUNCTION("""COMPUTED_VALUE"""),"ZONE B - الطابق الارضي, برادات ماء الطلاب ")</f>
        <v xml:space="preserve">ZONE B - الطابق الارضي, برادات ماء الطلاب </v>
      </c>
      <c r="H162" s="26" t="str">
        <f ca="1">IFERROR(__xludf.DUMMYFUNCTION("""COMPUTED_VALUE"""),"نضوح برادات ماء الطلاب بالساحة الداخلية   والامر الاخر صحيات النلاميذ الطابق الارضي بحاجة الى صيانة
")</f>
        <v xml:space="preserve">نضوح برادات ماء الطلاب بالساحة الداخلية   والامر الاخر صحيات النلاميذ الطابق الارضي بحاجة الى صيانة
</v>
      </c>
      <c r="I162" s="26"/>
      <c r="J162" s="26" t="s">
        <v>14</v>
      </c>
      <c r="K162" s="26" t="s">
        <v>13</v>
      </c>
      <c r="L162" s="55"/>
      <c r="M162" s="26"/>
      <c r="N162" s="4"/>
    </row>
    <row r="163" spans="1:14" ht="75" customHeight="1" thickTop="1" thickBot="1">
      <c r="A163" s="34">
        <v>161</v>
      </c>
      <c r="B163" s="55">
        <f ca="1">IFERROR(__xludf.DUMMYFUNCTION("""COMPUTED_VALUE"""),46117.6168080555)</f>
        <v>46117.6168080555</v>
      </c>
      <c r="C163" s="56" t="str">
        <f ca="1">IFERROR(__xludf.DUMMYFUNCTION("""COMPUTED_VALUE"""),"الحر")</f>
        <v>الحر</v>
      </c>
      <c r="D163" s="56" t="str">
        <f ca="1">IFERROR(__xludf.DUMMYFUNCTION("""COMPUTED_VALUE"""),"عيسى صالح ")</f>
        <v xml:space="preserve">عيسى صالح </v>
      </c>
      <c r="E163" s="26" t="str">
        <f ca="1">IFERROR(__xludf.DUMMYFUNCTION("""COMPUTED_VALUE"""),"قسم المشاريع الهندسية")</f>
        <v>قسم المشاريع الهندسية</v>
      </c>
      <c r="F163" s="26" t="str">
        <f ca="1">IFERROR(__xludf.DUMMYFUNCTION("""COMPUTED_VALUE"""),"جميع البنايات ")</f>
        <v xml:space="preserve">جميع البنايات </v>
      </c>
      <c r="G163" s="26" t="str">
        <f ca="1">IFERROR(__xludf.DUMMYFUNCTION("""COMPUTED_VALUE"""),"ZONE A - الطابق الارضي")</f>
        <v>ZONE A - الطابق الارضي</v>
      </c>
      <c r="H163" s="26" t="str">
        <f ca="1">IFERROR(__xludf.DUMMYFUNCTION("""COMPUTED_VALUE"""),"
تم تغيير توصالة صوندة سقي لجميع البنايات.
")</f>
        <v xml:space="preserve">
تم تغيير توصالة صوندة سقي لجميع البنايات.
</v>
      </c>
      <c r="I163" s="26"/>
      <c r="J163" s="26" t="s">
        <v>14</v>
      </c>
      <c r="K163" s="26" t="s">
        <v>13</v>
      </c>
      <c r="L163" s="55">
        <v>46117.619403518518</v>
      </c>
      <c r="M163" s="26"/>
      <c r="N163" s="4"/>
    </row>
    <row r="164" spans="1:14" ht="75" customHeight="1" thickTop="1" thickBot="1">
      <c r="A164" s="26">
        <v>162</v>
      </c>
      <c r="B164" s="55">
        <f ca="1">IFERROR(__xludf.DUMMYFUNCTION("""COMPUTED_VALUE"""),46117.6185062384)</f>
        <v>46117.618506238403</v>
      </c>
      <c r="C164" s="56" t="str">
        <f ca="1">IFERROR(__xludf.DUMMYFUNCTION("""COMPUTED_VALUE"""),"الحر")</f>
        <v>الحر</v>
      </c>
      <c r="D164" s="56" t="str">
        <f ca="1">IFERROR(__xludf.DUMMYFUNCTION("""COMPUTED_VALUE"""),"عيسى صالح ")</f>
        <v xml:space="preserve">عيسى صالح </v>
      </c>
      <c r="E164" s="26" t="str">
        <f ca="1">IFERROR(__xludf.DUMMYFUNCTION("""COMPUTED_VALUE"""),"قسم المشاريع الهندسية")</f>
        <v>قسم المشاريع الهندسية</v>
      </c>
      <c r="F164" s="26" t="str">
        <f ca="1">IFERROR(__xludf.DUMMYFUNCTION("""COMPUTED_VALUE"""),"A- الابتدائية (البناية 1)")</f>
        <v>A- الابتدائية (البناية 1)</v>
      </c>
      <c r="G164" s="26" t="str">
        <f ca="1">IFERROR(__xludf.DUMMYFUNCTION("""COMPUTED_VALUE"""),"ZONE B - الطابق الارضي")</f>
        <v>ZONE B - الطابق الارضي</v>
      </c>
      <c r="H164" s="26" t="str">
        <f ca="1">IFERROR(__xludf.DUMMYFUNCTION("""COMPUTED_VALUE"""),"
تم معالجة تسريب ماء في برادات البناية الاولى الطابق الارضي.  
")</f>
        <v xml:space="preserve">
تم معالجة تسريب ماء في برادات البناية الاولى الطابق الارضي.  
</v>
      </c>
      <c r="I164" s="26"/>
      <c r="J164" s="26" t="s">
        <v>14</v>
      </c>
      <c r="K164" s="26" t="s">
        <v>13</v>
      </c>
      <c r="L164" s="55">
        <v>46117.619481817128</v>
      </c>
      <c r="M164" s="26"/>
      <c r="N164" s="4"/>
    </row>
    <row r="165" spans="1:14" ht="75" customHeight="1" thickTop="1" thickBot="1">
      <c r="A165" s="34">
        <v>163</v>
      </c>
      <c r="B165" s="55">
        <f ca="1">IFERROR(__xludf.DUMMYFUNCTION("""COMPUTED_VALUE"""),46117.6192599305)</f>
        <v>46117.6192599305</v>
      </c>
      <c r="C165" s="56" t="str">
        <f ca="1">IFERROR(__xludf.DUMMYFUNCTION("""COMPUTED_VALUE"""),"الحر")</f>
        <v>الحر</v>
      </c>
      <c r="D165" s="56" t="str">
        <f ca="1">IFERROR(__xludf.DUMMYFUNCTION("""COMPUTED_VALUE"""),"عيسى صالح ")</f>
        <v xml:space="preserve">عيسى صالح </v>
      </c>
      <c r="E165" s="26" t="str">
        <f ca="1">IFERROR(__xludf.DUMMYFUNCTION("""COMPUTED_VALUE"""),"قسم المشاريع الهندسية")</f>
        <v>قسم المشاريع الهندسية</v>
      </c>
      <c r="F165" s="26" t="str">
        <f ca="1">IFERROR(__xludf.DUMMYFUNCTION("""COMPUTED_VALUE"""),"A- الابتدائية (البناية 1)")</f>
        <v>A- الابتدائية (البناية 1)</v>
      </c>
      <c r="G165" s="26" t="str">
        <f ca="1">IFERROR(__xludf.DUMMYFUNCTION("""COMPUTED_VALUE"""),"ZONE B - الطابق الارضي")</f>
        <v>ZONE B - الطابق الارضي</v>
      </c>
      <c r="H165" s="26" t="str">
        <f ca="1">IFERROR(__xludf.DUMMYFUNCTION("""COMPUTED_VALUE"""),"
تم فتح انسداد في صحيات البنايه الاولى ZB الطابق الارضي. 
")</f>
        <v xml:space="preserve">
تم فتح انسداد في صحيات البنايه الاولى ZB الطابق الارضي. 
</v>
      </c>
      <c r="I165" s="26"/>
      <c r="J165" s="26" t="s">
        <v>14</v>
      </c>
      <c r="K165" s="26" t="s">
        <v>13</v>
      </c>
      <c r="L165" s="55">
        <v>46117.619552569449</v>
      </c>
      <c r="M165" s="26"/>
      <c r="N165" s="4"/>
    </row>
    <row r="166" spans="1:14" ht="75" customHeight="1" thickTop="1" thickBot="1">
      <c r="A166" s="26">
        <v>164</v>
      </c>
      <c r="B166" s="55">
        <f ca="1">IFERROR(__xludf.DUMMYFUNCTION("""COMPUTED_VALUE"""),46119.5431801851)</f>
        <v>46119.543180185101</v>
      </c>
      <c r="C166" s="56" t="str">
        <f ca="1">IFERROR(__xludf.DUMMYFUNCTION("""COMPUTED_VALUE"""),"الحر")</f>
        <v>الحر</v>
      </c>
      <c r="D166" s="56" t="str">
        <f ca="1">IFERROR(__xludf.DUMMYFUNCTION("""COMPUTED_VALUE"""),"ادارة المجمع")</f>
        <v>ادارة المجمع</v>
      </c>
      <c r="E166" s="26" t="str">
        <f ca="1">IFERROR(__xludf.DUMMYFUNCTION("""COMPUTED_VALUE"""),"قسم التربية والتعليم العالي")</f>
        <v>قسم التربية والتعليم العالي</v>
      </c>
      <c r="F166" s="26" t="str">
        <f ca="1">IFERROR(__xludf.DUMMYFUNCTION("""COMPUTED_VALUE"""),"D- الاعدادية (البناية 4)")</f>
        <v>D- الاعدادية (البناية 4)</v>
      </c>
      <c r="G166" s="26" t="str">
        <f ca="1">IFERROR(__xludf.DUMMYFUNCTION("""COMPUTED_VALUE"""),"ZONE B - الطابق الارضي")</f>
        <v>ZONE B - الطابق الارضي</v>
      </c>
      <c r="H166" s="26" t="str">
        <f ca="1">IFERROR(__xludf.DUMMYFUNCTION("""COMPUTED_VALUE"""),"توقف السبلت في الصف الثالث  أ")</f>
        <v>توقف السبلت في الصف الثالث  أ</v>
      </c>
      <c r="I166" s="26"/>
      <c r="J166" s="26" t="s">
        <v>14</v>
      </c>
      <c r="K166" s="26" t="s">
        <v>13</v>
      </c>
      <c r="L166" s="55">
        <v>46119.634662812503</v>
      </c>
      <c r="M166" s="26"/>
      <c r="N166" s="4"/>
    </row>
    <row r="167" spans="1:14" ht="75" customHeight="1" thickTop="1" thickBot="1">
      <c r="A167" s="34">
        <v>165</v>
      </c>
      <c r="B167" s="55">
        <f ca="1">IFERROR(__xludf.DUMMYFUNCTION("""COMPUTED_VALUE"""),46121.5596995601)</f>
        <v>46121.559699560101</v>
      </c>
      <c r="C167" s="56" t="str">
        <f ca="1">IFERROR(__xludf.DUMMYFUNCTION("""COMPUTED_VALUE"""),"الحر")</f>
        <v>الحر</v>
      </c>
      <c r="D167" s="56" t="str">
        <f ca="1">IFERROR(__xludf.DUMMYFUNCTION("""COMPUTED_VALUE"""),"عيسى صالح ")</f>
        <v xml:space="preserve">عيسى صالح </v>
      </c>
      <c r="E167" s="26" t="str">
        <f ca="1">IFERROR(__xludf.DUMMYFUNCTION("""COMPUTED_VALUE"""),"قسم المشاريع الهندسية")</f>
        <v>قسم المشاريع الهندسية</v>
      </c>
      <c r="F167" s="26" t="str">
        <f ca="1">IFERROR(__xludf.DUMMYFUNCTION("""COMPUTED_VALUE"""),"A- الابتدائية (البناية 1)")</f>
        <v>A- الابتدائية (البناية 1)</v>
      </c>
      <c r="G167" s="26" t="str">
        <f ca="1">IFERROR(__xludf.DUMMYFUNCTION("""COMPUTED_VALUE"""),"ZONE A - الطابق الارضي")</f>
        <v>ZONE A - الطابق الارضي</v>
      </c>
      <c r="H167" s="26" t="str">
        <f ca="1">IFERROR(__xludf.DUMMYFUNCTION("""COMPUTED_VALUE"""),"
تم اصلاح مشكله في منظومة التبريد VRF في (واتر بام ) في البنايه الاولى طابق إلا رضي .")</f>
        <v xml:space="preserve">
تم اصلاح مشكله في منظومة التبريد VRF في (واتر بام ) في البنايه الاولى طابق إلا رضي .</v>
      </c>
      <c r="I167" s="26"/>
      <c r="J167" s="26" t="s">
        <v>14</v>
      </c>
      <c r="K167" s="26" t="s">
        <v>13</v>
      </c>
      <c r="L167" s="55">
        <v>46121.561414756943</v>
      </c>
      <c r="M167" s="26"/>
      <c r="N167" s="4"/>
    </row>
    <row r="168" spans="1:14" ht="75" customHeight="1" thickTop="1" thickBot="1">
      <c r="A168" s="26">
        <v>166</v>
      </c>
      <c r="B168" s="55">
        <f ca="1">IFERROR(__xludf.DUMMYFUNCTION("""COMPUTED_VALUE"""),46121.5611598726)</f>
        <v>46121.561159872603</v>
      </c>
      <c r="C168" s="56" t="str">
        <f ca="1">IFERROR(__xludf.DUMMYFUNCTION("""COMPUTED_VALUE"""),"الحر")</f>
        <v>الحر</v>
      </c>
      <c r="D168" s="56" t="str">
        <f ca="1">IFERROR(__xludf.DUMMYFUNCTION("""COMPUTED_VALUE"""),"عيسى صالح ")</f>
        <v xml:space="preserve">عيسى صالح </v>
      </c>
      <c r="E168" s="26" t="str">
        <f ca="1">IFERROR(__xludf.DUMMYFUNCTION("""COMPUTED_VALUE"""),"قسم المشاريع الهندسية")</f>
        <v>قسم المشاريع الهندسية</v>
      </c>
      <c r="F168" s="26" t="str">
        <f ca="1">IFERROR(__xludf.DUMMYFUNCTION("""COMPUTED_VALUE"""),"C- المتوسطة (البناية 3)")</f>
        <v>C- المتوسطة (البناية 3)</v>
      </c>
      <c r="G168" s="26" t="str">
        <f ca="1">IFERROR(__xludf.DUMMYFUNCTION("""COMPUTED_VALUE"""),"السطح")</f>
        <v>السطح</v>
      </c>
      <c r="H168" s="26" t="str">
        <f ca="1">IFERROR(__xludf.DUMMYFUNCTION("""COMPUTED_VALUE"""),"
تم تبديل فلاتر مضخه ماء الRo في البناية الثالثة.
")</f>
        <v xml:space="preserve">
تم تبديل فلاتر مضخه ماء الRo في البناية الثالثة.
</v>
      </c>
      <c r="I168" s="26"/>
      <c r="J168" s="26" t="s">
        <v>14</v>
      </c>
      <c r="K168" s="26" t="s">
        <v>13</v>
      </c>
      <c r="L168" s="55">
        <v>46121.561454097224</v>
      </c>
      <c r="M168" s="26"/>
      <c r="N168" s="4"/>
    </row>
    <row r="169" spans="1:14" ht="75" customHeight="1" thickTop="1" thickBot="1">
      <c r="A169" s="34">
        <v>167</v>
      </c>
      <c r="B169" s="55">
        <f ca="1">IFERROR(__xludf.DUMMYFUNCTION("""COMPUTED_VALUE"""),46124.4283084375)</f>
        <v>46124.428308437498</v>
      </c>
      <c r="C169" s="56" t="str">
        <f ca="1">IFERROR(__xludf.DUMMYFUNCTION("""COMPUTED_VALUE"""),"الحر")</f>
        <v>الحر</v>
      </c>
      <c r="D169" s="56" t="str">
        <f ca="1">IFERROR(__xludf.DUMMYFUNCTION("""COMPUTED_VALUE"""),"ادارة المجمع")</f>
        <v>ادارة المجمع</v>
      </c>
      <c r="E169" s="26" t="str">
        <f ca="1">IFERROR(__xludf.DUMMYFUNCTION("""COMPUTED_VALUE"""),"قسم التربية والتعليم العالي")</f>
        <v>قسم التربية والتعليم العالي</v>
      </c>
      <c r="F169" s="26" t="str">
        <f ca="1">IFERROR(__xludf.DUMMYFUNCTION("""COMPUTED_VALUE"""),"A- الابتدائية (البناية 1)")</f>
        <v>A- الابتدائية (البناية 1)</v>
      </c>
      <c r="G169" s="26" t="str">
        <f ca="1">IFERROR(__xludf.DUMMYFUNCTION("""COMPUTED_VALUE"""),"ZONE B - الطابق الارضي")</f>
        <v>ZONE B - الطابق الارضي</v>
      </c>
      <c r="H169" s="26" t="str">
        <f ca="1">IFERROR(__xludf.DUMMYFUNCTION("""COMPUTED_VALUE"""),"حمامات الطلاب تحتاج الى صيانة")</f>
        <v>حمامات الطلاب تحتاج الى صيانة</v>
      </c>
      <c r="I169" s="26"/>
      <c r="J169" s="26" t="s">
        <v>14</v>
      </c>
      <c r="K169" s="26" t="s">
        <v>13</v>
      </c>
      <c r="L169" s="55">
        <v>46124.594591400462</v>
      </c>
      <c r="M169" s="26" t="s">
        <v>1709</v>
      </c>
      <c r="N169" s="4"/>
    </row>
    <row r="170" spans="1:14" ht="75" customHeight="1" thickTop="1" thickBot="1">
      <c r="A170" s="26">
        <v>168</v>
      </c>
      <c r="B170" s="55">
        <f ca="1">IFERROR(__xludf.DUMMYFUNCTION("""COMPUTED_VALUE"""),46125.5881740972)</f>
        <v>46125.588174097204</v>
      </c>
      <c r="C170" s="56" t="str">
        <f ca="1">IFERROR(__xludf.DUMMYFUNCTION("""COMPUTED_VALUE"""),"الحر")</f>
        <v>الحر</v>
      </c>
      <c r="D170" s="56" t="str">
        <f ca="1">IFERROR(__xludf.DUMMYFUNCTION("""COMPUTED_VALUE"""),"عيسى صالح ")</f>
        <v xml:space="preserve">عيسى صالح </v>
      </c>
      <c r="E170" s="26" t="str">
        <f ca="1">IFERROR(__xludf.DUMMYFUNCTION("""COMPUTED_VALUE"""),"قسم المشاريع الهندسية")</f>
        <v>قسم المشاريع الهندسية</v>
      </c>
      <c r="F170" s="26" t="str">
        <f ca="1">IFERROR(__xludf.DUMMYFUNCTION("""COMPUTED_VALUE"""),"A- الابتدائية (البناية 1)")</f>
        <v>A- الابتدائية (البناية 1)</v>
      </c>
      <c r="G170" s="26" t="str">
        <f ca="1">IFERROR(__xludf.DUMMYFUNCTION("""COMPUTED_VALUE"""),"ZONE A - الطابق الارضي")</f>
        <v>ZONE A - الطابق الارضي</v>
      </c>
      <c r="H170" s="26" t="str">
        <f ca="1">IFERROR(__xludf.DUMMYFUNCTION("""COMPUTED_VALUE"""),"
*تم صيانه براد ماء في البنايه الاولى الطابق الارضي Z A
")</f>
        <v xml:space="preserve">
*تم صيانه براد ماء في البنايه الاولى الطابق الارضي Z A
</v>
      </c>
      <c r="I170" s="26"/>
      <c r="J170" s="26" t="s">
        <v>14</v>
      </c>
      <c r="K170" s="26" t="s">
        <v>13</v>
      </c>
      <c r="L170" s="55">
        <v>46125.588366041666</v>
      </c>
      <c r="M170" s="26"/>
      <c r="N170" s="4"/>
    </row>
    <row r="171" spans="1:14" ht="75" customHeight="1" thickTop="1" thickBot="1">
      <c r="A171" s="34">
        <v>169</v>
      </c>
      <c r="B171" s="55">
        <f ca="1">IFERROR(__xludf.DUMMYFUNCTION("""COMPUTED_VALUE"""),46131.419558831)</f>
        <v>46131.419558831003</v>
      </c>
      <c r="C171" s="56" t="str">
        <f ca="1">IFERROR(__xludf.DUMMYFUNCTION("""COMPUTED_VALUE"""),"الحر")</f>
        <v>الحر</v>
      </c>
      <c r="D171" s="56" t="str">
        <f ca="1">IFERROR(__xludf.DUMMYFUNCTION("""COMPUTED_VALUE"""),"ادارة المجمع ")</f>
        <v xml:space="preserve">ادارة المجمع </v>
      </c>
      <c r="E171" s="26" t="str">
        <f ca="1">IFERROR(__xludf.DUMMYFUNCTION("""COMPUTED_VALUE"""),"قسم التربية والتعليم العالي")</f>
        <v>قسم التربية والتعليم العالي</v>
      </c>
      <c r="F171" s="26" t="str">
        <f ca="1">IFERROR(__xludf.DUMMYFUNCTION("""COMPUTED_VALUE"""),"D- الاعدادية (البناية 4)")</f>
        <v>D- الاعدادية (البناية 4)</v>
      </c>
      <c r="G171" s="26" t="str">
        <f ca="1">IFERROR(__xludf.DUMMYFUNCTION("""COMPUTED_VALUE"""),"ZONE A - الطابق الارضي, قاعة المعلمين")</f>
        <v>ZONE A - الطابق الارضي, قاعة المعلمين</v>
      </c>
      <c r="H171" s="26" t="str">
        <f ca="1">IFERROR(__xludf.DUMMYFUNCTION("""COMPUTED_VALUE"""),"عدم تحويل جهاز السبلت الى حالة التبريد")</f>
        <v>عدم تحويل جهاز السبلت الى حالة التبريد</v>
      </c>
      <c r="I171" s="26"/>
      <c r="J171" s="26" t="s">
        <v>14</v>
      </c>
      <c r="K171" s="26" t="s">
        <v>13</v>
      </c>
      <c r="L171" s="55">
        <v>46132.585284120374</v>
      </c>
      <c r="M171" s="26" t="s">
        <v>3909</v>
      </c>
      <c r="N171" s="4"/>
    </row>
    <row r="172" spans="1:14" ht="75" customHeight="1" thickTop="1" thickBot="1">
      <c r="A172" s="26">
        <v>170</v>
      </c>
      <c r="B172" s="55">
        <f ca="1">IFERROR(__xludf.DUMMYFUNCTION("""COMPUTED_VALUE"""),46158.4599834259)</f>
        <v>46158.459983425899</v>
      </c>
      <c r="C172" s="56" t="str">
        <f ca="1">IFERROR(__xludf.DUMMYFUNCTION("""COMPUTED_VALUE"""),"الحر")</f>
        <v>الحر</v>
      </c>
      <c r="D172" s="56" t="str">
        <f ca="1">IFERROR(__xludf.DUMMYFUNCTION("""COMPUTED_VALUE"""),"ادارة المجمع")</f>
        <v>ادارة المجمع</v>
      </c>
      <c r="E172" s="26" t="str">
        <f ca="1">IFERROR(__xludf.DUMMYFUNCTION("""COMPUTED_VALUE"""),"قسم التربية والتعليم العالي")</f>
        <v>قسم التربية والتعليم العالي</v>
      </c>
      <c r="F172" s="26" t="str">
        <f ca="1">IFERROR(__xludf.DUMMYFUNCTION("""COMPUTED_VALUE"""),"الساخة الخارجية موقع كرفان الشركة الامنية ")</f>
        <v xml:space="preserve">الساخة الخارجية موقع كرفان الشركة الامنية </v>
      </c>
      <c r="G172" s="26" t="str">
        <f ca="1">IFERROR(__xludf.DUMMYFUNCTION("""COMPUTED_VALUE"""),"الكراج")</f>
        <v>الكراج</v>
      </c>
      <c r="H172" s="26" t="str">
        <f ca="1">IFERROR(__xludf.DUMMYFUNCTION("""COMPUTED_VALUE"""),"ممكن تحويل كهرباء جهاز السبلت الى الطاقة الشمسية  لكرفان الحراس في الشركة الامنية")</f>
        <v>ممكن تحويل كهرباء جهاز السبلت الى الطاقة الشمسية  لكرفان الحراس في الشركة الامنية</v>
      </c>
      <c r="I172" s="26"/>
      <c r="J172" s="26" t="s">
        <v>12</v>
      </c>
      <c r="K172" s="26" t="s">
        <v>750</v>
      </c>
      <c r="L172" s="55">
        <v>46158.529432557872</v>
      </c>
      <c r="M172" s="26"/>
      <c r="N172" s="4"/>
    </row>
    <row r="173" spans="1:14" ht="75" customHeight="1" thickTop="1" thickBot="1">
      <c r="A173" s="34"/>
      <c r="B173" s="55"/>
      <c r="C173" s="56" t="str">
        <f ca="1">IFERROR(__xludf.DUMMYFUNCTION("""COMPUTED_VALUE"""),"الحر")</f>
        <v>الحر</v>
      </c>
      <c r="D173" s="56"/>
      <c r="E173" s="26"/>
      <c r="F173" s="26"/>
      <c r="G173" s="26"/>
      <c r="H173" s="26"/>
      <c r="I173" s="26"/>
      <c r="J173" s="26"/>
      <c r="K173" s="26"/>
      <c r="L173" s="55"/>
      <c r="M173" s="26"/>
      <c r="N173" s="4"/>
    </row>
    <row r="174" spans="1:14" ht="75" customHeight="1" thickTop="1" thickBot="1">
      <c r="A174" s="26"/>
      <c r="B174" s="55"/>
      <c r="C174" s="56" t="str">
        <f ca="1">IFERROR(__xludf.DUMMYFUNCTION("""COMPUTED_VALUE"""),"الحر")</f>
        <v>الحر</v>
      </c>
      <c r="D174" s="56"/>
      <c r="E174" s="26"/>
      <c r="F174" s="26"/>
      <c r="G174" s="26"/>
      <c r="H174" s="26"/>
      <c r="I174" s="26"/>
      <c r="J174" s="26"/>
      <c r="K174" s="26"/>
      <c r="L174" s="55"/>
      <c r="M174" s="26"/>
      <c r="N174" s="4"/>
    </row>
    <row r="175" spans="1:14" ht="75" customHeight="1" thickTop="1" thickBot="1">
      <c r="A175" s="34"/>
      <c r="B175" s="55"/>
      <c r="C175" s="56" t="str">
        <f ca="1">IFERROR(__xludf.DUMMYFUNCTION("""COMPUTED_VALUE"""),"الحر")</f>
        <v>الحر</v>
      </c>
      <c r="D175" s="56"/>
      <c r="E175" s="26"/>
      <c r="F175" s="26"/>
      <c r="G175" s="26"/>
      <c r="H175" s="26"/>
      <c r="I175" s="26"/>
      <c r="J175" s="26"/>
      <c r="K175" s="26"/>
      <c r="L175" s="55"/>
      <c r="M175" s="26"/>
      <c r="N175" s="4"/>
    </row>
    <row r="176" spans="1:14" ht="75" customHeight="1" thickTop="1" thickBot="1">
      <c r="A176" s="26"/>
      <c r="B176" s="55"/>
      <c r="C176" s="56" t="str">
        <f ca="1">IFERROR(__xludf.DUMMYFUNCTION("""COMPUTED_VALUE"""),"الحر")</f>
        <v>الحر</v>
      </c>
      <c r="D176" s="56"/>
      <c r="E176" s="26"/>
      <c r="F176" s="26"/>
      <c r="G176" s="26"/>
      <c r="H176" s="26"/>
      <c r="I176" s="26"/>
      <c r="J176" s="26"/>
      <c r="K176" s="26"/>
      <c r="L176" s="55"/>
      <c r="M176" s="26"/>
      <c r="N176" s="4"/>
    </row>
    <row r="177" spans="1:14" ht="75" customHeight="1" thickTop="1" thickBot="1">
      <c r="A177" s="34"/>
      <c r="B177" s="55"/>
      <c r="C177" s="56" t="str">
        <f ca="1">IFERROR(__xludf.DUMMYFUNCTION("""COMPUTED_VALUE"""),"الحر")</f>
        <v>الحر</v>
      </c>
      <c r="D177" s="56"/>
      <c r="E177" s="26"/>
      <c r="F177" s="26"/>
      <c r="G177" s="26"/>
      <c r="H177" s="26"/>
      <c r="I177" s="26"/>
      <c r="J177" s="26"/>
      <c r="K177" s="26"/>
      <c r="L177" s="55"/>
      <c r="M177" s="26"/>
      <c r="N177" s="4"/>
    </row>
    <row r="178" spans="1:14" ht="75" customHeight="1" thickTop="1" thickBot="1">
      <c r="A178" s="26"/>
      <c r="B178" s="55"/>
      <c r="C178" s="56" t="str">
        <f ca="1">IFERROR(__xludf.DUMMYFUNCTION("""COMPUTED_VALUE"""),"الحر")</f>
        <v>الحر</v>
      </c>
      <c r="D178" s="56"/>
      <c r="E178" s="26"/>
      <c r="F178" s="26"/>
      <c r="G178" s="26"/>
      <c r="H178" s="26"/>
      <c r="I178" s="26"/>
      <c r="J178" s="26"/>
      <c r="K178" s="26"/>
      <c r="L178" s="55"/>
      <c r="M178" s="26"/>
      <c r="N178" s="4"/>
    </row>
    <row r="179" spans="1:14" ht="75" customHeight="1" thickTop="1" thickBot="1">
      <c r="A179" s="34"/>
      <c r="B179" s="55"/>
      <c r="C179" s="56" t="str">
        <f ca="1">IFERROR(__xludf.DUMMYFUNCTION("""COMPUTED_VALUE"""),"الحر")</f>
        <v>الحر</v>
      </c>
      <c r="D179" s="56"/>
      <c r="E179" s="26"/>
      <c r="F179" s="26"/>
      <c r="G179" s="26"/>
      <c r="H179" s="26"/>
      <c r="I179" s="26"/>
      <c r="J179" s="26"/>
      <c r="K179" s="26"/>
      <c r="L179" s="55"/>
      <c r="M179" s="26"/>
      <c r="N179" s="4" t="s">
        <v>121</v>
      </c>
    </row>
    <row r="180" spans="1:14" ht="75" customHeight="1" thickTop="1" thickBot="1">
      <c r="A180" s="26"/>
      <c r="B180" s="55"/>
      <c r="C180" s="56" t="str">
        <f ca="1">IFERROR(__xludf.DUMMYFUNCTION("""COMPUTED_VALUE"""),"الحر")</f>
        <v>الحر</v>
      </c>
      <c r="D180" s="56"/>
      <c r="E180" s="26"/>
      <c r="F180" s="26"/>
      <c r="G180" s="26"/>
      <c r="H180" s="26"/>
      <c r="I180" s="26"/>
      <c r="J180" s="26"/>
      <c r="K180" s="26"/>
      <c r="L180" s="55"/>
      <c r="M180" s="26"/>
      <c r="N180" s="4" t="s">
        <v>123</v>
      </c>
    </row>
    <row r="181" spans="1:14" ht="75" customHeight="1" thickTop="1" thickBot="1">
      <c r="A181" s="34"/>
      <c r="B181" s="55"/>
      <c r="C181" s="56" t="str">
        <f ca="1">IFERROR(__xludf.DUMMYFUNCTION("""COMPUTED_VALUE"""),"الحر")</f>
        <v>الحر</v>
      </c>
      <c r="D181" s="56"/>
      <c r="E181" s="26"/>
      <c r="F181" s="26"/>
      <c r="G181" s="26"/>
      <c r="H181" s="26"/>
      <c r="I181" s="26"/>
      <c r="J181" s="26"/>
      <c r="K181" s="26"/>
      <c r="L181" s="55"/>
      <c r="M181" s="26"/>
      <c r="N181" s="4" t="s">
        <v>121</v>
      </c>
    </row>
    <row r="182" spans="1:14" ht="75" customHeight="1" thickTop="1" thickBot="1">
      <c r="A182" s="26"/>
      <c r="B182" s="55"/>
      <c r="C182" s="56" t="str">
        <f ca="1">IFERROR(__xludf.DUMMYFUNCTION("""COMPUTED_VALUE"""),"الحر")</f>
        <v>الحر</v>
      </c>
      <c r="D182" s="56"/>
      <c r="E182" s="26"/>
      <c r="F182" s="26"/>
      <c r="G182" s="26"/>
      <c r="H182" s="26"/>
      <c r="I182" s="26"/>
      <c r="J182" s="26"/>
      <c r="K182" s="26"/>
      <c r="L182" s="55"/>
      <c r="M182" s="26"/>
      <c r="N182" s="4" t="s">
        <v>121</v>
      </c>
    </row>
    <row r="183" spans="1:14" ht="75" customHeight="1" thickTop="1" thickBot="1">
      <c r="A183" s="34"/>
      <c r="B183" s="55"/>
      <c r="C183" s="56" t="str">
        <f ca="1">IFERROR(__xludf.DUMMYFUNCTION("""COMPUTED_VALUE"""),"الحر")</f>
        <v>الحر</v>
      </c>
      <c r="D183" s="56"/>
      <c r="E183" s="26"/>
      <c r="F183" s="26"/>
      <c r="G183" s="26"/>
      <c r="H183" s="26"/>
      <c r="I183" s="26"/>
      <c r="J183" s="26"/>
      <c r="K183" s="26"/>
      <c r="L183" s="55"/>
      <c r="M183" s="26"/>
      <c r="N183" s="4" t="s">
        <v>121</v>
      </c>
    </row>
    <row r="184" spans="1:14" ht="75" customHeight="1" thickTop="1" thickBot="1">
      <c r="A184" s="26"/>
      <c r="B184" s="55"/>
      <c r="C184" s="56" t="str">
        <f ca="1">IFERROR(__xludf.DUMMYFUNCTION("""COMPUTED_VALUE"""),"الحر")</f>
        <v>الحر</v>
      </c>
      <c r="D184" s="56"/>
      <c r="E184" s="26"/>
      <c r="F184" s="26"/>
      <c r="G184" s="26"/>
      <c r="H184" s="26"/>
      <c r="I184" s="26"/>
      <c r="J184" s="26"/>
      <c r="K184" s="26"/>
      <c r="L184" s="55"/>
      <c r="M184" s="26"/>
      <c r="N184" s="4" t="s">
        <v>121</v>
      </c>
    </row>
    <row r="185" spans="1:14" ht="75" customHeight="1" thickTop="1" thickBot="1">
      <c r="A185" s="34"/>
      <c r="B185" s="55"/>
      <c r="C185" s="56" t="str">
        <f ca="1">IFERROR(__xludf.DUMMYFUNCTION("""COMPUTED_VALUE"""),"الحر")</f>
        <v>الحر</v>
      </c>
      <c r="D185" s="56"/>
      <c r="E185" s="26"/>
      <c r="F185" s="26"/>
      <c r="G185" s="26"/>
      <c r="H185" s="26"/>
      <c r="I185" s="26"/>
      <c r="J185" s="26"/>
      <c r="K185" s="26"/>
      <c r="L185" s="55"/>
      <c r="M185" s="26"/>
      <c r="N185" s="4" t="s">
        <v>121</v>
      </c>
    </row>
    <row r="186" spans="1:14" ht="75" customHeight="1" thickTop="1" thickBot="1">
      <c r="A186" s="26"/>
      <c r="B186" s="55"/>
      <c r="C186" s="56" t="str">
        <f ca="1">IFERROR(__xludf.DUMMYFUNCTION("""COMPUTED_VALUE"""),"الحر")</f>
        <v>الحر</v>
      </c>
      <c r="D186" s="56"/>
      <c r="E186" s="26"/>
      <c r="F186" s="26"/>
      <c r="G186" s="26"/>
      <c r="H186" s="26"/>
      <c r="I186" s="26"/>
      <c r="J186" s="26"/>
      <c r="K186" s="26"/>
      <c r="L186" s="55"/>
      <c r="M186" s="26"/>
      <c r="N186" s="4" t="s">
        <v>121</v>
      </c>
    </row>
    <row r="187" spans="1:14" ht="75" customHeight="1" thickTop="1" thickBot="1">
      <c r="A187" s="34"/>
      <c r="B187" s="55"/>
      <c r="C187" s="56" t="str">
        <f ca="1">IFERROR(__xludf.DUMMYFUNCTION("""COMPUTED_VALUE"""),"الحر")</f>
        <v>الحر</v>
      </c>
      <c r="D187" s="56"/>
      <c r="E187" s="26"/>
      <c r="F187" s="26"/>
      <c r="G187" s="26"/>
      <c r="H187" s="26"/>
      <c r="I187" s="26"/>
      <c r="J187" s="26"/>
      <c r="K187" s="26"/>
      <c r="L187" s="55"/>
      <c r="M187" s="26"/>
      <c r="N187" s="4" t="s">
        <v>121</v>
      </c>
    </row>
    <row r="188" spans="1:14" ht="75" customHeight="1" thickTop="1" thickBot="1">
      <c r="A188" s="26"/>
      <c r="B188" s="55"/>
      <c r="C188" s="56" t="str">
        <f ca="1">IFERROR(__xludf.DUMMYFUNCTION("""COMPUTED_VALUE"""),"الحر")</f>
        <v>الحر</v>
      </c>
      <c r="D188" s="56"/>
      <c r="E188" s="26"/>
      <c r="F188" s="26"/>
      <c r="G188" s="26"/>
      <c r="H188" s="26"/>
      <c r="I188" s="26"/>
      <c r="J188" s="26"/>
      <c r="K188" s="26"/>
      <c r="L188" s="55"/>
      <c r="M188" s="26"/>
      <c r="N188" s="4" t="s">
        <v>121</v>
      </c>
    </row>
    <row r="189" spans="1:14" ht="75" customHeight="1" thickTop="1" thickBot="1">
      <c r="A189" s="34"/>
      <c r="B189" s="55"/>
      <c r="C189" s="56" t="str">
        <f ca="1">IFERROR(__xludf.DUMMYFUNCTION("""COMPUTED_VALUE"""),"الحر")</f>
        <v>الحر</v>
      </c>
      <c r="D189" s="56"/>
      <c r="E189" s="26"/>
      <c r="F189" s="26"/>
      <c r="G189" s="26"/>
      <c r="H189" s="26"/>
      <c r="I189" s="26"/>
      <c r="J189" s="26"/>
      <c r="K189" s="26"/>
      <c r="L189" s="55"/>
      <c r="M189" s="26"/>
      <c r="N189" s="4" t="s">
        <v>124</v>
      </c>
    </row>
    <row r="190" spans="1:14" ht="75" customHeight="1" thickTop="1" thickBot="1">
      <c r="A190" s="26"/>
      <c r="B190" s="55"/>
      <c r="C190" s="56" t="str">
        <f ca="1">IFERROR(__xludf.DUMMYFUNCTION("""COMPUTED_VALUE"""),"الحر")</f>
        <v>الحر</v>
      </c>
      <c r="D190" s="56"/>
      <c r="E190" s="26"/>
      <c r="F190" s="26"/>
      <c r="G190" s="26"/>
      <c r="H190" s="26"/>
      <c r="I190" s="26"/>
      <c r="J190" s="26"/>
      <c r="K190" s="26"/>
      <c r="L190" s="55"/>
      <c r="M190" s="26"/>
      <c r="N190" s="4" t="s">
        <v>121</v>
      </c>
    </row>
    <row r="191" spans="1:14" ht="75" customHeight="1" thickTop="1" thickBot="1">
      <c r="A191" s="34"/>
      <c r="B191" s="55"/>
      <c r="C191" s="56" t="str">
        <f ca="1">IFERROR(__xludf.DUMMYFUNCTION("""COMPUTED_VALUE"""),"الحر")</f>
        <v>الحر</v>
      </c>
      <c r="D191" s="56"/>
      <c r="E191" s="26"/>
      <c r="F191" s="26"/>
      <c r="G191" s="26"/>
      <c r="H191" s="26"/>
      <c r="I191" s="26"/>
      <c r="J191" s="26"/>
      <c r="K191" s="26"/>
      <c r="L191" s="55"/>
      <c r="M191" s="26"/>
      <c r="N191" s="4" t="s">
        <v>121</v>
      </c>
    </row>
    <row r="192" spans="1:14" ht="75" customHeight="1" thickTop="1" thickBot="1">
      <c r="A192" s="26"/>
      <c r="B192" s="55"/>
      <c r="C192" s="56" t="str">
        <f ca="1">IFERROR(__xludf.DUMMYFUNCTION("""COMPUTED_VALUE"""),"الحر")</f>
        <v>الحر</v>
      </c>
      <c r="D192" s="56"/>
      <c r="E192" s="26"/>
      <c r="F192" s="26"/>
      <c r="G192" s="26"/>
      <c r="H192" s="26"/>
      <c r="I192" s="26"/>
      <c r="J192" s="26"/>
      <c r="K192" s="26"/>
      <c r="L192" s="55"/>
      <c r="M192" s="26"/>
      <c r="N192" s="4" t="s">
        <v>121</v>
      </c>
    </row>
    <row r="193" spans="1:14" ht="75" customHeight="1" thickTop="1" thickBot="1">
      <c r="A193" s="34"/>
      <c r="B193" s="55"/>
      <c r="C193" s="56" t="str">
        <f ca="1">IFERROR(__xludf.DUMMYFUNCTION("""COMPUTED_VALUE"""),"الحر")</f>
        <v>الحر</v>
      </c>
      <c r="D193" s="56"/>
      <c r="E193" s="26"/>
      <c r="F193" s="26"/>
      <c r="G193" s="26"/>
      <c r="H193" s="26"/>
      <c r="I193" s="26"/>
      <c r="J193" s="26"/>
      <c r="K193" s="26"/>
      <c r="L193" s="55"/>
      <c r="M193" s="26"/>
      <c r="N193" s="4" t="s">
        <v>121</v>
      </c>
    </row>
    <row r="194" spans="1:14" ht="75" customHeight="1" thickTop="1" thickBot="1">
      <c r="A194" s="26"/>
      <c r="B194" s="55"/>
      <c r="C194" s="56" t="str">
        <f ca="1">IFERROR(__xludf.DUMMYFUNCTION("""COMPUTED_VALUE"""),"الحر")</f>
        <v>الحر</v>
      </c>
      <c r="D194" s="56"/>
      <c r="E194" s="26"/>
      <c r="F194" s="26"/>
      <c r="G194" s="26"/>
      <c r="H194" s="26"/>
      <c r="I194" s="26"/>
      <c r="J194" s="26"/>
      <c r="K194" s="26"/>
      <c r="L194" s="55"/>
      <c r="M194" s="26"/>
      <c r="N194" s="4" t="s">
        <v>121</v>
      </c>
    </row>
    <row r="195" spans="1:14" ht="75" customHeight="1" thickTop="1" thickBot="1">
      <c r="A195" s="34"/>
      <c r="B195" s="55"/>
      <c r="C195" s="56" t="str">
        <f ca="1">IFERROR(__xludf.DUMMYFUNCTION("""COMPUTED_VALUE"""),"الحر")</f>
        <v>الحر</v>
      </c>
      <c r="D195" s="56"/>
      <c r="E195" s="26"/>
      <c r="F195" s="26"/>
      <c r="G195" s="26"/>
      <c r="H195" s="26"/>
      <c r="I195" s="26"/>
      <c r="J195" s="26"/>
      <c r="K195" s="26"/>
      <c r="L195" s="55"/>
      <c r="M195" s="26"/>
      <c r="N195" s="4" t="s">
        <v>121</v>
      </c>
    </row>
    <row r="196" spans="1:14" ht="75" customHeight="1" thickTop="1" thickBot="1">
      <c r="A196" s="26"/>
      <c r="B196" s="55"/>
      <c r="C196" s="56" t="str">
        <f ca="1">IFERROR(__xludf.DUMMYFUNCTION("""COMPUTED_VALUE"""),"الحر")</f>
        <v>الحر</v>
      </c>
      <c r="D196" s="56"/>
      <c r="E196" s="26"/>
      <c r="F196" s="26"/>
      <c r="G196" s="26"/>
      <c r="H196" s="26"/>
      <c r="I196" s="26"/>
      <c r="J196" s="26"/>
      <c r="K196" s="26"/>
      <c r="L196" s="55"/>
      <c r="M196" s="26"/>
      <c r="N196" s="4" t="s">
        <v>121</v>
      </c>
    </row>
    <row r="197" spans="1:14" ht="75" customHeight="1" thickTop="1" thickBot="1">
      <c r="A197" s="34"/>
      <c r="B197" s="55"/>
      <c r="C197" s="56" t="str">
        <f ca="1">IFERROR(__xludf.DUMMYFUNCTION("""COMPUTED_VALUE"""),"الحر")</f>
        <v>الحر</v>
      </c>
      <c r="D197" s="56"/>
      <c r="E197" s="26"/>
      <c r="F197" s="26"/>
      <c r="G197" s="26"/>
      <c r="H197" s="26"/>
      <c r="I197" s="26"/>
      <c r="J197" s="26"/>
      <c r="K197" s="26"/>
      <c r="L197" s="55"/>
      <c r="M197" s="26"/>
      <c r="N197" s="4" t="s">
        <v>121</v>
      </c>
    </row>
    <row r="198" spans="1:14" ht="75" customHeight="1" thickTop="1" thickBot="1">
      <c r="A198" s="26"/>
      <c r="B198" s="55"/>
      <c r="C198" s="56" t="str">
        <f ca="1">IFERROR(__xludf.DUMMYFUNCTION("""COMPUTED_VALUE"""),"الحر")</f>
        <v>الحر</v>
      </c>
      <c r="D198" s="56"/>
      <c r="E198" s="26"/>
      <c r="F198" s="26"/>
      <c r="G198" s="26"/>
      <c r="H198" s="26"/>
      <c r="I198" s="26"/>
      <c r="J198" s="26"/>
      <c r="K198" s="26"/>
      <c r="L198" s="55"/>
      <c r="M198" s="26"/>
      <c r="N198" s="4" t="s">
        <v>121</v>
      </c>
    </row>
    <row r="199" spans="1:14" ht="75" customHeight="1" thickTop="1" thickBot="1">
      <c r="A199" s="34"/>
      <c r="B199" s="55"/>
      <c r="C199" s="56" t="str">
        <f ca="1">IFERROR(__xludf.DUMMYFUNCTION("""COMPUTED_VALUE"""),"الحر")</f>
        <v>الحر</v>
      </c>
      <c r="D199" s="56"/>
      <c r="E199" s="26"/>
      <c r="F199" s="26"/>
      <c r="G199" s="26"/>
      <c r="H199" s="26"/>
      <c r="I199" s="26"/>
      <c r="J199" s="26"/>
      <c r="K199" s="26"/>
      <c r="L199" s="55"/>
      <c r="M199" s="26"/>
      <c r="N199" s="4" t="s">
        <v>121</v>
      </c>
    </row>
    <row r="200" spans="1:14" ht="75" customHeight="1" thickTop="1" thickBot="1">
      <c r="A200" s="26"/>
      <c r="B200" s="55"/>
      <c r="C200" s="56" t="str">
        <f ca="1">IFERROR(__xludf.DUMMYFUNCTION("""COMPUTED_VALUE"""),"الحر")</f>
        <v>الحر</v>
      </c>
      <c r="D200" s="56"/>
      <c r="E200" s="26"/>
      <c r="F200" s="26"/>
      <c r="G200" s="26"/>
      <c r="H200" s="26"/>
      <c r="I200" s="26"/>
      <c r="J200" s="26"/>
      <c r="K200" s="26"/>
      <c r="L200" s="55"/>
      <c r="M200" s="26"/>
      <c r="N200" s="4" t="s">
        <v>121</v>
      </c>
    </row>
    <row r="201" spans="1:14" ht="75" customHeight="1" thickTop="1" thickBot="1">
      <c r="A201" s="34"/>
      <c r="B201" s="55"/>
      <c r="C201" s="56" t="str">
        <f ca="1">IFERROR(__xludf.DUMMYFUNCTION("""COMPUTED_VALUE"""),"الحر")</f>
        <v>الحر</v>
      </c>
      <c r="D201" s="56"/>
      <c r="E201" s="26"/>
      <c r="F201" s="26"/>
      <c r="G201" s="26"/>
      <c r="H201" s="26"/>
      <c r="I201" s="26"/>
      <c r="J201" s="26"/>
      <c r="K201" s="26"/>
      <c r="L201" s="55"/>
      <c r="M201" s="26"/>
      <c r="N201" s="4" t="s">
        <v>121</v>
      </c>
    </row>
    <row r="202" spans="1:14" ht="75" customHeight="1" thickTop="1" thickBot="1">
      <c r="A202" s="26"/>
      <c r="B202" s="55"/>
      <c r="C202" s="56" t="str">
        <f ca="1">IFERROR(__xludf.DUMMYFUNCTION("""COMPUTED_VALUE"""),"الحر")</f>
        <v>الحر</v>
      </c>
      <c r="D202" s="56"/>
      <c r="E202" s="26"/>
      <c r="F202" s="26"/>
      <c r="G202" s="26"/>
      <c r="H202" s="26"/>
      <c r="I202" s="26"/>
      <c r="J202" s="26"/>
      <c r="K202" s="26"/>
      <c r="L202" s="55"/>
      <c r="M202" s="26"/>
      <c r="N202" s="4" t="s">
        <v>125</v>
      </c>
    </row>
    <row r="203" spans="1:14" ht="75" customHeight="1" thickTop="1" thickBot="1">
      <c r="A203" s="34"/>
      <c r="B203" s="55"/>
      <c r="C203" s="56" t="str">
        <f ca="1">IFERROR(__xludf.DUMMYFUNCTION("""COMPUTED_VALUE"""),"الحر")</f>
        <v>الحر</v>
      </c>
      <c r="D203" s="56"/>
      <c r="E203" s="26"/>
      <c r="F203" s="26"/>
      <c r="G203" s="26"/>
      <c r="H203" s="26"/>
      <c r="I203" s="26"/>
      <c r="J203" s="26"/>
      <c r="K203" s="26"/>
      <c r="L203" s="55"/>
      <c r="M203" s="26"/>
      <c r="N203" s="4" t="s">
        <v>125</v>
      </c>
    </row>
    <row r="204" spans="1:14" ht="75" customHeight="1" thickTop="1" thickBot="1">
      <c r="A204" s="26"/>
      <c r="B204" s="55"/>
      <c r="C204" s="56" t="str">
        <f ca="1">IFERROR(__xludf.DUMMYFUNCTION("""COMPUTED_VALUE"""),"الحر")</f>
        <v>الحر</v>
      </c>
      <c r="D204" s="56"/>
      <c r="E204" s="26"/>
      <c r="F204" s="26"/>
      <c r="G204" s="26"/>
      <c r="H204" s="26"/>
      <c r="I204" s="26"/>
      <c r="J204" s="26"/>
      <c r="K204" s="26"/>
      <c r="L204" s="55"/>
      <c r="M204" s="26"/>
      <c r="N204" s="4" t="s">
        <v>126</v>
      </c>
    </row>
    <row r="205" spans="1:14" ht="75" customHeight="1" thickTop="1" thickBot="1">
      <c r="A205" s="34"/>
      <c r="B205" s="55"/>
      <c r="C205" s="56" t="str">
        <f ca="1">IFERROR(__xludf.DUMMYFUNCTION("""COMPUTED_VALUE"""),"الحر")</f>
        <v>الحر</v>
      </c>
      <c r="D205" s="56"/>
      <c r="E205" s="26"/>
      <c r="F205" s="26"/>
      <c r="G205" s="26"/>
      <c r="H205" s="26"/>
      <c r="I205" s="26"/>
      <c r="J205" s="26"/>
      <c r="K205" s="26"/>
      <c r="L205" s="55"/>
      <c r="M205" s="26"/>
      <c r="N205" s="4" t="s">
        <v>125</v>
      </c>
    </row>
    <row r="206" spans="1:14" ht="75" customHeight="1" thickTop="1" thickBot="1">
      <c r="A206" s="26"/>
      <c r="B206" s="55"/>
      <c r="C206" s="56" t="str">
        <f ca="1">IFERROR(__xludf.DUMMYFUNCTION("""COMPUTED_VALUE"""),"الحر")</f>
        <v>الحر</v>
      </c>
      <c r="D206" s="56"/>
      <c r="E206" s="26"/>
      <c r="F206" s="26"/>
      <c r="G206" s="26"/>
      <c r="H206" s="26"/>
      <c r="I206" s="26"/>
      <c r="J206" s="26"/>
      <c r="K206" s="26"/>
      <c r="L206" s="55"/>
      <c r="M206" s="26"/>
      <c r="N206" s="4" t="s">
        <v>121</v>
      </c>
    </row>
    <row r="207" spans="1:14" ht="75" customHeight="1" thickTop="1" thickBot="1">
      <c r="A207" s="34"/>
      <c r="B207" s="55"/>
      <c r="C207" s="56" t="str">
        <f ca="1">IFERROR(__xludf.DUMMYFUNCTION("""COMPUTED_VALUE"""),"الحر")</f>
        <v>الحر</v>
      </c>
      <c r="D207" s="56"/>
      <c r="E207" s="26"/>
      <c r="F207" s="26"/>
      <c r="G207" s="26"/>
      <c r="H207" s="26"/>
      <c r="I207" s="26"/>
      <c r="J207" s="26"/>
      <c r="K207" s="26"/>
      <c r="L207" s="55"/>
      <c r="M207" s="26"/>
      <c r="N207" s="4" t="s">
        <v>121</v>
      </c>
    </row>
    <row r="208" spans="1:14" ht="75" customHeight="1" thickTop="1" thickBot="1">
      <c r="A208" s="26"/>
      <c r="B208" s="55"/>
      <c r="C208" s="56" t="str">
        <f ca="1">IFERROR(__xludf.DUMMYFUNCTION("""COMPUTED_VALUE"""),"الحر")</f>
        <v>الحر</v>
      </c>
      <c r="D208" s="56"/>
      <c r="E208" s="26"/>
      <c r="F208" s="26"/>
      <c r="G208" s="26"/>
      <c r="H208" s="26"/>
      <c r="I208" s="26"/>
      <c r="J208" s="26"/>
      <c r="K208" s="26"/>
      <c r="L208" s="55"/>
      <c r="M208" s="26"/>
      <c r="N208" s="4" t="s">
        <v>121</v>
      </c>
    </row>
    <row r="209" spans="1:14" ht="75" customHeight="1" thickTop="1" thickBot="1">
      <c r="A209" s="34"/>
      <c r="B209" s="55"/>
      <c r="C209" s="56" t="str">
        <f ca="1">IFERROR(__xludf.DUMMYFUNCTION("""COMPUTED_VALUE"""),"الحر")</f>
        <v>الحر</v>
      </c>
      <c r="D209" s="56"/>
      <c r="E209" s="26"/>
      <c r="F209" s="26"/>
      <c r="G209" s="26"/>
      <c r="H209" s="26"/>
      <c r="I209" s="26"/>
      <c r="J209" s="26"/>
      <c r="K209" s="26"/>
      <c r="L209" s="55"/>
      <c r="M209" s="26"/>
      <c r="N209" s="4" t="s">
        <v>121</v>
      </c>
    </row>
    <row r="210" spans="1:14" ht="75" customHeight="1" thickTop="1" thickBot="1">
      <c r="A210" s="26"/>
      <c r="B210" s="55"/>
      <c r="C210" s="56" t="str">
        <f ca="1">IFERROR(__xludf.DUMMYFUNCTION("""COMPUTED_VALUE"""),"الحر")</f>
        <v>الحر</v>
      </c>
      <c r="D210" s="56"/>
      <c r="E210" s="26"/>
      <c r="F210" s="26"/>
      <c r="G210" s="26"/>
      <c r="H210" s="26"/>
      <c r="I210" s="26"/>
      <c r="J210" s="26"/>
      <c r="K210" s="26"/>
      <c r="L210" s="55"/>
      <c r="M210" s="26"/>
      <c r="N210" s="4" t="s">
        <v>121</v>
      </c>
    </row>
    <row r="211" spans="1:14" ht="75" customHeight="1" thickTop="1" thickBot="1">
      <c r="A211" s="34"/>
      <c r="B211" s="55"/>
      <c r="C211" s="56" t="str">
        <f ca="1">IFERROR(__xludf.DUMMYFUNCTION("""COMPUTED_VALUE"""),"الحر")</f>
        <v>الحر</v>
      </c>
      <c r="D211" s="56"/>
      <c r="E211" s="26"/>
      <c r="F211" s="26"/>
      <c r="G211" s="26"/>
      <c r="H211" s="26"/>
      <c r="I211" s="26"/>
      <c r="J211" s="26"/>
      <c r="K211" s="26"/>
      <c r="L211" s="55"/>
      <c r="M211" s="26"/>
      <c r="N211" s="4" t="s">
        <v>121</v>
      </c>
    </row>
    <row r="212" spans="1:14" ht="75" customHeight="1" thickTop="1" thickBot="1">
      <c r="A212" s="26"/>
      <c r="B212" s="55"/>
      <c r="C212" s="56" t="str">
        <f ca="1">IFERROR(__xludf.DUMMYFUNCTION("""COMPUTED_VALUE"""),"الحر")</f>
        <v>الحر</v>
      </c>
      <c r="D212" s="56"/>
      <c r="E212" s="26"/>
      <c r="F212" s="26"/>
      <c r="G212" s="26"/>
      <c r="H212" s="26"/>
      <c r="I212" s="26"/>
      <c r="J212" s="26"/>
      <c r="K212" s="26"/>
      <c r="L212" s="55"/>
      <c r="M212" s="26"/>
      <c r="N212" s="4" t="s">
        <v>127</v>
      </c>
    </row>
    <row r="213" spans="1:14" ht="75" customHeight="1" thickTop="1" thickBot="1">
      <c r="A213" s="34"/>
      <c r="B213" s="55"/>
      <c r="C213" s="56" t="str">
        <f ca="1">IFERROR(__xludf.DUMMYFUNCTION("""COMPUTED_VALUE"""),"الحر")</f>
        <v>الحر</v>
      </c>
      <c r="D213" s="56"/>
      <c r="E213" s="26"/>
      <c r="F213" s="26"/>
      <c r="G213" s="26"/>
      <c r="H213" s="26"/>
      <c r="I213" s="26"/>
      <c r="J213" s="26"/>
      <c r="K213" s="26"/>
      <c r="L213" s="55"/>
      <c r="M213" s="26"/>
      <c r="N213" s="4" t="s">
        <v>121</v>
      </c>
    </row>
    <row r="214" spans="1:14" ht="75" customHeight="1" thickTop="1" thickBot="1">
      <c r="A214" s="26"/>
      <c r="B214" s="55"/>
      <c r="C214" s="56" t="str">
        <f ca="1">IFERROR(__xludf.DUMMYFUNCTION("""COMPUTED_VALUE"""),"الحر")</f>
        <v>الحر</v>
      </c>
      <c r="D214" s="56"/>
      <c r="E214" s="26"/>
      <c r="F214" s="26"/>
      <c r="G214" s="26"/>
      <c r="H214" s="26"/>
      <c r="I214" s="26"/>
      <c r="J214" s="26"/>
      <c r="K214" s="26"/>
      <c r="L214" s="55"/>
      <c r="M214" s="26"/>
      <c r="N214" s="4" t="s">
        <v>121</v>
      </c>
    </row>
    <row r="215" spans="1:14" ht="75" customHeight="1" thickTop="1" thickBot="1">
      <c r="A215" s="34"/>
      <c r="B215" s="55"/>
      <c r="C215" s="56" t="str">
        <f ca="1">IFERROR(__xludf.DUMMYFUNCTION("""COMPUTED_VALUE"""),"الحر")</f>
        <v>الحر</v>
      </c>
      <c r="D215" s="56"/>
      <c r="E215" s="26"/>
      <c r="F215" s="26"/>
      <c r="G215" s="26"/>
      <c r="H215" s="26"/>
      <c r="I215" s="26"/>
      <c r="J215" s="26"/>
      <c r="K215" s="26"/>
      <c r="L215" s="55"/>
      <c r="M215" s="26"/>
      <c r="N215" s="4" t="s">
        <v>121</v>
      </c>
    </row>
    <row r="216" spans="1:14" ht="75" customHeight="1" thickTop="1" thickBot="1">
      <c r="A216" s="26"/>
      <c r="B216" s="55"/>
      <c r="C216" s="56" t="str">
        <f ca="1">IFERROR(__xludf.DUMMYFUNCTION("""COMPUTED_VALUE"""),"الحر")</f>
        <v>الحر</v>
      </c>
      <c r="D216" s="56"/>
      <c r="E216" s="26"/>
      <c r="F216" s="26"/>
      <c r="G216" s="26"/>
      <c r="H216" s="26"/>
      <c r="I216" s="26"/>
      <c r="J216" s="26"/>
      <c r="K216" s="26"/>
      <c r="L216" s="55"/>
      <c r="M216" s="26"/>
      <c r="N216" s="4" t="s">
        <v>121</v>
      </c>
    </row>
    <row r="217" spans="1:14" ht="75" customHeight="1" thickTop="1" thickBot="1">
      <c r="A217" s="34"/>
      <c r="B217" s="55"/>
      <c r="C217" s="56" t="str">
        <f ca="1">IFERROR(__xludf.DUMMYFUNCTION("""COMPUTED_VALUE"""),"الحر")</f>
        <v>الحر</v>
      </c>
      <c r="D217" s="56"/>
      <c r="E217" s="26"/>
      <c r="F217" s="26"/>
      <c r="G217" s="26"/>
      <c r="H217" s="26"/>
      <c r="I217" s="26"/>
      <c r="J217" s="26"/>
      <c r="K217" s="26"/>
      <c r="L217" s="55"/>
      <c r="M217" s="26"/>
      <c r="N217" s="4" t="s">
        <v>121</v>
      </c>
    </row>
    <row r="218" spans="1:14" ht="75" customHeight="1" thickTop="1" thickBot="1">
      <c r="A218" s="26"/>
      <c r="B218" s="55"/>
      <c r="C218" s="56" t="str">
        <f ca="1">IFERROR(__xludf.DUMMYFUNCTION("""COMPUTED_VALUE"""),"الحر")</f>
        <v>الحر</v>
      </c>
      <c r="D218" s="56"/>
      <c r="E218" s="26"/>
      <c r="F218" s="26"/>
      <c r="G218" s="26"/>
      <c r="H218" s="26"/>
      <c r="I218" s="26"/>
      <c r="J218" s="26"/>
      <c r="K218" s="26"/>
      <c r="L218" s="55"/>
      <c r="M218" s="26"/>
      <c r="N218" s="4" t="s">
        <v>121</v>
      </c>
    </row>
    <row r="219" spans="1:14" ht="75" customHeight="1" thickTop="1" thickBot="1">
      <c r="A219" s="34"/>
      <c r="B219" s="55"/>
      <c r="C219" s="56" t="str">
        <f ca="1">IFERROR(__xludf.DUMMYFUNCTION("""COMPUTED_VALUE"""),"الحر")</f>
        <v>الحر</v>
      </c>
      <c r="D219" s="56"/>
      <c r="E219" s="26"/>
      <c r="F219" s="26"/>
      <c r="G219" s="26"/>
      <c r="H219" s="26"/>
      <c r="I219" s="26"/>
      <c r="J219" s="26"/>
      <c r="K219" s="26"/>
      <c r="L219" s="55"/>
      <c r="M219" s="26"/>
      <c r="N219" s="4" t="s">
        <v>121</v>
      </c>
    </row>
    <row r="220" spans="1:14" ht="75" customHeight="1" thickTop="1" thickBot="1">
      <c r="A220" s="26"/>
      <c r="B220" s="55"/>
      <c r="C220" s="56" t="str">
        <f ca="1">IFERROR(__xludf.DUMMYFUNCTION("""COMPUTED_VALUE"""),"الحر")</f>
        <v>الحر</v>
      </c>
      <c r="D220" s="56"/>
      <c r="E220" s="26"/>
      <c r="F220" s="26"/>
      <c r="G220" s="26"/>
      <c r="H220" s="26"/>
      <c r="I220" s="26"/>
      <c r="J220" s="26"/>
      <c r="K220" s="26"/>
      <c r="L220" s="55"/>
      <c r="M220" s="26"/>
      <c r="N220" s="4" t="s">
        <v>121</v>
      </c>
    </row>
    <row r="221" spans="1:14" ht="75" customHeight="1" thickTop="1" thickBot="1">
      <c r="A221" s="34"/>
      <c r="B221" s="55"/>
      <c r="C221" s="56" t="str">
        <f ca="1">IFERROR(__xludf.DUMMYFUNCTION("""COMPUTED_VALUE"""),"الحر")</f>
        <v>الحر</v>
      </c>
      <c r="D221" s="56"/>
      <c r="E221" s="26"/>
      <c r="F221" s="26"/>
      <c r="G221" s="26"/>
      <c r="H221" s="26"/>
      <c r="I221" s="26"/>
      <c r="J221" s="26"/>
      <c r="K221" s="26"/>
      <c r="L221" s="55"/>
      <c r="M221" s="26"/>
      <c r="N221" s="4" t="s">
        <v>121</v>
      </c>
    </row>
    <row r="222" spans="1:14" ht="75" customHeight="1" thickTop="1" thickBot="1">
      <c r="A222" s="26"/>
      <c r="B222" s="55"/>
      <c r="C222" s="56" t="str">
        <f ca="1">IFERROR(__xludf.DUMMYFUNCTION("""COMPUTED_VALUE"""),"الحر")</f>
        <v>الحر</v>
      </c>
      <c r="D222" s="56"/>
      <c r="E222" s="26"/>
      <c r="F222" s="26"/>
      <c r="G222" s="26"/>
      <c r="H222" s="26"/>
      <c r="I222" s="26"/>
      <c r="J222" s="26"/>
      <c r="K222" s="26"/>
      <c r="L222" s="55"/>
      <c r="M222" s="26"/>
      <c r="N222" s="4" t="s">
        <v>121</v>
      </c>
    </row>
    <row r="223" spans="1:14" ht="75" customHeight="1" thickTop="1" thickBot="1">
      <c r="A223" s="34"/>
      <c r="B223" s="55"/>
      <c r="C223" s="56" t="str">
        <f ca="1">IFERROR(__xludf.DUMMYFUNCTION("""COMPUTED_VALUE"""),"الحر")</f>
        <v>الحر</v>
      </c>
      <c r="D223" s="56"/>
      <c r="E223" s="26"/>
      <c r="F223" s="26"/>
      <c r="G223" s="26"/>
      <c r="H223" s="26"/>
      <c r="I223" s="26"/>
      <c r="J223" s="26"/>
      <c r="K223" s="26"/>
      <c r="L223" s="55"/>
      <c r="M223" s="26"/>
      <c r="N223" s="4" t="s">
        <v>121</v>
      </c>
    </row>
    <row r="224" spans="1:14" ht="75" customHeight="1" thickTop="1" thickBot="1">
      <c r="A224" s="26"/>
      <c r="B224" s="55"/>
      <c r="C224" s="56" t="str">
        <f ca="1">IFERROR(__xludf.DUMMYFUNCTION("""COMPUTED_VALUE"""),"الحر")</f>
        <v>الحر</v>
      </c>
      <c r="D224" s="56"/>
      <c r="E224" s="26"/>
      <c r="F224" s="26"/>
      <c r="G224" s="26"/>
      <c r="H224" s="26"/>
      <c r="I224" s="26"/>
      <c r="J224" s="26"/>
      <c r="K224" s="26"/>
      <c r="L224" s="55"/>
      <c r="M224" s="26"/>
      <c r="N224" s="4" t="s">
        <v>121</v>
      </c>
    </row>
    <row r="225" spans="1:14" ht="75" customHeight="1" thickTop="1" thickBot="1">
      <c r="A225" s="34"/>
      <c r="B225" s="55"/>
      <c r="C225" s="56" t="str">
        <f ca="1">IFERROR(__xludf.DUMMYFUNCTION("""COMPUTED_VALUE"""),"الحر")</f>
        <v>الحر</v>
      </c>
      <c r="D225" s="56"/>
      <c r="E225" s="26"/>
      <c r="F225" s="26"/>
      <c r="G225" s="26"/>
      <c r="H225" s="26"/>
      <c r="I225" s="26"/>
      <c r="J225" s="26"/>
      <c r="K225" s="26"/>
      <c r="L225" s="55"/>
      <c r="M225" s="26"/>
      <c r="N225" s="4" t="s">
        <v>121</v>
      </c>
    </row>
    <row r="226" spans="1:14" ht="75" customHeight="1" thickTop="1" thickBot="1">
      <c r="A226" s="26"/>
      <c r="B226" s="55"/>
      <c r="C226" s="56" t="str">
        <f ca="1">IFERROR(__xludf.DUMMYFUNCTION("""COMPUTED_VALUE"""),"الحر")</f>
        <v>الحر</v>
      </c>
      <c r="D226" s="56"/>
      <c r="E226" s="26"/>
      <c r="F226" s="26"/>
      <c r="G226" s="26"/>
      <c r="H226" s="26"/>
      <c r="I226" s="26"/>
      <c r="J226" s="26"/>
      <c r="K226" s="26"/>
      <c r="L226" s="55"/>
      <c r="M226" s="26"/>
      <c r="N226" s="4" t="s">
        <v>121</v>
      </c>
    </row>
    <row r="227" spans="1:14" ht="75" customHeight="1" thickTop="1" thickBot="1">
      <c r="A227" s="34"/>
      <c r="B227" s="55"/>
      <c r="C227" s="56" t="str">
        <f ca="1">IFERROR(__xludf.DUMMYFUNCTION("""COMPUTED_VALUE"""),"الحر")</f>
        <v>الحر</v>
      </c>
      <c r="D227" s="56"/>
      <c r="E227" s="26"/>
      <c r="F227" s="26"/>
      <c r="G227" s="26"/>
      <c r="H227" s="26"/>
      <c r="I227" s="26"/>
      <c r="J227" s="26"/>
      <c r="K227" s="26"/>
      <c r="L227" s="55"/>
      <c r="M227" s="26"/>
      <c r="N227" s="4" t="s">
        <v>121</v>
      </c>
    </row>
    <row r="228" spans="1:14" ht="75" customHeight="1" thickTop="1" thickBot="1">
      <c r="A228" s="26"/>
      <c r="B228" s="55"/>
      <c r="C228" s="56" t="str">
        <f ca="1">IFERROR(__xludf.DUMMYFUNCTION("""COMPUTED_VALUE"""),"الحر")</f>
        <v>الحر</v>
      </c>
      <c r="D228" s="56"/>
      <c r="E228" s="26"/>
      <c r="F228" s="26"/>
      <c r="G228" s="26"/>
      <c r="H228" s="26"/>
      <c r="I228" s="26"/>
      <c r="J228" s="26"/>
      <c r="K228" s="26"/>
      <c r="L228" s="55"/>
      <c r="M228" s="26"/>
      <c r="N228" s="4" t="s">
        <v>121</v>
      </c>
    </row>
    <row r="229" spans="1:14" ht="75" customHeight="1" thickTop="1" thickBot="1">
      <c r="A229" s="34"/>
      <c r="B229" s="55"/>
      <c r="C229" s="56" t="str">
        <f ca="1">IFERROR(__xludf.DUMMYFUNCTION("""COMPUTED_VALUE"""),"الحر")</f>
        <v>الحر</v>
      </c>
      <c r="D229" s="56"/>
      <c r="E229" s="26"/>
      <c r="F229" s="26"/>
      <c r="G229" s="26"/>
      <c r="H229" s="26"/>
      <c r="I229" s="26"/>
      <c r="J229" s="26"/>
      <c r="K229" s="26"/>
      <c r="L229" s="55"/>
      <c r="M229" s="26"/>
      <c r="N229" s="4" t="s">
        <v>121</v>
      </c>
    </row>
    <row r="230" spans="1:14" ht="75" customHeight="1" thickTop="1" thickBot="1">
      <c r="A230" s="26"/>
      <c r="B230" s="55"/>
      <c r="C230" s="56" t="str">
        <f ca="1">IFERROR(__xludf.DUMMYFUNCTION("""COMPUTED_VALUE"""),"الحر")</f>
        <v>الحر</v>
      </c>
      <c r="D230" s="56"/>
      <c r="E230" s="26"/>
      <c r="F230" s="26"/>
      <c r="G230" s="26"/>
      <c r="H230" s="26"/>
      <c r="I230" s="26"/>
      <c r="J230" s="26"/>
      <c r="K230" s="26"/>
      <c r="L230" s="55"/>
      <c r="M230" s="26"/>
      <c r="N230" s="4" t="s">
        <v>121</v>
      </c>
    </row>
    <row r="231" spans="1:14" ht="75" customHeight="1" thickTop="1" thickBot="1">
      <c r="A231" s="34"/>
      <c r="B231" s="55"/>
      <c r="C231" s="56" t="str">
        <f ca="1">IFERROR(__xludf.DUMMYFUNCTION("""COMPUTED_VALUE"""),"الحر")</f>
        <v>الحر</v>
      </c>
      <c r="D231" s="56"/>
      <c r="E231" s="26"/>
      <c r="F231" s="26"/>
      <c r="G231" s="26"/>
      <c r="H231" s="26"/>
      <c r="I231" s="26"/>
      <c r="J231" s="26"/>
      <c r="K231" s="26"/>
      <c r="L231" s="55"/>
      <c r="M231" s="26"/>
      <c r="N231" s="4" t="s">
        <v>121</v>
      </c>
    </row>
    <row r="232" spans="1:14" ht="75" customHeight="1" thickTop="1" thickBot="1">
      <c r="A232" s="26"/>
      <c r="B232" s="55"/>
      <c r="C232" s="56" t="str">
        <f ca="1">IFERROR(__xludf.DUMMYFUNCTION("""COMPUTED_VALUE"""),"الحر")</f>
        <v>الحر</v>
      </c>
      <c r="D232" s="56"/>
      <c r="E232" s="26"/>
      <c r="F232" s="26"/>
      <c r="G232" s="26"/>
      <c r="H232" s="26"/>
      <c r="I232" s="26"/>
      <c r="J232" s="26"/>
      <c r="K232" s="26"/>
      <c r="L232" s="55"/>
      <c r="M232" s="26"/>
      <c r="N232" s="4" t="s">
        <v>128</v>
      </c>
    </row>
    <row r="233" spans="1:14" ht="75" customHeight="1" thickTop="1" thickBot="1">
      <c r="A233" s="34"/>
      <c r="B233" s="55"/>
      <c r="C233" s="56" t="str">
        <f ca="1">IFERROR(__xludf.DUMMYFUNCTION("""COMPUTED_VALUE"""),"الحر")</f>
        <v>الحر</v>
      </c>
      <c r="D233" s="56"/>
      <c r="E233" s="26"/>
      <c r="F233" s="26"/>
      <c r="G233" s="26"/>
      <c r="H233" s="26"/>
      <c r="I233" s="26"/>
      <c r="J233" s="26"/>
      <c r="K233" s="26"/>
      <c r="L233" s="55"/>
      <c r="M233" s="26"/>
      <c r="N233" s="4" t="s">
        <v>121</v>
      </c>
    </row>
    <row r="234" spans="1:14" ht="75" customHeight="1" thickTop="1" thickBot="1">
      <c r="A234" s="26"/>
      <c r="B234" s="55"/>
      <c r="C234" s="56" t="str">
        <f ca="1">IFERROR(__xludf.DUMMYFUNCTION("""COMPUTED_VALUE"""),"الحر")</f>
        <v>الحر</v>
      </c>
      <c r="D234" s="56"/>
      <c r="E234" s="26"/>
      <c r="F234" s="26"/>
      <c r="G234" s="26"/>
      <c r="H234" s="26"/>
      <c r="I234" s="26"/>
      <c r="J234" s="26"/>
      <c r="K234" s="26"/>
      <c r="L234" s="55"/>
      <c r="M234" s="26"/>
      <c r="N234" s="4" t="s">
        <v>121</v>
      </c>
    </row>
    <row r="235" spans="1:14" ht="75" customHeight="1" thickTop="1" thickBot="1">
      <c r="A235" s="34"/>
      <c r="B235" s="55"/>
      <c r="C235" s="56" t="str">
        <f ca="1">IFERROR(__xludf.DUMMYFUNCTION("""COMPUTED_VALUE"""),"الحر")</f>
        <v>الحر</v>
      </c>
      <c r="D235" s="56"/>
      <c r="E235" s="26"/>
      <c r="F235" s="26"/>
      <c r="G235" s="26"/>
      <c r="H235" s="26"/>
      <c r="I235" s="26"/>
      <c r="J235" s="26"/>
      <c r="K235" s="26"/>
      <c r="L235" s="55"/>
      <c r="M235" s="26"/>
      <c r="N235" s="4" t="s">
        <v>121</v>
      </c>
    </row>
    <row r="236" spans="1:14" ht="75" customHeight="1" thickTop="1" thickBot="1">
      <c r="A236" s="26"/>
      <c r="B236" s="55"/>
      <c r="C236" s="56" t="str">
        <f ca="1">IFERROR(__xludf.DUMMYFUNCTION("""COMPUTED_VALUE"""),"الحر")</f>
        <v>الحر</v>
      </c>
      <c r="D236" s="56"/>
      <c r="E236" s="26"/>
      <c r="F236" s="26"/>
      <c r="G236" s="26"/>
      <c r="H236" s="26"/>
      <c r="I236" s="26"/>
      <c r="J236" s="26"/>
      <c r="K236" s="26"/>
      <c r="L236" s="55"/>
      <c r="M236" s="26"/>
      <c r="N236" s="4" t="s">
        <v>121</v>
      </c>
    </row>
    <row r="237" spans="1:14" ht="75" customHeight="1" thickTop="1" thickBot="1">
      <c r="A237" s="34"/>
      <c r="B237" s="55"/>
      <c r="C237" s="56" t="str">
        <f ca="1">IFERROR(__xludf.DUMMYFUNCTION("""COMPUTED_VALUE"""),"الحر")</f>
        <v>الحر</v>
      </c>
      <c r="D237" s="56"/>
      <c r="E237" s="26"/>
      <c r="F237" s="26"/>
      <c r="G237" s="26"/>
      <c r="H237" s="26"/>
      <c r="I237" s="26"/>
      <c r="J237" s="26"/>
      <c r="K237" s="26"/>
      <c r="L237" s="55"/>
      <c r="M237" s="26"/>
      <c r="N237" s="4" t="s">
        <v>121</v>
      </c>
    </row>
    <row r="238" spans="1:14" ht="75" customHeight="1" thickTop="1" thickBot="1">
      <c r="A238" s="26"/>
      <c r="B238" s="55"/>
      <c r="C238" s="56" t="str">
        <f ca="1">IFERROR(__xludf.DUMMYFUNCTION("""COMPUTED_VALUE"""),"الحر")</f>
        <v>الحر</v>
      </c>
      <c r="D238" s="56"/>
      <c r="E238" s="26"/>
      <c r="F238" s="26"/>
      <c r="G238" s="26"/>
      <c r="H238" s="26"/>
      <c r="I238" s="26"/>
      <c r="J238" s="26"/>
      <c r="K238" s="26"/>
      <c r="L238" s="55"/>
      <c r="M238" s="26"/>
      <c r="N238" s="4" t="s">
        <v>121</v>
      </c>
    </row>
    <row r="239" spans="1:14" ht="75" customHeight="1" thickTop="1" thickBot="1">
      <c r="A239" s="34"/>
      <c r="B239" s="55"/>
      <c r="C239" s="56" t="str">
        <f ca="1">IFERROR(__xludf.DUMMYFUNCTION("""COMPUTED_VALUE"""),"الحر")</f>
        <v>الحر</v>
      </c>
      <c r="D239" s="56"/>
      <c r="E239" s="26"/>
      <c r="F239" s="26"/>
      <c r="G239" s="26"/>
      <c r="H239" s="26"/>
      <c r="I239" s="26"/>
      <c r="J239" s="26"/>
      <c r="K239" s="26"/>
      <c r="L239" s="55"/>
      <c r="M239" s="26"/>
      <c r="N239" s="4" t="s">
        <v>121</v>
      </c>
    </row>
    <row r="240" spans="1:14" ht="75" customHeight="1" thickTop="1" thickBot="1">
      <c r="A240" s="26"/>
      <c r="B240" s="55"/>
      <c r="C240" s="56" t="str">
        <f ca="1">IFERROR(__xludf.DUMMYFUNCTION("""COMPUTED_VALUE"""),"الحر")</f>
        <v>الحر</v>
      </c>
      <c r="D240" s="56"/>
      <c r="E240" s="26"/>
      <c r="F240" s="26"/>
      <c r="G240" s="26"/>
      <c r="H240" s="26"/>
      <c r="I240" s="26"/>
      <c r="J240" s="26"/>
      <c r="K240" s="26"/>
      <c r="L240" s="55"/>
      <c r="M240" s="26"/>
      <c r="N240" s="4" t="s">
        <v>121</v>
      </c>
    </row>
    <row r="241" spans="1:14" ht="75" customHeight="1" thickTop="1" thickBot="1">
      <c r="A241" s="34"/>
      <c r="B241" s="55"/>
      <c r="C241" s="56" t="str">
        <f ca="1">IFERROR(__xludf.DUMMYFUNCTION("""COMPUTED_VALUE"""),"الحر")</f>
        <v>الحر</v>
      </c>
      <c r="D241" s="56"/>
      <c r="E241" s="26"/>
      <c r="F241" s="26"/>
      <c r="G241" s="26"/>
      <c r="H241" s="26"/>
      <c r="I241" s="26"/>
      <c r="J241" s="26"/>
      <c r="K241" s="26"/>
      <c r="L241" s="55"/>
      <c r="M241" s="26"/>
      <c r="N241" s="4"/>
    </row>
    <row r="242" spans="1:14" ht="75" customHeight="1" thickTop="1" thickBot="1">
      <c r="A242" s="26"/>
      <c r="B242" s="55"/>
      <c r="C242" s="56" t="str">
        <f ca="1">IFERROR(__xludf.DUMMYFUNCTION("""COMPUTED_VALUE"""),"الحر")</f>
        <v>الحر</v>
      </c>
      <c r="D242" s="56"/>
      <c r="E242" s="26"/>
      <c r="F242" s="26"/>
      <c r="G242" s="26"/>
      <c r="H242" s="26"/>
      <c r="I242" s="26"/>
      <c r="J242" s="26"/>
      <c r="K242" s="26"/>
      <c r="L242" s="55"/>
      <c r="M242" s="26"/>
      <c r="N242" s="4"/>
    </row>
    <row r="243" spans="1:14" ht="75" customHeight="1" thickTop="1" thickBot="1">
      <c r="A243" s="34"/>
      <c r="B243" s="55"/>
      <c r="C243" s="56" t="str">
        <f ca="1">IFERROR(__xludf.DUMMYFUNCTION("""COMPUTED_VALUE"""),"الحر")</f>
        <v>الحر</v>
      </c>
      <c r="D243" s="56"/>
      <c r="E243" s="26"/>
      <c r="F243" s="26"/>
      <c r="G243" s="26"/>
      <c r="H243" s="26"/>
      <c r="I243" s="26"/>
      <c r="J243" s="26"/>
      <c r="K243" s="26"/>
      <c r="L243" s="55"/>
      <c r="M243" s="26"/>
      <c r="N243" s="4"/>
    </row>
    <row r="244" spans="1:14" ht="75" customHeight="1" thickTop="1" thickBot="1">
      <c r="A244" s="26"/>
      <c r="B244" s="55"/>
      <c r="C244" s="56" t="str">
        <f ca="1">IFERROR(__xludf.DUMMYFUNCTION("""COMPUTED_VALUE"""),"الحر")</f>
        <v>الحر</v>
      </c>
      <c r="D244" s="56"/>
      <c r="E244" s="26"/>
      <c r="F244" s="26"/>
      <c r="G244" s="26"/>
      <c r="H244" s="26"/>
      <c r="I244" s="26"/>
      <c r="J244" s="26"/>
      <c r="K244" s="26"/>
      <c r="L244" s="55"/>
      <c r="M244" s="26"/>
      <c r="N244" s="4"/>
    </row>
    <row r="245" spans="1:14" ht="75" customHeight="1" thickTop="1" thickBot="1">
      <c r="A245" s="34"/>
      <c r="B245" s="55"/>
      <c r="C245" s="56" t="str">
        <f ca="1">IFERROR(__xludf.DUMMYFUNCTION("""COMPUTED_VALUE"""),"الحر")</f>
        <v>الحر</v>
      </c>
      <c r="D245" s="56"/>
      <c r="E245" s="26"/>
      <c r="F245" s="26"/>
      <c r="G245" s="26"/>
      <c r="H245" s="26"/>
      <c r="I245" s="26"/>
      <c r="J245" s="26"/>
      <c r="K245" s="26"/>
      <c r="L245" s="55"/>
      <c r="M245" s="26"/>
      <c r="N245" s="4"/>
    </row>
    <row r="246" spans="1:14" ht="75" customHeight="1" thickTop="1" thickBot="1">
      <c r="A246" s="26"/>
      <c r="B246" s="55"/>
      <c r="C246" s="56" t="str">
        <f ca="1">IFERROR(__xludf.DUMMYFUNCTION("""COMPUTED_VALUE"""),"الحر")</f>
        <v>الحر</v>
      </c>
      <c r="D246" s="56"/>
      <c r="E246" s="26"/>
      <c r="F246" s="26"/>
      <c r="G246" s="26"/>
      <c r="H246" s="26"/>
      <c r="I246" s="26"/>
      <c r="J246" s="26"/>
      <c r="K246" s="26"/>
      <c r="L246" s="55"/>
      <c r="M246" s="26"/>
      <c r="N246" s="4"/>
    </row>
    <row r="247" spans="1:14" ht="75" customHeight="1" thickTop="1" thickBot="1">
      <c r="A247" s="34"/>
      <c r="B247" s="55"/>
      <c r="C247" s="56" t="str">
        <f ca="1">IFERROR(__xludf.DUMMYFUNCTION("""COMPUTED_VALUE"""),"الحر")</f>
        <v>الحر</v>
      </c>
      <c r="D247" s="56"/>
      <c r="E247" s="26"/>
      <c r="F247" s="26"/>
      <c r="G247" s="26"/>
      <c r="H247" s="26"/>
      <c r="I247" s="26"/>
      <c r="J247" s="26"/>
      <c r="K247" s="26"/>
      <c r="L247" s="55"/>
      <c r="M247" s="26"/>
      <c r="N247" s="4"/>
    </row>
    <row r="248" spans="1:14" ht="75" customHeight="1" thickTop="1" thickBot="1">
      <c r="A248" s="26"/>
      <c r="B248" s="55"/>
      <c r="C248" s="56" t="str">
        <f ca="1">IFERROR(__xludf.DUMMYFUNCTION("""COMPUTED_VALUE"""),"الحر")</f>
        <v>الحر</v>
      </c>
      <c r="D248" s="56"/>
      <c r="E248" s="26"/>
      <c r="F248" s="26"/>
      <c r="G248" s="26"/>
      <c r="H248" s="26"/>
      <c r="I248" s="26"/>
      <c r="J248" s="26"/>
      <c r="K248" s="26"/>
      <c r="L248" s="55"/>
      <c r="M248" s="26"/>
      <c r="N248" s="4"/>
    </row>
    <row r="249" spans="1:14" ht="75" customHeight="1" thickTop="1" thickBot="1">
      <c r="A249" s="34"/>
      <c r="B249" s="55"/>
      <c r="C249" s="56" t="str">
        <f ca="1">IFERROR(__xludf.DUMMYFUNCTION("""COMPUTED_VALUE"""),"الحر")</f>
        <v>الحر</v>
      </c>
      <c r="D249" s="56"/>
      <c r="E249" s="26"/>
      <c r="F249" s="26"/>
      <c r="G249" s="26"/>
      <c r="H249" s="26"/>
      <c r="I249" s="26"/>
      <c r="J249" s="26"/>
      <c r="K249" s="26"/>
      <c r="L249" s="55"/>
      <c r="M249" s="26"/>
      <c r="N249" s="4"/>
    </row>
    <row r="250" spans="1:14" ht="75" customHeight="1" thickTop="1" thickBot="1">
      <c r="A250" s="26"/>
      <c r="B250" s="55"/>
      <c r="C250" s="56" t="str">
        <f ca="1">IFERROR(__xludf.DUMMYFUNCTION("""COMPUTED_VALUE"""),"الحر")</f>
        <v>الحر</v>
      </c>
      <c r="D250" s="56"/>
      <c r="E250" s="26"/>
      <c r="F250" s="26"/>
      <c r="G250" s="26"/>
      <c r="H250" s="26"/>
      <c r="I250" s="26"/>
      <c r="J250" s="26"/>
      <c r="K250" s="26"/>
      <c r="L250" s="55"/>
      <c r="M250" s="26"/>
      <c r="N250" s="4"/>
    </row>
    <row r="251" spans="1:14" ht="75" customHeight="1" thickTop="1" thickBot="1">
      <c r="A251" s="34"/>
      <c r="B251" s="55"/>
      <c r="C251" s="56" t="str">
        <f ca="1">IFERROR(__xludf.DUMMYFUNCTION("""COMPUTED_VALUE"""),"الحر")</f>
        <v>الحر</v>
      </c>
      <c r="D251" s="56"/>
      <c r="E251" s="26"/>
      <c r="F251" s="26"/>
      <c r="G251" s="26"/>
      <c r="H251" s="26"/>
      <c r="I251" s="26"/>
      <c r="J251" s="26"/>
      <c r="K251" s="26"/>
      <c r="L251" s="55"/>
      <c r="M251" s="26"/>
      <c r="N251" s="4"/>
    </row>
    <row r="252" spans="1:14" ht="75" customHeight="1" thickTop="1" thickBot="1">
      <c r="A252" s="26"/>
      <c r="B252" s="55"/>
      <c r="C252" s="56" t="str">
        <f ca="1">IFERROR(__xludf.DUMMYFUNCTION("""COMPUTED_VALUE"""),"الحر")</f>
        <v>الحر</v>
      </c>
      <c r="D252" s="56"/>
      <c r="E252" s="26"/>
      <c r="F252" s="26"/>
      <c r="G252" s="26"/>
      <c r="H252" s="26"/>
      <c r="I252" s="26"/>
      <c r="J252" s="26"/>
      <c r="K252" s="26"/>
      <c r="L252" s="55"/>
      <c r="M252" s="26"/>
      <c r="N252" s="4"/>
    </row>
    <row r="253" spans="1:14" ht="75" customHeight="1" thickTop="1" thickBot="1">
      <c r="A253" s="34"/>
      <c r="B253" s="55"/>
      <c r="C253" s="56" t="str">
        <f ca="1">IFERROR(__xludf.DUMMYFUNCTION("""COMPUTED_VALUE"""),"الحر")</f>
        <v>الحر</v>
      </c>
      <c r="D253" s="56"/>
      <c r="E253" s="26"/>
      <c r="F253" s="26"/>
      <c r="G253" s="26"/>
      <c r="H253" s="26"/>
      <c r="I253" s="26"/>
      <c r="J253" s="26"/>
      <c r="K253" s="26"/>
      <c r="L253" s="55"/>
      <c r="M253" s="26"/>
      <c r="N253" s="4"/>
    </row>
    <row r="254" spans="1:14" ht="75" customHeight="1" thickTop="1" thickBot="1">
      <c r="A254" s="26"/>
      <c r="B254" s="55"/>
      <c r="C254" s="56" t="str">
        <f ca="1">IFERROR(__xludf.DUMMYFUNCTION("""COMPUTED_VALUE"""),"الحر")</f>
        <v>الحر</v>
      </c>
      <c r="D254" s="56"/>
      <c r="E254" s="26"/>
      <c r="F254" s="26"/>
      <c r="G254" s="26"/>
      <c r="H254" s="26"/>
      <c r="I254" s="26"/>
      <c r="J254" s="26"/>
      <c r="K254" s="26"/>
      <c r="L254" s="55"/>
      <c r="M254" s="26"/>
      <c r="N254" s="4"/>
    </row>
    <row r="255" spans="1:14" ht="75" customHeight="1" thickTop="1" thickBot="1">
      <c r="A255" s="34"/>
      <c r="B255" s="55"/>
      <c r="C255" s="56" t="str">
        <f ca="1">IFERROR(__xludf.DUMMYFUNCTION("""COMPUTED_VALUE"""),"الحر")</f>
        <v>الحر</v>
      </c>
      <c r="D255" s="56"/>
      <c r="E255" s="26"/>
      <c r="F255" s="26"/>
      <c r="G255" s="26"/>
      <c r="H255" s="26"/>
      <c r="I255" s="26"/>
      <c r="J255" s="26"/>
      <c r="K255" s="26"/>
      <c r="L255" s="55"/>
      <c r="M255" s="26"/>
      <c r="N255" s="4" t="s">
        <v>129</v>
      </c>
    </row>
    <row r="256" spans="1:14" ht="75" customHeight="1" thickTop="1" thickBot="1">
      <c r="A256" s="26"/>
      <c r="B256" s="55"/>
      <c r="C256" s="56" t="str">
        <f ca="1">IFERROR(__xludf.DUMMYFUNCTION("""COMPUTED_VALUE"""),"الحر")</f>
        <v>الحر</v>
      </c>
      <c r="D256" s="56"/>
      <c r="E256" s="26"/>
      <c r="F256" s="26"/>
      <c r="G256" s="26"/>
      <c r="H256" s="26"/>
      <c r="I256" s="26"/>
      <c r="J256" s="26"/>
      <c r="K256" s="26"/>
      <c r="L256" s="55"/>
      <c r="M256" s="26"/>
      <c r="N256" s="4" t="s">
        <v>129</v>
      </c>
    </row>
    <row r="257" spans="1:14" ht="75" customHeight="1" thickTop="1" thickBot="1">
      <c r="A257" s="34"/>
      <c r="B257" s="55"/>
      <c r="C257" s="56" t="str">
        <f ca="1">IFERROR(__xludf.DUMMYFUNCTION("""COMPUTED_VALUE"""),"الحر")</f>
        <v>الحر</v>
      </c>
      <c r="D257" s="56"/>
      <c r="E257" s="26"/>
      <c r="F257" s="26"/>
      <c r="G257" s="26"/>
      <c r="H257" s="26"/>
      <c r="I257" s="26"/>
      <c r="J257" s="26"/>
      <c r="K257" s="26"/>
      <c r="L257" s="55"/>
      <c r="M257" s="26"/>
      <c r="N257" s="4" t="s">
        <v>121</v>
      </c>
    </row>
    <row r="258" spans="1:14" ht="75" customHeight="1" thickTop="1" thickBot="1">
      <c r="A258" s="26"/>
      <c r="B258" s="55"/>
      <c r="C258" s="56" t="str">
        <f ca="1">IFERROR(__xludf.DUMMYFUNCTION("""COMPUTED_VALUE"""),"الحر")</f>
        <v>الحر</v>
      </c>
      <c r="D258" s="56"/>
      <c r="E258" s="26"/>
      <c r="F258" s="26"/>
      <c r="G258" s="26"/>
      <c r="H258" s="26"/>
      <c r="I258" s="26"/>
      <c r="J258" s="26"/>
      <c r="K258" s="26"/>
      <c r="L258" s="55"/>
      <c r="M258" s="26"/>
      <c r="N258" s="4" t="s">
        <v>121</v>
      </c>
    </row>
    <row r="259" spans="1:14" ht="75" customHeight="1" thickTop="1" thickBot="1">
      <c r="A259" s="34"/>
      <c r="B259" s="55"/>
      <c r="C259" s="56" t="str">
        <f ca="1">IFERROR(__xludf.DUMMYFUNCTION("""COMPUTED_VALUE"""),"الحر")</f>
        <v>الحر</v>
      </c>
      <c r="D259" s="56"/>
      <c r="E259" s="26"/>
      <c r="F259" s="26"/>
      <c r="G259" s="26"/>
      <c r="H259" s="26"/>
      <c r="I259" s="26"/>
      <c r="J259" s="26"/>
      <c r="K259" s="26"/>
      <c r="L259" s="55"/>
      <c r="M259" s="26"/>
      <c r="N259" s="4" t="s">
        <v>121</v>
      </c>
    </row>
    <row r="260" spans="1:14" ht="75" customHeight="1" thickTop="1" thickBot="1">
      <c r="A260" s="26"/>
      <c r="B260" s="55"/>
      <c r="C260" s="56" t="str">
        <f ca="1">IFERROR(__xludf.DUMMYFUNCTION("""COMPUTED_VALUE"""),"الحر")</f>
        <v>الحر</v>
      </c>
      <c r="D260" s="56"/>
      <c r="E260" s="26"/>
      <c r="F260" s="26"/>
      <c r="G260" s="26"/>
      <c r="H260" s="26"/>
      <c r="I260" s="26"/>
      <c r="J260" s="26"/>
      <c r="K260" s="26"/>
      <c r="L260" s="55"/>
      <c r="M260" s="26"/>
      <c r="N260" s="4" t="s">
        <v>121</v>
      </c>
    </row>
    <row r="261" spans="1:14" ht="75" customHeight="1" thickTop="1" thickBot="1">
      <c r="A261" s="34"/>
      <c r="B261" s="55"/>
      <c r="C261" s="56" t="str">
        <f ca="1">IFERROR(__xludf.DUMMYFUNCTION("""COMPUTED_VALUE"""),"الحر")</f>
        <v>الحر</v>
      </c>
      <c r="D261" s="56"/>
      <c r="E261" s="26"/>
      <c r="F261" s="26"/>
      <c r="G261" s="26"/>
      <c r="H261" s="26"/>
      <c r="I261" s="26"/>
      <c r="J261" s="26"/>
      <c r="K261" s="26"/>
      <c r="L261" s="55"/>
      <c r="M261" s="26"/>
      <c r="N261" s="4" t="s">
        <v>121</v>
      </c>
    </row>
    <row r="262" spans="1:14" ht="75" customHeight="1" thickTop="1" thickBot="1">
      <c r="A262" s="26"/>
      <c r="B262" s="55"/>
      <c r="C262" s="56" t="str">
        <f ca="1">IFERROR(__xludf.DUMMYFUNCTION("""COMPUTED_VALUE"""),"الحر")</f>
        <v>الحر</v>
      </c>
      <c r="D262" s="56"/>
      <c r="E262" s="26"/>
      <c r="F262" s="26"/>
      <c r="G262" s="26"/>
      <c r="H262" s="26"/>
      <c r="I262" s="26"/>
      <c r="J262" s="26"/>
      <c r="K262" s="26"/>
      <c r="L262" s="55"/>
      <c r="M262" s="26"/>
      <c r="N262" s="4" t="s">
        <v>121</v>
      </c>
    </row>
    <row r="263" spans="1:14" ht="75" customHeight="1" thickTop="1" thickBot="1">
      <c r="A263" s="34"/>
      <c r="B263" s="55"/>
      <c r="C263" s="56" t="str">
        <f ca="1">IFERROR(__xludf.DUMMYFUNCTION("""COMPUTED_VALUE"""),"الحر")</f>
        <v>الحر</v>
      </c>
      <c r="D263" s="56"/>
      <c r="E263" s="26"/>
      <c r="F263" s="26"/>
      <c r="G263" s="26"/>
      <c r="H263" s="26"/>
      <c r="I263" s="26"/>
      <c r="J263" s="26"/>
      <c r="K263" s="26"/>
      <c r="L263" s="55"/>
      <c r="M263" s="26"/>
      <c r="N263" s="4" t="s">
        <v>121</v>
      </c>
    </row>
    <row r="264" spans="1:14" ht="75" customHeight="1" thickTop="1" thickBot="1">
      <c r="A264" s="26"/>
      <c r="B264" s="55"/>
      <c r="C264" s="56" t="str">
        <f ca="1">IFERROR(__xludf.DUMMYFUNCTION("""COMPUTED_VALUE"""),"الحر")</f>
        <v>الحر</v>
      </c>
      <c r="D264" s="56"/>
      <c r="E264" s="26"/>
      <c r="F264" s="26"/>
      <c r="G264" s="26"/>
      <c r="H264" s="26"/>
      <c r="I264" s="26"/>
      <c r="J264" s="26"/>
      <c r="K264" s="26"/>
      <c r="L264" s="55"/>
      <c r="M264" s="26"/>
      <c r="N264" s="4" t="s">
        <v>121</v>
      </c>
    </row>
    <row r="265" spans="1:14" ht="75" customHeight="1" thickTop="1" thickBot="1">
      <c r="A265" s="34"/>
      <c r="B265" s="55"/>
      <c r="C265" s="56" t="str">
        <f ca="1">IFERROR(__xludf.DUMMYFUNCTION("""COMPUTED_VALUE"""),"الحر")</f>
        <v>الحر</v>
      </c>
      <c r="D265" s="56"/>
      <c r="E265" s="26"/>
      <c r="F265" s="26"/>
      <c r="G265" s="26"/>
      <c r="H265" s="26"/>
      <c r="I265" s="26"/>
      <c r="J265" s="26"/>
      <c r="K265" s="26"/>
      <c r="L265" s="55"/>
      <c r="M265" s="26"/>
      <c r="N265" s="4" t="s">
        <v>121</v>
      </c>
    </row>
    <row r="266" spans="1:14" ht="75" customHeight="1" thickTop="1" thickBot="1">
      <c r="A266" s="26"/>
      <c r="B266" s="55"/>
      <c r="C266" s="56" t="str">
        <f ca="1">IFERROR(__xludf.DUMMYFUNCTION("""COMPUTED_VALUE"""),"الحر")</f>
        <v>الحر</v>
      </c>
      <c r="D266" s="56"/>
      <c r="E266" s="26"/>
      <c r="F266" s="26"/>
      <c r="G266" s="26"/>
      <c r="H266" s="26"/>
      <c r="I266" s="26"/>
      <c r="J266" s="26"/>
      <c r="K266" s="26"/>
      <c r="L266" s="55"/>
      <c r="M266" s="26"/>
      <c r="N266" s="4" t="s">
        <v>121</v>
      </c>
    </row>
    <row r="267" spans="1:14" ht="75" customHeight="1" thickTop="1" thickBot="1">
      <c r="A267" s="34"/>
      <c r="B267" s="55"/>
      <c r="C267" s="56" t="str">
        <f ca="1">IFERROR(__xludf.DUMMYFUNCTION("""COMPUTED_VALUE"""),"الحر")</f>
        <v>الحر</v>
      </c>
      <c r="D267" s="56"/>
      <c r="E267" s="26"/>
      <c r="F267" s="26"/>
      <c r="G267" s="26"/>
      <c r="H267" s="26"/>
      <c r="I267" s="26"/>
      <c r="J267" s="26"/>
      <c r="K267" s="26"/>
      <c r="L267" s="55"/>
      <c r="M267" s="26"/>
      <c r="N267" s="4" t="s">
        <v>121</v>
      </c>
    </row>
    <row r="268" spans="1:14" ht="75" customHeight="1" thickTop="1" thickBot="1">
      <c r="A268" s="26"/>
      <c r="B268" s="55"/>
      <c r="C268" s="56" t="str">
        <f ca="1">IFERROR(__xludf.DUMMYFUNCTION("""COMPUTED_VALUE"""),"الحر")</f>
        <v>الحر</v>
      </c>
      <c r="D268" s="56"/>
      <c r="E268" s="26"/>
      <c r="F268" s="26"/>
      <c r="G268" s="26"/>
      <c r="H268" s="26"/>
      <c r="I268" s="26"/>
      <c r="J268" s="26"/>
      <c r="K268" s="26"/>
      <c r="L268" s="55"/>
      <c r="M268" s="26"/>
      <c r="N268" s="4" t="s">
        <v>121</v>
      </c>
    </row>
    <row r="269" spans="1:14" ht="75" customHeight="1" thickTop="1" thickBot="1">
      <c r="A269" s="34"/>
      <c r="B269" s="55"/>
      <c r="C269" s="56" t="str">
        <f ca="1">IFERROR(__xludf.DUMMYFUNCTION("""COMPUTED_VALUE"""),"الحر")</f>
        <v>الحر</v>
      </c>
      <c r="D269" s="56"/>
      <c r="E269" s="26"/>
      <c r="F269" s="26"/>
      <c r="G269" s="26"/>
      <c r="H269" s="26"/>
      <c r="I269" s="26"/>
      <c r="J269" s="26"/>
      <c r="K269" s="26"/>
      <c r="L269" s="55"/>
      <c r="M269" s="26"/>
      <c r="N269" s="4" t="s">
        <v>121</v>
      </c>
    </row>
    <row r="270" spans="1:14" ht="75" customHeight="1" thickTop="1" thickBot="1">
      <c r="A270" s="26"/>
      <c r="B270" s="55"/>
      <c r="C270" s="56" t="str">
        <f ca="1">IFERROR(__xludf.DUMMYFUNCTION("""COMPUTED_VALUE"""),"الحر")</f>
        <v>الحر</v>
      </c>
      <c r="D270" s="56"/>
      <c r="E270" s="26"/>
      <c r="F270" s="26"/>
      <c r="G270" s="26"/>
      <c r="H270" s="26"/>
      <c r="I270" s="26"/>
      <c r="J270" s="26"/>
      <c r="K270" s="26"/>
      <c r="L270" s="55"/>
      <c r="M270" s="26"/>
      <c r="N270" s="4" t="s">
        <v>124</v>
      </c>
    </row>
    <row r="271" spans="1:14" ht="75" customHeight="1" thickTop="1" thickBot="1">
      <c r="A271" s="34"/>
      <c r="B271" s="55"/>
      <c r="C271" s="56" t="str">
        <f ca="1">IFERROR(__xludf.DUMMYFUNCTION("""COMPUTED_VALUE"""),"الحر")</f>
        <v>الحر</v>
      </c>
      <c r="D271" s="56"/>
      <c r="E271" s="26"/>
      <c r="F271" s="26"/>
      <c r="G271" s="26"/>
      <c r="H271" s="26"/>
      <c r="I271" s="26"/>
      <c r="J271" s="26"/>
      <c r="K271" s="26"/>
      <c r="L271" s="55"/>
      <c r="M271" s="26"/>
      <c r="N271" s="4" t="s">
        <v>121</v>
      </c>
    </row>
    <row r="272" spans="1:14" ht="75" customHeight="1" thickTop="1" thickBot="1">
      <c r="A272" s="26"/>
      <c r="B272" s="55"/>
      <c r="C272" s="56" t="str">
        <f ca="1">IFERROR(__xludf.DUMMYFUNCTION("""COMPUTED_VALUE"""),"الحر")</f>
        <v>الحر</v>
      </c>
      <c r="D272" s="56"/>
      <c r="E272" s="26"/>
      <c r="F272" s="26"/>
      <c r="G272" s="26"/>
      <c r="H272" s="26"/>
      <c r="I272" s="26"/>
      <c r="J272" s="26"/>
      <c r="K272" s="26"/>
      <c r="L272" s="55"/>
      <c r="M272" s="26"/>
      <c r="N272" s="4" t="s">
        <v>121</v>
      </c>
    </row>
    <row r="273" spans="1:14" ht="75" customHeight="1" thickTop="1" thickBot="1">
      <c r="A273" s="34"/>
      <c r="B273" s="55"/>
      <c r="C273" s="56" t="str">
        <f ca="1">IFERROR(__xludf.DUMMYFUNCTION("""COMPUTED_VALUE"""),"الحر")</f>
        <v>الحر</v>
      </c>
      <c r="D273" s="56"/>
      <c r="E273" s="26"/>
      <c r="F273" s="26"/>
      <c r="G273" s="26"/>
      <c r="H273" s="26"/>
      <c r="I273" s="26"/>
      <c r="J273" s="26"/>
      <c r="K273" s="26"/>
      <c r="L273" s="55"/>
      <c r="M273" s="26"/>
      <c r="N273" s="4" t="s">
        <v>121</v>
      </c>
    </row>
    <row r="274" spans="1:14" ht="75" customHeight="1" thickTop="1" thickBot="1">
      <c r="A274" s="26"/>
      <c r="B274" s="55"/>
      <c r="C274" s="56" t="str">
        <f ca="1">IFERROR(__xludf.DUMMYFUNCTION("""COMPUTED_VALUE"""),"الحر")</f>
        <v>الحر</v>
      </c>
      <c r="D274" s="56"/>
      <c r="E274" s="26"/>
      <c r="F274" s="26"/>
      <c r="G274" s="26"/>
      <c r="H274" s="26"/>
      <c r="I274" s="26"/>
      <c r="J274" s="26"/>
      <c r="K274" s="26"/>
      <c r="L274" s="55"/>
      <c r="M274" s="26"/>
      <c r="N274" s="4" t="s">
        <v>121</v>
      </c>
    </row>
    <row r="275" spans="1:14" ht="75" customHeight="1" thickTop="1" thickBot="1">
      <c r="A275" s="34"/>
      <c r="B275" s="55"/>
      <c r="C275" s="56" t="str">
        <f ca="1">IFERROR(__xludf.DUMMYFUNCTION("""COMPUTED_VALUE"""),"الحر")</f>
        <v>الحر</v>
      </c>
      <c r="D275" s="56"/>
      <c r="E275" s="26"/>
      <c r="F275" s="26"/>
      <c r="G275" s="26"/>
      <c r="H275" s="26"/>
      <c r="I275" s="26"/>
      <c r="J275" s="26"/>
      <c r="K275" s="26"/>
      <c r="L275" s="55"/>
      <c r="M275" s="26"/>
      <c r="N275" s="4" t="s">
        <v>121</v>
      </c>
    </row>
    <row r="276" spans="1:14" ht="75" customHeight="1" thickTop="1" thickBot="1">
      <c r="A276" s="26"/>
      <c r="B276" s="55"/>
      <c r="C276" s="56" t="str">
        <f ca="1">IFERROR(__xludf.DUMMYFUNCTION("""COMPUTED_VALUE"""),"الحر")</f>
        <v>الحر</v>
      </c>
      <c r="D276" s="56"/>
      <c r="E276" s="26"/>
      <c r="F276" s="26"/>
      <c r="G276" s="26"/>
      <c r="H276" s="26"/>
      <c r="I276" s="26"/>
      <c r="J276" s="26"/>
      <c r="K276" s="26"/>
      <c r="L276" s="55"/>
      <c r="M276" s="26"/>
      <c r="N276" s="4" t="s">
        <v>121</v>
      </c>
    </row>
    <row r="277" spans="1:14" ht="75" customHeight="1" thickTop="1" thickBot="1">
      <c r="A277" s="34"/>
      <c r="B277" s="55"/>
      <c r="C277" s="56" t="str">
        <f ca="1">IFERROR(__xludf.DUMMYFUNCTION("""COMPUTED_VALUE"""),"الحر")</f>
        <v>الحر</v>
      </c>
      <c r="D277" s="56"/>
      <c r="E277" s="26"/>
      <c r="F277" s="26"/>
      <c r="G277" s="26"/>
      <c r="H277" s="26"/>
      <c r="I277" s="26"/>
      <c r="J277" s="26"/>
      <c r="K277" s="26"/>
      <c r="L277" s="55"/>
      <c r="M277" s="26"/>
      <c r="N277" s="4" t="s">
        <v>121</v>
      </c>
    </row>
    <row r="278" spans="1:14" ht="75" customHeight="1" thickTop="1" thickBot="1">
      <c r="A278" s="26"/>
      <c r="B278" s="55"/>
      <c r="C278" s="56" t="str">
        <f ca="1">IFERROR(__xludf.DUMMYFUNCTION("""COMPUTED_VALUE"""),"الحر")</f>
        <v>الحر</v>
      </c>
      <c r="D278" s="56"/>
      <c r="E278" s="26"/>
      <c r="F278" s="26"/>
      <c r="G278" s="26"/>
      <c r="H278" s="26"/>
      <c r="I278" s="26"/>
      <c r="J278" s="26"/>
      <c r="K278" s="26"/>
      <c r="L278" s="55"/>
      <c r="M278" s="26"/>
      <c r="N278" s="4" t="s">
        <v>121</v>
      </c>
    </row>
    <row r="279" spans="1:14" ht="75" customHeight="1" thickTop="1" thickBot="1">
      <c r="A279" s="34"/>
      <c r="B279" s="55"/>
      <c r="C279" s="56" t="str">
        <f ca="1">IFERROR(__xludf.DUMMYFUNCTION("""COMPUTED_VALUE"""),"الحر")</f>
        <v>الحر</v>
      </c>
      <c r="D279" s="56"/>
      <c r="E279" s="26"/>
      <c r="F279" s="26"/>
      <c r="G279" s="26"/>
      <c r="H279" s="26"/>
      <c r="I279" s="26"/>
      <c r="J279" s="26"/>
      <c r="K279" s="26"/>
      <c r="L279" s="55"/>
      <c r="M279" s="26"/>
      <c r="N279" s="4" t="s">
        <v>121</v>
      </c>
    </row>
    <row r="280" spans="1:14" ht="75" customHeight="1" thickTop="1" thickBot="1">
      <c r="A280" s="26"/>
      <c r="B280" s="55"/>
      <c r="C280" s="56" t="str">
        <f ca="1">IFERROR(__xludf.DUMMYFUNCTION("""COMPUTED_VALUE"""),"الحر")</f>
        <v>الحر</v>
      </c>
      <c r="D280" s="56"/>
      <c r="E280" s="26"/>
      <c r="F280" s="26"/>
      <c r="G280" s="26"/>
      <c r="H280" s="26"/>
      <c r="I280" s="26"/>
      <c r="J280" s="26"/>
      <c r="K280" s="26"/>
      <c r="L280" s="55"/>
      <c r="M280" s="26"/>
      <c r="N280" s="4" t="s">
        <v>121</v>
      </c>
    </row>
    <row r="281" spans="1:14" ht="75" customHeight="1" thickTop="1" thickBot="1">
      <c r="A281" s="34"/>
      <c r="B281" s="55"/>
      <c r="C281" s="56" t="str">
        <f ca="1">IFERROR(__xludf.DUMMYFUNCTION("""COMPUTED_VALUE"""),"الحر")</f>
        <v>الحر</v>
      </c>
      <c r="D281" s="56"/>
      <c r="E281" s="26"/>
      <c r="F281" s="26"/>
      <c r="G281" s="26"/>
      <c r="H281" s="26"/>
      <c r="I281" s="26"/>
      <c r="J281" s="26"/>
      <c r="K281" s="26"/>
      <c r="L281" s="55"/>
      <c r="M281" s="26"/>
      <c r="N281" s="4" t="s">
        <v>121</v>
      </c>
    </row>
    <row r="282" spans="1:14" ht="75" customHeight="1" thickTop="1" thickBot="1">
      <c r="A282" s="26"/>
      <c r="B282" s="55"/>
      <c r="C282" s="56" t="str">
        <f ca="1">IFERROR(__xludf.DUMMYFUNCTION("""COMPUTED_VALUE"""),"الحر")</f>
        <v>الحر</v>
      </c>
      <c r="D282" s="56"/>
      <c r="E282" s="26"/>
      <c r="F282" s="26"/>
      <c r="G282" s="26"/>
      <c r="H282" s="26"/>
      <c r="I282" s="26"/>
      <c r="J282" s="26"/>
      <c r="K282" s="26"/>
      <c r="L282" s="55"/>
      <c r="M282" s="26"/>
      <c r="N282" s="4" t="s">
        <v>121</v>
      </c>
    </row>
    <row r="283" spans="1:14" ht="75" customHeight="1" thickTop="1" thickBot="1">
      <c r="A283" s="34"/>
      <c r="B283" s="55"/>
      <c r="C283" s="56" t="str">
        <f ca="1">IFERROR(__xludf.DUMMYFUNCTION("""COMPUTED_VALUE"""),"الحر")</f>
        <v>الحر</v>
      </c>
      <c r="D283" s="56"/>
      <c r="E283" s="26"/>
      <c r="F283" s="26"/>
      <c r="G283" s="26"/>
      <c r="H283" s="26"/>
      <c r="I283" s="26"/>
      <c r="J283" s="26"/>
      <c r="K283" s="26"/>
      <c r="L283" s="55"/>
      <c r="M283" s="26"/>
      <c r="N283" s="4" t="s">
        <v>121</v>
      </c>
    </row>
    <row r="284" spans="1:14" ht="75" customHeight="1" thickTop="1" thickBot="1">
      <c r="A284" s="26"/>
      <c r="B284" s="55"/>
      <c r="C284" s="56" t="str">
        <f ca="1">IFERROR(__xludf.DUMMYFUNCTION("""COMPUTED_VALUE"""),"الحر")</f>
        <v>الحر</v>
      </c>
      <c r="D284" s="56"/>
      <c r="E284" s="26"/>
      <c r="F284" s="26"/>
      <c r="G284" s="26"/>
      <c r="H284" s="26"/>
      <c r="I284" s="26"/>
      <c r="J284" s="26"/>
      <c r="K284" s="26"/>
      <c r="L284" s="55"/>
      <c r="M284" s="26"/>
      <c r="N284" s="4" t="s">
        <v>121</v>
      </c>
    </row>
    <row r="285" spans="1:14" ht="75" customHeight="1" thickTop="1" thickBot="1">
      <c r="A285" s="34"/>
      <c r="B285" s="55"/>
      <c r="C285" s="56" t="str">
        <f ca="1">IFERROR(__xludf.DUMMYFUNCTION("""COMPUTED_VALUE"""),"الحر")</f>
        <v>الحر</v>
      </c>
      <c r="D285" s="56"/>
      <c r="E285" s="26"/>
      <c r="F285" s="26"/>
      <c r="G285" s="26"/>
      <c r="H285" s="26"/>
      <c r="I285" s="26"/>
      <c r="J285" s="26"/>
      <c r="K285" s="26"/>
      <c r="L285" s="55"/>
      <c r="M285" s="26"/>
      <c r="N285" s="4" t="s">
        <v>121</v>
      </c>
    </row>
    <row r="286" spans="1:14" ht="75" customHeight="1" thickTop="1" thickBot="1">
      <c r="A286" s="26"/>
      <c r="B286" s="55"/>
      <c r="C286" s="56" t="str">
        <f ca="1">IFERROR(__xludf.DUMMYFUNCTION("""COMPUTED_VALUE"""),"الحر")</f>
        <v>الحر</v>
      </c>
      <c r="D286" s="56"/>
      <c r="E286" s="26"/>
      <c r="F286" s="26"/>
      <c r="G286" s="26"/>
      <c r="H286" s="26"/>
      <c r="I286" s="26"/>
      <c r="J286" s="26"/>
      <c r="K286" s="26"/>
      <c r="L286" s="55"/>
      <c r="M286" s="26"/>
      <c r="N286" s="4" t="s">
        <v>121</v>
      </c>
    </row>
    <row r="287" spans="1:14" ht="75" customHeight="1" thickTop="1" thickBot="1">
      <c r="A287" s="34"/>
      <c r="B287" s="55"/>
      <c r="C287" s="56" t="str">
        <f ca="1">IFERROR(__xludf.DUMMYFUNCTION("""COMPUTED_VALUE"""),"الحر")</f>
        <v>الحر</v>
      </c>
      <c r="D287" s="56"/>
      <c r="E287" s="26"/>
      <c r="F287" s="26"/>
      <c r="G287" s="26"/>
      <c r="H287" s="26"/>
      <c r="I287" s="26"/>
      <c r="J287" s="26"/>
      <c r="K287" s="26"/>
      <c r="L287" s="55"/>
      <c r="M287" s="26"/>
      <c r="N287" s="4" t="s">
        <v>121</v>
      </c>
    </row>
    <row r="288" spans="1:14" ht="75" customHeight="1" thickTop="1" thickBot="1">
      <c r="A288" s="26"/>
      <c r="B288" s="55"/>
      <c r="C288" s="56" t="str">
        <f ca="1">IFERROR(__xludf.DUMMYFUNCTION("""COMPUTED_VALUE"""),"الحر")</f>
        <v>الحر</v>
      </c>
      <c r="D288" s="56"/>
      <c r="E288" s="26"/>
      <c r="F288" s="26"/>
      <c r="G288" s="26"/>
      <c r="H288" s="26"/>
      <c r="I288" s="26"/>
      <c r="J288" s="26"/>
      <c r="K288" s="26"/>
      <c r="L288" s="55"/>
      <c r="M288" s="26"/>
      <c r="N288" s="4" t="s">
        <v>130</v>
      </c>
    </row>
    <row r="289" spans="1:14" ht="75" customHeight="1" thickTop="1" thickBot="1">
      <c r="A289" s="34"/>
      <c r="B289" s="55"/>
      <c r="C289" s="56" t="str">
        <f ca="1">IFERROR(__xludf.DUMMYFUNCTION("""COMPUTED_VALUE"""),"الحر")</f>
        <v>الحر</v>
      </c>
      <c r="D289" s="56"/>
      <c r="E289" s="26"/>
      <c r="F289" s="26"/>
      <c r="G289" s="26"/>
      <c r="H289" s="26"/>
      <c r="I289" s="26"/>
      <c r="J289" s="26"/>
      <c r="K289" s="26"/>
      <c r="L289" s="55"/>
      <c r="M289" s="26"/>
      <c r="N289" s="4" t="s">
        <v>130</v>
      </c>
    </row>
    <row r="290" spans="1:14" ht="75" customHeight="1" thickTop="1" thickBot="1">
      <c r="A290" s="26"/>
      <c r="B290" s="55"/>
      <c r="C290" s="56" t="str">
        <f ca="1">IFERROR(__xludf.DUMMYFUNCTION("""COMPUTED_VALUE"""),"الحر")</f>
        <v>الحر</v>
      </c>
      <c r="D290" s="56"/>
      <c r="E290" s="26"/>
      <c r="F290" s="26"/>
      <c r="G290" s="26"/>
      <c r="H290" s="26"/>
      <c r="I290" s="26"/>
      <c r="J290" s="26"/>
      <c r="K290" s="26"/>
      <c r="L290" s="55"/>
      <c r="M290" s="26"/>
      <c r="N290" s="4" t="s">
        <v>121</v>
      </c>
    </row>
    <row r="291" spans="1:14" ht="75" customHeight="1" thickTop="1" thickBot="1">
      <c r="A291" s="34"/>
      <c r="B291" s="55"/>
      <c r="C291" s="56" t="str">
        <f ca="1">IFERROR(__xludf.DUMMYFUNCTION("""COMPUTED_VALUE"""),"الحر")</f>
        <v>الحر</v>
      </c>
      <c r="D291" s="56"/>
      <c r="E291" s="26"/>
      <c r="F291" s="26"/>
      <c r="G291" s="26"/>
      <c r="H291" s="26"/>
      <c r="I291" s="26"/>
      <c r="J291" s="26"/>
      <c r="K291" s="26"/>
      <c r="L291" s="55"/>
      <c r="M291" s="26"/>
      <c r="N291" s="4" t="s">
        <v>121</v>
      </c>
    </row>
    <row r="292" spans="1:14" ht="75" customHeight="1" thickTop="1" thickBot="1">
      <c r="A292" s="26"/>
      <c r="B292" s="55"/>
      <c r="C292" s="56" t="str">
        <f ca="1">IFERROR(__xludf.DUMMYFUNCTION("""COMPUTED_VALUE"""),"الحر")</f>
        <v>الحر</v>
      </c>
      <c r="D292" s="56"/>
      <c r="E292" s="26"/>
      <c r="F292" s="26"/>
      <c r="G292" s="26"/>
      <c r="H292" s="26"/>
      <c r="I292" s="26"/>
      <c r="J292" s="26"/>
      <c r="K292" s="26"/>
      <c r="L292" s="55"/>
      <c r="M292" s="26"/>
      <c r="N292" s="4" t="s">
        <v>121</v>
      </c>
    </row>
    <row r="293" spans="1:14" ht="75" customHeight="1" thickTop="1" thickBot="1">
      <c r="A293" s="34"/>
      <c r="B293" s="55"/>
      <c r="C293" s="56" t="str">
        <f ca="1">IFERROR(__xludf.DUMMYFUNCTION("""COMPUTED_VALUE"""),"الحر")</f>
        <v>الحر</v>
      </c>
      <c r="D293" s="56"/>
      <c r="E293" s="26"/>
      <c r="F293" s="26"/>
      <c r="G293" s="26"/>
      <c r="H293" s="26"/>
      <c r="I293" s="26"/>
      <c r="J293" s="26"/>
      <c r="K293" s="26"/>
      <c r="L293" s="55"/>
      <c r="M293" s="26"/>
      <c r="N293" s="4" t="s">
        <v>121</v>
      </c>
    </row>
    <row r="294" spans="1:14" ht="75" customHeight="1" thickTop="1" thickBot="1">
      <c r="A294" s="26"/>
      <c r="B294" s="55"/>
      <c r="C294" s="56" t="str">
        <f ca="1">IFERROR(__xludf.DUMMYFUNCTION("""COMPUTED_VALUE"""),"الحر")</f>
        <v>الحر</v>
      </c>
      <c r="D294" s="56"/>
      <c r="E294" s="26"/>
      <c r="F294" s="26"/>
      <c r="G294" s="26"/>
      <c r="H294" s="26"/>
      <c r="I294" s="26"/>
      <c r="J294" s="26"/>
      <c r="K294" s="26"/>
      <c r="L294" s="55"/>
      <c r="M294" s="26"/>
      <c r="N294" s="4" t="s">
        <v>121</v>
      </c>
    </row>
    <row r="295" spans="1:14" ht="75" customHeight="1" thickTop="1" thickBot="1">
      <c r="A295" s="34"/>
      <c r="B295" s="55"/>
      <c r="C295" s="56" t="str">
        <f ca="1">IFERROR(__xludf.DUMMYFUNCTION("""COMPUTED_VALUE"""),"الحر")</f>
        <v>الحر</v>
      </c>
      <c r="D295" s="56"/>
      <c r="E295" s="26"/>
      <c r="F295" s="26"/>
      <c r="G295" s="26"/>
      <c r="H295" s="26"/>
      <c r="I295" s="26"/>
      <c r="J295" s="26"/>
      <c r="K295" s="26"/>
      <c r="L295" s="55"/>
      <c r="M295" s="26"/>
      <c r="N295" s="4" t="s">
        <v>121</v>
      </c>
    </row>
    <row r="296" spans="1:14" ht="75" customHeight="1" thickTop="1" thickBot="1">
      <c r="A296" s="26"/>
      <c r="B296" s="55"/>
      <c r="C296" s="56" t="str">
        <f ca="1">IFERROR(__xludf.DUMMYFUNCTION("""COMPUTED_VALUE"""),"الحر")</f>
        <v>الحر</v>
      </c>
      <c r="D296" s="56"/>
      <c r="E296" s="26"/>
      <c r="F296" s="26"/>
      <c r="G296" s="26"/>
      <c r="H296" s="26"/>
      <c r="I296" s="26"/>
      <c r="J296" s="26"/>
      <c r="K296" s="26"/>
      <c r="L296" s="55"/>
      <c r="M296" s="26"/>
      <c r="N296" s="4" t="s">
        <v>121</v>
      </c>
    </row>
    <row r="297" spans="1:14" ht="75" customHeight="1" thickTop="1" thickBot="1">
      <c r="A297" s="34"/>
      <c r="B297" s="55"/>
      <c r="C297" s="56" t="str">
        <f ca="1">IFERROR(__xludf.DUMMYFUNCTION("""COMPUTED_VALUE"""),"الحر")</f>
        <v>الحر</v>
      </c>
      <c r="D297" s="56"/>
      <c r="E297" s="26"/>
      <c r="F297" s="26"/>
      <c r="G297" s="26"/>
      <c r="H297" s="26"/>
      <c r="I297" s="26"/>
      <c r="J297" s="26"/>
      <c r="K297" s="26"/>
      <c r="L297" s="55"/>
      <c r="M297" s="26"/>
      <c r="N297" s="4" t="s">
        <v>121</v>
      </c>
    </row>
    <row r="298" spans="1:14" ht="75" customHeight="1" thickTop="1" thickBot="1">
      <c r="A298" s="26"/>
      <c r="B298" s="55"/>
      <c r="C298" s="56" t="str">
        <f ca="1">IFERROR(__xludf.DUMMYFUNCTION("""COMPUTED_VALUE"""),"الحر")</f>
        <v>الحر</v>
      </c>
      <c r="D298" s="56"/>
      <c r="E298" s="26"/>
      <c r="F298" s="26"/>
      <c r="G298" s="26"/>
      <c r="H298" s="26"/>
      <c r="I298" s="26"/>
      <c r="J298" s="26"/>
      <c r="K298" s="26"/>
      <c r="L298" s="55"/>
      <c r="M298" s="26"/>
      <c r="N298" s="4" t="s">
        <v>121</v>
      </c>
    </row>
    <row r="299" spans="1:14" ht="75" customHeight="1" thickTop="1" thickBot="1">
      <c r="A299" s="34"/>
      <c r="B299" s="55"/>
      <c r="C299" s="56" t="str">
        <f ca="1">IFERROR(__xludf.DUMMYFUNCTION("""COMPUTED_VALUE"""),"الحر")</f>
        <v>الحر</v>
      </c>
      <c r="D299" s="56"/>
      <c r="E299" s="26"/>
      <c r="F299" s="26"/>
      <c r="G299" s="26"/>
      <c r="H299" s="26"/>
      <c r="I299" s="26"/>
      <c r="J299" s="26"/>
      <c r="K299" s="26"/>
      <c r="L299" s="55"/>
      <c r="M299" s="26"/>
      <c r="N299" s="4" t="s">
        <v>121</v>
      </c>
    </row>
    <row r="300" spans="1:14" ht="75" customHeight="1" thickTop="1" thickBot="1">
      <c r="A300" s="26"/>
      <c r="B300" s="55"/>
      <c r="C300" s="56" t="str">
        <f ca="1">IFERROR(__xludf.DUMMYFUNCTION("""COMPUTED_VALUE"""),"الحر")</f>
        <v>الحر</v>
      </c>
      <c r="D300" s="56"/>
      <c r="E300" s="26"/>
      <c r="F300" s="26"/>
      <c r="G300" s="26"/>
      <c r="H300" s="26"/>
      <c r="I300" s="26"/>
      <c r="J300" s="26"/>
      <c r="K300" s="26"/>
      <c r="L300" s="55"/>
      <c r="M300" s="26"/>
      <c r="N300" s="4" t="s">
        <v>121</v>
      </c>
    </row>
    <row r="301" spans="1:14" ht="75" customHeight="1" thickTop="1" thickBot="1">
      <c r="A301" s="34"/>
      <c r="B301" s="55"/>
      <c r="C301" s="56" t="str">
        <f ca="1">IFERROR(__xludf.DUMMYFUNCTION("""COMPUTED_VALUE"""),"الحر")</f>
        <v>الحر</v>
      </c>
      <c r="D301" s="56"/>
      <c r="E301" s="26"/>
      <c r="F301" s="26"/>
      <c r="G301" s="26"/>
      <c r="H301" s="26"/>
      <c r="I301" s="26"/>
      <c r="J301" s="26"/>
      <c r="K301" s="26"/>
      <c r="L301" s="55"/>
      <c r="M301" s="26"/>
      <c r="N301" s="4" t="s">
        <v>121</v>
      </c>
    </row>
    <row r="302" spans="1:14" ht="75" customHeight="1" thickTop="1" thickBot="1">
      <c r="A302" s="26"/>
      <c r="B302" s="55"/>
      <c r="C302" s="56" t="str">
        <f ca="1">IFERROR(__xludf.DUMMYFUNCTION("""COMPUTED_VALUE"""),"الحر")</f>
        <v>الحر</v>
      </c>
      <c r="D302" s="56"/>
      <c r="E302" s="26"/>
      <c r="F302" s="26"/>
      <c r="G302" s="26"/>
      <c r="H302" s="26"/>
      <c r="I302" s="26"/>
      <c r="J302" s="26"/>
      <c r="K302" s="26"/>
      <c r="L302" s="55"/>
      <c r="M302" s="26"/>
      <c r="N302" s="4" t="s">
        <v>121</v>
      </c>
    </row>
    <row r="303" spans="1:14" ht="75" customHeight="1" thickTop="1" thickBot="1">
      <c r="A303" s="34"/>
      <c r="B303" s="55"/>
      <c r="C303" s="56" t="str">
        <f ca="1">IFERROR(__xludf.DUMMYFUNCTION("""COMPUTED_VALUE"""),"الحر")</f>
        <v>الحر</v>
      </c>
      <c r="D303" s="56"/>
      <c r="E303" s="26"/>
      <c r="F303" s="26"/>
      <c r="G303" s="26"/>
      <c r="H303" s="26"/>
      <c r="I303" s="26"/>
      <c r="J303" s="26"/>
      <c r="K303" s="26"/>
      <c r="L303" s="55"/>
      <c r="M303" s="26"/>
      <c r="N303" s="4" t="s">
        <v>121</v>
      </c>
    </row>
    <row r="304" spans="1:14" ht="75" customHeight="1" thickTop="1" thickBot="1">
      <c r="A304" s="26"/>
      <c r="B304" s="55"/>
      <c r="C304" s="56" t="str">
        <f ca="1">IFERROR(__xludf.DUMMYFUNCTION("""COMPUTED_VALUE"""),"الحر")</f>
        <v>الحر</v>
      </c>
      <c r="D304" s="56"/>
      <c r="E304" s="26"/>
      <c r="F304" s="26"/>
      <c r="G304" s="26"/>
      <c r="H304" s="26"/>
      <c r="I304" s="26"/>
      <c r="J304" s="26"/>
      <c r="K304" s="26"/>
      <c r="L304" s="55"/>
      <c r="M304" s="26"/>
      <c r="N304" s="4" t="s">
        <v>121</v>
      </c>
    </row>
    <row r="305" spans="1:14" ht="75" customHeight="1" thickTop="1" thickBot="1">
      <c r="A305" s="34"/>
      <c r="B305" s="55"/>
      <c r="C305" s="56" t="str">
        <f ca="1">IFERROR(__xludf.DUMMYFUNCTION("""COMPUTED_VALUE"""),"الحر")</f>
        <v>الحر</v>
      </c>
      <c r="D305" s="56"/>
      <c r="E305" s="26"/>
      <c r="F305" s="26"/>
      <c r="G305" s="26"/>
      <c r="H305" s="26"/>
      <c r="I305" s="26"/>
      <c r="J305" s="26"/>
      <c r="K305" s="26"/>
      <c r="L305" s="55"/>
      <c r="M305" s="26"/>
      <c r="N305" s="4" t="s">
        <v>121</v>
      </c>
    </row>
    <row r="306" spans="1:14" ht="75" customHeight="1" thickTop="1" thickBot="1">
      <c r="A306" s="26"/>
      <c r="B306" s="55"/>
      <c r="C306" s="56" t="str">
        <f ca="1">IFERROR(__xludf.DUMMYFUNCTION("""COMPUTED_VALUE"""),"الحر")</f>
        <v>الحر</v>
      </c>
      <c r="D306" s="56"/>
      <c r="E306" s="26"/>
      <c r="F306" s="26"/>
      <c r="G306" s="26"/>
      <c r="H306" s="26"/>
      <c r="I306" s="26"/>
      <c r="J306" s="26"/>
      <c r="K306" s="26"/>
      <c r="L306" s="55"/>
      <c r="M306" s="26"/>
      <c r="N306" s="4" t="s">
        <v>121</v>
      </c>
    </row>
    <row r="307" spans="1:14" ht="75" customHeight="1" thickTop="1" thickBot="1">
      <c r="A307" s="34"/>
      <c r="B307" s="55"/>
      <c r="C307" s="56" t="str">
        <f ca="1">IFERROR(__xludf.DUMMYFUNCTION("""COMPUTED_VALUE"""),"الحر")</f>
        <v>الحر</v>
      </c>
      <c r="D307" s="56"/>
      <c r="E307" s="26"/>
      <c r="F307" s="26"/>
      <c r="G307" s="26"/>
      <c r="H307" s="26"/>
      <c r="I307" s="26"/>
      <c r="J307" s="26"/>
      <c r="K307" s="26"/>
      <c r="L307" s="55"/>
      <c r="M307" s="26"/>
      <c r="N307" s="4" t="s">
        <v>121</v>
      </c>
    </row>
    <row r="308" spans="1:14" ht="75" customHeight="1" thickTop="1" thickBot="1">
      <c r="A308" s="26"/>
      <c r="B308" s="55"/>
      <c r="C308" s="56" t="str">
        <f ca="1">IFERROR(__xludf.DUMMYFUNCTION("""COMPUTED_VALUE"""),"الحر")</f>
        <v>الحر</v>
      </c>
      <c r="D308" s="56"/>
      <c r="E308" s="26"/>
      <c r="F308" s="26"/>
      <c r="G308" s="26"/>
      <c r="H308" s="26"/>
      <c r="I308" s="26"/>
      <c r="J308" s="26"/>
      <c r="K308" s="26"/>
      <c r="L308" s="55"/>
      <c r="M308" s="26"/>
      <c r="N308" s="4" t="s">
        <v>121</v>
      </c>
    </row>
    <row r="309" spans="1:14" ht="75" customHeight="1" thickTop="1" thickBot="1">
      <c r="A309" s="34"/>
      <c r="B309" s="55"/>
      <c r="C309" s="56" t="str">
        <f ca="1">IFERROR(__xludf.DUMMYFUNCTION("""COMPUTED_VALUE"""),"الحر")</f>
        <v>الحر</v>
      </c>
      <c r="D309" s="56"/>
      <c r="E309" s="26"/>
      <c r="F309" s="26"/>
      <c r="G309" s="26"/>
      <c r="H309" s="26"/>
      <c r="I309" s="26"/>
      <c r="J309" s="26"/>
      <c r="K309" s="26"/>
      <c r="L309" s="55"/>
      <c r="M309" s="26"/>
      <c r="N309" s="4" t="s">
        <v>121</v>
      </c>
    </row>
    <row r="310" spans="1:14" ht="75" customHeight="1" thickTop="1" thickBot="1">
      <c r="A310" s="26"/>
      <c r="B310" s="55"/>
      <c r="C310" s="56" t="str">
        <f ca="1">IFERROR(__xludf.DUMMYFUNCTION("""COMPUTED_VALUE"""),"الحر")</f>
        <v>الحر</v>
      </c>
      <c r="D310" s="56"/>
      <c r="E310" s="26"/>
      <c r="F310" s="26"/>
      <c r="G310" s="26"/>
      <c r="H310" s="26"/>
      <c r="I310" s="26"/>
      <c r="J310" s="26"/>
      <c r="K310" s="26"/>
      <c r="L310" s="55"/>
      <c r="M310" s="26"/>
      <c r="N310" s="4" t="s">
        <v>121</v>
      </c>
    </row>
    <row r="311" spans="1:14" ht="75" customHeight="1" thickTop="1" thickBot="1">
      <c r="A311" s="34"/>
      <c r="B311" s="55"/>
      <c r="C311" s="56" t="str">
        <f ca="1">IFERROR(__xludf.DUMMYFUNCTION("""COMPUTED_VALUE"""),"الحر")</f>
        <v>الحر</v>
      </c>
      <c r="D311" s="56"/>
      <c r="E311" s="26"/>
      <c r="F311" s="26"/>
      <c r="G311" s="26"/>
      <c r="H311" s="26"/>
      <c r="I311" s="26"/>
      <c r="J311" s="26"/>
      <c r="K311" s="26"/>
      <c r="L311" s="55"/>
      <c r="M311" s="26"/>
      <c r="N311" s="4" t="s">
        <v>121</v>
      </c>
    </row>
    <row r="312" spans="1:14" ht="75" customHeight="1" thickTop="1" thickBot="1">
      <c r="A312" s="26"/>
      <c r="B312" s="55"/>
      <c r="C312" s="56" t="str">
        <f ca="1">IFERROR(__xludf.DUMMYFUNCTION("""COMPUTED_VALUE"""),"الحر")</f>
        <v>الحر</v>
      </c>
      <c r="D312" s="56"/>
      <c r="E312" s="26"/>
      <c r="F312" s="26"/>
      <c r="G312" s="26"/>
      <c r="H312" s="26"/>
      <c r="I312" s="26"/>
      <c r="J312" s="26"/>
      <c r="K312" s="26"/>
      <c r="L312" s="55"/>
      <c r="M312" s="26"/>
      <c r="N312" s="4" t="s">
        <v>121</v>
      </c>
    </row>
    <row r="313" spans="1:14" ht="75" customHeight="1" thickTop="1" thickBot="1">
      <c r="A313" s="34"/>
      <c r="B313" s="55"/>
      <c r="C313" s="56" t="str">
        <f ca="1">IFERROR(__xludf.DUMMYFUNCTION("""COMPUTED_VALUE"""),"الحر")</f>
        <v>الحر</v>
      </c>
      <c r="D313" s="56"/>
      <c r="E313" s="26"/>
      <c r="F313" s="26"/>
      <c r="G313" s="26"/>
      <c r="H313" s="26"/>
      <c r="I313" s="26"/>
      <c r="J313" s="26"/>
      <c r="K313" s="26"/>
      <c r="L313" s="55"/>
      <c r="M313" s="26"/>
      <c r="N313" s="4" t="s">
        <v>121</v>
      </c>
    </row>
    <row r="314" spans="1:14" ht="75" customHeight="1" thickTop="1" thickBot="1">
      <c r="A314" s="26"/>
      <c r="B314" s="55"/>
      <c r="C314" s="56" t="str">
        <f ca="1">IFERROR(__xludf.DUMMYFUNCTION("""COMPUTED_VALUE"""),"الحر")</f>
        <v>الحر</v>
      </c>
      <c r="D314" s="56"/>
      <c r="E314" s="26"/>
      <c r="F314" s="26"/>
      <c r="G314" s="26"/>
      <c r="H314" s="26"/>
      <c r="I314" s="26"/>
      <c r="J314" s="26"/>
      <c r="K314" s="26"/>
      <c r="L314" s="55"/>
      <c r="M314" s="26"/>
      <c r="N314" s="4" t="s">
        <v>121</v>
      </c>
    </row>
    <row r="315" spans="1:14" ht="75" customHeight="1" thickTop="1" thickBot="1">
      <c r="A315" s="34"/>
      <c r="B315" s="55"/>
      <c r="C315" s="56" t="str">
        <f ca="1">IFERROR(__xludf.DUMMYFUNCTION("""COMPUTED_VALUE"""),"الحر")</f>
        <v>الحر</v>
      </c>
      <c r="D315" s="56"/>
      <c r="E315" s="26"/>
      <c r="F315" s="26"/>
      <c r="G315" s="26"/>
      <c r="H315" s="26"/>
      <c r="I315" s="26"/>
      <c r="J315" s="26"/>
      <c r="K315" s="26"/>
      <c r="L315" s="55"/>
      <c r="M315" s="26"/>
      <c r="N315" s="4" t="s">
        <v>121</v>
      </c>
    </row>
    <row r="316" spans="1:14" ht="75" customHeight="1" thickTop="1" thickBot="1">
      <c r="A316" s="26"/>
      <c r="B316" s="55"/>
      <c r="C316" s="56" t="str">
        <f ca="1">IFERROR(__xludf.DUMMYFUNCTION("""COMPUTED_VALUE"""),"الحر")</f>
        <v>الحر</v>
      </c>
      <c r="D316" s="56"/>
      <c r="E316" s="26"/>
      <c r="F316" s="26"/>
      <c r="G316" s="26"/>
      <c r="H316" s="26"/>
      <c r="I316" s="26"/>
      <c r="J316" s="26"/>
      <c r="K316" s="26"/>
      <c r="L316" s="55"/>
      <c r="M316" s="26"/>
      <c r="N316" s="4" t="s">
        <v>121</v>
      </c>
    </row>
    <row r="317" spans="1:14" ht="75" customHeight="1" thickTop="1" thickBot="1">
      <c r="A317" s="34"/>
      <c r="B317" s="55"/>
      <c r="C317" s="56" t="str">
        <f ca="1">IFERROR(__xludf.DUMMYFUNCTION("""COMPUTED_VALUE"""),"الحر")</f>
        <v>الحر</v>
      </c>
      <c r="D317" s="56"/>
      <c r="E317" s="26"/>
      <c r="F317" s="26"/>
      <c r="G317" s="26"/>
      <c r="H317" s="26"/>
      <c r="I317" s="26"/>
      <c r="J317" s="26"/>
      <c r="K317" s="26"/>
      <c r="L317" s="55"/>
      <c r="M317" s="26"/>
      <c r="N317" s="4" t="s">
        <v>121</v>
      </c>
    </row>
    <row r="318" spans="1:14" ht="75" customHeight="1" thickTop="1" thickBot="1">
      <c r="A318" s="26"/>
      <c r="B318" s="55"/>
      <c r="C318" s="56" t="str">
        <f ca="1">IFERROR(__xludf.DUMMYFUNCTION("""COMPUTED_VALUE"""),"الحر")</f>
        <v>الحر</v>
      </c>
      <c r="D318" s="56"/>
      <c r="E318" s="26"/>
      <c r="F318" s="26"/>
      <c r="G318" s="26"/>
      <c r="H318" s="26"/>
      <c r="I318" s="26"/>
      <c r="J318" s="26"/>
      <c r="K318" s="26"/>
      <c r="L318" s="55"/>
      <c r="M318" s="26"/>
      <c r="N318" s="4" t="s">
        <v>121</v>
      </c>
    </row>
    <row r="319" spans="1:14" ht="75" customHeight="1" thickTop="1" thickBot="1">
      <c r="A319" s="34"/>
      <c r="B319" s="55"/>
      <c r="C319" s="56" t="str">
        <f ca="1">IFERROR(__xludf.DUMMYFUNCTION("""COMPUTED_VALUE"""),"الحر")</f>
        <v>الحر</v>
      </c>
      <c r="D319" s="56"/>
      <c r="E319" s="26"/>
      <c r="F319" s="26"/>
      <c r="G319" s="26"/>
      <c r="H319" s="26"/>
      <c r="I319" s="26"/>
      <c r="J319" s="26"/>
      <c r="K319" s="26"/>
      <c r="L319" s="55"/>
      <c r="M319" s="26"/>
      <c r="N319" s="4" t="s">
        <v>121</v>
      </c>
    </row>
    <row r="320" spans="1:14" ht="75" customHeight="1" thickTop="1" thickBot="1">
      <c r="A320" s="26"/>
      <c r="B320" s="55"/>
      <c r="C320" s="56" t="str">
        <f ca="1">IFERROR(__xludf.DUMMYFUNCTION("""COMPUTED_VALUE"""),"الحر")</f>
        <v>الحر</v>
      </c>
      <c r="D320" s="56"/>
      <c r="E320" s="26"/>
      <c r="F320" s="26"/>
      <c r="G320" s="26"/>
      <c r="H320" s="26"/>
      <c r="I320" s="26"/>
      <c r="J320" s="26"/>
      <c r="K320" s="26"/>
      <c r="L320" s="55"/>
      <c r="M320" s="26"/>
      <c r="N320" s="4" t="s">
        <v>121</v>
      </c>
    </row>
    <row r="321" spans="1:14" ht="75" customHeight="1" thickTop="1" thickBot="1">
      <c r="A321" s="34"/>
      <c r="B321" s="55"/>
      <c r="C321" s="56" t="str">
        <f ca="1">IFERROR(__xludf.DUMMYFUNCTION("""COMPUTED_VALUE"""),"الحر")</f>
        <v>الحر</v>
      </c>
      <c r="D321" s="56"/>
      <c r="E321" s="26"/>
      <c r="F321" s="26"/>
      <c r="G321" s="26"/>
      <c r="H321" s="26"/>
      <c r="I321" s="26"/>
      <c r="J321" s="26"/>
      <c r="K321" s="26"/>
      <c r="L321" s="55"/>
      <c r="M321" s="26"/>
      <c r="N321" s="4" t="s">
        <v>121</v>
      </c>
    </row>
    <row r="322" spans="1:14" s="25" customFormat="1" ht="75" customHeight="1" thickTop="1" thickBot="1">
      <c r="A322" s="26"/>
      <c r="B322" s="55"/>
      <c r="C322" s="56" t="str">
        <f ca="1">IFERROR(__xludf.DUMMYFUNCTION("""COMPUTED_VALUE"""),"الحر")</f>
        <v>الحر</v>
      </c>
      <c r="D322" s="56"/>
      <c r="E322" s="26"/>
      <c r="F322" s="26"/>
      <c r="G322" s="26"/>
      <c r="H322" s="26"/>
      <c r="I322" s="26"/>
      <c r="J322" s="26"/>
      <c r="K322" s="26"/>
      <c r="L322" s="55"/>
      <c r="M322" s="26"/>
      <c r="N322" s="4"/>
    </row>
    <row r="323" spans="1:14" ht="75" customHeight="1" thickTop="1" thickBot="1">
      <c r="A323" s="34"/>
      <c r="B323" s="55"/>
      <c r="C323" s="56" t="str">
        <f ca="1">IFERROR(__xludf.DUMMYFUNCTION("""COMPUTED_VALUE"""),"الحر")</f>
        <v>الحر</v>
      </c>
      <c r="D323" s="56"/>
      <c r="E323" s="26"/>
      <c r="F323" s="26"/>
      <c r="G323" s="26"/>
      <c r="H323" s="26"/>
      <c r="I323" s="26"/>
      <c r="J323" s="26"/>
      <c r="K323" s="26"/>
      <c r="L323" s="55"/>
      <c r="M323" s="26"/>
      <c r="N323" s="29"/>
    </row>
    <row r="324" spans="1:14" ht="75" customHeight="1" thickTop="1" thickBot="1">
      <c r="A324" s="26"/>
      <c r="B324" s="55"/>
      <c r="C324" s="56" t="str">
        <f ca="1">IFERROR(__xludf.DUMMYFUNCTION("""COMPUTED_VALUE"""),"الحر")</f>
        <v>الحر</v>
      </c>
      <c r="D324" s="56"/>
      <c r="E324" s="26"/>
      <c r="F324" s="26"/>
      <c r="G324" s="26"/>
      <c r="H324" s="26"/>
      <c r="I324" s="26"/>
      <c r="J324" s="26"/>
      <c r="K324" s="26"/>
      <c r="L324" s="55"/>
      <c r="M324" s="26"/>
      <c r="N324" s="29"/>
    </row>
    <row r="325" spans="1:14" ht="75" customHeight="1" thickTop="1" thickBot="1">
      <c r="A325" s="34"/>
      <c r="B325" s="55"/>
      <c r="C325" s="56" t="str">
        <f ca="1">IFERROR(__xludf.DUMMYFUNCTION("""COMPUTED_VALUE"""),"الحر")</f>
        <v>الحر</v>
      </c>
      <c r="D325" s="56"/>
      <c r="E325" s="26"/>
      <c r="F325" s="26"/>
      <c r="G325" s="26"/>
      <c r="H325" s="26"/>
      <c r="I325" s="26"/>
      <c r="J325" s="26"/>
      <c r="K325" s="26"/>
      <c r="L325" s="55"/>
      <c r="M325" s="26"/>
      <c r="N325" s="29"/>
    </row>
    <row r="326" spans="1:14" ht="75" customHeight="1" thickTop="1" thickBot="1">
      <c r="A326" s="26"/>
      <c r="B326" s="55"/>
      <c r="C326" s="56" t="str">
        <f ca="1">IFERROR(__xludf.DUMMYFUNCTION("""COMPUTED_VALUE"""),"الحر")</f>
        <v>الحر</v>
      </c>
      <c r="D326" s="56"/>
      <c r="E326" s="26"/>
      <c r="F326" s="26"/>
      <c r="G326" s="26"/>
      <c r="H326" s="26"/>
      <c r="I326" s="26"/>
      <c r="J326" s="26"/>
      <c r="K326" s="26"/>
      <c r="L326" s="55"/>
      <c r="M326" s="26"/>
      <c r="N326" s="29"/>
    </row>
    <row r="327" spans="1:14" ht="75" customHeight="1" thickTop="1" thickBot="1">
      <c r="A327" s="34"/>
      <c r="B327" s="55"/>
      <c r="C327" s="56" t="str">
        <f ca="1">IFERROR(__xludf.DUMMYFUNCTION("""COMPUTED_VALUE"""),"الحر")</f>
        <v>الحر</v>
      </c>
      <c r="D327" s="56"/>
      <c r="E327" s="26"/>
      <c r="F327" s="26"/>
      <c r="G327" s="26"/>
      <c r="H327" s="26"/>
      <c r="I327" s="26"/>
      <c r="J327" s="26"/>
      <c r="K327" s="26"/>
      <c r="L327" s="55"/>
      <c r="M327" s="26"/>
      <c r="N327" s="29"/>
    </row>
    <row r="328" spans="1:14" ht="75" customHeight="1" thickTop="1" thickBot="1">
      <c r="A328" s="26"/>
      <c r="B328" s="55"/>
      <c r="C328" s="56" t="str">
        <f ca="1">IFERROR(__xludf.DUMMYFUNCTION("""COMPUTED_VALUE"""),"الحر")</f>
        <v>الحر</v>
      </c>
      <c r="D328" s="56"/>
      <c r="E328" s="26"/>
      <c r="F328" s="26"/>
      <c r="G328" s="26"/>
      <c r="H328" s="26"/>
      <c r="I328" s="26"/>
      <c r="J328" s="26"/>
      <c r="K328" s="26"/>
      <c r="L328" s="55"/>
      <c r="M328" s="26"/>
      <c r="N328" s="29"/>
    </row>
    <row r="329" spans="1:14" ht="75" customHeight="1" thickTop="1" thickBot="1">
      <c r="A329" s="34"/>
      <c r="B329" s="55"/>
      <c r="C329" s="56" t="str">
        <f ca="1">IFERROR(__xludf.DUMMYFUNCTION("""COMPUTED_VALUE"""),"الحر")</f>
        <v>الحر</v>
      </c>
      <c r="D329" s="56"/>
      <c r="E329" s="26"/>
      <c r="F329" s="26"/>
      <c r="G329" s="26"/>
      <c r="H329" s="26"/>
      <c r="I329" s="26"/>
      <c r="J329" s="26"/>
      <c r="K329" s="26"/>
      <c r="L329" s="55"/>
      <c r="M329" s="26"/>
      <c r="N329" s="29"/>
    </row>
    <row r="330" spans="1:14" ht="75" customHeight="1" thickTop="1" thickBot="1">
      <c r="A330" s="26"/>
      <c r="B330" s="55"/>
      <c r="C330" s="56" t="str">
        <f ca="1">IFERROR(__xludf.DUMMYFUNCTION("""COMPUTED_VALUE"""),"الحر")</f>
        <v>الحر</v>
      </c>
      <c r="D330" s="56"/>
      <c r="E330" s="26"/>
      <c r="F330" s="26"/>
      <c r="G330" s="26"/>
      <c r="H330" s="26"/>
      <c r="I330" s="26"/>
      <c r="J330" s="26"/>
      <c r="K330" s="26"/>
      <c r="L330" s="55"/>
      <c r="M330" s="26"/>
      <c r="N330" s="29"/>
    </row>
    <row r="331" spans="1:14" ht="75" customHeight="1" thickTop="1" thickBot="1">
      <c r="A331" s="34"/>
      <c r="B331" s="55"/>
      <c r="C331" s="56" t="str">
        <f ca="1">IFERROR(__xludf.DUMMYFUNCTION("""COMPUTED_VALUE"""),"الحر")</f>
        <v>الحر</v>
      </c>
      <c r="D331" s="56"/>
      <c r="E331" s="26"/>
      <c r="F331" s="26"/>
      <c r="G331" s="26"/>
      <c r="H331" s="26"/>
      <c r="I331" s="26"/>
      <c r="J331" s="26"/>
      <c r="K331" s="26"/>
      <c r="L331" s="55"/>
      <c r="M331" s="26"/>
      <c r="N331" s="29"/>
    </row>
    <row r="332" spans="1:14" ht="75" customHeight="1" thickTop="1" thickBot="1">
      <c r="A332" s="26"/>
      <c r="B332" s="55"/>
      <c r="C332" s="56" t="str">
        <f ca="1">IFERROR(__xludf.DUMMYFUNCTION("""COMPUTED_VALUE"""),"الحر")</f>
        <v>الحر</v>
      </c>
      <c r="D332" s="56"/>
      <c r="E332" s="26"/>
      <c r="F332" s="26"/>
      <c r="G332" s="26"/>
      <c r="H332" s="26"/>
      <c r="I332" s="26"/>
      <c r="J332" s="26"/>
      <c r="K332" s="26"/>
      <c r="L332" s="55"/>
      <c r="M332" s="26"/>
      <c r="N332" s="29"/>
    </row>
    <row r="333" spans="1:14" ht="75" customHeight="1" thickTop="1" thickBot="1">
      <c r="A333" s="34"/>
      <c r="B333" s="55"/>
      <c r="C333" s="56" t="str">
        <f ca="1">IFERROR(__xludf.DUMMYFUNCTION("""COMPUTED_VALUE"""),"الحر")</f>
        <v>الحر</v>
      </c>
      <c r="D333" s="56"/>
      <c r="E333" s="26"/>
      <c r="F333" s="26"/>
      <c r="G333" s="26"/>
      <c r="H333" s="26"/>
      <c r="I333" s="26"/>
      <c r="J333" s="26"/>
      <c r="K333" s="26"/>
      <c r="L333" s="55"/>
      <c r="M333" s="26"/>
      <c r="N333" s="29"/>
    </row>
    <row r="334" spans="1:14" ht="75" customHeight="1" thickTop="1" thickBot="1">
      <c r="A334" s="26"/>
      <c r="B334" s="55"/>
      <c r="C334" s="56" t="str">
        <f ca="1">IFERROR(__xludf.DUMMYFUNCTION("""COMPUTED_VALUE"""),"الحر")</f>
        <v>الحر</v>
      </c>
      <c r="D334" s="56"/>
      <c r="E334" s="26"/>
      <c r="F334" s="26"/>
      <c r="G334" s="26"/>
      <c r="H334" s="26"/>
      <c r="I334" s="26"/>
      <c r="J334" s="26"/>
      <c r="K334" s="26"/>
      <c r="L334" s="55"/>
      <c r="M334" s="26"/>
      <c r="N334" s="29"/>
    </row>
    <row r="335" spans="1:14" ht="75" customHeight="1" thickTop="1" thickBot="1">
      <c r="A335" s="34"/>
      <c r="B335" s="55"/>
      <c r="C335" s="56" t="str">
        <f ca="1">IFERROR(__xludf.DUMMYFUNCTION("""COMPUTED_VALUE"""),"الحر")</f>
        <v>الحر</v>
      </c>
      <c r="D335" s="56"/>
      <c r="E335" s="26"/>
      <c r="F335" s="26"/>
      <c r="G335" s="26"/>
      <c r="H335" s="26"/>
      <c r="I335" s="26"/>
      <c r="J335" s="26"/>
      <c r="K335" s="26"/>
      <c r="L335" s="55"/>
      <c r="M335" s="26"/>
      <c r="N335" s="29"/>
    </row>
    <row r="336" spans="1:14" ht="75" customHeight="1" thickTop="1" thickBot="1">
      <c r="A336" s="26"/>
      <c r="B336" s="55"/>
      <c r="C336" s="56" t="str">
        <f ca="1">IFERROR(__xludf.DUMMYFUNCTION("""COMPUTED_VALUE"""),"الحر")</f>
        <v>الحر</v>
      </c>
      <c r="D336" s="56"/>
      <c r="E336" s="26"/>
      <c r="F336" s="26"/>
      <c r="G336" s="26"/>
      <c r="H336" s="26"/>
      <c r="I336" s="26"/>
      <c r="J336" s="26"/>
      <c r="K336" s="26"/>
      <c r="L336" s="55"/>
      <c r="M336" s="26"/>
      <c r="N336" s="29"/>
    </row>
    <row r="337" spans="1:14" ht="75" customHeight="1" thickTop="1" thickBot="1">
      <c r="A337" s="34"/>
      <c r="B337" s="55"/>
      <c r="C337" s="56" t="str">
        <f ca="1">IFERROR(__xludf.DUMMYFUNCTION("""COMPUTED_VALUE"""),"الحر")</f>
        <v>الحر</v>
      </c>
      <c r="D337" s="56"/>
      <c r="E337" s="26"/>
      <c r="F337" s="26"/>
      <c r="G337" s="26"/>
      <c r="H337" s="26"/>
      <c r="I337" s="26"/>
      <c r="J337" s="26"/>
      <c r="K337" s="26"/>
      <c r="L337" s="55"/>
      <c r="M337" s="26"/>
      <c r="N337" s="29"/>
    </row>
    <row r="338" spans="1:14" ht="75" customHeight="1" thickTop="1" thickBot="1">
      <c r="A338" s="26"/>
      <c r="B338" s="55"/>
      <c r="C338" s="56" t="str">
        <f ca="1">IFERROR(__xludf.DUMMYFUNCTION("""COMPUTED_VALUE"""),"الحر")</f>
        <v>الحر</v>
      </c>
      <c r="D338" s="56"/>
      <c r="E338" s="26"/>
      <c r="F338" s="26"/>
      <c r="G338" s="26"/>
      <c r="H338" s="26"/>
      <c r="I338" s="26"/>
      <c r="J338" s="26"/>
      <c r="K338" s="26"/>
      <c r="L338" s="55"/>
      <c r="M338" s="26"/>
      <c r="N338" s="29"/>
    </row>
    <row r="339" spans="1:14" ht="75" customHeight="1" thickTop="1" thickBot="1">
      <c r="A339" s="34"/>
      <c r="B339" s="55"/>
      <c r="C339" s="56" t="str">
        <f ca="1">IFERROR(__xludf.DUMMYFUNCTION("""COMPUTED_VALUE"""),"الحر")</f>
        <v>الحر</v>
      </c>
      <c r="D339" s="56"/>
      <c r="E339" s="26"/>
      <c r="F339" s="26"/>
      <c r="G339" s="26"/>
      <c r="H339" s="26"/>
      <c r="I339" s="26"/>
      <c r="J339" s="26"/>
      <c r="K339" s="26"/>
      <c r="L339" s="55"/>
      <c r="M339" s="26"/>
      <c r="N339" s="29"/>
    </row>
    <row r="340" spans="1:14" ht="75" customHeight="1" thickTop="1" thickBot="1">
      <c r="A340" s="26"/>
      <c r="B340" s="55"/>
      <c r="C340" s="56" t="str">
        <f ca="1">IFERROR(__xludf.DUMMYFUNCTION("""COMPUTED_VALUE"""),"الحر")</f>
        <v>الحر</v>
      </c>
      <c r="D340" s="56"/>
      <c r="E340" s="26"/>
      <c r="F340" s="26"/>
      <c r="G340" s="26"/>
      <c r="H340" s="26"/>
      <c r="I340" s="26"/>
      <c r="J340" s="26"/>
      <c r="K340" s="26"/>
      <c r="L340" s="55"/>
      <c r="M340" s="26"/>
      <c r="N340" s="29"/>
    </row>
    <row r="341" spans="1:14" ht="75" customHeight="1" thickTop="1" thickBot="1">
      <c r="A341" s="34"/>
      <c r="B341" s="55"/>
      <c r="C341" s="56" t="str">
        <f ca="1">IFERROR(__xludf.DUMMYFUNCTION("""COMPUTED_VALUE"""),"الحر")</f>
        <v>الحر</v>
      </c>
      <c r="D341" s="56"/>
      <c r="E341" s="26"/>
      <c r="F341" s="26"/>
      <c r="G341" s="26"/>
      <c r="H341" s="26"/>
      <c r="I341" s="26"/>
      <c r="J341" s="26"/>
      <c r="K341" s="26"/>
      <c r="L341" s="55"/>
      <c r="M341" s="26"/>
      <c r="N341" s="29"/>
    </row>
    <row r="342" spans="1:14" ht="75" customHeight="1" thickTop="1" thickBot="1">
      <c r="A342" s="26"/>
      <c r="B342" s="55"/>
      <c r="C342" s="56" t="str">
        <f ca="1">IFERROR(__xludf.DUMMYFUNCTION("""COMPUTED_VALUE"""),"الحر")</f>
        <v>الحر</v>
      </c>
      <c r="D342" s="56"/>
      <c r="E342" s="26"/>
      <c r="F342" s="26"/>
      <c r="G342" s="26"/>
      <c r="H342" s="26"/>
      <c r="I342" s="26"/>
      <c r="J342" s="26"/>
      <c r="K342" s="26"/>
      <c r="L342" s="55"/>
      <c r="M342" s="26"/>
      <c r="N342" s="29"/>
    </row>
    <row r="343" spans="1:14" ht="75" customHeight="1" thickTop="1" thickBot="1">
      <c r="A343" s="34"/>
      <c r="B343" s="55"/>
      <c r="C343" s="56" t="str">
        <f ca="1">IFERROR(__xludf.DUMMYFUNCTION("""COMPUTED_VALUE"""),"الحر")</f>
        <v>الحر</v>
      </c>
      <c r="D343" s="56"/>
      <c r="E343" s="26"/>
      <c r="F343" s="26"/>
      <c r="G343" s="26"/>
      <c r="H343" s="26"/>
      <c r="I343" s="26"/>
      <c r="J343" s="26"/>
      <c r="K343" s="26"/>
      <c r="L343" s="55"/>
      <c r="M343" s="26"/>
      <c r="N343" s="29"/>
    </row>
    <row r="344" spans="1:14" ht="75" customHeight="1" thickTop="1" thickBot="1">
      <c r="A344" s="26"/>
      <c r="B344" s="55"/>
      <c r="C344" s="56" t="str">
        <f ca="1">IFERROR(__xludf.DUMMYFUNCTION("""COMPUTED_VALUE"""),"الحر")</f>
        <v>الحر</v>
      </c>
      <c r="D344" s="56"/>
      <c r="E344" s="26"/>
      <c r="F344" s="26"/>
      <c r="G344" s="26"/>
      <c r="H344" s="26"/>
      <c r="I344" s="26"/>
      <c r="J344" s="26"/>
      <c r="K344" s="26"/>
      <c r="L344" s="55"/>
      <c r="M344" s="26"/>
      <c r="N344" s="29"/>
    </row>
    <row r="345" spans="1:14" ht="75" customHeight="1" thickTop="1" thickBot="1">
      <c r="A345" s="34"/>
      <c r="B345" s="55"/>
      <c r="C345" s="56" t="str">
        <f ca="1">IFERROR(__xludf.DUMMYFUNCTION("""COMPUTED_VALUE"""),"الحر")</f>
        <v>الحر</v>
      </c>
      <c r="D345" s="56"/>
      <c r="E345" s="26"/>
      <c r="F345" s="26"/>
      <c r="G345" s="26"/>
      <c r="H345" s="26"/>
      <c r="I345" s="26"/>
      <c r="J345" s="26"/>
      <c r="K345" s="26"/>
      <c r="L345" s="55"/>
      <c r="M345" s="26"/>
      <c r="N345" s="29"/>
    </row>
    <row r="346" spans="1:14" ht="75" customHeight="1" thickTop="1" thickBot="1">
      <c r="A346" s="26"/>
      <c r="B346" s="55"/>
      <c r="C346" s="56" t="str">
        <f ca="1">IFERROR(__xludf.DUMMYFUNCTION("""COMPUTED_VALUE"""),"الحر")</f>
        <v>الحر</v>
      </c>
      <c r="D346" s="56"/>
      <c r="E346" s="26"/>
      <c r="F346" s="26"/>
      <c r="G346" s="26"/>
      <c r="H346" s="26"/>
      <c r="I346" s="26"/>
      <c r="J346" s="26"/>
      <c r="K346" s="26"/>
      <c r="L346" s="55"/>
      <c r="M346" s="26"/>
      <c r="N346" s="29"/>
    </row>
    <row r="347" spans="1:14" ht="75" customHeight="1" thickTop="1" thickBot="1">
      <c r="A347" s="34"/>
      <c r="B347" s="55"/>
      <c r="C347" s="56" t="str">
        <f ca="1">IFERROR(__xludf.DUMMYFUNCTION("""COMPUTED_VALUE"""),"الحر")</f>
        <v>الحر</v>
      </c>
      <c r="D347" s="56"/>
      <c r="E347" s="26"/>
      <c r="F347" s="26"/>
      <c r="G347" s="26"/>
      <c r="H347" s="26"/>
      <c r="I347" s="26"/>
      <c r="J347" s="26"/>
      <c r="K347" s="26"/>
      <c r="L347" s="55"/>
      <c r="M347" s="26"/>
      <c r="N347" s="29"/>
    </row>
    <row r="348" spans="1:14" ht="75" customHeight="1" thickTop="1" thickBot="1">
      <c r="A348" s="26"/>
      <c r="B348" s="55"/>
      <c r="C348" s="56" t="str">
        <f ca="1">IFERROR(__xludf.DUMMYFUNCTION("""COMPUTED_VALUE"""),"الحر")</f>
        <v>الحر</v>
      </c>
      <c r="D348" s="56"/>
      <c r="E348" s="26"/>
      <c r="F348" s="26"/>
      <c r="G348" s="26"/>
      <c r="H348" s="26"/>
      <c r="I348" s="26"/>
      <c r="J348" s="26"/>
      <c r="K348" s="26"/>
      <c r="L348" s="55"/>
      <c r="M348" s="26"/>
      <c r="N348" s="29"/>
    </row>
    <row r="349" spans="1:14" ht="75" customHeight="1" thickTop="1" thickBot="1">
      <c r="A349" s="34"/>
      <c r="B349" s="55"/>
      <c r="C349" s="56" t="str">
        <f ca="1">IFERROR(__xludf.DUMMYFUNCTION("""COMPUTED_VALUE"""),"الحر")</f>
        <v>الحر</v>
      </c>
      <c r="D349" s="56"/>
      <c r="E349" s="26"/>
      <c r="F349" s="26"/>
      <c r="G349" s="26"/>
      <c r="H349" s="26"/>
      <c r="I349" s="26"/>
      <c r="J349" s="26"/>
      <c r="K349" s="26"/>
      <c r="L349" s="55"/>
      <c r="M349" s="26"/>
      <c r="N349" s="29"/>
    </row>
    <row r="350" spans="1:14" ht="75" customHeight="1" thickTop="1" thickBot="1">
      <c r="A350" s="26"/>
      <c r="B350" s="55"/>
      <c r="C350" s="56" t="str">
        <f ca="1">IFERROR(__xludf.DUMMYFUNCTION("""COMPUTED_VALUE"""),"الحر")</f>
        <v>الحر</v>
      </c>
      <c r="D350" s="56"/>
      <c r="E350" s="26"/>
      <c r="F350" s="26"/>
      <c r="G350" s="26"/>
      <c r="H350" s="26"/>
      <c r="I350" s="26"/>
      <c r="J350" s="26"/>
      <c r="K350" s="26"/>
      <c r="L350" s="55"/>
      <c r="M350" s="26"/>
      <c r="N350" s="29"/>
    </row>
    <row r="351" spans="1:14" ht="75" customHeight="1" thickTop="1" thickBot="1">
      <c r="A351" s="34"/>
      <c r="B351" s="55"/>
      <c r="C351" s="56" t="str">
        <f ca="1">IFERROR(__xludf.DUMMYFUNCTION("""COMPUTED_VALUE"""),"الحر")</f>
        <v>الحر</v>
      </c>
      <c r="D351" s="56"/>
      <c r="E351" s="26"/>
      <c r="F351" s="26"/>
      <c r="G351" s="26"/>
      <c r="H351" s="26"/>
      <c r="I351" s="26"/>
      <c r="J351" s="26"/>
      <c r="K351" s="26"/>
      <c r="L351" s="55"/>
      <c r="M351" s="26"/>
      <c r="N351" s="29"/>
    </row>
    <row r="352" spans="1:14" ht="75" customHeight="1" thickTop="1" thickBot="1">
      <c r="A352" s="26"/>
      <c r="B352" s="55"/>
      <c r="C352" s="56" t="str">
        <f ca="1">IFERROR(__xludf.DUMMYFUNCTION("""COMPUTED_VALUE"""),"الحر")</f>
        <v>الحر</v>
      </c>
      <c r="D352" s="56"/>
      <c r="E352" s="26"/>
      <c r="F352" s="26"/>
      <c r="G352" s="26"/>
      <c r="H352" s="26"/>
      <c r="I352" s="26"/>
      <c r="J352" s="26"/>
      <c r="K352" s="26"/>
      <c r="L352" s="55"/>
      <c r="M352" s="26"/>
      <c r="N352" s="29"/>
    </row>
    <row r="353" spans="1:14" ht="75" customHeight="1" thickTop="1" thickBot="1">
      <c r="A353" s="34"/>
      <c r="B353" s="55"/>
      <c r="C353" s="56" t="str">
        <f ca="1">IFERROR(__xludf.DUMMYFUNCTION("""COMPUTED_VALUE"""),"الحر")</f>
        <v>الحر</v>
      </c>
      <c r="D353" s="56"/>
      <c r="E353" s="26"/>
      <c r="F353" s="26"/>
      <c r="G353" s="26"/>
      <c r="H353" s="26"/>
      <c r="I353" s="26"/>
      <c r="J353" s="26"/>
      <c r="K353" s="26"/>
      <c r="L353" s="55"/>
      <c r="M353" s="26"/>
      <c r="N353" s="29"/>
    </row>
    <row r="354" spans="1:14" ht="75" customHeight="1" thickTop="1" thickBot="1">
      <c r="A354" s="26"/>
      <c r="B354" s="55"/>
      <c r="C354" s="56" t="str">
        <f ca="1">IFERROR(__xludf.DUMMYFUNCTION("""COMPUTED_VALUE"""),"الحر")</f>
        <v>الحر</v>
      </c>
      <c r="D354" s="56"/>
      <c r="E354" s="26"/>
      <c r="F354" s="26"/>
      <c r="G354" s="26"/>
      <c r="H354" s="26"/>
      <c r="I354" s="26"/>
      <c r="J354" s="26"/>
      <c r="K354" s="26"/>
      <c r="L354" s="55"/>
      <c r="M354" s="26"/>
      <c r="N354" s="29"/>
    </row>
    <row r="355" spans="1:14" ht="75" customHeight="1" thickTop="1" thickBot="1">
      <c r="A355" s="34"/>
      <c r="B355" s="55"/>
      <c r="C355" s="56" t="str">
        <f ca="1">IFERROR(__xludf.DUMMYFUNCTION("""COMPUTED_VALUE"""),"الحر")</f>
        <v>الحر</v>
      </c>
      <c r="D355" s="56"/>
      <c r="E355" s="26"/>
      <c r="F355" s="26"/>
      <c r="G355" s="26"/>
      <c r="H355" s="26"/>
      <c r="I355" s="26"/>
      <c r="J355" s="26"/>
      <c r="K355" s="26"/>
      <c r="L355" s="55"/>
      <c r="M355" s="26"/>
      <c r="N355" s="29"/>
    </row>
    <row r="356" spans="1:14" ht="75" customHeight="1" thickTop="1" thickBot="1">
      <c r="A356" s="26"/>
      <c r="B356" s="55"/>
      <c r="C356" s="56" t="str">
        <f ca="1">IFERROR(__xludf.DUMMYFUNCTION("""COMPUTED_VALUE"""),"الحر")</f>
        <v>الحر</v>
      </c>
      <c r="D356" s="56"/>
      <c r="E356" s="26"/>
      <c r="F356" s="26"/>
      <c r="G356" s="26"/>
      <c r="H356" s="26"/>
      <c r="I356" s="26"/>
      <c r="J356" s="26"/>
      <c r="K356" s="26"/>
      <c r="L356" s="55"/>
      <c r="M356" s="26"/>
      <c r="N356" s="29"/>
    </row>
    <row r="357" spans="1:14" ht="75" customHeight="1" thickTop="1" thickBot="1">
      <c r="A357" s="34"/>
      <c r="B357" s="55"/>
      <c r="C357" s="56" t="str">
        <f ca="1">IFERROR(__xludf.DUMMYFUNCTION("""COMPUTED_VALUE"""),"الحر")</f>
        <v>الحر</v>
      </c>
      <c r="D357" s="56"/>
      <c r="E357" s="26"/>
      <c r="F357" s="26"/>
      <c r="G357" s="26"/>
      <c r="H357" s="26"/>
      <c r="I357" s="26"/>
      <c r="J357" s="26"/>
      <c r="K357" s="26"/>
      <c r="L357" s="55"/>
      <c r="M357" s="26"/>
      <c r="N357" s="29"/>
    </row>
    <row r="358" spans="1:14" ht="75" customHeight="1" thickTop="1" thickBot="1">
      <c r="A358" s="26"/>
      <c r="B358" s="55"/>
      <c r="C358" s="56" t="str">
        <f ca="1">IFERROR(__xludf.DUMMYFUNCTION("""COMPUTED_VALUE"""),"الحر")</f>
        <v>الحر</v>
      </c>
      <c r="D358" s="56"/>
      <c r="E358" s="26"/>
      <c r="F358" s="26"/>
      <c r="G358" s="26"/>
      <c r="H358" s="26"/>
      <c r="I358" s="26"/>
      <c r="J358" s="26"/>
      <c r="K358" s="26"/>
      <c r="L358" s="55"/>
      <c r="M358" s="26"/>
      <c r="N358" s="29"/>
    </row>
    <row r="359" spans="1:14" ht="75" customHeight="1" thickTop="1" thickBot="1">
      <c r="A359" s="34"/>
      <c r="B359" s="55"/>
      <c r="C359" s="56" t="str">
        <f ca="1">IFERROR(__xludf.DUMMYFUNCTION("""COMPUTED_VALUE"""),"الحر")</f>
        <v>الحر</v>
      </c>
      <c r="D359" s="56"/>
      <c r="E359" s="26"/>
      <c r="F359" s="26"/>
      <c r="G359" s="26"/>
      <c r="H359" s="26"/>
      <c r="I359" s="26"/>
      <c r="J359" s="26"/>
      <c r="K359" s="26"/>
      <c r="L359" s="55"/>
      <c r="M359" s="26"/>
    </row>
    <row r="360" spans="1:14" ht="75" customHeight="1" thickTop="1" thickBot="1">
      <c r="A360" s="26"/>
      <c r="B360" s="55"/>
      <c r="C360" s="56" t="str">
        <f ca="1">IFERROR(__xludf.DUMMYFUNCTION("""COMPUTED_VALUE"""),"الحر")</f>
        <v>الحر</v>
      </c>
      <c r="D360" s="56"/>
      <c r="E360" s="26"/>
      <c r="F360" s="26"/>
      <c r="G360" s="26"/>
      <c r="H360" s="26"/>
      <c r="I360" s="26"/>
      <c r="J360" s="26"/>
      <c r="K360" s="26"/>
      <c r="L360" s="55"/>
      <c r="M360" s="26"/>
    </row>
    <row r="361" spans="1:14" ht="75" customHeight="1" thickTop="1" thickBot="1">
      <c r="A361" s="34"/>
      <c r="B361" s="55"/>
      <c r="C361" s="56" t="str">
        <f ca="1">IFERROR(__xludf.DUMMYFUNCTION("""COMPUTED_VALUE"""),"الحر")</f>
        <v>الحر</v>
      </c>
      <c r="D361" s="56"/>
      <c r="E361" s="26"/>
      <c r="F361" s="26"/>
      <c r="G361" s="26"/>
      <c r="H361" s="26"/>
      <c r="I361" s="26"/>
      <c r="J361" s="26"/>
      <c r="K361" s="26"/>
      <c r="L361" s="55"/>
      <c r="M361" s="26"/>
    </row>
    <row r="362" spans="1:14" ht="75" customHeight="1" thickTop="1" thickBot="1">
      <c r="A362" s="26"/>
      <c r="B362" s="55"/>
      <c r="C362" s="56" t="str">
        <f ca="1">IFERROR(__xludf.DUMMYFUNCTION("""COMPUTED_VALUE"""),"الحر")</f>
        <v>الحر</v>
      </c>
      <c r="D362" s="56"/>
      <c r="E362" s="26"/>
      <c r="F362" s="26"/>
      <c r="G362" s="26"/>
      <c r="H362" s="26"/>
      <c r="I362" s="26"/>
      <c r="J362" s="26"/>
      <c r="K362" s="26"/>
      <c r="L362" s="55"/>
      <c r="M362" s="26"/>
    </row>
    <row r="363" spans="1:14" ht="75" customHeight="1" thickTop="1" thickBot="1">
      <c r="A363" s="34"/>
      <c r="B363" s="55"/>
      <c r="C363" s="56" t="str">
        <f ca="1">IFERROR(__xludf.DUMMYFUNCTION("""COMPUTED_VALUE"""),"الحر")</f>
        <v>الحر</v>
      </c>
      <c r="D363" s="56"/>
      <c r="E363" s="26"/>
      <c r="F363" s="26"/>
      <c r="G363" s="26"/>
      <c r="H363" s="26"/>
      <c r="I363" s="26"/>
      <c r="J363" s="26"/>
      <c r="K363" s="26"/>
      <c r="L363" s="55"/>
      <c r="M363" s="26"/>
    </row>
    <row r="364" spans="1:14" ht="75" customHeight="1" thickTop="1" thickBot="1">
      <c r="A364" s="26"/>
      <c r="B364" s="55"/>
      <c r="C364" s="56" t="str">
        <f ca="1">IFERROR(__xludf.DUMMYFUNCTION("""COMPUTED_VALUE"""),"الحر")</f>
        <v>الحر</v>
      </c>
      <c r="D364" s="56"/>
      <c r="E364" s="26"/>
      <c r="F364" s="26"/>
      <c r="G364" s="26"/>
      <c r="H364" s="26"/>
      <c r="I364" s="26"/>
      <c r="J364" s="26"/>
      <c r="K364" s="26"/>
      <c r="L364" s="55"/>
      <c r="M364" s="26"/>
    </row>
    <row r="365" spans="1:14" ht="75" customHeight="1" thickTop="1" thickBot="1">
      <c r="A365" s="34"/>
      <c r="B365" s="55"/>
      <c r="C365" s="56" t="str">
        <f ca="1">IFERROR(__xludf.DUMMYFUNCTION("""COMPUTED_VALUE"""),"الحر")</f>
        <v>الحر</v>
      </c>
      <c r="D365" s="56"/>
      <c r="E365" s="26"/>
      <c r="F365" s="26"/>
      <c r="G365" s="26"/>
      <c r="H365" s="26"/>
      <c r="I365" s="26"/>
      <c r="J365" s="26"/>
      <c r="K365" s="26"/>
      <c r="L365" s="55"/>
      <c r="M365" s="26"/>
    </row>
    <row r="366" spans="1:14" ht="75" customHeight="1" thickTop="1" thickBot="1">
      <c r="A366" s="26"/>
      <c r="B366" s="55"/>
      <c r="C366" s="56" t="str">
        <f ca="1">IFERROR(__xludf.DUMMYFUNCTION("""COMPUTED_VALUE"""),"الحر")</f>
        <v>الحر</v>
      </c>
      <c r="D366" s="56"/>
      <c r="E366" s="26"/>
      <c r="F366" s="26"/>
      <c r="G366" s="26"/>
      <c r="H366" s="26"/>
      <c r="I366" s="26"/>
      <c r="J366" s="26"/>
      <c r="K366" s="26"/>
      <c r="L366" s="55"/>
      <c r="M366" s="26"/>
    </row>
    <row r="367" spans="1:14" ht="75" customHeight="1" thickTop="1" thickBot="1">
      <c r="A367" s="34"/>
      <c r="B367" s="55"/>
      <c r="C367" s="56" t="str">
        <f ca="1">IFERROR(__xludf.DUMMYFUNCTION("""COMPUTED_VALUE"""),"الحر")</f>
        <v>الحر</v>
      </c>
      <c r="D367" s="56"/>
      <c r="E367" s="26"/>
      <c r="F367" s="26"/>
      <c r="G367" s="26"/>
      <c r="H367" s="26"/>
      <c r="I367" s="26"/>
      <c r="J367" s="26"/>
      <c r="K367" s="26"/>
      <c r="L367" s="55"/>
      <c r="M367" s="26"/>
    </row>
    <row r="368" spans="1:14" ht="75" customHeight="1" thickTop="1" thickBot="1">
      <c r="A368" s="26"/>
      <c r="B368" s="55"/>
      <c r="C368" s="56" t="str">
        <f ca="1">IFERROR(__xludf.DUMMYFUNCTION("""COMPUTED_VALUE"""),"الحر")</f>
        <v>الحر</v>
      </c>
      <c r="D368" s="56"/>
      <c r="E368" s="26"/>
      <c r="F368" s="26"/>
      <c r="G368" s="26"/>
      <c r="H368" s="26"/>
      <c r="I368" s="26"/>
      <c r="J368" s="26"/>
      <c r="K368" s="26"/>
      <c r="L368" s="55"/>
      <c r="M368" s="26"/>
    </row>
    <row r="369" spans="1:13" ht="75" customHeight="1" thickTop="1" thickBot="1">
      <c r="A369" s="34"/>
      <c r="B369" s="55"/>
      <c r="C369" s="56" t="str">
        <f ca="1">IFERROR(__xludf.DUMMYFUNCTION("""COMPUTED_VALUE"""),"الحر")</f>
        <v>الحر</v>
      </c>
      <c r="D369" s="56"/>
      <c r="E369" s="26"/>
      <c r="F369" s="26"/>
      <c r="G369" s="26"/>
      <c r="H369" s="26"/>
      <c r="I369" s="26"/>
      <c r="J369" s="26"/>
      <c r="K369" s="26"/>
      <c r="L369" s="55"/>
      <c r="M369" s="26"/>
    </row>
    <row r="370" spans="1:13" ht="75" customHeight="1" thickTop="1" thickBot="1">
      <c r="A370" s="26"/>
      <c r="B370" s="55"/>
      <c r="C370" s="56" t="str">
        <f ca="1">IFERROR(__xludf.DUMMYFUNCTION("""COMPUTED_VALUE"""),"الحر")</f>
        <v>الحر</v>
      </c>
      <c r="D370" s="56"/>
      <c r="E370" s="26"/>
      <c r="F370" s="26"/>
      <c r="G370" s="26"/>
      <c r="H370" s="26"/>
      <c r="I370" s="26"/>
      <c r="J370" s="26"/>
      <c r="K370" s="26"/>
      <c r="L370" s="55"/>
      <c r="M370" s="26"/>
    </row>
    <row r="371" spans="1:13" ht="75" customHeight="1" thickTop="1" thickBot="1">
      <c r="A371" s="34"/>
      <c r="B371" s="55"/>
      <c r="C371" s="56" t="str">
        <f ca="1">IFERROR(__xludf.DUMMYFUNCTION("""COMPUTED_VALUE"""),"الحر")</f>
        <v>الحر</v>
      </c>
      <c r="D371" s="56"/>
      <c r="E371" s="26"/>
      <c r="F371" s="26"/>
      <c r="G371" s="26"/>
      <c r="H371" s="26"/>
      <c r="I371" s="26"/>
      <c r="J371" s="26"/>
      <c r="K371" s="26"/>
      <c r="L371" s="55"/>
      <c r="M371" s="26"/>
    </row>
    <row r="372" spans="1:13" ht="75" customHeight="1" thickTop="1" thickBot="1">
      <c r="A372" s="26"/>
      <c r="B372" s="55"/>
      <c r="C372" s="56" t="str">
        <f ca="1">IFERROR(__xludf.DUMMYFUNCTION("""COMPUTED_VALUE"""),"الحر")</f>
        <v>الحر</v>
      </c>
      <c r="D372" s="56"/>
      <c r="E372" s="26"/>
      <c r="F372" s="26"/>
      <c r="G372" s="26"/>
      <c r="H372" s="26"/>
      <c r="I372" s="26"/>
      <c r="J372" s="26"/>
      <c r="K372" s="26"/>
      <c r="L372" s="55"/>
      <c r="M372" s="26"/>
    </row>
    <row r="373" spans="1:13" ht="75" customHeight="1" thickTop="1" thickBot="1">
      <c r="A373" s="34"/>
      <c r="B373" s="55"/>
      <c r="C373" s="56" t="str">
        <f ca="1">IFERROR(__xludf.DUMMYFUNCTION("""COMPUTED_VALUE"""),"الحر")</f>
        <v>الحر</v>
      </c>
      <c r="D373" s="56"/>
      <c r="E373" s="26"/>
      <c r="F373" s="26"/>
      <c r="G373" s="26"/>
      <c r="H373" s="26"/>
      <c r="I373" s="26"/>
      <c r="J373" s="26"/>
      <c r="K373" s="26"/>
      <c r="L373" s="55"/>
      <c r="M373" s="26"/>
    </row>
    <row r="374" spans="1:13" ht="75" customHeight="1" thickTop="1" thickBot="1">
      <c r="A374" s="26"/>
      <c r="B374" s="55"/>
      <c r="C374" s="56" t="str">
        <f ca="1">IFERROR(__xludf.DUMMYFUNCTION("""COMPUTED_VALUE"""),"الحر")</f>
        <v>الحر</v>
      </c>
      <c r="D374" s="56"/>
      <c r="E374" s="26"/>
      <c r="F374" s="26"/>
      <c r="G374" s="26"/>
      <c r="H374" s="26"/>
      <c r="I374" s="26"/>
      <c r="J374" s="26"/>
      <c r="K374" s="26"/>
      <c r="L374" s="55"/>
      <c r="M374" s="26"/>
    </row>
    <row r="375" spans="1:13" ht="75" customHeight="1" thickTop="1" thickBot="1">
      <c r="A375" s="34"/>
      <c r="B375" s="55"/>
      <c r="C375" s="56" t="str">
        <f ca="1">IFERROR(__xludf.DUMMYFUNCTION("""COMPUTED_VALUE"""),"الحر")</f>
        <v>الحر</v>
      </c>
      <c r="D375" s="56"/>
      <c r="E375" s="26"/>
      <c r="F375" s="26"/>
      <c r="G375" s="26"/>
      <c r="H375" s="26"/>
      <c r="I375" s="26"/>
      <c r="J375" s="26"/>
      <c r="K375" s="26"/>
      <c r="L375" s="55"/>
      <c r="M375" s="26"/>
    </row>
    <row r="376" spans="1:13" ht="75" customHeight="1" thickTop="1" thickBot="1">
      <c r="A376" s="26"/>
      <c r="B376" s="55"/>
      <c r="C376" s="56" t="str">
        <f ca="1">IFERROR(__xludf.DUMMYFUNCTION("""COMPUTED_VALUE"""),"الحر")</f>
        <v>الحر</v>
      </c>
      <c r="D376" s="56"/>
      <c r="E376" s="26"/>
      <c r="F376" s="26"/>
      <c r="G376" s="26"/>
      <c r="H376" s="26"/>
      <c r="I376" s="26"/>
      <c r="J376" s="26"/>
      <c r="K376" s="26"/>
      <c r="L376" s="55"/>
      <c r="M376" s="26"/>
    </row>
    <row r="377" spans="1:13" ht="75" customHeight="1" thickTop="1" thickBot="1">
      <c r="A377" s="34"/>
      <c r="B377" s="55"/>
      <c r="C377" s="56" t="str">
        <f ca="1">IFERROR(__xludf.DUMMYFUNCTION("""COMPUTED_VALUE"""),"الحر")</f>
        <v>الحر</v>
      </c>
      <c r="D377" s="56"/>
      <c r="E377" s="26"/>
      <c r="F377" s="26"/>
      <c r="G377" s="26"/>
      <c r="H377" s="26"/>
      <c r="I377" s="26"/>
      <c r="J377" s="26"/>
      <c r="K377" s="26"/>
      <c r="L377" s="55"/>
      <c r="M377" s="26"/>
    </row>
    <row r="378" spans="1:13" ht="75" customHeight="1" thickTop="1" thickBot="1">
      <c r="A378" s="26"/>
      <c r="B378" s="55"/>
      <c r="C378" s="56" t="str">
        <f ca="1">IFERROR(__xludf.DUMMYFUNCTION("""COMPUTED_VALUE"""),"الحر")</f>
        <v>الحر</v>
      </c>
      <c r="D378" s="56"/>
      <c r="E378" s="26"/>
      <c r="F378" s="26"/>
      <c r="G378" s="26"/>
      <c r="H378" s="26"/>
      <c r="I378" s="26"/>
      <c r="J378" s="26"/>
      <c r="K378" s="26"/>
      <c r="L378" s="55"/>
      <c r="M378" s="26"/>
    </row>
    <row r="379" spans="1:13" ht="75" customHeight="1" thickTop="1" thickBot="1">
      <c r="A379" s="34"/>
      <c r="B379" s="55"/>
      <c r="C379" s="56" t="str">
        <f ca="1">IFERROR(__xludf.DUMMYFUNCTION("""COMPUTED_VALUE"""),"الحر")</f>
        <v>الحر</v>
      </c>
      <c r="D379" s="56"/>
      <c r="E379" s="26"/>
      <c r="F379" s="26"/>
      <c r="G379" s="26"/>
      <c r="H379" s="26"/>
      <c r="I379" s="26"/>
      <c r="J379" s="26"/>
      <c r="K379" s="26"/>
      <c r="L379" s="55"/>
      <c r="M379" s="26"/>
    </row>
    <row r="380" spans="1:13" ht="75" customHeight="1" thickTop="1" thickBot="1">
      <c r="A380" s="26"/>
      <c r="B380" s="55"/>
      <c r="C380" s="56" t="str">
        <f ca="1">IFERROR(__xludf.DUMMYFUNCTION("""COMPUTED_VALUE"""),"الحر")</f>
        <v>الحر</v>
      </c>
      <c r="D380" s="56"/>
      <c r="E380" s="26"/>
      <c r="F380" s="26"/>
      <c r="G380" s="26"/>
      <c r="H380" s="26"/>
      <c r="I380" s="26"/>
      <c r="J380" s="26"/>
      <c r="K380" s="26"/>
      <c r="L380" s="55"/>
      <c r="M380" s="26"/>
    </row>
    <row r="381" spans="1:13" ht="75" customHeight="1" thickTop="1" thickBot="1">
      <c r="A381" s="34"/>
      <c r="B381" s="55"/>
      <c r="C381" s="56" t="str">
        <f ca="1">IFERROR(__xludf.DUMMYFUNCTION("""COMPUTED_VALUE"""),"الحر")</f>
        <v>الحر</v>
      </c>
      <c r="D381" s="56"/>
      <c r="E381" s="26"/>
      <c r="F381" s="26"/>
      <c r="G381" s="26"/>
      <c r="H381" s="26"/>
      <c r="I381" s="26"/>
      <c r="J381" s="26"/>
      <c r="K381" s="26"/>
      <c r="L381" s="55"/>
      <c r="M381" s="26"/>
    </row>
    <row r="382" spans="1:13" ht="75" customHeight="1" thickTop="1" thickBot="1">
      <c r="A382" s="26"/>
      <c r="B382" s="55"/>
      <c r="C382" s="56" t="str">
        <f ca="1">IFERROR(__xludf.DUMMYFUNCTION("""COMPUTED_VALUE"""),"الحر")</f>
        <v>الحر</v>
      </c>
      <c r="D382" s="56"/>
      <c r="E382" s="26"/>
      <c r="F382" s="26"/>
      <c r="G382" s="26"/>
      <c r="H382" s="26"/>
      <c r="I382" s="26"/>
      <c r="J382" s="26"/>
      <c r="K382" s="26"/>
      <c r="L382" s="55"/>
      <c r="M382" s="26"/>
    </row>
    <row r="383" spans="1:13" ht="75" customHeight="1" thickTop="1" thickBot="1">
      <c r="A383" s="34"/>
      <c r="B383" s="55"/>
      <c r="C383" s="56" t="str">
        <f ca="1">IFERROR(__xludf.DUMMYFUNCTION("""COMPUTED_VALUE"""),"الحر")</f>
        <v>الحر</v>
      </c>
      <c r="D383" s="56"/>
      <c r="E383" s="26"/>
      <c r="F383" s="26"/>
      <c r="G383" s="26"/>
      <c r="H383" s="26"/>
      <c r="I383" s="26"/>
      <c r="J383" s="26"/>
      <c r="K383" s="26"/>
      <c r="L383" s="55"/>
      <c r="M383" s="26"/>
    </row>
    <row r="384" spans="1:13" ht="75" customHeight="1" thickTop="1" thickBot="1">
      <c r="A384" s="26"/>
      <c r="B384" s="55"/>
      <c r="C384" s="56" t="str">
        <f ca="1">IFERROR(__xludf.DUMMYFUNCTION("""COMPUTED_VALUE"""),"الحر")</f>
        <v>الحر</v>
      </c>
      <c r="D384" s="56"/>
      <c r="E384" s="26"/>
      <c r="F384" s="26"/>
      <c r="G384" s="26"/>
      <c r="H384" s="26"/>
      <c r="I384" s="26"/>
      <c r="J384" s="26"/>
      <c r="K384" s="26"/>
      <c r="L384" s="55"/>
      <c r="M384" s="26"/>
    </row>
    <row r="385" spans="1:13" ht="75" customHeight="1" thickTop="1" thickBot="1">
      <c r="A385" s="34"/>
      <c r="B385" s="55"/>
      <c r="C385" s="56" t="str">
        <f ca="1">IFERROR(__xludf.DUMMYFUNCTION("""COMPUTED_VALUE"""),"الحر")</f>
        <v>الحر</v>
      </c>
      <c r="D385" s="56"/>
      <c r="E385" s="26"/>
      <c r="F385" s="26"/>
      <c r="G385" s="26"/>
      <c r="H385" s="26"/>
      <c r="I385" s="26"/>
      <c r="J385" s="26"/>
      <c r="K385" s="26"/>
      <c r="L385" s="55"/>
      <c r="M385" s="26"/>
    </row>
    <row r="386" spans="1:13" ht="75" customHeight="1" thickTop="1" thickBot="1">
      <c r="A386" s="26"/>
      <c r="B386" s="55"/>
      <c r="C386" s="56" t="str">
        <f ca="1">IFERROR(__xludf.DUMMYFUNCTION("""COMPUTED_VALUE"""),"الحر")</f>
        <v>الحر</v>
      </c>
      <c r="D386" s="56"/>
      <c r="E386" s="26"/>
      <c r="F386" s="26"/>
      <c r="G386" s="26"/>
      <c r="H386" s="26"/>
      <c r="I386" s="26"/>
      <c r="J386" s="26"/>
      <c r="K386" s="26"/>
      <c r="L386" s="55"/>
      <c r="M386" s="26"/>
    </row>
    <row r="387" spans="1:13" ht="75" customHeight="1" thickTop="1" thickBot="1">
      <c r="A387" s="34"/>
      <c r="B387" s="55"/>
      <c r="C387" s="56" t="str">
        <f ca="1">IFERROR(__xludf.DUMMYFUNCTION("""COMPUTED_VALUE"""),"الحر")</f>
        <v>الحر</v>
      </c>
      <c r="D387" s="56"/>
      <c r="E387" s="26"/>
      <c r="F387" s="26"/>
      <c r="G387" s="26"/>
      <c r="H387" s="26"/>
      <c r="I387" s="26"/>
      <c r="J387" s="26"/>
      <c r="K387" s="26"/>
      <c r="L387" s="55"/>
      <c r="M387" s="26"/>
    </row>
    <row r="388" spans="1:13" ht="75" customHeight="1" thickTop="1" thickBot="1">
      <c r="A388" s="26"/>
      <c r="B388" s="55"/>
      <c r="C388" s="56" t="str">
        <f ca="1">IFERROR(__xludf.DUMMYFUNCTION("""COMPUTED_VALUE"""),"الحر")</f>
        <v>الحر</v>
      </c>
      <c r="D388" s="56"/>
      <c r="E388" s="26"/>
      <c r="F388" s="26"/>
      <c r="G388" s="26"/>
      <c r="H388" s="26"/>
      <c r="I388" s="26"/>
      <c r="J388" s="26"/>
      <c r="K388" s="26"/>
      <c r="L388" s="55"/>
      <c r="M388" s="26"/>
    </row>
    <row r="389" spans="1:13" ht="75" customHeight="1" thickTop="1" thickBot="1">
      <c r="A389" s="34"/>
      <c r="B389" s="55"/>
      <c r="C389" s="56" t="str">
        <f ca="1">IFERROR(__xludf.DUMMYFUNCTION("""COMPUTED_VALUE"""),"الحر")</f>
        <v>الحر</v>
      </c>
      <c r="D389" s="56"/>
      <c r="E389" s="26"/>
      <c r="F389" s="26"/>
      <c r="G389" s="26"/>
      <c r="H389" s="26"/>
      <c r="I389" s="26"/>
      <c r="J389" s="26"/>
      <c r="K389" s="26"/>
      <c r="L389" s="55"/>
      <c r="M389" s="26"/>
    </row>
    <row r="390" spans="1:13" ht="75" customHeight="1" thickTop="1" thickBot="1">
      <c r="A390" s="26"/>
      <c r="B390" s="55"/>
      <c r="C390" s="56" t="str">
        <f ca="1">IFERROR(__xludf.DUMMYFUNCTION("""COMPUTED_VALUE"""),"الحر")</f>
        <v>الحر</v>
      </c>
      <c r="D390" s="56"/>
      <c r="E390" s="26"/>
      <c r="F390" s="26"/>
      <c r="G390" s="26"/>
      <c r="H390" s="26"/>
      <c r="I390" s="26"/>
      <c r="J390" s="26"/>
      <c r="K390" s="26"/>
      <c r="L390" s="55"/>
      <c r="M390" s="26"/>
    </row>
    <row r="391" spans="1:13" ht="75" customHeight="1" thickTop="1" thickBot="1">
      <c r="A391" s="34"/>
      <c r="B391" s="55"/>
      <c r="C391" s="56" t="str">
        <f ca="1">IFERROR(__xludf.DUMMYFUNCTION("""COMPUTED_VALUE"""),"الحر")</f>
        <v>الحر</v>
      </c>
      <c r="D391" s="56"/>
      <c r="E391" s="26"/>
      <c r="F391" s="26"/>
      <c r="G391" s="26"/>
      <c r="H391" s="26"/>
      <c r="I391" s="26"/>
      <c r="J391" s="26"/>
      <c r="K391" s="26"/>
      <c r="L391" s="55"/>
      <c r="M391" s="26"/>
    </row>
    <row r="392" spans="1:13" ht="75" customHeight="1" thickTop="1" thickBot="1">
      <c r="A392" s="26"/>
      <c r="B392" s="55"/>
      <c r="C392" s="56" t="str">
        <f ca="1">IFERROR(__xludf.DUMMYFUNCTION("""COMPUTED_VALUE"""),"الحر")</f>
        <v>الحر</v>
      </c>
      <c r="D392" s="56"/>
      <c r="E392" s="26"/>
      <c r="F392" s="26"/>
      <c r="G392" s="26"/>
      <c r="H392" s="26"/>
      <c r="I392" s="26"/>
      <c r="J392" s="26"/>
      <c r="K392" s="26"/>
      <c r="L392" s="55"/>
      <c r="M392" s="26"/>
    </row>
    <row r="393" spans="1:13" ht="75" customHeight="1" thickTop="1" thickBot="1">
      <c r="A393" s="34"/>
      <c r="B393" s="55"/>
      <c r="C393" s="56" t="str">
        <f ca="1">IFERROR(__xludf.DUMMYFUNCTION("""COMPUTED_VALUE"""),"الحر")</f>
        <v>الحر</v>
      </c>
      <c r="D393" s="56"/>
      <c r="E393" s="26"/>
      <c r="F393" s="26"/>
      <c r="G393" s="26"/>
      <c r="H393" s="26"/>
      <c r="I393" s="26"/>
      <c r="J393" s="26"/>
      <c r="K393" s="26"/>
      <c r="L393" s="55"/>
      <c r="M393" s="26"/>
    </row>
    <row r="394" spans="1:13" ht="75" customHeight="1" thickTop="1" thickBot="1">
      <c r="A394" s="26"/>
      <c r="B394" s="55"/>
      <c r="C394" s="56" t="str">
        <f ca="1">IFERROR(__xludf.DUMMYFUNCTION("""COMPUTED_VALUE"""),"الحر")</f>
        <v>الحر</v>
      </c>
      <c r="D394" s="56"/>
      <c r="E394" s="26"/>
      <c r="F394" s="26"/>
      <c r="G394" s="26"/>
      <c r="H394" s="26"/>
      <c r="I394" s="26"/>
      <c r="J394" s="26"/>
      <c r="K394" s="26"/>
      <c r="L394" s="55"/>
      <c r="M394" s="26"/>
    </row>
    <row r="395" spans="1:13" ht="75" customHeight="1" thickTop="1" thickBot="1">
      <c r="A395" s="34"/>
      <c r="B395" s="55"/>
      <c r="C395" s="56" t="str">
        <f ca="1">IFERROR(__xludf.DUMMYFUNCTION("""COMPUTED_VALUE"""),"الحر")</f>
        <v>الحر</v>
      </c>
      <c r="D395" s="56"/>
      <c r="E395" s="26"/>
      <c r="F395" s="26"/>
      <c r="G395" s="26"/>
      <c r="H395" s="26"/>
      <c r="I395" s="26"/>
      <c r="J395" s="26"/>
      <c r="K395" s="26"/>
      <c r="L395" s="55"/>
      <c r="M395" s="26"/>
    </row>
    <row r="396" spans="1:13" ht="75" customHeight="1" thickTop="1" thickBot="1">
      <c r="A396" s="26"/>
      <c r="B396" s="55"/>
      <c r="C396" s="56" t="str">
        <f ca="1">IFERROR(__xludf.DUMMYFUNCTION("""COMPUTED_VALUE"""),"الحر")</f>
        <v>الحر</v>
      </c>
      <c r="D396" s="56"/>
      <c r="E396" s="26"/>
      <c r="F396" s="26"/>
      <c r="G396" s="26"/>
      <c r="H396" s="26"/>
      <c r="I396" s="26"/>
      <c r="J396" s="26"/>
      <c r="K396" s="26"/>
      <c r="L396" s="55"/>
      <c r="M396" s="26"/>
    </row>
    <row r="397" spans="1:13" ht="75" customHeight="1" thickTop="1" thickBot="1">
      <c r="A397" s="34"/>
      <c r="B397" s="55"/>
      <c r="C397" s="56" t="str">
        <f ca="1">IFERROR(__xludf.DUMMYFUNCTION("""COMPUTED_VALUE"""),"الحر")</f>
        <v>الحر</v>
      </c>
      <c r="D397" s="56"/>
      <c r="E397" s="26"/>
      <c r="F397" s="26"/>
      <c r="G397" s="26"/>
      <c r="H397" s="26"/>
      <c r="I397" s="26"/>
      <c r="J397" s="26"/>
      <c r="K397" s="26"/>
      <c r="L397" s="55"/>
      <c r="M397" s="26"/>
    </row>
    <row r="398" spans="1:13" ht="75" customHeight="1" thickTop="1" thickBot="1">
      <c r="A398" s="26"/>
      <c r="B398" s="55"/>
      <c r="C398" s="56" t="str">
        <f ca="1">IFERROR(__xludf.DUMMYFUNCTION("""COMPUTED_VALUE"""),"الحر")</f>
        <v>الحر</v>
      </c>
      <c r="D398" s="56"/>
      <c r="E398" s="26"/>
      <c r="F398" s="26"/>
      <c r="G398" s="26"/>
      <c r="H398" s="26"/>
      <c r="I398" s="26"/>
      <c r="J398" s="26"/>
      <c r="K398" s="26"/>
      <c r="L398" s="55"/>
      <c r="M398" s="26"/>
    </row>
    <row r="399" spans="1:13" ht="75" customHeight="1" thickTop="1" thickBot="1">
      <c r="A399" s="34"/>
      <c r="B399" s="55"/>
      <c r="C399" s="56" t="str">
        <f ca="1">IFERROR(__xludf.DUMMYFUNCTION("""COMPUTED_VALUE"""),"الحر")</f>
        <v>الحر</v>
      </c>
      <c r="D399" s="56"/>
      <c r="E399" s="26"/>
      <c r="F399" s="26"/>
      <c r="G399" s="26"/>
      <c r="H399" s="26"/>
      <c r="I399" s="26"/>
      <c r="J399" s="26"/>
      <c r="K399" s="26"/>
      <c r="L399" s="55"/>
      <c r="M399" s="26"/>
    </row>
    <row r="400" spans="1:13" ht="75" customHeight="1" thickTop="1" thickBot="1">
      <c r="A400" s="26"/>
      <c r="B400" s="55"/>
      <c r="C400" s="56" t="str">
        <f ca="1">IFERROR(__xludf.DUMMYFUNCTION("""COMPUTED_VALUE"""),"الحر")</f>
        <v>الحر</v>
      </c>
      <c r="D400" s="56"/>
      <c r="E400" s="26"/>
      <c r="F400" s="26"/>
      <c r="G400" s="26"/>
      <c r="H400" s="26"/>
      <c r="I400" s="26"/>
      <c r="J400" s="26"/>
      <c r="K400" s="26"/>
      <c r="L400" s="55"/>
      <c r="M400" s="26"/>
    </row>
    <row r="401" spans="1:13" ht="75" customHeight="1" thickTop="1" thickBot="1">
      <c r="A401" s="34"/>
      <c r="B401" s="55"/>
      <c r="C401" s="56" t="str">
        <f ca="1">IFERROR(__xludf.DUMMYFUNCTION("""COMPUTED_VALUE"""),"الحر")</f>
        <v>الحر</v>
      </c>
      <c r="D401" s="56"/>
      <c r="E401" s="26"/>
      <c r="F401" s="26"/>
      <c r="G401" s="26"/>
      <c r="H401" s="26"/>
      <c r="I401" s="26"/>
      <c r="J401" s="26"/>
      <c r="K401" s="26"/>
      <c r="L401" s="55"/>
      <c r="M401" s="26"/>
    </row>
    <row r="402" spans="1:13" ht="75" customHeight="1" thickTop="1" thickBot="1">
      <c r="A402" s="26"/>
      <c r="B402" s="55"/>
      <c r="C402" s="56" t="str">
        <f ca="1">IFERROR(__xludf.DUMMYFUNCTION("""COMPUTED_VALUE"""),"الحر")</f>
        <v>الحر</v>
      </c>
      <c r="D402" s="56"/>
      <c r="E402" s="26"/>
      <c r="F402" s="26"/>
      <c r="G402" s="26"/>
      <c r="H402" s="26"/>
      <c r="I402" s="26"/>
      <c r="J402" s="26"/>
      <c r="K402" s="26"/>
      <c r="L402" s="55"/>
      <c r="M402" s="26"/>
    </row>
    <row r="403" spans="1:13" ht="75" customHeight="1" thickTop="1" thickBot="1">
      <c r="A403" s="34"/>
      <c r="B403" s="55"/>
      <c r="C403" s="56" t="str">
        <f ca="1">IFERROR(__xludf.DUMMYFUNCTION("""COMPUTED_VALUE"""),"الحر")</f>
        <v>الحر</v>
      </c>
      <c r="D403" s="56"/>
      <c r="E403" s="26"/>
      <c r="F403" s="26"/>
      <c r="G403" s="26"/>
      <c r="H403" s="26"/>
      <c r="I403" s="26"/>
      <c r="J403" s="26"/>
      <c r="K403" s="26"/>
      <c r="L403" s="55"/>
      <c r="M403" s="26"/>
    </row>
    <row r="404" spans="1:13" ht="75" customHeight="1" thickTop="1" thickBot="1">
      <c r="A404" s="26"/>
      <c r="B404" s="55"/>
      <c r="C404" s="56" t="str">
        <f ca="1">IFERROR(__xludf.DUMMYFUNCTION("""COMPUTED_VALUE"""),"الحر")</f>
        <v>الحر</v>
      </c>
      <c r="D404" s="56"/>
      <c r="E404" s="26"/>
      <c r="F404" s="26"/>
      <c r="G404" s="26"/>
      <c r="H404" s="26"/>
      <c r="I404" s="26"/>
      <c r="J404" s="26"/>
      <c r="K404" s="26"/>
      <c r="L404" s="55"/>
      <c r="M404" s="26"/>
    </row>
    <row r="405" spans="1:13" ht="75" customHeight="1" thickTop="1" thickBot="1">
      <c r="A405" s="34"/>
      <c r="B405" s="55"/>
      <c r="C405" s="56" t="str">
        <f ca="1">IFERROR(__xludf.DUMMYFUNCTION("""COMPUTED_VALUE"""),"الحر")</f>
        <v>الحر</v>
      </c>
      <c r="D405" s="56"/>
      <c r="E405" s="26"/>
      <c r="F405" s="26"/>
      <c r="G405" s="26"/>
      <c r="H405" s="26"/>
      <c r="I405" s="26"/>
      <c r="J405" s="26"/>
      <c r="K405" s="26"/>
      <c r="L405" s="55"/>
      <c r="M405" s="26"/>
    </row>
    <row r="406" spans="1:13" ht="75" customHeight="1" thickTop="1" thickBot="1">
      <c r="A406" s="26"/>
      <c r="B406" s="55"/>
      <c r="C406" s="56" t="str">
        <f ca="1">IFERROR(__xludf.DUMMYFUNCTION("""COMPUTED_VALUE"""),"الحر")</f>
        <v>الحر</v>
      </c>
      <c r="D406" s="56"/>
      <c r="E406" s="26"/>
      <c r="F406" s="26"/>
      <c r="G406" s="26"/>
      <c r="H406" s="26"/>
      <c r="I406" s="26"/>
      <c r="J406" s="26"/>
      <c r="K406" s="26"/>
      <c r="L406" s="55"/>
      <c r="M406" s="26"/>
    </row>
    <row r="407" spans="1:13" ht="75" customHeight="1" thickTop="1" thickBot="1">
      <c r="A407" s="34"/>
      <c r="B407" s="55"/>
      <c r="C407" s="56" t="str">
        <f ca="1">IFERROR(__xludf.DUMMYFUNCTION("""COMPUTED_VALUE"""),"الحر")</f>
        <v>الحر</v>
      </c>
      <c r="D407" s="56"/>
      <c r="E407" s="26"/>
      <c r="F407" s="26"/>
      <c r="G407" s="26"/>
      <c r="H407" s="26"/>
      <c r="I407" s="26"/>
      <c r="J407" s="26"/>
      <c r="K407" s="26"/>
      <c r="L407" s="55"/>
      <c r="M407" s="26"/>
    </row>
    <row r="408" spans="1:13" ht="75" customHeight="1" thickTop="1" thickBot="1">
      <c r="A408" s="26"/>
      <c r="B408" s="55"/>
      <c r="C408" s="56" t="str">
        <f ca="1">IFERROR(__xludf.DUMMYFUNCTION("""COMPUTED_VALUE"""),"الحر")</f>
        <v>الحر</v>
      </c>
      <c r="D408" s="56"/>
      <c r="E408" s="26"/>
      <c r="F408" s="26"/>
      <c r="G408" s="26"/>
      <c r="H408" s="26"/>
      <c r="I408" s="26"/>
      <c r="J408" s="26"/>
      <c r="K408" s="26"/>
      <c r="L408" s="55"/>
      <c r="M408" s="26"/>
    </row>
    <row r="409" spans="1:13" ht="75" customHeight="1" thickTop="1" thickBot="1">
      <c r="A409" s="34"/>
      <c r="B409" s="55"/>
      <c r="C409" s="56" t="str">
        <f ca="1">IFERROR(__xludf.DUMMYFUNCTION("""COMPUTED_VALUE"""),"الحر")</f>
        <v>الحر</v>
      </c>
      <c r="D409" s="56"/>
      <c r="E409" s="26"/>
      <c r="F409" s="26"/>
      <c r="G409" s="26"/>
      <c r="H409" s="26"/>
      <c r="I409" s="26"/>
      <c r="J409" s="26"/>
      <c r="K409" s="26"/>
      <c r="L409" s="55"/>
      <c r="M409" s="26"/>
    </row>
    <row r="410" spans="1:13" ht="75" customHeight="1" thickTop="1" thickBot="1">
      <c r="A410" s="26"/>
      <c r="B410" s="55"/>
      <c r="C410" s="56" t="str">
        <f ca="1">IFERROR(__xludf.DUMMYFUNCTION("""COMPUTED_VALUE"""),"الحر")</f>
        <v>الحر</v>
      </c>
      <c r="D410" s="56"/>
      <c r="E410" s="26"/>
      <c r="F410" s="26"/>
      <c r="G410" s="26"/>
      <c r="H410" s="26"/>
      <c r="I410" s="26"/>
      <c r="J410" s="26"/>
      <c r="K410" s="26"/>
      <c r="L410" s="55"/>
      <c r="M410" s="26"/>
    </row>
    <row r="411" spans="1:13" ht="75" customHeight="1" thickTop="1" thickBot="1">
      <c r="A411" s="34"/>
      <c r="B411" s="55"/>
      <c r="C411" s="56" t="str">
        <f ca="1">IFERROR(__xludf.DUMMYFUNCTION("""COMPUTED_VALUE"""),"الحر")</f>
        <v>الحر</v>
      </c>
      <c r="D411" s="56"/>
      <c r="E411" s="26"/>
      <c r="F411" s="26"/>
      <c r="G411" s="26"/>
      <c r="H411" s="26"/>
      <c r="I411" s="26"/>
      <c r="J411" s="26"/>
      <c r="K411" s="26"/>
      <c r="L411" s="55"/>
      <c r="M411" s="26"/>
    </row>
    <row r="412" spans="1:13" ht="75" customHeight="1" thickTop="1" thickBot="1">
      <c r="A412" s="26"/>
      <c r="B412" s="55"/>
      <c r="C412" s="56" t="str">
        <f ca="1">IFERROR(__xludf.DUMMYFUNCTION("""COMPUTED_VALUE"""),"الحر")</f>
        <v>الحر</v>
      </c>
      <c r="D412" s="56"/>
      <c r="E412" s="26"/>
      <c r="F412" s="26"/>
      <c r="G412" s="26"/>
      <c r="H412" s="26"/>
      <c r="I412" s="26"/>
      <c r="J412" s="26"/>
      <c r="K412" s="26"/>
      <c r="L412" s="55"/>
      <c r="M412" s="26"/>
    </row>
    <row r="413" spans="1:13" ht="75" customHeight="1" thickTop="1" thickBot="1">
      <c r="A413" s="34"/>
      <c r="B413" s="55"/>
      <c r="C413" s="56" t="str">
        <f ca="1">IFERROR(__xludf.DUMMYFUNCTION("""COMPUTED_VALUE"""),"الحر")</f>
        <v>الحر</v>
      </c>
      <c r="D413" s="56"/>
      <c r="E413" s="26"/>
      <c r="F413" s="26"/>
      <c r="G413" s="26"/>
      <c r="H413" s="26"/>
      <c r="I413" s="26"/>
      <c r="J413" s="26"/>
      <c r="K413" s="26"/>
      <c r="L413" s="55"/>
      <c r="M413" s="26"/>
    </row>
    <row r="414" spans="1:13" ht="75" customHeight="1" thickTop="1" thickBot="1">
      <c r="A414" s="26"/>
      <c r="B414" s="55"/>
      <c r="C414" s="56" t="str">
        <f ca="1">IFERROR(__xludf.DUMMYFUNCTION("""COMPUTED_VALUE"""),"الحر")</f>
        <v>الحر</v>
      </c>
      <c r="D414" s="56"/>
      <c r="E414" s="26"/>
      <c r="F414" s="26"/>
      <c r="G414" s="26"/>
      <c r="H414" s="26"/>
      <c r="I414" s="26"/>
      <c r="J414" s="26"/>
      <c r="K414" s="26"/>
      <c r="L414" s="55"/>
      <c r="M414" s="26"/>
    </row>
    <row r="415" spans="1:13" ht="75" customHeight="1" thickTop="1" thickBot="1">
      <c r="A415" s="34"/>
      <c r="B415" s="55"/>
      <c r="C415" s="56" t="str">
        <f ca="1">IFERROR(__xludf.DUMMYFUNCTION("""COMPUTED_VALUE"""),"الحر")</f>
        <v>الحر</v>
      </c>
      <c r="D415" s="56"/>
      <c r="E415" s="26"/>
      <c r="F415" s="26"/>
      <c r="G415" s="26"/>
      <c r="H415" s="26"/>
      <c r="I415" s="26"/>
      <c r="J415" s="26"/>
      <c r="K415" s="26"/>
      <c r="L415" s="55"/>
      <c r="M415" s="26"/>
    </row>
    <row r="416" spans="1:13" ht="75" customHeight="1" thickTop="1" thickBot="1">
      <c r="A416" s="26"/>
      <c r="B416" s="55"/>
      <c r="C416" s="56" t="str">
        <f ca="1">IFERROR(__xludf.DUMMYFUNCTION("""COMPUTED_VALUE"""),"الحر")</f>
        <v>الحر</v>
      </c>
      <c r="D416" s="56"/>
      <c r="E416" s="26"/>
      <c r="F416" s="26"/>
      <c r="G416" s="26"/>
      <c r="H416" s="26"/>
      <c r="I416" s="26"/>
      <c r="J416" s="26"/>
      <c r="K416" s="26"/>
      <c r="L416" s="55"/>
      <c r="M416" s="26"/>
    </row>
    <row r="417" spans="1:13" ht="75" customHeight="1" thickTop="1" thickBot="1">
      <c r="A417" s="34"/>
      <c r="B417" s="55"/>
      <c r="C417" s="56" t="str">
        <f ca="1">IFERROR(__xludf.DUMMYFUNCTION("""COMPUTED_VALUE"""),"الحر")</f>
        <v>الحر</v>
      </c>
      <c r="D417" s="56"/>
      <c r="E417" s="26"/>
      <c r="F417" s="26"/>
      <c r="G417" s="26"/>
      <c r="H417" s="26"/>
      <c r="I417" s="26"/>
      <c r="J417" s="26"/>
      <c r="K417" s="26"/>
      <c r="L417" s="55"/>
      <c r="M417" s="26"/>
    </row>
    <row r="418" spans="1:13" ht="75" customHeight="1" thickTop="1" thickBot="1">
      <c r="A418" s="26"/>
      <c r="B418" s="55"/>
      <c r="C418" s="56" t="str">
        <f ca="1">IFERROR(__xludf.DUMMYFUNCTION("""COMPUTED_VALUE"""),"الحر")</f>
        <v>الحر</v>
      </c>
      <c r="D418" s="56"/>
      <c r="E418" s="26"/>
      <c r="F418" s="26"/>
      <c r="G418" s="26"/>
      <c r="H418" s="26"/>
      <c r="I418" s="26"/>
      <c r="J418" s="26"/>
      <c r="K418" s="26"/>
      <c r="L418" s="55"/>
      <c r="M418" s="26"/>
    </row>
    <row r="419" spans="1:13" ht="75" customHeight="1" thickTop="1" thickBot="1">
      <c r="A419" s="34"/>
      <c r="B419" s="55"/>
      <c r="C419" s="56" t="str">
        <f ca="1">IFERROR(__xludf.DUMMYFUNCTION("""COMPUTED_VALUE"""),"الحر")</f>
        <v>الحر</v>
      </c>
      <c r="D419" s="56"/>
      <c r="E419" s="26"/>
      <c r="F419" s="26"/>
      <c r="G419" s="26"/>
      <c r="H419" s="26"/>
      <c r="I419" s="26"/>
      <c r="J419" s="26"/>
      <c r="K419" s="26"/>
      <c r="L419" s="55"/>
      <c r="M419" s="26"/>
    </row>
    <row r="420" spans="1:13" ht="75" customHeight="1" thickTop="1" thickBot="1">
      <c r="A420" s="26"/>
      <c r="B420" s="55"/>
      <c r="C420" s="56" t="str">
        <f ca="1">IFERROR(__xludf.DUMMYFUNCTION("""COMPUTED_VALUE"""),"الحر")</f>
        <v>الحر</v>
      </c>
      <c r="D420" s="56"/>
      <c r="E420" s="26"/>
      <c r="F420" s="26"/>
      <c r="G420" s="26"/>
      <c r="H420" s="26"/>
      <c r="I420" s="26"/>
      <c r="J420" s="26"/>
      <c r="K420" s="26"/>
      <c r="L420" s="55"/>
      <c r="M420" s="26"/>
    </row>
    <row r="421" spans="1:13" ht="75" customHeight="1" thickTop="1" thickBot="1">
      <c r="A421" s="34"/>
      <c r="B421" s="55"/>
      <c r="C421" s="56" t="str">
        <f ca="1">IFERROR(__xludf.DUMMYFUNCTION("""COMPUTED_VALUE"""),"الحر")</f>
        <v>الحر</v>
      </c>
      <c r="D421" s="56"/>
      <c r="E421" s="26"/>
      <c r="F421" s="26"/>
      <c r="G421" s="26"/>
      <c r="H421" s="26"/>
      <c r="I421" s="26"/>
      <c r="J421" s="26"/>
      <c r="K421" s="26"/>
      <c r="L421" s="55"/>
      <c r="M421" s="26"/>
    </row>
    <row r="422" spans="1:13" ht="75" customHeight="1" thickTop="1" thickBot="1">
      <c r="A422" s="26"/>
      <c r="B422" s="55"/>
      <c r="C422" s="56" t="str">
        <f ca="1">IFERROR(__xludf.DUMMYFUNCTION("""COMPUTED_VALUE"""),"الحر")</f>
        <v>الحر</v>
      </c>
      <c r="D422" s="56"/>
      <c r="E422" s="26"/>
      <c r="F422" s="26"/>
      <c r="G422" s="26"/>
      <c r="H422" s="26"/>
      <c r="I422" s="26"/>
      <c r="J422" s="26"/>
      <c r="K422" s="26"/>
      <c r="L422" s="55"/>
      <c r="M422" s="26"/>
    </row>
    <row r="423" spans="1:13" ht="75" customHeight="1" thickTop="1" thickBot="1">
      <c r="A423" s="34"/>
      <c r="B423" s="55"/>
      <c r="C423" s="56" t="str">
        <f ca="1">IFERROR(__xludf.DUMMYFUNCTION("""COMPUTED_VALUE"""),"الحر")</f>
        <v>الحر</v>
      </c>
      <c r="D423" s="56"/>
      <c r="E423" s="26"/>
      <c r="F423" s="26"/>
      <c r="G423" s="26"/>
      <c r="H423" s="26"/>
      <c r="I423" s="26"/>
      <c r="J423" s="26"/>
      <c r="K423" s="26"/>
      <c r="L423" s="55"/>
      <c r="M423" s="26"/>
    </row>
    <row r="424" spans="1:13" ht="75" customHeight="1" thickTop="1" thickBot="1">
      <c r="A424" s="26"/>
      <c r="B424" s="55"/>
      <c r="C424" s="56" t="str">
        <f ca="1">IFERROR(__xludf.DUMMYFUNCTION("""COMPUTED_VALUE"""),"الحر")</f>
        <v>الحر</v>
      </c>
      <c r="D424" s="56"/>
      <c r="E424" s="26"/>
      <c r="F424" s="26"/>
      <c r="G424" s="26"/>
      <c r="H424" s="26"/>
      <c r="I424" s="26"/>
      <c r="J424" s="26"/>
      <c r="K424" s="26"/>
      <c r="L424" s="55"/>
      <c r="M424" s="26"/>
    </row>
    <row r="425" spans="1:13" ht="75" customHeight="1" thickTop="1" thickBot="1">
      <c r="A425" s="34"/>
      <c r="B425" s="55"/>
      <c r="C425" s="56" t="str">
        <f ca="1">IFERROR(__xludf.DUMMYFUNCTION("""COMPUTED_VALUE"""),"الحر")</f>
        <v>الحر</v>
      </c>
      <c r="D425" s="56"/>
      <c r="E425" s="26"/>
      <c r="F425" s="26"/>
      <c r="G425" s="26"/>
      <c r="H425" s="26"/>
      <c r="I425" s="26"/>
      <c r="J425" s="26"/>
      <c r="K425" s="26"/>
      <c r="L425" s="55"/>
      <c r="M425" s="26"/>
    </row>
    <row r="426" spans="1:13" ht="75" customHeight="1" thickTop="1" thickBot="1">
      <c r="A426" s="26"/>
      <c r="B426" s="55"/>
      <c r="C426" s="56" t="str">
        <f ca="1">IFERROR(__xludf.DUMMYFUNCTION("""COMPUTED_VALUE"""),"الحر")</f>
        <v>الحر</v>
      </c>
      <c r="D426" s="56"/>
      <c r="E426" s="26"/>
      <c r="F426" s="26"/>
      <c r="G426" s="26"/>
      <c r="H426" s="26"/>
      <c r="I426" s="26"/>
      <c r="J426" s="26"/>
      <c r="K426" s="26"/>
      <c r="L426" s="55"/>
      <c r="M426" s="26"/>
    </row>
    <row r="427" spans="1:13" ht="75" customHeight="1" thickTop="1" thickBot="1">
      <c r="A427" s="34"/>
      <c r="B427" s="55"/>
      <c r="C427" s="56" t="str">
        <f ca="1">IFERROR(__xludf.DUMMYFUNCTION("""COMPUTED_VALUE"""),"الحر")</f>
        <v>الحر</v>
      </c>
      <c r="D427" s="56"/>
      <c r="E427" s="26"/>
      <c r="F427" s="26"/>
      <c r="G427" s="26"/>
      <c r="H427" s="26"/>
      <c r="I427" s="26"/>
      <c r="J427" s="26"/>
      <c r="K427" s="26"/>
      <c r="L427" s="55"/>
      <c r="M427" s="26"/>
    </row>
    <row r="428" spans="1:13" ht="75" customHeight="1" thickTop="1" thickBot="1">
      <c r="A428" s="26"/>
      <c r="B428" s="55"/>
      <c r="C428" s="56" t="str">
        <f ca="1">IFERROR(__xludf.DUMMYFUNCTION("""COMPUTED_VALUE"""),"الحر")</f>
        <v>الحر</v>
      </c>
      <c r="D428" s="56"/>
      <c r="E428" s="26"/>
      <c r="F428" s="26"/>
      <c r="G428" s="26"/>
      <c r="H428" s="26"/>
      <c r="I428" s="26"/>
      <c r="J428" s="26"/>
      <c r="K428" s="26"/>
      <c r="L428" s="55"/>
      <c r="M428" s="26"/>
    </row>
    <row r="429" spans="1:13" ht="75" customHeight="1" thickTop="1" thickBot="1">
      <c r="A429" s="34"/>
      <c r="B429" s="55"/>
      <c r="C429" s="56" t="str">
        <f ca="1">IFERROR(__xludf.DUMMYFUNCTION("""COMPUTED_VALUE"""),"الحر")</f>
        <v>الحر</v>
      </c>
      <c r="D429" s="56"/>
      <c r="E429" s="26"/>
      <c r="F429" s="26"/>
      <c r="G429" s="26"/>
      <c r="H429" s="26"/>
      <c r="I429" s="26"/>
      <c r="J429" s="26"/>
      <c r="K429" s="26"/>
      <c r="L429" s="55"/>
      <c r="M429" s="26"/>
    </row>
    <row r="430" spans="1:13" ht="75" customHeight="1" thickTop="1" thickBot="1">
      <c r="A430" s="26"/>
      <c r="B430" s="55"/>
      <c r="C430" s="56" t="str">
        <f ca="1">IFERROR(__xludf.DUMMYFUNCTION("""COMPUTED_VALUE"""),"الحر")</f>
        <v>الحر</v>
      </c>
      <c r="D430" s="56"/>
      <c r="E430" s="26"/>
      <c r="F430" s="26"/>
      <c r="G430" s="26"/>
      <c r="H430" s="26"/>
      <c r="I430" s="26"/>
      <c r="J430" s="26"/>
      <c r="K430" s="26"/>
      <c r="L430" s="55"/>
      <c r="M430" s="26"/>
    </row>
    <row r="431" spans="1:13" ht="75" customHeight="1" thickTop="1" thickBot="1">
      <c r="A431" s="34"/>
      <c r="B431" s="55"/>
      <c r="C431" s="56" t="str">
        <f ca="1">IFERROR(__xludf.DUMMYFUNCTION("""COMPUTED_VALUE"""),"الحر")</f>
        <v>الحر</v>
      </c>
      <c r="D431" s="56"/>
      <c r="E431" s="26"/>
      <c r="F431" s="26"/>
      <c r="G431" s="26"/>
      <c r="H431" s="26"/>
      <c r="I431" s="26"/>
      <c r="J431" s="26"/>
      <c r="K431" s="26"/>
      <c r="L431" s="55"/>
      <c r="M431" s="26"/>
    </row>
    <row r="432" spans="1:13" ht="75" customHeight="1" thickTop="1" thickBot="1">
      <c r="A432" s="26"/>
      <c r="B432" s="55"/>
      <c r="C432" s="56" t="str">
        <f ca="1">IFERROR(__xludf.DUMMYFUNCTION("""COMPUTED_VALUE"""),"الحر")</f>
        <v>الحر</v>
      </c>
      <c r="D432" s="56"/>
      <c r="E432" s="26"/>
      <c r="F432" s="26"/>
      <c r="G432" s="26"/>
      <c r="H432" s="26"/>
      <c r="I432" s="26"/>
      <c r="J432" s="26"/>
      <c r="K432" s="26"/>
      <c r="L432" s="55"/>
      <c r="M432" s="26"/>
    </row>
    <row r="433" spans="1:13" ht="75" customHeight="1" thickTop="1" thickBot="1">
      <c r="A433" s="34"/>
      <c r="B433" s="55"/>
      <c r="C433" s="56" t="str">
        <f ca="1">IFERROR(__xludf.DUMMYFUNCTION("""COMPUTED_VALUE"""),"الحر")</f>
        <v>الحر</v>
      </c>
      <c r="D433" s="56"/>
      <c r="E433" s="26"/>
      <c r="F433" s="26"/>
      <c r="G433" s="26"/>
      <c r="H433" s="26"/>
      <c r="I433" s="26"/>
      <c r="J433" s="26"/>
      <c r="K433" s="26"/>
      <c r="L433" s="55"/>
      <c r="M433" s="26"/>
    </row>
    <row r="434" spans="1:13" ht="75" customHeight="1" thickTop="1" thickBot="1">
      <c r="A434" s="26"/>
      <c r="B434" s="55"/>
      <c r="C434" s="56" t="str">
        <f ca="1">IFERROR(__xludf.DUMMYFUNCTION("""COMPUTED_VALUE"""),"الحر")</f>
        <v>الحر</v>
      </c>
      <c r="D434" s="56"/>
      <c r="E434" s="26"/>
      <c r="F434" s="26"/>
      <c r="G434" s="26"/>
      <c r="H434" s="26"/>
      <c r="I434" s="26"/>
      <c r="J434" s="26"/>
      <c r="K434" s="26"/>
      <c r="L434" s="55"/>
      <c r="M434" s="26"/>
    </row>
    <row r="435" spans="1:13" ht="75" customHeight="1" thickTop="1" thickBot="1">
      <c r="A435" s="34"/>
      <c r="B435" s="55"/>
      <c r="C435" s="56" t="str">
        <f ca="1">IFERROR(__xludf.DUMMYFUNCTION("""COMPUTED_VALUE"""),"الحر")</f>
        <v>الحر</v>
      </c>
      <c r="D435" s="56"/>
      <c r="E435" s="26"/>
      <c r="F435" s="26"/>
      <c r="G435" s="26"/>
      <c r="H435" s="26"/>
      <c r="I435" s="26"/>
      <c r="J435" s="26"/>
      <c r="K435" s="26"/>
      <c r="L435" s="55"/>
      <c r="M435" s="26"/>
    </row>
    <row r="436" spans="1:13" ht="75" customHeight="1" thickTop="1" thickBot="1">
      <c r="A436" s="26"/>
      <c r="B436" s="55"/>
      <c r="C436" s="56" t="str">
        <f ca="1">IFERROR(__xludf.DUMMYFUNCTION("""COMPUTED_VALUE"""),"الحر")</f>
        <v>الحر</v>
      </c>
      <c r="D436" s="56"/>
      <c r="E436" s="26"/>
      <c r="F436" s="26"/>
      <c r="G436" s="26"/>
      <c r="H436" s="26"/>
      <c r="I436" s="26"/>
      <c r="J436" s="26"/>
      <c r="K436" s="26"/>
      <c r="L436" s="55"/>
      <c r="M436" s="26"/>
    </row>
    <row r="437" spans="1:13" ht="75" customHeight="1" thickTop="1" thickBot="1">
      <c r="A437" s="34"/>
      <c r="B437" s="55"/>
      <c r="C437" s="56" t="str">
        <f ca="1">IFERROR(__xludf.DUMMYFUNCTION("""COMPUTED_VALUE"""),"الحر")</f>
        <v>الحر</v>
      </c>
      <c r="D437" s="56"/>
      <c r="E437" s="26"/>
      <c r="F437" s="26"/>
      <c r="G437" s="26"/>
      <c r="H437" s="26"/>
      <c r="I437" s="26"/>
      <c r="J437" s="26"/>
      <c r="K437" s="26"/>
      <c r="L437" s="55"/>
      <c r="M437" s="26"/>
    </row>
    <row r="438" spans="1:13" ht="75" customHeight="1" thickTop="1" thickBot="1">
      <c r="A438" s="26"/>
      <c r="B438" s="55"/>
      <c r="C438" s="56" t="str">
        <f ca="1">IFERROR(__xludf.DUMMYFUNCTION("""COMPUTED_VALUE"""),"الحر")</f>
        <v>الحر</v>
      </c>
      <c r="D438" s="56"/>
      <c r="E438" s="26"/>
      <c r="F438" s="26"/>
      <c r="G438" s="26"/>
      <c r="H438" s="26"/>
      <c r="I438" s="26"/>
      <c r="J438" s="26"/>
      <c r="K438" s="26"/>
      <c r="L438" s="55"/>
      <c r="M438" s="26"/>
    </row>
    <row r="439" spans="1:13" ht="75" customHeight="1" thickTop="1" thickBot="1">
      <c r="A439" s="34"/>
      <c r="B439" s="55"/>
      <c r="C439" s="56" t="str">
        <f ca="1">IFERROR(__xludf.DUMMYFUNCTION("""COMPUTED_VALUE"""),"الحر")</f>
        <v>الحر</v>
      </c>
      <c r="D439" s="56"/>
      <c r="E439" s="26"/>
      <c r="F439" s="26"/>
      <c r="G439" s="26"/>
      <c r="H439" s="26"/>
      <c r="I439" s="26"/>
      <c r="J439" s="26"/>
      <c r="K439" s="26"/>
      <c r="L439" s="55"/>
      <c r="M439" s="26"/>
    </row>
    <row r="440" spans="1:13" ht="75" customHeight="1" thickTop="1" thickBot="1">
      <c r="A440" s="26"/>
      <c r="B440" s="55"/>
      <c r="C440" s="56" t="str">
        <f ca="1">IFERROR(__xludf.DUMMYFUNCTION("""COMPUTED_VALUE"""),"الحر")</f>
        <v>الحر</v>
      </c>
      <c r="D440" s="56"/>
      <c r="E440" s="26"/>
      <c r="F440" s="26"/>
      <c r="G440" s="26"/>
      <c r="H440" s="26"/>
      <c r="I440" s="26"/>
      <c r="J440" s="26"/>
      <c r="K440" s="26"/>
      <c r="L440" s="55"/>
      <c r="M440" s="26"/>
    </row>
    <row r="441" spans="1:13" ht="75" customHeight="1" thickTop="1" thickBot="1">
      <c r="A441" s="34"/>
      <c r="B441" s="55"/>
      <c r="C441" s="56" t="str">
        <f ca="1">IFERROR(__xludf.DUMMYFUNCTION("""COMPUTED_VALUE"""),"الحر")</f>
        <v>الحر</v>
      </c>
      <c r="D441" s="56"/>
      <c r="E441" s="26"/>
      <c r="F441" s="26"/>
      <c r="G441" s="26"/>
      <c r="H441" s="26"/>
      <c r="I441" s="26"/>
      <c r="J441" s="26"/>
      <c r="K441" s="26"/>
      <c r="L441" s="55"/>
      <c r="M441" s="26"/>
    </row>
    <row r="442" spans="1:13" ht="75" customHeight="1" thickTop="1" thickBot="1">
      <c r="A442" s="26"/>
      <c r="B442" s="55"/>
      <c r="C442" s="56" t="str">
        <f ca="1">IFERROR(__xludf.DUMMYFUNCTION("""COMPUTED_VALUE"""),"الحر")</f>
        <v>الحر</v>
      </c>
      <c r="D442" s="56"/>
      <c r="E442" s="26"/>
      <c r="F442" s="26"/>
      <c r="G442" s="26"/>
      <c r="H442" s="26"/>
      <c r="I442" s="26"/>
      <c r="J442" s="26"/>
      <c r="K442" s="26"/>
      <c r="L442" s="55"/>
      <c r="M442" s="26"/>
    </row>
    <row r="443" spans="1:13" ht="75" customHeight="1" thickTop="1" thickBot="1">
      <c r="A443" s="34"/>
      <c r="B443" s="55"/>
      <c r="C443" s="56" t="str">
        <f ca="1">IFERROR(__xludf.DUMMYFUNCTION("""COMPUTED_VALUE"""),"الحر")</f>
        <v>الحر</v>
      </c>
      <c r="D443" s="56"/>
      <c r="E443" s="26"/>
      <c r="F443" s="26"/>
      <c r="G443" s="26"/>
      <c r="H443" s="26"/>
      <c r="I443" s="26"/>
      <c r="J443" s="26"/>
      <c r="K443" s="26"/>
      <c r="L443" s="55"/>
      <c r="M443" s="26"/>
    </row>
    <row r="444" spans="1:13" ht="75" customHeight="1" thickTop="1" thickBot="1">
      <c r="A444" s="26"/>
      <c r="B444" s="55"/>
      <c r="C444" s="56" t="str">
        <f ca="1">IFERROR(__xludf.DUMMYFUNCTION("""COMPUTED_VALUE"""),"الحر")</f>
        <v>الحر</v>
      </c>
      <c r="D444" s="56"/>
      <c r="E444" s="26"/>
      <c r="F444" s="26"/>
      <c r="G444" s="26"/>
      <c r="H444" s="26"/>
      <c r="I444" s="26"/>
      <c r="J444" s="26"/>
      <c r="K444" s="26"/>
      <c r="L444" s="55"/>
      <c r="M444" s="26"/>
    </row>
    <row r="445" spans="1:13" ht="75" customHeight="1" thickTop="1" thickBot="1">
      <c r="A445" s="34"/>
      <c r="B445" s="55"/>
      <c r="C445" s="56" t="str">
        <f ca="1">IFERROR(__xludf.DUMMYFUNCTION("""COMPUTED_VALUE"""),"الحر")</f>
        <v>الحر</v>
      </c>
      <c r="D445" s="56"/>
      <c r="E445" s="26"/>
      <c r="F445" s="26"/>
      <c r="G445" s="26"/>
      <c r="H445" s="26"/>
      <c r="I445" s="26"/>
      <c r="J445" s="26"/>
      <c r="K445" s="26"/>
      <c r="L445" s="55"/>
      <c r="M445" s="26"/>
    </row>
    <row r="446" spans="1:13" ht="75" customHeight="1" thickTop="1" thickBot="1">
      <c r="A446" s="26"/>
      <c r="B446" s="55"/>
      <c r="C446" s="56" t="str">
        <f ca="1">IFERROR(__xludf.DUMMYFUNCTION("""COMPUTED_VALUE"""),"الحر")</f>
        <v>الحر</v>
      </c>
      <c r="D446" s="56"/>
      <c r="E446" s="26"/>
      <c r="F446" s="26"/>
      <c r="G446" s="26"/>
      <c r="H446" s="26"/>
      <c r="I446" s="26"/>
      <c r="J446" s="26"/>
      <c r="K446" s="26"/>
      <c r="L446" s="55"/>
      <c r="M446" s="26"/>
    </row>
    <row r="447" spans="1:13" ht="75" customHeight="1" thickTop="1" thickBot="1">
      <c r="A447" s="34"/>
      <c r="B447" s="55"/>
      <c r="C447" s="56" t="str">
        <f ca="1">IFERROR(__xludf.DUMMYFUNCTION("""COMPUTED_VALUE"""),"الحر")</f>
        <v>الحر</v>
      </c>
      <c r="D447" s="56"/>
      <c r="E447" s="26"/>
      <c r="F447" s="26"/>
      <c r="G447" s="26"/>
      <c r="H447" s="26"/>
      <c r="I447" s="26"/>
      <c r="J447" s="26"/>
      <c r="K447" s="26"/>
      <c r="L447" s="55"/>
      <c r="M447" s="26"/>
    </row>
    <row r="448" spans="1:13" ht="75" customHeight="1" thickTop="1" thickBot="1">
      <c r="A448" s="26"/>
      <c r="B448" s="55"/>
      <c r="C448" s="56" t="str">
        <f ca="1">IFERROR(__xludf.DUMMYFUNCTION("""COMPUTED_VALUE"""),"الحر")</f>
        <v>الحر</v>
      </c>
      <c r="D448" s="56"/>
      <c r="E448" s="26"/>
      <c r="F448" s="26"/>
      <c r="G448" s="26"/>
      <c r="H448" s="26"/>
      <c r="I448" s="26"/>
      <c r="J448" s="26"/>
      <c r="K448" s="26"/>
      <c r="L448" s="55"/>
      <c r="M448" s="26"/>
    </row>
    <row r="449" spans="1:13" ht="75" customHeight="1" thickTop="1" thickBot="1">
      <c r="A449" s="34"/>
      <c r="B449" s="55"/>
      <c r="C449" s="56" t="str">
        <f ca="1">IFERROR(__xludf.DUMMYFUNCTION("""COMPUTED_VALUE"""),"الحر")</f>
        <v>الحر</v>
      </c>
      <c r="D449" s="56"/>
      <c r="E449" s="26"/>
      <c r="F449" s="26"/>
      <c r="G449" s="26"/>
      <c r="H449" s="26"/>
      <c r="I449" s="26"/>
      <c r="J449" s="26"/>
      <c r="K449" s="26"/>
      <c r="L449" s="55"/>
      <c r="M449" s="26"/>
    </row>
    <row r="450" spans="1:13" ht="75" customHeight="1" thickTop="1" thickBot="1">
      <c r="A450" s="26"/>
      <c r="B450" s="55"/>
      <c r="C450" s="56" t="str">
        <f ca="1">IFERROR(__xludf.DUMMYFUNCTION("""COMPUTED_VALUE"""),"الحر")</f>
        <v>الحر</v>
      </c>
      <c r="D450" s="56"/>
      <c r="E450" s="26"/>
      <c r="F450" s="26"/>
      <c r="G450" s="26"/>
      <c r="H450" s="26"/>
      <c r="I450" s="26"/>
      <c r="J450" s="26"/>
      <c r="K450" s="26"/>
      <c r="L450" s="55"/>
      <c r="M450" s="26"/>
    </row>
    <row r="451" spans="1:13" ht="75" customHeight="1" thickTop="1" thickBot="1">
      <c r="A451" s="34"/>
      <c r="B451" s="55"/>
      <c r="C451" s="56" t="str">
        <f ca="1">IFERROR(__xludf.DUMMYFUNCTION("""COMPUTED_VALUE"""),"الحر")</f>
        <v>الحر</v>
      </c>
      <c r="D451" s="56"/>
      <c r="E451" s="26"/>
      <c r="F451" s="26"/>
      <c r="G451" s="26"/>
      <c r="H451" s="26"/>
      <c r="I451" s="26"/>
      <c r="J451" s="26"/>
      <c r="K451" s="26"/>
      <c r="L451" s="55"/>
      <c r="M451" s="26"/>
    </row>
    <row r="452" spans="1:13" ht="75" customHeight="1" thickTop="1" thickBot="1">
      <c r="A452" s="26"/>
      <c r="B452" s="55"/>
      <c r="C452" s="56" t="str">
        <f ca="1">IFERROR(__xludf.DUMMYFUNCTION("""COMPUTED_VALUE"""),"الحر")</f>
        <v>الحر</v>
      </c>
      <c r="D452" s="56"/>
      <c r="E452" s="26"/>
      <c r="F452" s="26"/>
      <c r="G452" s="26"/>
      <c r="H452" s="26"/>
      <c r="I452" s="26"/>
      <c r="J452" s="26"/>
      <c r="K452" s="26"/>
      <c r="L452" s="55"/>
      <c r="M452" s="26"/>
    </row>
    <row r="453" spans="1:13" ht="75" customHeight="1" thickTop="1" thickBot="1">
      <c r="A453" s="34"/>
      <c r="B453" s="55"/>
      <c r="C453" s="56" t="str">
        <f ca="1">IFERROR(__xludf.DUMMYFUNCTION("""COMPUTED_VALUE"""),"الحر")</f>
        <v>الحر</v>
      </c>
      <c r="D453" s="56"/>
      <c r="E453" s="26"/>
      <c r="F453" s="26"/>
      <c r="G453" s="26"/>
      <c r="H453" s="26"/>
      <c r="I453" s="26"/>
      <c r="J453" s="26"/>
      <c r="K453" s="26"/>
      <c r="L453" s="55"/>
      <c r="M453" s="26"/>
    </row>
    <row r="454" spans="1:13" ht="75" customHeight="1" thickTop="1" thickBot="1">
      <c r="A454" s="26"/>
      <c r="B454" s="55"/>
      <c r="C454" s="56" t="str">
        <f ca="1">IFERROR(__xludf.DUMMYFUNCTION("""COMPUTED_VALUE"""),"الحر")</f>
        <v>الحر</v>
      </c>
      <c r="D454" s="56"/>
      <c r="E454" s="26"/>
      <c r="F454" s="26"/>
      <c r="G454" s="26"/>
      <c r="H454" s="26"/>
      <c r="I454" s="26"/>
      <c r="J454" s="26"/>
      <c r="K454" s="26"/>
      <c r="L454" s="55"/>
      <c r="M454" s="26"/>
    </row>
    <row r="455" spans="1:13" ht="75" customHeight="1" thickTop="1" thickBot="1">
      <c r="A455" s="34"/>
      <c r="B455" s="55"/>
      <c r="C455" s="56" t="str">
        <f ca="1">IFERROR(__xludf.DUMMYFUNCTION("""COMPUTED_VALUE"""),"الحر")</f>
        <v>الحر</v>
      </c>
      <c r="D455" s="56"/>
      <c r="E455" s="26"/>
      <c r="F455" s="26"/>
      <c r="G455" s="26"/>
      <c r="H455" s="26"/>
      <c r="I455" s="26"/>
      <c r="J455" s="26"/>
      <c r="K455" s="26"/>
      <c r="L455" s="55"/>
      <c r="M455" s="26"/>
    </row>
    <row r="456" spans="1:13" ht="75" customHeight="1" thickTop="1" thickBot="1">
      <c r="A456" s="26"/>
      <c r="B456" s="55"/>
      <c r="C456" s="56" t="str">
        <f ca="1">IFERROR(__xludf.DUMMYFUNCTION("""COMPUTED_VALUE"""),"الحر")</f>
        <v>الحر</v>
      </c>
      <c r="D456" s="56"/>
      <c r="E456" s="26"/>
      <c r="F456" s="26"/>
      <c r="G456" s="26"/>
      <c r="H456" s="26"/>
      <c r="I456" s="26"/>
      <c r="J456" s="26"/>
      <c r="K456" s="26"/>
      <c r="L456" s="55"/>
      <c r="M456" s="26"/>
    </row>
    <row r="457" spans="1:13" ht="75" customHeight="1" thickTop="1" thickBot="1">
      <c r="A457" s="34"/>
      <c r="B457" s="55"/>
      <c r="C457" s="56" t="str">
        <f ca="1">IFERROR(__xludf.DUMMYFUNCTION("""COMPUTED_VALUE"""),"الحر")</f>
        <v>الحر</v>
      </c>
      <c r="D457" s="56"/>
      <c r="E457" s="26"/>
      <c r="F457" s="26"/>
      <c r="G457" s="26"/>
      <c r="H457" s="26"/>
      <c r="I457" s="26"/>
      <c r="J457" s="26"/>
      <c r="K457" s="26"/>
      <c r="L457" s="55"/>
      <c r="M457" s="26"/>
    </row>
    <row r="458" spans="1:13" ht="75" customHeight="1" thickTop="1" thickBot="1">
      <c r="A458" s="26"/>
      <c r="B458" s="55"/>
      <c r="C458" s="56" t="str">
        <f ca="1">IFERROR(__xludf.DUMMYFUNCTION("""COMPUTED_VALUE"""),"الحر")</f>
        <v>الحر</v>
      </c>
      <c r="D458" s="56"/>
      <c r="E458" s="26"/>
      <c r="F458" s="26"/>
      <c r="G458" s="26"/>
      <c r="H458" s="26"/>
      <c r="I458" s="26"/>
      <c r="J458" s="26"/>
      <c r="K458" s="26"/>
      <c r="L458" s="55"/>
      <c r="M458" s="26"/>
    </row>
    <row r="459" spans="1:13" ht="75" customHeight="1" thickTop="1" thickBot="1">
      <c r="A459" s="34"/>
      <c r="B459" s="55"/>
      <c r="C459" s="56" t="str">
        <f ca="1">IFERROR(__xludf.DUMMYFUNCTION("""COMPUTED_VALUE"""),"الحر")</f>
        <v>الحر</v>
      </c>
      <c r="D459" s="56"/>
      <c r="E459" s="26"/>
      <c r="F459" s="26"/>
      <c r="G459" s="26"/>
      <c r="H459" s="26"/>
      <c r="I459" s="26"/>
      <c r="J459" s="26"/>
      <c r="K459" s="26"/>
      <c r="L459" s="55"/>
      <c r="M459" s="26"/>
    </row>
    <row r="460" spans="1:13" ht="75" customHeight="1" thickTop="1" thickBot="1">
      <c r="A460" s="26"/>
      <c r="B460" s="55"/>
      <c r="C460" s="56" t="str">
        <f ca="1">IFERROR(__xludf.DUMMYFUNCTION("""COMPUTED_VALUE"""),"الحر")</f>
        <v>الحر</v>
      </c>
      <c r="D460" s="56"/>
      <c r="E460" s="26"/>
      <c r="F460" s="26"/>
      <c r="G460" s="26"/>
      <c r="H460" s="26"/>
      <c r="I460" s="26"/>
      <c r="J460" s="26"/>
      <c r="K460" s="26"/>
      <c r="L460" s="55"/>
      <c r="M460" s="26"/>
    </row>
    <row r="461" spans="1:13" ht="75" customHeight="1" thickTop="1" thickBot="1">
      <c r="A461" s="34"/>
      <c r="B461" s="55"/>
      <c r="C461" s="56" t="str">
        <f ca="1">IFERROR(__xludf.DUMMYFUNCTION("""COMPUTED_VALUE"""),"الحر")</f>
        <v>الحر</v>
      </c>
      <c r="D461" s="56"/>
      <c r="E461" s="26"/>
      <c r="F461" s="26"/>
      <c r="G461" s="26"/>
      <c r="H461" s="26"/>
      <c r="I461" s="26"/>
      <c r="J461" s="26"/>
      <c r="K461" s="26"/>
      <c r="L461" s="55"/>
      <c r="M461" s="26"/>
    </row>
    <row r="462" spans="1:13" ht="75" customHeight="1" thickTop="1" thickBot="1">
      <c r="A462" s="26"/>
      <c r="B462" s="55"/>
      <c r="C462" s="56" t="str">
        <f ca="1">IFERROR(__xludf.DUMMYFUNCTION("""COMPUTED_VALUE"""),"الحر")</f>
        <v>الحر</v>
      </c>
      <c r="D462" s="56"/>
      <c r="E462" s="26"/>
      <c r="F462" s="26"/>
      <c r="G462" s="26"/>
      <c r="H462" s="26"/>
      <c r="I462" s="26"/>
      <c r="J462" s="26"/>
      <c r="K462" s="26"/>
      <c r="L462" s="55"/>
      <c r="M462" s="26"/>
    </row>
    <row r="463" spans="1:13" ht="75" customHeight="1" thickTop="1" thickBot="1">
      <c r="A463" s="34"/>
      <c r="B463" s="55"/>
      <c r="C463" s="56" t="str">
        <f ca="1">IFERROR(__xludf.DUMMYFUNCTION("""COMPUTED_VALUE"""),"الحر")</f>
        <v>الحر</v>
      </c>
      <c r="D463" s="56"/>
      <c r="E463" s="26"/>
      <c r="F463" s="26"/>
      <c r="G463" s="26"/>
      <c r="H463" s="26"/>
      <c r="I463" s="26"/>
      <c r="J463" s="26"/>
      <c r="K463" s="26"/>
      <c r="L463" s="55"/>
      <c r="M463" s="26"/>
    </row>
    <row r="464" spans="1:13" ht="75" customHeight="1" thickTop="1" thickBot="1">
      <c r="A464" s="26"/>
      <c r="B464" s="55"/>
      <c r="C464" s="56" t="str">
        <f ca="1">IFERROR(__xludf.DUMMYFUNCTION("""COMPUTED_VALUE"""),"الحر")</f>
        <v>الحر</v>
      </c>
      <c r="D464" s="56"/>
      <c r="E464" s="26"/>
      <c r="F464" s="26"/>
      <c r="G464" s="26"/>
      <c r="H464" s="26"/>
      <c r="I464" s="26"/>
      <c r="J464" s="26"/>
      <c r="K464" s="26"/>
      <c r="L464" s="55"/>
      <c r="M464" s="26"/>
    </row>
    <row r="465" spans="1:13" ht="75" customHeight="1" thickTop="1" thickBot="1">
      <c r="A465" s="34"/>
      <c r="B465" s="55"/>
      <c r="C465" s="56" t="str">
        <f ca="1">IFERROR(__xludf.DUMMYFUNCTION("""COMPUTED_VALUE"""),"الحر")</f>
        <v>الحر</v>
      </c>
      <c r="D465" s="56"/>
      <c r="E465" s="26"/>
      <c r="F465" s="26"/>
      <c r="G465" s="26"/>
      <c r="H465" s="26"/>
      <c r="I465" s="26"/>
      <c r="J465" s="26"/>
      <c r="K465" s="26"/>
      <c r="L465" s="55"/>
      <c r="M465" s="26"/>
    </row>
    <row r="466" spans="1:13" ht="75" customHeight="1" thickTop="1" thickBot="1">
      <c r="A466" s="26"/>
      <c r="B466" s="55"/>
      <c r="C466" s="56" t="str">
        <f ca="1">IFERROR(__xludf.DUMMYFUNCTION("""COMPUTED_VALUE"""),"الحر")</f>
        <v>الحر</v>
      </c>
      <c r="D466" s="56"/>
      <c r="E466" s="26"/>
      <c r="F466" s="26"/>
      <c r="G466" s="26"/>
      <c r="H466" s="26"/>
      <c r="I466" s="26"/>
      <c r="J466" s="26"/>
      <c r="K466" s="26"/>
      <c r="L466" s="55"/>
      <c r="M466" s="26"/>
    </row>
    <row r="467" spans="1:13" ht="75" customHeight="1" thickTop="1" thickBot="1">
      <c r="A467" s="34"/>
      <c r="B467" s="55"/>
      <c r="C467" s="56" t="str">
        <f ca="1">IFERROR(__xludf.DUMMYFUNCTION("""COMPUTED_VALUE"""),"الحر")</f>
        <v>الحر</v>
      </c>
      <c r="D467" s="56"/>
      <c r="E467" s="26"/>
      <c r="F467" s="26"/>
      <c r="G467" s="26"/>
      <c r="H467" s="26"/>
      <c r="I467" s="26"/>
      <c r="J467" s="26"/>
      <c r="K467" s="26"/>
      <c r="L467" s="55"/>
      <c r="M467" s="26"/>
    </row>
    <row r="468" spans="1:13" ht="75" customHeight="1" thickTop="1" thickBot="1">
      <c r="A468" s="26"/>
      <c r="B468" s="55"/>
      <c r="C468" s="56" t="str">
        <f ca="1">IFERROR(__xludf.DUMMYFUNCTION("""COMPUTED_VALUE"""),"الحر")</f>
        <v>الحر</v>
      </c>
      <c r="D468" s="56"/>
      <c r="E468" s="26"/>
      <c r="F468" s="26"/>
      <c r="G468" s="26"/>
      <c r="H468" s="26"/>
      <c r="I468" s="26"/>
      <c r="J468" s="26"/>
      <c r="K468" s="26"/>
      <c r="L468" s="55"/>
      <c r="M468" s="26"/>
    </row>
    <row r="469" spans="1:13" ht="75" customHeight="1" thickTop="1" thickBot="1">
      <c r="A469" s="34"/>
      <c r="B469" s="55"/>
      <c r="C469" s="56" t="str">
        <f ca="1">IFERROR(__xludf.DUMMYFUNCTION("""COMPUTED_VALUE"""),"الحر")</f>
        <v>الحر</v>
      </c>
      <c r="D469" s="56"/>
      <c r="E469" s="26"/>
      <c r="F469" s="26"/>
      <c r="G469" s="26"/>
      <c r="H469" s="26"/>
      <c r="I469" s="26"/>
      <c r="J469" s="26"/>
      <c r="K469" s="26"/>
      <c r="L469" s="55"/>
      <c r="M469" s="26"/>
    </row>
    <row r="470" spans="1:13" ht="75" customHeight="1" thickTop="1" thickBot="1">
      <c r="A470" s="26"/>
      <c r="B470" s="55"/>
      <c r="C470" s="56" t="str">
        <f ca="1">IFERROR(__xludf.DUMMYFUNCTION("""COMPUTED_VALUE"""),"الحر")</f>
        <v>الحر</v>
      </c>
      <c r="D470" s="56"/>
      <c r="E470" s="26"/>
      <c r="F470" s="26"/>
      <c r="G470" s="26"/>
      <c r="H470" s="26"/>
      <c r="I470" s="26"/>
      <c r="J470" s="26"/>
      <c r="K470" s="26"/>
      <c r="L470" s="55"/>
      <c r="M470" s="26"/>
    </row>
    <row r="471" spans="1:13" ht="75" customHeight="1" thickTop="1" thickBot="1">
      <c r="A471" s="34"/>
      <c r="B471" s="55"/>
      <c r="C471" s="56" t="str">
        <f ca="1">IFERROR(__xludf.DUMMYFUNCTION("""COMPUTED_VALUE"""),"الحر")</f>
        <v>الحر</v>
      </c>
      <c r="D471" s="56"/>
      <c r="E471" s="26"/>
      <c r="F471" s="26"/>
      <c r="G471" s="26"/>
      <c r="H471" s="26"/>
      <c r="I471" s="26"/>
      <c r="J471" s="26"/>
      <c r="K471" s="26"/>
      <c r="L471" s="55"/>
      <c r="M471" s="26"/>
    </row>
    <row r="472" spans="1:13" ht="75" customHeight="1" thickTop="1" thickBot="1">
      <c r="A472" s="26"/>
      <c r="B472" s="55"/>
      <c r="C472" s="56" t="str">
        <f ca="1">IFERROR(__xludf.DUMMYFUNCTION("""COMPUTED_VALUE"""),"الحر")</f>
        <v>الحر</v>
      </c>
      <c r="D472" s="56"/>
      <c r="E472" s="26"/>
      <c r="F472" s="26"/>
      <c r="G472" s="26"/>
      <c r="H472" s="26"/>
      <c r="I472" s="26"/>
      <c r="J472" s="26"/>
      <c r="K472" s="26"/>
      <c r="L472" s="55"/>
      <c r="M472" s="26"/>
    </row>
    <row r="473" spans="1:13" ht="75" customHeight="1" thickTop="1" thickBot="1">
      <c r="A473" s="34"/>
      <c r="B473" s="55"/>
      <c r="C473" s="56" t="str">
        <f ca="1">IFERROR(__xludf.DUMMYFUNCTION("""COMPUTED_VALUE"""),"الحر")</f>
        <v>الحر</v>
      </c>
      <c r="D473" s="56"/>
      <c r="E473" s="26"/>
      <c r="F473" s="26"/>
      <c r="G473" s="26"/>
      <c r="H473" s="26"/>
      <c r="I473" s="26"/>
      <c r="J473" s="26"/>
      <c r="K473" s="26"/>
      <c r="L473" s="55"/>
      <c r="M473" s="26"/>
    </row>
    <row r="474" spans="1:13" ht="75" customHeight="1" thickTop="1" thickBot="1">
      <c r="A474" s="26"/>
      <c r="B474" s="55"/>
      <c r="C474" s="56" t="str">
        <f ca="1">IFERROR(__xludf.DUMMYFUNCTION("""COMPUTED_VALUE"""),"الحر")</f>
        <v>الحر</v>
      </c>
      <c r="D474" s="56"/>
      <c r="E474" s="26"/>
      <c r="F474" s="26"/>
      <c r="G474" s="26"/>
      <c r="H474" s="26"/>
      <c r="I474" s="26"/>
      <c r="J474" s="26"/>
      <c r="K474" s="26"/>
      <c r="L474" s="55"/>
      <c r="M474" s="26"/>
    </row>
    <row r="475" spans="1:13" ht="75" customHeight="1" thickTop="1" thickBot="1">
      <c r="A475" s="34"/>
      <c r="B475" s="55"/>
      <c r="C475" s="56" t="str">
        <f ca="1">IFERROR(__xludf.DUMMYFUNCTION("""COMPUTED_VALUE"""),"الحر")</f>
        <v>الحر</v>
      </c>
      <c r="D475" s="56"/>
      <c r="E475" s="26"/>
      <c r="F475" s="26"/>
      <c r="G475" s="26"/>
      <c r="H475" s="26"/>
      <c r="I475" s="26"/>
      <c r="J475" s="26"/>
      <c r="K475" s="26"/>
      <c r="L475" s="55"/>
      <c r="M475" s="26"/>
    </row>
    <row r="476" spans="1:13" ht="75" customHeight="1" thickTop="1" thickBot="1">
      <c r="A476" s="26"/>
      <c r="B476" s="55"/>
      <c r="C476" s="56" t="str">
        <f ca="1">IFERROR(__xludf.DUMMYFUNCTION("""COMPUTED_VALUE"""),"الحر")</f>
        <v>الحر</v>
      </c>
      <c r="D476" s="56"/>
      <c r="E476" s="26"/>
      <c r="F476" s="26"/>
      <c r="G476" s="26"/>
      <c r="H476" s="26"/>
      <c r="I476" s="26"/>
      <c r="J476" s="26"/>
      <c r="K476" s="26"/>
      <c r="L476" s="55"/>
      <c r="M476" s="26"/>
    </row>
    <row r="477" spans="1:13" ht="75" customHeight="1" thickTop="1" thickBot="1">
      <c r="A477" s="34"/>
      <c r="B477" s="55"/>
      <c r="C477" s="56" t="str">
        <f ca="1">IFERROR(__xludf.DUMMYFUNCTION("""COMPUTED_VALUE"""),"الحر")</f>
        <v>الحر</v>
      </c>
      <c r="D477" s="56"/>
      <c r="E477" s="26"/>
      <c r="F477" s="26"/>
      <c r="G477" s="26"/>
      <c r="H477" s="26"/>
      <c r="I477" s="26"/>
      <c r="J477" s="26"/>
      <c r="K477" s="26"/>
      <c r="L477" s="55"/>
      <c r="M477" s="26"/>
    </row>
    <row r="478" spans="1:13" ht="75" customHeight="1" thickTop="1" thickBot="1">
      <c r="A478" s="26"/>
      <c r="B478" s="55"/>
      <c r="C478" s="56" t="str">
        <f ca="1">IFERROR(__xludf.DUMMYFUNCTION("""COMPUTED_VALUE"""),"الحر")</f>
        <v>الحر</v>
      </c>
      <c r="D478" s="56"/>
      <c r="E478" s="26"/>
      <c r="F478" s="26"/>
      <c r="G478" s="26"/>
      <c r="H478" s="26"/>
      <c r="I478" s="26"/>
      <c r="J478" s="26"/>
      <c r="K478" s="26"/>
      <c r="L478" s="55"/>
      <c r="M478" s="26"/>
    </row>
    <row r="479" spans="1:13" ht="75" customHeight="1" thickTop="1" thickBot="1">
      <c r="A479" s="34"/>
      <c r="B479" s="55"/>
      <c r="C479" s="56" t="str">
        <f ca="1">IFERROR(__xludf.DUMMYFUNCTION("""COMPUTED_VALUE"""),"الحر")</f>
        <v>الحر</v>
      </c>
      <c r="D479" s="56"/>
      <c r="E479" s="26"/>
      <c r="F479" s="26"/>
      <c r="G479" s="26"/>
      <c r="H479" s="26"/>
      <c r="I479" s="26"/>
      <c r="J479" s="26"/>
      <c r="K479" s="26"/>
      <c r="L479" s="55"/>
      <c r="M479" s="26"/>
    </row>
    <row r="480" spans="1:13" ht="75" customHeight="1" thickTop="1" thickBot="1">
      <c r="A480" s="26"/>
      <c r="B480" s="55"/>
      <c r="C480" s="56" t="str">
        <f ca="1">IFERROR(__xludf.DUMMYFUNCTION("""COMPUTED_VALUE"""),"الحر")</f>
        <v>الحر</v>
      </c>
      <c r="D480" s="56"/>
      <c r="E480" s="26"/>
      <c r="F480" s="26"/>
      <c r="G480" s="26"/>
      <c r="H480" s="26"/>
      <c r="I480" s="26"/>
      <c r="J480" s="26"/>
      <c r="K480" s="26"/>
      <c r="L480" s="55"/>
      <c r="M480" s="26"/>
    </row>
    <row r="481" spans="1:13" ht="75" customHeight="1" thickTop="1" thickBot="1">
      <c r="A481" s="34"/>
      <c r="B481" s="55"/>
      <c r="C481" s="56" t="str">
        <f ca="1">IFERROR(__xludf.DUMMYFUNCTION("""COMPUTED_VALUE"""),"الحر")</f>
        <v>الحر</v>
      </c>
      <c r="D481" s="56"/>
      <c r="E481" s="26"/>
      <c r="F481" s="26"/>
      <c r="G481" s="26"/>
      <c r="H481" s="26"/>
      <c r="I481" s="26"/>
      <c r="J481" s="26"/>
      <c r="K481" s="26"/>
      <c r="L481" s="55"/>
      <c r="M481" s="26"/>
    </row>
    <row r="482" spans="1:13" ht="75" customHeight="1" thickTop="1" thickBot="1">
      <c r="A482" s="26"/>
      <c r="B482" s="55"/>
      <c r="C482" s="56" t="str">
        <f ca="1">IFERROR(__xludf.DUMMYFUNCTION("""COMPUTED_VALUE"""),"الحر")</f>
        <v>الحر</v>
      </c>
      <c r="D482" s="56"/>
      <c r="E482" s="26"/>
      <c r="F482" s="26"/>
      <c r="G482" s="26"/>
      <c r="H482" s="26"/>
      <c r="I482" s="26"/>
      <c r="J482" s="26"/>
      <c r="K482" s="26"/>
      <c r="L482" s="55"/>
      <c r="M482" s="26"/>
    </row>
    <row r="483" spans="1:13" ht="75" customHeight="1" thickTop="1" thickBot="1">
      <c r="A483" s="34"/>
      <c r="B483" s="55"/>
      <c r="C483" s="56" t="str">
        <f ca="1">IFERROR(__xludf.DUMMYFUNCTION("""COMPUTED_VALUE"""),"الحر")</f>
        <v>الحر</v>
      </c>
      <c r="D483" s="56"/>
      <c r="E483" s="26"/>
      <c r="F483" s="26"/>
      <c r="G483" s="26"/>
      <c r="H483" s="26"/>
      <c r="I483" s="26"/>
      <c r="J483" s="26"/>
      <c r="K483" s="26"/>
      <c r="L483" s="55"/>
      <c r="M483" s="26"/>
    </row>
    <row r="484" spans="1:13" ht="75" customHeight="1" thickTop="1" thickBot="1">
      <c r="A484" s="26"/>
      <c r="B484" s="55"/>
      <c r="C484" s="56" t="str">
        <f ca="1">IFERROR(__xludf.DUMMYFUNCTION("""COMPUTED_VALUE"""),"الحر")</f>
        <v>الحر</v>
      </c>
      <c r="D484" s="56"/>
      <c r="E484" s="26"/>
      <c r="F484" s="26"/>
      <c r="G484" s="26"/>
      <c r="H484" s="26"/>
      <c r="I484" s="26"/>
      <c r="J484" s="26"/>
      <c r="K484" s="26"/>
      <c r="L484" s="55"/>
      <c r="M484" s="26"/>
    </row>
    <row r="485" spans="1:13" ht="75" customHeight="1" thickTop="1" thickBot="1">
      <c r="A485" s="34"/>
      <c r="B485" s="55"/>
      <c r="C485" s="56" t="str">
        <f ca="1">IFERROR(__xludf.DUMMYFUNCTION("""COMPUTED_VALUE"""),"الحر")</f>
        <v>الحر</v>
      </c>
      <c r="D485" s="56"/>
      <c r="E485" s="26"/>
      <c r="F485" s="26"/>
      <c r="G485" s="26"/>
      <c r="H485" s="26"/>
      <c r="I485" s="26"/>
      <c r="J485" s="26"/>
      <c r="K485" s="26"/>
      <c r="L485" s="55"/>
      <c r="M485" s="26"/>
    </row>
    <row r="486" spans="1:13" ht="75" customHeight="1" thickTop="1" thickBot="1">
      <c r="A486" s="26"/>
      <c r="B486" s="55"/>
      <c r="C486" s="56" t="str">
        <f ca="1">IFERROR(__xludf.DUMMYFUNCTION("""COMPUTED_VALUE"""),"الحر")</f>
        <v>الحر</v>
      </c>
      <c r="D486" s="56"/>
      <c r="E486" s="26"/>
      <c r="F486" s="26"/>
      <c r="G486" s="26"/>
      <c r="H486" s="26"/>
      <c r="I486" s="26"/>
      <c r="J486" s="26"/>
      <c r="K486" s="26"/>
      <c r="L486" s="55"/>
      <c r="M486" s="26"/>
    </row>
    <row r="487" spans="1:13" ht="75" customHeight="1" thickTop="1" thickBot="1">
      <c r="A487" s="34"/>
      <c r="B487" s="55"/>
      <c r="C487" s="56" t="str">
        <f ca="1">IFERROR(__xludf.DUMMYFUNCTION("""COMPUTED_VALUE"""),"الحر")</f>
        <v>الحر</v>
      </c>
      <c r="D487" s="56"/>
      <c r="E487" s="26"/>
      <c r="F487" s="26"/>
      <c r="G487" s="26"/>
      <c r="H487" s="26"/>
      <c r="I487" s="26"/>
      <c r="J487" s="26"/>
      <c r="K487" s="26"/>
      <c r="L487" s="55"/>
      <c r="M487" s="26"/>
    </row>
    <row r="488" spans="1:13" ht="75" customHeight="1" thickTop="1" thickBot="1">
      <c r="A488" s="26"/>
      <c r="B488" s="55"/>
      <c r="C488" s="56" t="str">
        <f ca="1">IFERROR(__xludf.DUMMYFUNCTION("""COMPUTED_VALUE"""),"الحر")</f>
        <v>الحر</v>
      </c>
      <c r="D488" s="56"/>
      <c r="E488" s="26"/>
      <c r="F488" s="26"/>
      <c r="G488" s="26"/>
      <c r="H488" s="26"/>
      <c r="I488" s="26"/>
      <c r="J488" s="26"/>
      <c r="K488" s="26"/>
      <c r="L488" s="55"/>
      <c r="M488" s="26"/>
    </row>
    <row r="489" spans="1:13" ht="75" customHeight="1" thickTop="1" thickBot="1">
      <c r="A489" s="34"/>
      <c r="B489" s="55"/>
      <c r="C489" s="56" t="str">
        <f ca="1">IFERROR(__xludf.DUMMYFUNCTION("""COMPUTED_VALUE"""),"الحر")</f>
        <v>الحر</v>
      </c>
      <c r="D489" s="56"/>
      <c r="E489" s="26"/>
      <c r="F489" s="26"/>
      <c r="G489" s="26"/>
      <c r="H489" s="26"/>
      <c r="I489" s="26"/>
      <c r="J489" s="26"/>
      <c r="K489" s="26"/>
      <c r="L489" s="55"/>
      <c r="M489" s="26"/>
    </row>
    <row r="490" spans="1:13" ht="75" customHeight="1" thickTop="1" thickBot="1">
      <c r="A490" s="26"/>
      <c r="B490" s="55"/>
      <c r="C490" s="56" t="str">
        <f ca="1">IFERROR(__xludf.DUMMYFUNCTION("""COMPUTED_VALUE"""),"الحر")</f>
        <v>الحر</v>
      </c>
      <c r="D490" s="56"/>
      <c r="E490" s="26"/>
      <c r="F490" s="26"/>
      <c r="G490" s="26"/>
      <c r="H490" s="26"/>
      <c r="I490" s="26"/>
      <c r="J490" s="26"/>
      <c r="K490" s="26"/>
      <c r="L490" s="55"/>
      <c r="M490" s="26"/>
    </row>
    <row r="491" spans="1:13" ht="75" customHeight="1" thickTop="1" thickBot="1">
      <c r="A491" s="34"/>
      <c r="B491" s="55"/>
      <c r="C491" s="56" t="str">
        <f ca="1">IFERROR(__xludf.DUMMYFUNCTION("""COMPUTED_VALUE"""),"الحر")</f>
        <v>الحر</v>
      </c>
      <c r="D491" s="56"/>
      <c r="E491" s="26"/>
      <c r="F491" s="26"/>
      <c r="G491" s="26"/>
      <c r="H491" s="26"/>
      <c r="I491" s="26"/>
      <c r="J491" s="26"/>
      <c r="K491" s="26"/>
      <c r="L491" s="55"/>
      <c r="M491" s="26"/>
    </row>
    <row r="492" spans="1:13" ht="75" customHeight="1" thickTop="1" thickBot="1">
      <c r="A492" s="26"/>
      <c r="B492" s="55"/>
      <c r="C492" s="56" t="str">
        <f ca="1">IFERROR(__xludf.DUMMYFUNCTION("""COMPUTED_VALUE"""),"الحر")</f>
        <v>الحر</v>
      </c>
      <c r="D492" s="56"/>
      <c r="E492" s="26"/>
      <c r="F492" s="26"/>
      <c r="G492" s="26"/>
      <c r="H492" s="26"/>
      <c r="I492" s="26"/>
      <c r="J492" s="26"/>
      <c r="K492" s="26"/>
      <c r="L492" s="55"/>
      <c r="M492" s="26"/>
    </row>
    <row r="493" spans="1:13" ht="75" customHeight="1" thickTop="1" thickBot="1">
      <c r="A493" s="34"/>
      <c r="B493" s="55"/>
      <c r="C493" s="56" t="str">
        <f ca="1">IFERROR(__xludf.DUMMYFUNCTION("""COMPUTED_VALUE"""),"الحر")</f>
        <v>الحر</v>
      </c>
      <c r="D493" s="56"/>
      <c r="E493" s="26"/>
      <c r="F493" s="26"/>
      <c r="G493" s="26"/>
      <c r="H493" s="26"/>
      <c r="I493" s="26"/>
      <c r="J493" s="26"/>
      <c r="K493" s="26"/>
      <c r="L493" s="55"/>
      <c r="M493" s="26"/>
    </row>
    <row r="494" spans="1:13" ht="75" customHeight="1" thickTop="1" thickBot="1">
      <c r="A494" s="26"/>
      <c r="B494" s="55"/>
      <c r="C494" s="56" t="str">
        <f ca="1">IFERROR(__xludf.DUMMYFUNCTION("""COMPUTED_VALUE"""),"الحر")</f>
        <v>الحر</v>
      </c>
      <c r="D494" s="56"/>
      <c r="E494" s="26"/>
      <c r="F494" s="26"/>
      <c r="G494" s="26"/>
      <c r="H494" s="26"/>
      <c r="I494" s="26"/>
      <c r="J494" s="26"/>
      <c r="K494" s="26"/>
      <c r="L494" s="55"/>
      <c r="M494" s="26"/>
    </row>
    <row r="495" spans="1:13" ht="75" customHeight="1" thickTop="1" thickBot="1">
      <c r="A495" s="34"/>
      <c r="B495" s="55"/>
      <c r="C495" s="56" t="str">
        <f ca="1">IFERROR(__xludf.DUMMYFUNCTION("""COMPUTED_VALUE"""),"الحر")</f>
        <v>الحر</v>
      </c>
      <c r="D495" s="56"/>
      <c r="E495" s="26"/>
      <c r="F495" s="26"/>
      <c r="G495" s="26"/>
      <c r="H495" s="26"/>
      <c r="I495" s="26"/>
      <c r="J495" s="26"/>
      <c r="K495" s="26"/>
      <c r="L495" s="55"/>
      <c r="M495" s="26"/>
    </row>
    <row r="496" spans="1:13" ht="75" customHeight="1" thickTop="1" thickBot="1">
      <c r="A496" s="26"/>
      <c r="B496" s="55"/>
      <c r="C496" s="56" t="str">
        <f ca="1">IFERROR(__xludf.DUMMYFUNCTION("""COMPUTED_VALUE"""),"الحر")</f>
        <v>الحر</v>
      </c>
      <c r="D496" s="56"/>
      <c r="E496" s="26"/>
      <c r="F496" s="26"/>
      <c r="G496" s="26"/>
      <c r="H496" s="26"/>
      <c r="I496" s="26"/>
      <c r="J496" s="26"/>
      <c r="K496" s="26"/>
      <c r="L496" s="55"/>
      <c r="M496" s="26"/>
    </row>
    <row r="497" spans="1:13" ht="75" customHeight="1" thickTop="1" thickBot="1">
      <c r="A497" s="34"/>
      <c r="B497" s="55"/>
      <c r="C497" s="56" t="str">
        <f ca="1">IFERROR(__xludf.DUMMYFUNCTION("""COMPUTED_VALUE"""),"الحر")</f>
        <v>الحر</v>
      </c>
      <c r="D497" s="56"/>
      <c r="E497" s="26"/>
      <c r="F497" s="26"/>
      <c r="G497" s="26"/>
      <c r="H497" s="26"/>
      <c r="I497" s="26"/>
      <c r="J497" s="26"/>
      <c r="K497" s="26"/>
      <c r="L497" s="55"/>
      <c r="M497" s="26"/>
    </row>
    <row r="498" spans="1:13" ht="75" customHeight="1" thickTop="1" thickBot="1">
      <c r="A498" s="26"/>
      <c r="B498" s="55"/>
      <c r="C498" s="56" t="str">
        <f ca="1">IFERROR(__xludf.DUMMYFUNCTION("""COMPUTED_VALUE"""),"الحر")</f>
        <v>الحر</v>
      </c>
      <c r="D498" s="56"/>
      <c r="E498" s="26"/>
      <c r="F498" s="26"/>
      <c r="G498" s="26"/>
      <c r="H498" s="26"/>
      <c r="I498" s="26"/>
      <c r="J498" s="26"/>
      <c r="K498" s="26"/>
      <c r="L498" s="55"/>
      <c r="M498" s="26"/>
    </row>
    <row r="499" spans="1:13" ht="75" customHeight="1" thickTop="1" thickBot="1">
      <c r="A499" s="34"/>
      <c r="B499" s="55"/>
      <c r="C499" s="56" t="str">
        <f ca="1">IFERROR(__xludf.DUMMYFUNCTION("""COMPUTED_VALUE"""),"الحر")</f>
        <v>الحر</v>
      </c>
      <c r="D499" s="56"/>
      <c r="E499" s="26"/>
      <c r="F499" s="26"/>
      <c r="G499" s="26"/>
      <c r="H499" s="26"/>
      <c r="I499" s="26"/>
      <c r="J499" s="26"/>
      <c r="K499" s="26"/>
      <c r="L499" s="55"/>
      <c r="M499" s="26"/>
    </row>
    <row r="500" spans="1:13" ht="75" customHeight="1" thickTop="1" thickBot="1">
      <c r="A500" s="26"/>
      <c r="B500" s="55"/>
      <c r="C500" s="56" t="str">
        <f ca="1">IFERROR(__xludf.DUMMYFUNCTION("""COMPUTED_VALUE"""),"الحر")</f>
        <v>الحر</v>
      </c>
      <c r="D500" s="56"/>
      <c r="E500" s="26"/>
      <c r="F500" s="26"/>
      <c r="G500" s="26"/>
      <c r="H500" s="26"/>
      <c r="I500" s="26"/>
      <c r="J500" s="26"/>
      <c r="K500" s="26"/>
      <c r="L500" s="55"/>
      <c r="M500" s="26"/>
    </row>
    <row r="501" spans="1:13" ht="75" customHeight="1" thickTop="1" thickBot="1">
      <c r="A501" s="34"/>
      <c r="B501" s="55"/>
      <c r="C501" s="56" t="str">
        <f ca="1">IFERROR(__xludf.DUMMYFUNCTION("""COMPUTED_VALUE"""),"الحر")</f>
        <v>الحر</v>
      </c>
      <c r="D501" s="56"/>
      <c r="E501" s="26"/>
      <c r="F501" s="26"/>
      <c r="G501" s="26"/>
      <c r="H501" s="26"/>
      <c r="I501" s="26"/>
      <c r="J501" s="26"/>
      <c r="K501" s="26"/>
      <c r="L501" s="55"/>
      <c r="M501" s="26"/>
    </row>
    <row r="502" spans="1:13" ht="75" customHeight="1" thickTop="1" thickBot="1">
      <c r="A502" s="26"/>
      <c r="B502" s="55"/>
      <c r="C502" s="56" t="str">
        <f ca="1">IFERROR(__xludf.DUMMYFUNCTION("""COMPUTED_VALUE"""),"الحر")</f>
        <v>الحر</v>
      </c>
      <c r="D502" s="56"/>
      <c r="E502" s="26"/>
      <c r="F502" s="26"/>
      <c r="G502" s="26"/>
      <c r="H502" s="26"/>
      <c r="I502" s="26"/>
      <c r="J502" s="26"/>
      <c r="K502" s="26"/>
      <c r="L502" s="55"/>
      <c r="M502" s="26"/>
    </row>
    <row r="503" spans="1:13" ht="75" customHeight="1" thickTop="1" thickBot="1">
      <c r="A503" s="34"/>
      <c r="B503" s="55"/>
      <c r="C503" s="56" t="str">
        <f ca="1">IFERROR(__xludf.DUMMYFUNCTION("""COMPUTED_VALUE"""),"الحر")</f>
        <v>الحر</v>
      </c>
      <c r="D503" s="56"/>
      <c r="E503" s="26"/>
      <c r="F503" s="26"/>
      <c r="G503" s="26"/>
      <c r="H503" s="26"/>
      <c r="I503" s="26"/>
      <c r="J503" s="26"/>
      <c r="K503" s="26"/>
      <c r="L503" s="55"/>
      <c r="M503" s="26"/>
    </row>
    <row r="504" spans="1:13" ht="75" customHeight="1" thickTop="1" thickBot="1">
      <c r="A504" s="26"/>
      <c r="B504" s="55"/>
      <c r="C504" s="56" t="str">
        <f ca="1">IFERROR(__xludf.DUMMYFUNCTION("""COMPUTED_VALUE"""),"الحر")</f>
        <v>الحر</v>
      </c>
      <c r="D504" s="56"/>
      <c r="E504" s="26"/>
      <c r="F504" s="26"/>
      <c r="G504" s="26"/>
      <c r="H504" s="26"/>
      <c r="I504" s="26"/>
      <c r="J504" s="26"/>
      <c r="K504" s="26"/>
      <c r="L504" s="55"/>
      <c r="M504" s="26"/>
    </row>
    <row r="505" spans="1:13" ht="75" customHeight="1" thickTop="1" thickBot="1">
      <c r="A505" s="34"/>
      <c r="B505" s="55"/>
      <c r="C505" s="56" t="str">
        <f ca="1">IFERROR(__xludf.DUMMYFUNCTION("""COMPUTED_VALUE"""),"الحر")</f>
        <v>الحر</v>
      </c>
      <c r="D505" s="56"/>
      <c r="E505" s="26"/>
      <c r="F505" s="26"/>
      <c r="G505" s="26"/>
      <c r="H505" s="26"/>
      <c r="I505" s="26"/>
      <c r="J505" s="26"/>
      <c r="K505" s="26"/>
      <c r="L505" s="55"/>
      <c r="M505" s="26"/>
    </row>
    <row r="506" spans="1:13" ht="75" customHeight="1" thickTop="1" thickBot="1">
      <c r="A506" s="26"/>
      <c r="B506" s="55"/>
      <c r="C506" s="56" t="str">
        <f ca="1">IFERROR(__xludf.DUMMYFUNCTION("""COMPUTED_VALUE"""),"الحر")</f>
        <v>الحر</v>
      </c>
      <c r="D506" s="56"/>
      <c r="E506" s="26"/>
      <c r="F506" s="26"/>
      <c r="G506" s="26"/>
      <c r="H506" s="26"/>
      <c r="I506" s="26"/>
      <c r="J506" s="26"/>
      <c r="K506" s="26"/>
      <c r="L506" s="55"/>
      <c r="M506" s="26"/>
    </row>
    <row r="507" spans="1:13" ht="75" customHeight="1" thickTop="1" thickBot="1">
      <c r="A507" s="34"/>
      <c r="B507" s="55"/>
      <c r="C507" s="56" t="str">
        <f ca="1">IFERROR(__xludf.DUMMYFUNCTION("""COMPUTED_VALUE"""),"الحر")</f>
        <v>الحر</v>
      </c>
      <c r="D507" s="56"/>
      <c r="E507" s="26"/>
      <c r="F507" s="26"/>
      <c r="G507" s="26"/>
      <c r="H507" s="26"/>
      <c r="I507" s="26"/>
      <c r="J507" s="26"/>
      <c r="K507" s="26"/>
      <c r="L507" s="55"/>
      <c r="M507" s="26"/>
    </row>
    <row r="508" spans="1:13" ht="75" customHeight="1" thickTop="1" thickBot="1">
      <c r="A508" s="26"/>
      <c r="B508" s="55"/>
      <c r="C508" s="56" t="str">
        <f ca="1">IFERROR(__xludf.DUMMYFUNCTION("""COMPUTED_VALUE"""),"الحر")</f>
        <v>الحر</v>
      </c>
      <c r="D508" s="56"/>
      <c r="E508" s="26"/>
      <c r="F508" s="26"/>
      <c r="G508" s="26"/>
      <c r="H508" s="26"/>
      <c r="I508" s="26"/>
      <c r="J508" s="26"/>
      <c r="K508" s="26"/>
      <c r="L508" s="55"/>
      <c r="M508" s="26"/>
    </row>
    <row r="509" spans="1:13" ht="75" customHeight="1" thickTop="1" thickBot="1">
      <c r="A509" s="34"/>
      <c r="B509" s="55"/>
      <c r="C509" s="56" t="str">
        <f ca="1">IFERROR(__xludf.DUMMYFUNCTION("""COMPUTED_VALUE"""),"الحر")</f>
        <v>الحر</v>
      </c>
      <c r="D509" s="56"/>
      <c r="E509" s="26"/>
      <c r="F509" s="26"/>
      <c r="G509" s="26"/>
      <c r="H509" s="26"/>
      <c r="I509" s="26"/>
      <c r="J509" s="26"/>
      <c r="K509" s="26"/>
      <c r="L509" s="55"/>
      <c r="M509" s="26"/>
    </row>
    <row r="510" spans="1:13" ht="75" customHeight="1" thickTop="1" thickBot="1">
      <c r="A510" s="26"/>
      <c r="B510" s="55"/>
      <c r="C510" s="56" t="str">
        <f ca="1">IFERROR(__xludf.DUMMYFUNCTION("""COMPUTED_VALUE"""),"الحر")</f>
        <v>الحر</v>
      </c>
      <c r="D510" s="56"/>
      <c r="E510" s="26"/>
      <c r="F510" s="26"/>
      <c r="G510" s="26"/>
      <c r="H510" s="26"/>
      <c r="I510" s="26"/>
      <c r="J510" s="26"/>
      <c r="K510" s="26"/>
      <c r="L510" s="55"/>
      <c r="M510" s="26"/>
    </row>
    <row r="511" spans="1:13" ht="75" customHeight="1" thickTop="1" thickBot="1">
      <c r="A511" s="34"/>
      <c r="B511" s="55"/>
      <c r="C511" s="56" t="str">
        <f ca="1">IFERROR(__xludf.DUMMYFUNCTION("""COMPUTED_VALUE"""),"الحر")</f>
        <v>الحر</v>
      </c>
      <c r="D511" s="56"/>
      <c r="E511" s="26"/>
      <c r="F511" s="26"/>
      <c r="G511" s="26"/>
      <c r="H511" s="26"/>
      <c r="I511" s="26"/>
      <c r="J511" s="26"/>
      <c r="K511" s="26"/>
      <c r="L511" s="55"/>
      <c r="M511" s="26"/>
    </row>
    <row r="512" spans="1:13" ht="75" customHeight="1" thickTop="1" thickBot="1">
      <c r="A512" s="26"/>
      <c r="B512" s="55"/>
      <c r="C512" s="56" t="str">
        <f ca="1">IFERROR(__xludf.DUMMYFUNCTION("""COMPUTED_VALUE"""),"الحر")</f>
        <v>الحر</v>
      </c>
      <c r="D512" s="56"/>
      <c r="E512" s="26"/>
      <c r="F512" s="26"/>
      <c r="G512" s="26"/>
      <c r="H512" s="26"/>
      <c r="I512" s="26"/>
      <c r="J512" s="26"/>
      <c r="K512" s="26"/>
      <c r="L512" s="55"/>
      <c r="M512" s="26"/>
    </row>
    <row r="513" spans="1:13" ht="75" customHeight="1" thickTop="1" thickBot="1">
      <c r="A513" s="34"/>
      <c r="B513" s="55"/>
      <c r="C513" s="56" t="str">
        <f ca="1">IFERROR(__xludf.DUMMYFUNCTION("""COMPUTED_VALUE"""),"الحر")</f>
        <v>الحر</v>
      </c>
      <c r="D513" s="56"/>
      <c r="E513" s="26"/>
      <c r="F513" s="26"/>
      <c r="G513" s="26"/>
      <c r="H513" s="26"/>
      <c r="I513" s="26"/>
      <c r="J513" s="26"/>
      <c r="K513" s="26"/>
      <c r="L513" s="55"/>
      <c r="M513" s="26"/>
    </row>
    <row r="514" spans="1:13" ht="75" customHeight="1" thickTop="1" thickBot="1">
      <c r="A514" s="26"/>
      <c r="B514" s="55"/>
      <c r="C514" s="56" t="str">
        <f ca="1">IFERROR(__xludf.DUMMYFUNCTION("""COMPUTED_VALUE"""),"الحر")</f>
        <v>الحر</v>
      </c>
      <c r="D514" s="56"/>
      <c r="E514" s="26"/>
      <c r="F514" s="26"/>
      <c r="G514" s="26"/>
      <c r="H514" s="26"/>
      <c r="I514" s="26"/>
      <c r="J514" s="26"/>
      <c r="K514" s="26"/>
      <c r="L514" s="55"/>
      <c r="M514" s="26"/>
    </row>
    <row r="515" spans="1:13" ht="75" customHeight="1" thickTop="1" thickBot="1">
      <c r="A515" s="34"/>
      <c r="B515" s="55"/>
      <c r="C515" s="56" t="str">
        <f ca="1">IFERROR(__xludf.DUMMYFUNCTION("""COMPUTED_VALUE"""),"الحر")</f>
        <v>الحر</v>
      </c>
      <c r="D515" s="56"/>
      <c r="E515" s="26"/>
      <c r="F515" s="26"/>
      <c r="G515" s="26"/>
      <c r="H515" s="26"/>
      <c r="I515" s="26"/>
      <c r="J515" s="26"/>
      <c r="K515" s="26"/>
      <c r="L515" s="55"/>
      <c r="M515" s="26"/>
    </row>
    <row r="516" spans="1:13" ht="75" customHeight="1" thickTop="1" thickBot="1">
      <c r="A516" s="26"/>
      <c r="B516" s="55"/>
      <c r="C516" s="56" t="str">
        <f ca="1">IFERROR(__xludf.DUMMYFUNCTION("""COMPUTED_VALUE"""),"الحر")</f>
        <v>الحر</v>
      </c>
      <c r="D516" s="56"/>
      <c r="E516" s="26"/>
      <c r="F516" s="26"/>
      <c r="G516" s="26"/>
      <c r="H516" s="26"/>
      <c r="I516" s="26"/>
      <c r="J516" s="26"/>
      <c r="K516" s="26"/>
      <c r="L516" s="55"/>
      <c r="M516" s="26"/>
    </row>
    <row r="517" spans="1:13" ht="75" customHeight="1" thickTop="1" thickBot="1">
      <c r="A517" s="34"/>
      <c r="B517" s="55"/>
      <c r="C517" s="56" t="str">
        <f ca="1">IFERROR(__xludf.DUMMYFUNCTION("""COMPUTED_VALUE"""),"الحر")</f>
        <v>الحر</v>
      </c>
      <c r="D517" s="56"/>
      <c r="E517" s="26"/>
      <c r="F517" s="26"/>
      <c r="G517" s="26"/>
      <c r="H517" s="26"/>
      <c r="I517" s="26"/>
      <c r="J517" s="26"/>
      <c r="K517" s="26"/>
      <c r="L517" s="55"/>
      <c r="M517" s="26"/>
    </row>
    <row r="518" spans="1:13" ht="75" customHeight="1" thickTop="1" thickBot="1">
      <c r="A518" s="26"/>
      <c r="B518" s="55"/>
      <c r="C518" s="56" t="str">
        <f ca="1">IFERROR(__xludf.DUMMYFUNCTION("""COMPUTED_VALUE"""),"الحر")</f>
        <v>الحر</v>
      </c>
      <c r="D518" s="56"/>
      <c r="E518" s="26"/>
      <c r="F518" s="26"/>
      <c r="G518" s="26"/>
      <c r="H518" s="26"/>
      <c r="I518" s="26"/>
      <c r="J518" s="26"/>
      <c r="K518" s="26"/>
      <c r="L518" s="55"/>
      <c r="M518" s="26"/>
    </row>
    <row r="519" spans="1:13" ht="75" customHeight="1" thickTop="1" thickBot="1">
      <c r="A519" s="34"/>
      <c r="B519" s="55"/>
      <c r="C519" s="56" t="str">
        <f ca="1">IFERROR(__xludf.DUMMYFUNCTION("""COMPUTED_VALUE"""),"الحر")</f>
        <v>الحر</v>
      </c>
      <c r="D519" s="56"/>
      <c r="E519" s="26"/>
      <c r="F519" s="26"/>
      <c r="G519" s="26"/>
      <c r="H519" s="26"/>
      <c r="I519" s="26"/>
      <c r="J519" s="26"/>
      <c r="K519" s="26"/>
      <c r="L519" s="55"/>
      <c r="M519" s="26"/>
    </row>
    <row r="520" spans="1:13" ht="75" customHeight="1" thickTop="1" thickBot="1">
      <c r="A520" s="26"/>
      <c r="B520" s="55"/>
      <c r="C520" s="56" t="str">
        <f ca="1">IFERROR(__xludf.DUMMYFUNCTION("""COMPUTED_VALUE"""),"الحر")</f>
        <v>الحر</v>
      </c>
      <c r="D520" s="56"/>
      <c r="E520" s="26"/>
      <c r="F520" s="26"/>
      <c r="G520" s="26"/>
      <c r="H520" s="26"/>
      <c r="I520" s="26"/>
      <c r="J520" s="26"/>
      <c r="K520" s="26"/>
      <c r="L520" s="55"/>
      <c r="M520" s="26"/>
    </row>
    <row r="521" spans="1:13" ht="75" customHeight="1" thickTop="1" thickBot="1">
      <c r="A521" s="34"/>
      <c r="B521" s="55"/>
      <c r="C521" s="56" t="str">
        <f ca="1">IFERROR(__xludf.DUMMYFUNCTION("""COMPUTED_VALUE"""),"الحر")</f>
        <v>الحر</v>
      </c>
      <c r="D521" s="56"/>
      <c r="E521" s="26"/>
      <c r="F521" s="26"/>
      <c r="G521" s="26"/>
      <c r="H521" s="26"/>
      <c r="I521" s="26"/>
      <c r="J521" s="26"/>
      <c r="K521" s="26"/>
      <c r="L521" s="55"/>
      <c r="M521" s="26"/>
    </row>
    <row r="522" spans="1:13" ht="75" customHeight="1" thickTop="1" thickBot="1">
      <c r="A522" s="26"/>
      <c r="B522" s="55"/>
      <c r="C522" s="56" t="str">
        <f ca="1">IFERROR(__xludf.DUMMYFUNCTION("""COMPUTED_VALUE"""),"الحر")</f>
        <v>الحر</v>
      </c>
      <c r="D522" s="56"/>
      <c r="E522" s="26"/>
      <c r="F522" s="26"/>
      <c r="G522" s="26"/>
      <c r="H522" s="26"/>
      <c r="I522" s="26"/>
      <c r="J522" s="26"/>
      <c r="K522" s="26"/>
      <c r="L522" s="55"/>
      <c r="M522" s="26"/>
    </row>
    <row r="523" spans="1:13" ht="75" customHeight="1" thickTop="1" thickBot="1">
      <c r="A523" s="34"/>
      <c r="B523" s="55"/>
      <c r="C523" s="56" t="str">
        <f ca="1">IFERROR(__xludf.DUMMYFUNCTION("""COMPUTED_VALUE"""),"الحر")</f>
        <v>الحر</v>
      </c>
      <c r="D523" s="56"/>
      <c r="E523" s="26"/>
      <c r="F523" s="26"/>
      <c r="G523" s="26"/>
      <c r="H523" s="26"/>
      <c r="I523" s="26"/>
      <c r="J523" s="26"/>
      <c r="K523" s="26"/>
      <c r="L523" s="55"/>
      <c r="M523" s="26"/>
    </row>
    <row r="524" spans="1:13" ht="75" customHeight="1" thickTop="1" thickBot="1">
      <c r="A524" s="26"/>
      <c r="B524" s="55"/>
      <c r="C524" s="56" t="str">
        <f ca="1">IFERROR(__xludf.DUMMYFUNCTION("""COMPUTED_VALUE"""),"الحر")</f>
        <v>الحر</v>
      </c>
      <c r="D524" s="56"/>
      <c r="E524" s="26"/>
      <c r="F524" s="26"/>
      <c r="G524" s="26"/>
      <c r="H524" s="26"/>
      <c r="I524" s="26"/>
      <c r="J524" s="26"/>
      <c r="K524" s="26"/>
      <c r="L524" s="55"/>
      <c r="M524" s="26"/>
    </row>
    <row r="525" spans="1:13" ht="75" customHeight="1" thickTop="1" thickBot="1">
      <c r="A525" s="34"/>
      <c r="B525" s="55"/>
      <c r="C525" s="56" t="str">
        <f ca="1">IFERROR(__xludf.DUMMYFUNCTION("""COMPUTED_VALUE"""),"الحر")</f>
        <v>الحر</v>
      </c>
      <c r="D525" s="56"/>
      <c r="E525" s="26"/>
      <c r="F525" s="26"/>
      <c r="G525" s="26"/>
      <c r="H525" s="26"/>
      <c r="I525" s="26"/>
      <c r="J525" s="26"/>
      <c r="K525" s="26"/>
      <c r="L525" s="55"/>
      <c r="M525" s="26"/>
    </row>
    <row r="526" spans="1:13" ht="75" customHeight="1" thickTop="1" thickBot="1">
      <c r="A526" s="26"/>
      <c r="B526" s="55"/>
      <c r="C526" s="56" t="str">
        <f ca="1">IFERROR(__xludf.DUMMYFUNCTION("""COMPUTED_VALUE"""),"الحر")</f>
        <v>الحر</v>
      </c>
      <c r="D526" s="56"/>
      <c r="E526" s="26"/>
      <c r="F526" s="26"/>
      <c r="G526" s="26"/>
      <c r="H526" s="26"/>
      <c r="I526" s="26"/>
      <c r="J526" s="26"/>
      <c r="K526" s="26"/>
      <c r="L526" s="55"/>
      <c r="M526" s="26"/>
    </row>
    <row r="527" spans="1:13" ht="75" customHeight="1" thickTop="1" thickBot="1">
      <c r="A527" s="34"/>
      <c r="B527" s="55"/>
      <c r="C527" s="56" t="str">
        <f ca="1">IFERROR(__xludf.DUMMYFUNCTION("""COMPUTED_VALUE"""),"الحر")</f>
        <v>الحر</v>
      </c>
      <c r="D527" s="56"/>
      <c r="E527" s="26"/>
      <c r="F527" s="26"/>
      <c r="G527" s="26"/>
      <c r="H527" s="26"/>
      <c r="I527" s="26"/>
      <c r="J527" s="26"/>
      <c r="K527" s="26"/>
      <c r="L527" s="55"/>
      <c r="M527" s="26"/>
    </row>
    <row r="528" spans="1:13" ht="75" customHeight="1" thickTop="1" thickBot="1">
      <c r="A528" s="26"/>
      <c r="B528" s="55"/>
      <c r="C528" s="56" t="str">
        <f ca="1">IFERROR(__xludf.DUMMYFUNCTION("""COMPUTED_VALUE"""),"الحر")</f>
        <v>الحر</v>
      </c>
      <c r="D528" s="56"/>
      <c r="E528" s="26"/>
      <c r="F528" s="26"/>
      <c r="G528" s="26"/>
      <c r="H528" s="26"/>
      <c r="I528" s="26"/>
      <c r="J528" s="26"/>
      <c r="K528" s="26"/>
      <c r="L528" s="55"/>
      <c r="M528" s="26"/>
    </row>
    <row r="529" spans="1:13" ht="75" customHeight="1" thickTop="1" thickBot="1">
      <c r="A529" s="34"/>
      <c r="B529" s="55"/>
      <c r="C529" s="56" t="str">
        <f ca="1">IFERROR(__xludf.DUMMYFUNCTION("""COMPUTED_VALUE"""),"الحر")</f>
        <v>الحر</v>
      </c>
      <c r="D529" s="56"/>
      <c r="E529" s="26"/>
      <c r="F529" s="26"/>
      <c r="G529" s="26"/>
      <c r="H529" s="26"/>
      <c r="I529" s="26"/>
      <c r="J529" s="26"/>
      <c r="K529" s="26"/>
      <c r="L529" s="55"/>
      <c r="M529" s="26"/>
    </row>
    <row r="530" spans="1:13" ht="75" customHeight="1" thickTop="1" thickBot="1">
      <c r="A530" s="26"/>
      <c r="B530" s="55"/>
      <c r="C530" s="56" t="str">
        <f ca="1">IFERROR(__xludf.DUMMYFUNCTION("""COMPUTED_VALUE"""),"الحر")</f>
        <v>الحر</v>
      </c>
      <c r="D530" s="56"/>
      <c r="E530" s="26"/>
      <c r="F530" s="26"/>
      <c r="G530" s="26"/>
      <c r="H530" s="26"/>
      <c r="I530" s="26"/>
      <c r="J530" s="26"/>
      <c r="K530" s="26"/>
      <c r="L530" s="55"/>
      <c r="M530" s="26"/>
    </row>
    <row r="531" spans="1:13" ht="75" customHeight="1" thickTop="1" thickBot="1">
      <c r="A531" s="34"/>
      <c r="B531" s="55"/>
      <c r="C531" s="56" t="str">
        <f ca="1">IFERROR(__xludf.DUMMYFUNCTION("""COMPUTED_VALUE"""),"الحر")</f>
        <v>الحر</v>
      </c>
      <c r="D531" s="56"/>
      <c r="E531" s="26"/>
      <c r="F531" s="26"/>
      <c r="G531" s="26"/>
      <c r="H531" s="26"/>
      <c r="I531" s="26"/>
      <c r="J531" s="26"/>
      <c r="K531" s="26"/>
      <c r="L531" s="55"/>
      <c r="M531" s="26"/>
    </row>
    <row r="532" spans="1:13" ht="75" customHeight="1" thickTop="1" thickBot="1">
      <c r="A532" s="26"/>
      <c r="B532" s="55"/>
      <c r="C532" s="56" t="str">
        <f ca="1">IFERROR(__xludf.DUMMYFUNCTION("""COMPUTED_VALUE"""),"الحر")</f>
        <v>الحر</v>
      </c>
      <c r="D532" s="56"/>
      <c r="E532" s="26"/>
      <c r="F532" s="26"/>
      <c r="G532" s="26"/>
      <c r="H532" s="26"/>
      <c r="I532" s="26"/>
      <c r="J532" s="26"/>
      <c r="K532" s="26"/>
      <c r="L532" s="55"/>
      <c r="M532" s="26"/>
    </row>
    <row r="533" spans="1:13" ht="75" customHeight="1" thickTop="1" thickBot="1">
      <c r="A533" s="34"/>
      <c r="B533" s="55"/>
      <c r="C533" s="56" t="str">
        <f ca="1">IFERROR(__xludf.DUMMYFUNCTION("""COMPUTED_VALUE"""),"الحر")</f>
        <v>الحر</v>
      </c>
      <c r="D533" s="56"/>
      <c r="E533" s="26"/>
      <c r="F533" s="26"/>
      <c r="G533" s="26"/>
      <c r="H533" s="26"/>
      <c r="I533" s="26"/>
      <c r="J533" s="26"/>
      <c r="K533" s="26"/>
      <c r="L533" s="55"/>
      <c r="M533" s="26"/>
    </row>
    <row r="534" spans="1:13" ht="75" customHeight="1" thickTop="1" thickBot="1">
      <c r="A534" s="26"/>
      <c r="B534" s="55"/>
      <c r="C534" s="56" t="str">
        <f ca="1">IFERROR(__xludf.DUMMYFUNCTION("""COMPUTED_VALUE"""),"الحر")</f>
        <v>الحر</v>
      </c>
      <c r="D534" s="56"/>
      <c r="E534" s="26"/>
      <c r="F534" s="26"/>
      <c r="G534" s="26"/>
      <c r="H534" s="26"/>
      <c r="I534" s="26"/>
      <c r="J534" s="26"/>
      <c r="K534" s="26"/>
      <c r="L534" s="55"/>
      <c r="M534" s="26"/>
    </row>
    <row r="535" spans="1:13" ht="75" customHeight="1" thickTop="1" thickBot="1">
      <c r="A535" s="34"/>
      <c r="B535" s="55"/>
      <c r="C535" s="56" t="str">
        <f ca="1">IFERROR(__xludf.DUMMYFUNCTION("""COMPUTED_VALUE"""),"الحر")</f>
        <v>الحر</v>
      </c>
      <c r="D535" s="56"/>
      <c r="E535" s="26"/>
      <c r="F535" s="26"/>
      <c r="G535" s="26"/>
      <c r="H535" s="26"/>
      <c r="I535" s="26"/>
      <c r="J535" s="26"/>
      <c r="K535" s="26"/>
      <c r="L535" s="55"/>
      <c r="M535" s="26"/>
    </row>
    <row r="536" spans="1:13" ht="75" customHeight="1" thickTop="1" thickBot="1">
      <c r="A536" s="26"/>
      <c r="B536" s="55"/>
      <c r="C536" s="56" t="str">
        <f ca="1">IFERROR(__xludf.DUMMYFUNCTION("""COMPUTED_VALUE"""),"الحر")</f>
        <v>الحر</v>
      </c>
      <c r="D536" s="56"/>
      <c r="E536" s="26"/>
      <c r="F536" s="26"/>
      <c r="G536" s="26"/>
      <c r="H536" s="26"/>
      <c r="I536" s="26"/>
      <c r="J536" s="26"/>
      <c r="K536" s="26"/>
      <c r="L536" s="55"/>
      <c r="M536" s="26"/>
    </row>
    <row r="537" spans="1:13" ht="75" customHeight="1" thickTop="1" thickBot="1">
      <c r="A537" s="34"/>
      <c r="B537" s="55"/>
      <c r="C537" s="56" t="str">
        <f ca="1">IFERROR(__xludf.DUMMYFUNCTION("""COMPUTED_VALUE"""),"الحر")</f>
        <v>الحر</v>
      </c>
      <c r="D537" s="56"/>
      <c r="E537" s="26"/>
      <c r="F537" s="26"/>
      <c r="G537" s="26"/>
      <c r="H537" s="26"/>
      <c r="I537" s="26"/>
      <c r="J537" s="26"/>
      <c r="K537" s="26"/>
      <c r="L537" s="55"/>
      <c r="M537" s="26"/>
    </row>
    <row r="538" spans="1:13" ht="75" customHeight="1" thickTop="1" thickBot="1">
      <c r="A538" s="26"/>
      <c r="B538" s="55"/>
      <c r="C538" s="56" t="str">
        <f ca="1">IFERROR(__xludf.DUMMYFUNCTION("""COMPUTED_VALUE"""),"الحر")</f>
        <v>الحر</v>
      </c>
      <c r="D538" s="56"/>
      <c r="E538" s="26"/>
      <c r="F538" s="26"/>
      <c r="G538" s="26"/>
      <c r="H538" s="26"/>
      <c r="I538" s="26"/>
      <c r="J538" s="26"/>
      <c r="K538" s="26"/>
      <c r="L538" s="55"/>
      <c r="M538" s="26"/>
    </row>
    <row r="539" spans="1:13" ht="75" customHeight="1" thickTop="1" thickBot="1">
      <c r="A539" s="34"/>
      <c r="B539" s="55"/>
      <c r="C539" s="56" t="str">
        <f ca="1">IFERROR(__xludf.DUMMYFUNCTION("""COMPUTED_VALUE"""),"الحر")</f>
        <v>الحر</v>
      </c>
      <c r="D539" s="56"/>
      <c r="E539" s="26"/>
      <c r="F539" s="26"/>
      <c r="G539" s="26"/>
      <c r="H539" s="26"/>
      <c r="I539" s="26"/>
      <c r="J539" s="26"/>
      <c r="K539" s="26"/>
      <c r="L539" s="55"/>
      <c r="M539" s="26"/>
    </row>
    <row r="540" spans="1:13" ht="75" customHeight="1" thickTop="1" thickBot="1">
      <c r="A540" s="26"/>
      <c r="B540" s="55"/>
      <c r="C540" s="56" t="str">
        <f ca="1">IFERROR(__xludf.DUMMYFUNCTION("""COMPUTED_VALUE"""),"الحر")</f>
        <v>الحر</v>
      </c>
      <c r="D540" s="56"/>
      <c r="E540" s="26"/>
      <c r="F540" s="26"/>
      <c r="G540" s="26"/>
      <c r="H540" s="26"/>
      <c r="I540" s="26"/>
      <c r="J540" s="26"/>
      <c r="K540" s="26"/>
      <c r="L540" s="55"/>
      <c r="M540" s="26"/>
    </row>
    <row r="541" spans="1:13" ht="75" customHeight="1" thickTop="1" thickBot="1">
      <c r="A541" s="34"/>
      <c r="B541" s="55"/>
      <c r="C541" s="56" t="str">
        <f ca="1">IFERROR(__xludf.DUMMYFUNCTION("""COMPUTED_VALUE"""),"الحر")</f>
        <v>الحر</v>
      </c>
      <c r="D541" s="56"/>
      <c r="E541" s="26"/>
      <c r="F541" s="26"/>
      <c r="G541" s="26"/>
      <c r="H541" s="26"/>
      <c r="I541" s="26"/>
      <c r="J541" s="26"/>
      <c r="K541" s="26"/>
      <c r="L541" s="55"/>
      <c r="M541" s="26"/>
    </row>
    <row r="542" spans="1:13" ht="75" customHeight="1" thickTop="1" thickBot="1">
      <c r="A542" s="26"/>
      <c r="B542" s="55"/>
      <c r="C542" s="56" t="str">
        <f ca="1">IFERROR(__xludf.DUMMYFUNCTION("""COMPUTED_VALUE"""),"الحر")</f>
        <v>الحر</v>
      </c>
      <c r="D542" s="56"/>
      <c r="E542" s="26"/>
      <c r="F542" s="26"/>
      <c r="G542" s="26"/>
      <c r="H542" s="26"/>
      <c r="I542" s="26"/>
      <c r="J542" s="26"/>
      <c r="K542" s="26"/>
      <c r="L542" s="55"/>
      <c r="M542" s="26"/>
    </row>
    <row r="543" spans="1:13" ht="75" customHeight="1" thickTop="1" thickBot="1">
      <c r="A543" s="34"/>
      <c r="B543" s="55"/>
      <c r="C543" s="56" t="str">
        <f ca="1">IFERROR(__xludf.DUMMYFUNCTION("""COMPUTED_VALUE"""),"الحر")</f>
        <v>الحر</v>
      </c>
      <c r="D543" s="56"/>
      <c r="E543" s="26"/>
      <c r="F543" s="26"/>
      <c r="G543" s="26"/>
      <c r="H543" s="26"/>
      <c r="I543" s="26"/>
      <c r="J543" s="26"/>
      <c r="K543" s="26"/>
      <c r="L543" s="55"/>
      <c r="M543" s="26"/>
    </row>
    <row r="544" spans="1:13" ht="75" customHeight="1" thickTop="1" thickBot="1">
      <c r="A544" s="26"/>
      <c r="B544" s="55"/>
      <c r="C544" s="56" t="str">
        <f ca="1">IFERROR(__xludf.DUMMYFUNCTION("""COMPUTED_VALUE"""),"الحر")</f>
        <v>الحر</v>
      </c>
      <c r="D544" s="56"/>
      <c r="E544" s="26"/>
      <c r="F544" s="26"/>
      <c r="G544" s="26"/>
      <c r="H544" s="26"/>
      <c r="I544" s="26"/>
      <c r="J544" s="26"/>
      <c r="K544" s="26"/>
      <c r="L544" s="55"/>
      <c r="M544" s="26"/>
    </row>
    <row r="545" spans="1:13" ht="75" customHeight="1" thickTop="1" thickBot="1">
      <c r="A545" s="34"/>
      <c r="B545" s="55"/>
      <c r="C545" s="56" t="str">
        <f ca="1">IFERROR(__xludf.DUMMYFUNCTION("""COMPUTED_VALUE"""),"الحر")</f>
        <v>الحر</v>
      </c>
      <c r="D545" s="56"/>
      <c r="E545" s="26"/>
      <c r="F545" s="26"/>
      <c r="G545" s="26"/>
      <c r="H545" s="26"/>
      <c r="I545" s="26"/>
      <c r="J545" s="26"/>
      <c r="K545" s="26"/>
      <c r="L545" s="55"/>
      <c r="M545" s="26"/>
    </row>
    <row r="546" spans="1:13" ht="75" customHeight="1" thickTop="1" thickBot="1">
      <c r="A546" s="26"/>
      <c r="B546" s="55"/>
      <c r="C546" s="56" t="str">
        <f ca="1">IFERROR(__xludf.DUMMYFUNCTION("""COMPUTED_VALUE"""),"الحر")</f>
        <v>الحر</v>
      </c>
      <c r="D546" s="56"/>
      <c r="E546" s="26"/>
      <c r="F546" s="26"/>
      <c r="G546" s="26"/>
      <c r="H546" s="26"/>
      <c r="I546" s="26"/>
      <c r="J546" s="26"/>
      <c r="K546" s="26"/>
      <c r="L546" s="55"/>
      <c r="M546" s="26"/>
    </row>
    <row r="547" spans="1:13" ht="75" customHeight="1" thickTop="1" thickBot="1">
      <c r="A547" s="34"/>
      <c r="B547" s="55"/>
      <c r="C547" s="56" t="str">
        <f ca="1">IFERROR(__xludf.DUMMYFUNCTION("""COMPUTED_VALUE"""),"الحر")</f>
        <v>الحر</v>
      </c>
      <c r="D547" s="56"/>
      <c r="E547" s="26"/>
      <c r="F547" s="26"/>
      <c r="G547" s="26"/>
      <c r="H547" s="26"/>
      <c r="I547" s="26"/>
      <c r="J547" s="26"/>
      <c r="K547" s="26"/>
      <c r="L547" s="55"/>
      <c r="M547" s="26"/>
    </row>
    <row r="548" spans="1:13" ht="75" customHeight="1" thickTop="1" thickBot="1">
      <c r="A548" s="26"/>
      <c r="B548" s="55"/>
      <c r="C548" s="56" t="str">
        <f ca="1">IFERROR(__xludf.DUMMYFUNCTION("""COMPUTED_VALUE"""),"الحر")</f>
        <v>الحر</v>
      </c>
      <c r="D548" s="56"/>
      <c r="E548" s="26"/>
      <c r="F548" s="26"/>
      <c r="G548" s="26"/>
      <c r="H548" s="26"/>
      <c r="I548" s="26"/>
      <c r="J548" s="26"/>
      <c r="K548" s="26"/>
      <c r="L548" s="55"/>
      <c r="M548" s="26"/>
    </row>
    <row r="549" spans="1:13" ht="75" customHeight="1" thickTop="1" thickBot="1">
      <c r="A549" s="34"/>
      <c r="B549" s="55"/>
      <c r="C549" s="56" t="str">
        <f ca="1">IFERROR(__xludf.DUMMYFUNCTION("""COMPUTED_VALUE"""),"الحر")</f>
        <v>الحر</v>
      </c>
      <c r="D549" s="56"/>
      <c r="E549" s="26"/>
      <c r="F549" s="26"/>
      <c r="G549" s="26"/>
      <c r="H549" s="26"/>
      <c r="I549" s="26"/>
      <c r="J549" s="26"/>
      <c r="K549" s="26"/>
      <c r="L549" s="55"/>
      <c r="M549" s="26"/>
    </row>
    <row r="550" spans="1:13" ht="75" customHeight="1" thickTop="1" thickBot="1">
      <c r="A550" s="26"/>
      <c r="B550" s="55"/>
      <c r="C550" s="56" t="str">
        <f ca="1">IFERROR(__xludf.DUMMYFUNCTION("""COMPUTED_VALUE"""),"الحر")</f>
        <v>الحر</v>
      </c>
      <c r="D550" s="56"/>
      <c r="E550" s="26"/>
      <c r="F550" s="26"/>
      <c r="G550" s="26"/>
      <c r="H550" s="26"/>
      <c r="I550" s="26"/>
      <c r="J550" s="26"/>
      <c r="K550" s="26"/>
      <c r="L550" s="55"/>
      <c r="M550" s="26"/>
    </row>
    <row r="551" spans="1:13" ht="75" customHeight="1" thickTop="1" thickBot="1">
      <c r="A551" s="34"/>
      <c r="B551" s="55"/>
      <c r="C551" s="56" t="str">
        <f ca="1">IFERROR(__xludf.DUMMYFUNCTION("""COMPUTED_VALUE"""),"الحر")</f>
        <v>الحر</v>
      </c>
      <c r="D551" s="56"/>
      <c r="E551" s="26"/>
      <c r="F551" s="26"/>
      <c r="G551" s="26"/>
      <c r="H551" s="26"/>
      <c r="I551" s="26"/>
      <c r="J551" s="26"/>
      <c r="K551" s="26"/>
      <c r="L551" s="55"/>
      <c r="M551" s="26"/>
    </row>
    <row r="552" spans="1:13" ht="75" customHeight="1" thickTop="1" thickBot="1">
      <c r="A552" s="26"/>
      <c r="B552" s="55"/>
      <c r="C552" s="56" t="str">
        <f ca="1">IFERROR(__xludf.DUMMYFUNCTION("""COMPUTED_VALUE"""),"الحر")</f>
        <v>الحر</v>
      </c>
      <c r="D552" s="56"/>
      <c r="E552" s="26"/>
      <c r="F552" s="26"/>
      <c r="G552" s="26"/>
      <c r="H552" s="26"/>
      <c r="I552" s="26"/>
      <c r="J552" s="26"/>
      <c r="K552" s="26"/>
      <c r="L552" s="55"/>
      <c r="M552" s="26"/>
    </row>
    <row r="553" spans="1:13" ht="75" customHeight="1" thickTop="1" thickBot="1">
      <c r="A553" s="34"/>
      <c r="B553" s="55"/>
      <c r="C553" s="56" t="str">
        <f ca="1">IFERROR(__xludf.DUMMYFUNCTION("""COMPUTED_VALUE"""),"الحر")</f>
        <v>الحر</v>
      </c>
      <c r="D553" s="56"/>
      <c r="E553" s="26"/>
      <c r="F553" s="26"/>
      <c r="G553" s="26"/>
      <c r="H553" s="26"/>
      <c r="I553" s="26"/>
      <c r="J553" s="26"/>
      <c r="K553" s="26"/>
      <c r="L553" s="55"/>
      <c r="M553" s="26"/>
    </row>
    <row r="554" spans="1:13" ht="75" customHeight="1" thickTop="1" thickBot="1">
      <c r="A554" s="26"/>
      <c r="B554" s="55"/>
      <c r="C554" s="56" t="str">
        <f ca="1">IFERROR(__xludf.DUMMYFUNCTION("""COMPUTED_VALUE"""),"الحر")</f>
        <v>الحر</v>
      </c>
      <c r="D554" s="56"/>
      <c r="E554" s="26"/>
      <c r="F554" s="26"/>
      <c r="G554" s="26"/>
      <c r="H554" s="26"/>
      <c r="I554" s="26"/>
      <c r="J554" s="26"/>
      <c r="K554" s="26"/>
      <c r="L554" s="55"/>
      <c r="M554" s="26"/>
    </row>
    <row r="555" spans="1:13" ht="75" customHeight="1" thickTop="1" thickBot="1">
      <c r="A555" s="34"/>
      <c r="B555" s="55"/>
      <c r="C555" s="56" t="str">
        <f ca="1">IFERROR(__xludf.DUMMYFUNCTION("""COMPUTED_VALUE"""),"الحر")</f>
        <v>الحر</v>
      </c>
      <c r="D555" s="56"/>
      <c r="E555" s="26"/>
      <c r="F555" s="26"/>
      <c r="G555" s="26"/>
      <c r="H555" s="26"/>
      <c r="I555" s="26"/>
      <c r="J555" s="26"/>
      <c r="K555" s="26"/>
      <c r="L555" s="55"/>
      <c r="M555" s="26"/>
    </row>
    <row r="556" spans="1:13" ht="75" customHeight="1" thickTop="1" thickBot="1">
      <c r="A556" s="26"/>
      <c r="B556" s="55"/>
      <c r="C556" s="56" t="str">
        <f ca="1">IFERROR(__xludf.DUMMYFUNCTION("""COMPUTED_VALUE"""),"الحر")</f>
        <v>الحر</v>
      </c>
      <c r="D556" s="56"/>
      <c r="E556" s="26"/>
      <c r="F556" s="26"/>
      <c r="G556" s="26"/>
      <c r="H556" s="26"/>
      <c r="I556" s="26"/>
      <c r="J556" s="26"/>
      <c r="K556" s="26"/>
      <c r="L556" s="55"/>
      <c r="M556" s="26"/>
    </row>
    <row r="557" spans="1:13" ht="75" customHeight="1" thickTop="1" thickBot="1">
      <c r="A557" s="34"/>
      <c r="B557" s="55"/>
      <c r="C557" s="56" t="str">
        <f ca="1">IFERROR(__xludf.DUMMYFUNCTION("""COMPUTED_VALUE"""),"الحر")</f>
        <v>الحر</v>
      </c>
      <c r="D557" s="56"/>
      <c r="E557" s="26"/>
      <c r="F557" s="26"/>
      <c r="G557" s="26"/>
      <c r="H557" s="26"/>
      <c r="I557" s="26"/>
      <c r="J557" s="26"/>
      <c r="K557" s="26"/>
      <c r="L557" s="55"/>
      <c r="M557" s="26"/>
    </row>
    <row r="558" spans="1:13" ht="75" customHeight="1" thickTop="1" thickBot="1">
      <c r="A558" s="26"/>
      <c r="B558" s="55"/>
      <c r="C558" s="56" t="str">
        <f ca="1">IFERROR(__xludf.DUMMYFUNCTION("""COMPUTED_VALUE"""),"الحر")</f>
        <v>الحر</v>
      </c>
      <c r="D558" s="56"/>
      <c r="E558" s="26"/>
      <c r="F558" s="26"/>
      <c r="G558" s="26"/>
      <c r="H558" s="26"/>
      <c r="I558" s="26"/>
      <c r="J558" s="26"/>
      <c r="K558" s="26"/>
      <c r="L558" s="55"/>
      <c r="M558" s="26"/>
    </row>
    <row r="559" spans="1:13" ht="75" customHeight="1" thickTop="1" thickBot="1">
      <c r="A559" s="34"/>
      <c r="B559" s="55"/>
      <c r="C559" s="56" t="str">
        <f ca="1">IFERROR(__xludf.DUMMYFUNCTION("""COMPUTED_VALUE"""),"الحر")</f>
        <v>الحر</v>
      </c>
      <c r="D559" s="56"/>
      <c r="E559" s="26"/>
      <c r="F559" s="26"/>
      <c r="G559" s="26"/>
      <c r="H559" s="26"/>
      <c r="I559" s="26"/>
      <c r="J559" s="26"/>
      <c r="K559" s="26"/>
      <c r="L559" s="55"/>
      <c r="M559" s="26"/>
    </row>
    <row r="560" spans="1:13" ht="75" customHeight="1" thickTop="1" thickBot="1">
      <c r="A560" s="26"/>
      <c r="B560" s="55"/>
      <c r="C560" s="56" t="str">
        <f ca="1">IFERROR(__xludf.DUMMYFUNCTION("""COMPUTED_VALUE"""),"الحر")</f>
        <v>الحر</v>
      </c>
      <c r="D560" s="56"/>
      <c r="E560" s="26"/>
      <c r="F560" s="26"/>
      <c r="G560" s="26"/>
      <c r="H560" s="26"/>
      <c r="I560" s="26"/>
      <c r="J560" s="26"/>
      <c r="K560" s="26"/>
      <c r="L560" s="55"/>
      <c r="M560" s="26"/>
    </row>
    <row r="561" spans="1:13" ht="75" customHeight="1" thickTop="1" thickBot="1">
      <c r="A561" s="34"/>
      <c r="B561" s="55"/>
      <c r="C561" s="56" t="str">
        <f ca="1">IFERROR(__xludf.DUMMYFUNCTION("""COMPUTED_VALUE"""),"الحر")</f>
        <v>الحر</v>
      </c>
      <c r="D561" s="56"/>
      <c r="E561" s="26"/>
      <c r="F561" s="26"/>
      <c r="G561" s="26"/>
      <c r="H561" s="26"/>
      <c r="I561" s="26"/>
      <c r="J561" s="26"/>
      <c r="K561" s="26"/>
      <c r="L561" s="55"/>
      <c r="M561" s="26"/>
    </row>
    <row r="562" spans="1:13" ht="75" customHeight="1" thickTop="1" thickBot="1">
      <c r="A562" s="26"/>
      <c r="B562" s="55"/>
      <c r="C562" s="56" t="str">
        <f ca="1">IFERROR(__xludf.DUMMYFUNCTION("""COMPUTED_VALUE"""),"الحر")</f>
        <v>الحر</v>
      </c>
      <c r="D562" s="56"/>
      <c r="E562" s="26"/>
      <c r="F562" s="26"/>
      <c r="G562" s="26"/>
      <c r="H562" s="26"/>
      <c r="I562" s="26"/>
      <c r="J562" s="26"/>
      <c r="K562" s="26"/>
      <c r="L562" s="55"/>
      <c r="M562" s="26"/>
    </row>
    <row r="563" spans="1:13" ht="75" customHeight="1" thickTop="1" thickBot="1">
      <c r="A563" s="34"/>
      <c r="B563" s="55"/>
      <c r="C563" s="56" t="str">
        <f ca="1">IFERROR(__xludf.DUMMYFUNCTION("""COMPUTED_VALUE"""),"الحر")</f>
        <v>الحر</v>
      </c>
      <c r="D563" s="56"/>
      <c r="E563" s="26"/>
      <c r="F563" s="26"/>
      <c r="G563" s="26"/>
      <c r="H563" s="26"/>
      <c r="I563" s="26"/>
      <c r="J563" s="26"/>
      <c r="K563" s="26"/>
      <c r="L563" s="55"/>
      <c r="M563" s="26"/>
    </row>
    <row r="564" spans="1:13" ht="75" customHeight="1" thickTop="1" thickBot="1">
      <c r="A564" s="26"/>
      <c r="B564" s="55"/>
      <c r="C564" s="56" t="str">
        <f ca="1">IFERROR(__xludf.DUMMYFUNCTION("""COMPUTED_VALUE"""),"الحر")</f>
        <v>الحر</v>
      </c>
      <c r="D564" s="56"/>
      <c r="E564" s="26"/>
      <c r="F564" s="26"/>
      <c r="G564" s="26"/>
      <c r="H564" s="26"/>
      <c r="I564" s="26"/>
      <c r="J564" s="26"/>
      <c r="K564" s="26"/>
      <c r="L564" s="55"/>
      <c r="M564" s="26"/>
    </row>
    <row r="565" spans="1:13" ht="75" customHeight="1" thickTop="1" thickBot="1">
      <c r="A565" s="34"/>
      <c r="B565" s="55"/>
      <c r="C565" s="56" t="str">
        <f ca="1">IFERROR(__xludf.DUMMYFUNCTION("""COMPUTED_VALUE"""),"الحر")</f>
        <v>الحر</v>
      </c>
      <c r="D565" s="56"/>
      <c r="E565" s="26"/>
      <c r="F565" s="26"/>
      <c r="G565" s="26"/>
      <c r="H565" s="26"/>
      <c r="I565" s="26"/>
      <c r="J565" s="26"/>
      <c r="K565" s="26"/>
      <c r="L565" s="55"/>
      <c r="M565" s="26"/>
    </row>
    <row r="566" spans="1:13" ht="75" customHeight="1" thickTop="1" thickBot="1">
      <c r="A566" s="26"/>
      <c r="B566" s="55"/>
      <c r="C566" s="56" t="str">
        <f ca="1">IFERROR(__xludf.DUMMYFUNCTION("""COMPUTED_VALUE"""),"الحر")</f>
        <v>الحر</v>
      </c>
      <c r="D566" s="56"/>
      <c r="E566" s="26"/>
      <c r="F566" s="26"/>
      <c r="G566" s="26"/>
      <c r="H566" s="26"/>
      <c r="I566" s="26"/>
      <c r="J566" s="26"/>
      <c r="K566" s="26"/>
      <c r="L566" s="55"/>
      <c r="M566" s="26"/>
    </row>
    <row r="567" spans="1:13" ht="75" customHeight="1" thickTop="1" thickBot="1">
      <c r="A567" s="34"/>
      <c r="B567" s="55"/>
      <c r="C567" s="56" t="str">
        <f ca="1">IFERROR(__xludf.DUMMYFUNCTION("""COMPUTED_VALUE"""),"الحر")</f>
        <v>الحر</v>
      </c>
      <c r="D567" s="56"/>
      <c r="E567" s="26"/>
      <c r="F567" s="26"/>
      <c r="G567" s="26"/>
      <c r="H567" s="26"/>
      <c r="I567" s="26"/>
      <c r="J567" s="26"/>
      <c r="K567" s="26"/>
      <c r="L567" s="55"/>
      <c r="M567" s="26"/>
    </row>
    <row r="568" spans="1:13" ht="75" customHeight="1" thickTop="1" thickBot="1">
      <c r="A568" s="26"/>
      <c r="B568" s="55"/>
      <c r="C568" s="56" t="str">
        <f ca="1">IFERROR(__xludf.DUMMYFUNCTION("""COMPUTED_VALUE"""),"الحر")</f>
        <v>الحر</v>
      </c>
      <c r="D568" s="56"/>
      <c r="E568" s="26"/>
      <c r="F568" s="26"/>
      <c r="G568" s="26"/>
      <c r="H568" s="26"/>
      <c r="I568" s="26"/>
      <c r="J568" s="26"/>
      <c r="K568" s="26"/>
      <c r="L568" s="55"/>
      <c r="M568" s="26"/>
    </row>
    <row r="569" spans="1:13" ht="75" customHeight="1" thickTop="1" thickBot="1">
      <c r="A569" s="34"/>
      <c r="B569" s="55"/>
      <c r="C569" s="56" t="str">
        <f ca="1">IFERROR(__xludf.DUMMYFUNCTION("""COMPUTED_VALUE"""),"الحر")</f>
        <v>الحر</v>
      </c>
      <c r="D569" s="56"/>
      <c r="E569" s="26"/>
      <c r="F569" s="26"/>
      <c r="G569" s="26"/>
      <c r="H569" s="26"/>
      <c r="I569" s="26"/>
      <c r="J569" s="26"/>
      <c r="K569" s="26"/>
      <c r="L569" s="55"/>
      <c r="M569" s="26"/>
    </row>
    <row r="570" spans="1:13" ht="75" customHeight="1" thickTop="1" thickBot="1">
      <c r="A570" s="26"/>
      <c r="B570" s="55"/>
      <c r="C570" s="56" t="str">
        <f ca="1">IFERROR(__xludf.DUMMYFUNCTION("""COMPUTED_VALUE"""),"الحر")</f>
        <v>الحر</v>
      </c>
      <c r="D570" s="56"/>
      <c r="E570" s="26"/>
      <c r="F570" s="26"/>
      <c r="G570" s="26"/>
      <c r="H570" s="26"/>
      <c r="I570" s="26"/>
      <c r="J570" s="26"/>
      <c r="K570" s="26"/>
      <c r="L570" s="55"/>
      <c r="M570" s="26"/>
    </row>
    <row r="571" spans="1:13" ht="75" customHeight="1" thickTop="1" thickBot="1">
      <c r="A571" s="34"/>
      <c r="B571" s="55"/>
      <c r="C571" s="56" t="str">
        <f ca="1">IFERROR(__xludf.DUMMYFUNCTION("""COMPUTED_VALUE"""),"الحر")</f>
        <v>الحر</v>
      </c>
      <c r="D571" s="56"/>
      <c r="E571" s="26"/>
      <c r="F571" s="26"/>
      <c r="G571" s="26"/>
      <c r="H571" s="26"/>
      <c r="I571" s="26"/>
      <c r="J571" s="26"/>
      <c r="K571" s="26"/>
      <c r="L571" s="55"/>
      <c r="M571" s="26"/>
    </row>
    <row r="572" spans="1:13" ht="75" customHeight="1" thickTop="1" thickBot="1">
      <c r="A572" s="26"/>
      <c r="B572" s="55"/>
      <c r="C572" s="56" t="str">
        <f ca="1">IFERROR(__xludf.DUMMYFUNCTION("""COMPUTED_VALUE"""),"الحر")</f>
        <v>الحر</v>
      </c>
      <c r="D572" s="56"/>
      <c r="E572" s="26"/>
      <c r="F572" s="26"/>
      <c r="G572" s="26"/>
      <c r="H572" s="26"/>
      <c r="I572" s="26"/>
      <c r="J572" s="26"/>
      <c r="K572" s="26"/>
      <c r="L572" s="55"/>
      <c r="M572" s="26"/>
    </row>
    <row r="573" spans="1:13" ht="75" customHeight="1" thickTop="1" thickBot="1">
      <c r="A573" s="34"/>
      <c r="B573" s="55"/>
      <c r="C573" s="56" t="str">
        <f ca="1">IFERROR(__xludf.DUMMYFUNCTION("""COMPUTED_VALUE"""),"الحر")</f>
        <v>الحر</v>
      </c>
      <c r="D573" s="56"/>
      <c r="E573" s="26"/>
      <c r="F573" s="26"/>
      <c r="G573" s="26"/>
      <c r="H573" s="26"/>
      <c r="I573" s="26"/>
      <c r="J573" s="26"/>
      <c r="K573" s="26"/>
      <c r="L573" s="55"/>
      <c r="M573" s="26"/>
    </row>
    <row r="574" spans="1:13" ht="75" customHeight="1" thickTop="1" thickBot="1">
      <c r="A574" s="26"/>
      <c r="B574" s="55"/>
      <c r="C574" s="56" t="str">
        <f ca="1">IFERROR(__xludf.DUMMYFUNCTION("""COMPUTED_VALUE"""),"الحر")</f>
        <v>الحر</v>
      </c>
      <c r="D574" s="56"/>
      <c r="E574" s="26"/>
      <c r="F574" s="26"/>
      <c r="G574" s="26"/>
      <c r="H574" s="26"/>
      <c r="I574" s="26"/>
      <c r="J574" s="26"/>
      <c r="K574" s="26"/>
      <c r="L574" s="55"/>
      <c r="M574" s="26"/>
    </row>
    <row r="575" spans="1:13" ht="75" customHeight="1" thickTop="1" thickBot="1">
      <c r="A575" s="34"/>
      <c r="B575" s="55"/>
      <c r="C575" s="56" t="str">
        <f ca="1">IFERROR(__xludf.DUMMYFUNCTION("""COMPUTED_VALUE"""),"الحر")</f>
        <v>الحر</v>
      </c>
      <c r="D575" s="56"/>
      <c r="E575" s="26"/>
      <c r="F575" s="26"/>
      <c r="G575" s="26"/>
      <c r="H575" s="26"/>
      <c r="I575" s="26"/>
      <c r="J575" s="26"/>
      <c r="K575" s="26"/>
      <c r="L575" s="55"/>
      <c r="M575" s="26"/>
    </row>
    <row r="576" spans="1:13" ht="75" customHeight="1" thickTop="1" thickBot="1">
      <c r="A576" s="26"/>
      <c r="B576" s="55"/>
      <c r="C576" s="56" t="str">
        <f ca="1">IFERROR(__xludf.DUMMYFUNCTION("""COMPUTED_VALUE"""),"الحر")</f>
        <v>الحر</v>
      </c>
      <c r="D576" s="56"/>
      <c r="E576" s="26"/>
      <c r="F576" s="26"/>
      <c r="G576" s="26"/>
      <c r="H576" s="26"/>
      <c r="I576" s="26"/>
      <c r="J576" s="26"/>
      <c r="K576" s="26"/>
      <c r="L576" s="55"/>
      <c r="M576" s="26"/>
    </row>
    <row r="577" spans="1:13" ht="75" customHeight="1" thickTop="1" thickBot="1">
      <c r="A577" s="34"/>
      <c r="B577" s="55"/>
      <c r="C577" s="56" t="str">
        <f ca="1">IFERROR(__xludf.DUMMYFUNCTION("""COMPUTED_VALUE"""),"الحر")</f>
        <v>الحر</v>
      </c>
      <c r="D577" s="56"/>
      <c r="E577" s="26"/>
      <c r="F577" s="26"/>
      <c r="G577" s="26"/>
      <c r="H577" s="26"/>
      <c r="I577" s="26"/>
      <c r="J577" s="26"/>
      <c r="K577" s="26"/>
      <c r="L577" s="55"/>
      <c r="M577" s="26"/>
    </row>
    <row r="578" spans="1:13" ht="75" customHeight="1" thickTop="1" thickBot="1">
      <c r="A578" s="26"/>
      <c r="B578" s="55"/>
      <c r="C578" s="56" t="str">
        <f ca="1">IFERROR(__xludf.DUMMYFUNCTION("""COMPUTED_VALUE"""),"الحر")</f>
        <v>الحر</v>
      </c>
      <c r="D578" s="56"/>
      <c r="E578" s="26"/>
      <c r="F578" s="26"/>
      <c r="G578" s="26"/>
      <c r="H578" s="26"/>
      <c r="I578" s="26"/>
      <c r="J578" s="26"/>
      <c r="K578" s="26"/>
      <c r="L578" s="55"/>
      <c r="M578" s="26"/>
    </row>
    <row r="579" spans="1:13" ht="75" customHeight="1" thickTop="1" thickBot="1">
      <c r="A579" s="34"/>
      <c r="B579" s="55"/>
      <c r="C579" s="56" t="str">
        <f ca="1">IFERROR(__xludf.DUMMYFUNCTION("""COMPUTED_VALUE"""),"الحر")</f>
        <v>الحر</v>
      </c>
      <c r="D579" s="56"/>
      <c r="E579" s="26"/>
      <c r="F579" s="26"/>
      <c r="G579" s="26"/>
      <c r="H579" s="26"/>
      <c r="I579" s="26"/>
      <c r="J579" s="26"/>
      <c r="K579" s="26"/>
      <c r="L579" s="55"/>
      <c r="M579" s="26"/>
    </row>
    <row r="580" spans="1:13" ht="75" customHeight="1" thickTop="1" thickBot="1">
      <c r="A580" s="26"/>
      <c r="B580" s="55"/>
      <c r="C580" s="56" t="str">
        <f ca="1">IFERROR(__xludf.DUMMYFUNCTION("""COMPUTED_VALUE"""),"الحر")</f>
        <v>الحر</v>
      </c>
      <c r="D580" s="56"/>
      <c r="E580" s="26"/>
      <c r="F580" s="26"/>
      <c r="G580" s="26"/>
      <c r="H580" s="26"/>
      <c r="I580" s="26"/>
      <c r="J580" s="26"/>
      <c r="K580" s="26"/>
      <c r="L580" s="55"/>
      <c r="M580" s="26"/>
    </row>
    <row r="581" spans="1:13" ht="75" customHeight="1" thickTop="1" thickBot="1">
      <c r="A581" s="34"/>
      <c r="B581" s="55"/>
      <c r="C581" s="56" t="str">
        <f ca="1">IFERROR(__xludf.DUMMYFUNCTION("""COMPUTED_VALUE"""),"الحر")</f>
        <v>الحر</v>
      </c>
      <c r="D581" s="56"/>
      <c r="E581" s="26"/>
      <c r="F581" s="26"/>
      <c r="G581" s="26"/>
      <c r="H581" s="26"/>
      <c r="I581" s="26"/>
      <c r="J581" s="26"/>
      <c r="K581" s="26"/>
      <c r="L581" s="55"/>
      <c r="M581" s="26"/>
    </row>
    <row r="582" spans="1:13" ht="75" customHeight="1" thickTop="1" thickBot="1">
      <c r="A582" s="26"/>
      <c r="B582" s="55"/>
      <c r="C582" s="56" t="str">
        <f ca="1">IFERROR(__xludf.DUMMYFUNCTION("""COMPUTED_VALUE"""),"الحر")</f>
        <v>الحر</v>
      </c>
      <c r="D582" s="56"/>
      <c r="E582" s="26"/>
      <c r="F582" s="26"/>
      <c r="G582" s="26"/>
      <c r="H582" s="26"/>
      <c r="I582" s="26"/>
      <c r="J582" s="26"/>
      <c r="K582" s="26"/>
      <c r="L582" s="55"/>
      <c r="M582" s="26"/>
    </row>
    <row r="583" spans="1:13" ht="75" customHeight="1" thickTop="1" thickBot="1">
      <c r="A583" s="34"/>
      <c r="B583" s="55"/>
      <c r="C583" s="56" t="str">
        <f ca="1">IFERROR(__xludf.DUMMYFUNCTION("""COMPUTED_VALUE"""),"الحر")</f>
        <v>الحر</v>
      </c>
      <c r="D583" s="56"/>
      <c r="E583" s="26"/>
      <c r="F583" s="26"/>
      <c r="G583" s="26"/>
      <c r="H583" s="26"/>
      <c r="I583" s="26"/>
      <c r="J583" s="26"/>
      <c r="K583" s="26"/>
      <c r="L583" s="55"/>
      <c r="M583" s="26"/>
    </row>
    <row r="584" spans="1:13" ht="75" customHeight="1" thickTop="1" thickBot="1">
      <c r="A584" s="26"/>
      <c r="B584" s="55"/>
      <c r="C584" s="56" t="str">
        <f ca="1">IFERROR(__xludf.DUMMYFUNCTION("""COMPUTED_VALUE"""),"الحر")</f>
        <v>الحر</v>
      </c>
      <c r="D584" s="56"/>
      <c r="E584" s="26"/>
      <c r="F584" s="26"/>
      <c r="G584" s="26"/>
      <c r="H584" s="26"/>
      <c r="I584" s="26"/>
      <c r="J584" s="26"/>
      <c r="K584" s="26"/>
      <c r="L584" s="55"/>
      <c r="M584" s="26"/>
    </row>
    <row r="585" spans="1:13" ht="75" customHeight="1" thickTop="1" thickBot="1">
      <c r="A585" s="34"/>
      <c r="B585" s="55"/>
      <c r="C585" s="56" t="str">
        <f ca="1">IFERROR(__xludf.DUMMYFUNCTION("""COMPUTED_VALUE"""),"الحر")</f>
        <v>الحر</v>
      </c>
      <c r="D585" s="56"/>
      <c r="E585" s="26"/>
      <c r="F585" s="26"/>
      <c r="G585" s="26"/>
      <c r="H585" s="26"/>
      <c r="I585" s="26"/>
      <c r="J585" s="26"/>
      <c r="K585" s="26"/>
      <c r="L585" s="55"/>
      <c r="M585" s="26"/>
    </row>
    <row r="586" spans="1:13" ht="75" customHeight="1" thickTop="1" thickBot="1">
      <c r="A586" s="26"/>
      <c r="B586" s="55"/>
      <c r="C586" s="56" t="str">
        <f ca="1">IFERROR(__xludf.DUMMYFUNCTION("""COMPUTED_VALUE"""),"الحر")</f>
        <v>الحر</v>
      </c>
      <c r="D586" s="56"/>
      <c r="E586" s="26"/>
      <c r="F586" s="26"/>
      <c r="G586" s="26"/>
      <c r="H586" s="26"/>
      <c r="I586" s="26"/>
      <c r="J586" s="26"/>
      <c r="K586" s="26"/>
      <c r="L586" s="55"/>
      <c r="M586" s="26"/>
    </row>
    <row r="587" spans="1:13" ht="75" customHeight="1" thickTop="1" thickBot="1">
      <c r="A587" s="34"/>
      <c r="B587" s="55"/>
      <c r="C587" s="56" t="str">
        <f ca="1">IFERROR(__xludf.DUMMYFUNCTION("""COMPUTED_VALUE"""),"الحر")</f>
        <v>الحر</v>
      </c>
      <c r="D587" s="56"/>
      <c r="E587" s="26"/>
      <c r="F587" s="26"/>
      <c r="G587" s="26"/>
      <c r="H587" s="26"/>
      <c r="I587" s="26"/>
      <c r="J587" s="26"/>
      <c r="K587" s="26"/>
      <c r="L587" s="55"/>
      <c r="M587" s="26"/>
    </row>
    <row r="588" spans="1:13" ht="75" customHeight="1" thickTop="1" thickBot="1">
      <c r="A588" s="26"/>
      <c r="B588" s="55"/>
      <c r="C588" s="56" t="str">
        <f ca="1">IFERROR(__xludf.DUMMYFUNCTION("""COMPUTED_VALUE"""),"الحر")</f>
        <v>الحر</v>
      </c>
      <c r="D588" s="56"/>
      <c r="E588" s="26"/>
      <c r="F588" s="26"/>
      <c r="G588" s="26"/>
      <c r="H588" s="26"/>
      <c r="I588" s="26"/>
      <c r="J588" s="26"/>
      <c r="K588" s="26"/>
      <c r="L588" s="55"/>
      <c r="M588" s="26"/>
    </row>
    <row r="589" spans="1:13" ht="75" customHeight="1" thickTop="1" thickBot="1">
      <c r="A589" s="34"/>
      <c r="B589" s="55"/>
      <c r="C589" s="56" t="str">
        <f ca="1">IFERROR(__xludf.DUMMYFUNCTION("""COMPUTED_VALUE"""),"الحر")</f>
        <v>الحر</v>
      </c>
      <c r="D589" s="56"/>
      <c r="E589" s="26"/>
      <c r="F589" s="26"/>
      <c r="G589" s="26"/>
      <c r="H589" s="26"/>
      <c r="I589" s="26"/>
      <c r="J589" s="26"/>
      <c r="K589" s="26"/>
      <c r="L589" s="55"/>
      <c r="M589" s="26"/>
    </row>
    <row r="590" spans="1:13" ht="75" customHeight="1" thickTop="1" thickBot="1">
      <c r="A590" s="26"/>
      <c r="B590" s="55"/>
      <c r="C590" s="56" t="str">
        <f ca="1">IFERROR(__xludf.DUMMYFUNCTION("""COMPUTED_VALUE"""),"الحر")</f>
        <v>الحر</v>
      </c>
      <c r="D590" s="56"/>
      <c r="E590" s="26"/>
      <c r="F590" s="26"/>
      <c r="G590" s="26"/>
      <c r="H590" s="26"/>
      <c r="I590" s="26"/>
      <c r="J590" s="26"/>
      <c r="K590" s="26"/>
      <c r="L590" s="55"/>
      <c r="M590" s="26"/>
    </row>
    <row r="591" spans="1:13" ht="75" customHeight="1" thickTop="1" thickBot="1">
      <c r="A591" s="34"/>
      <c r="B591" s="55"/>
      <c r="C591" s="56" t="str">
        <f ca="1">IFERROR(__xludf.DUMMYFUNCTION("""COMPUTED_VALUE"""),"الحر")</f>
        <v>الحر</v>
      </c>
      <c r="D591" s="56"/>
      <c r="E591" s="26"/>
      <c r="F591" s="26"/>
      <c r="G591" s="26"/>
      <c r="H591" s="26"/>
      <c r="I591" s="26"/>
      <c r="J591" s="26"/>
      <c r="K591" s="26"/>
      <c r="L591" s="55"/>
      <c r="M591" s="26"/>
    </row>
    <row r="592" spans="1:13" ht="75" customHeight="1" thickTop="1" thickBot="1">
      <c r="A592" s="26"/>
      <c r="B592" s="55"/>
      <c r="C592" s="56" t="str">
        <f ca="1">IFERROR(__xludf.DUMMYFUNCTION("""COMPUTED_VALUE"""),"الحر")</f>
        <v>الحر</v>
      </c>
      <c r="D592" s="56"/>
      <c r="E592" s="26"/>
      <c r="F592" s="26"/>
      <c r="G592" s="26"/>
      <c r="H592" s="26"/>
      <c r="I592" s="26"/>
      <c r="J592" s="26"/>
      <c r="K592" s="26"/>
      <c r="L592" s="55"/>
      <c r="M592" s="26"/>
    </row>
    <row r="593" spans="1:13" ht="75" customHeight="1" thickTop="1" thickBot="1">
      <c r="A593" s="34"/>
      <c r="B593" s="55"/>
      <c r="C593" s="56" t="str">
        <f ca="1">IFERROR(__xludf.DUMMYFUNCTION("""COMPUTED_VALUE"""),"الحر")</f>
        <v>الحر</v>
      </c>
      <c r="D593" s="56"/>
      <c r="E593" s="26"/>
      <c r="F593" s="26"/>
      <c r="G593" s="26"/>
      <c r="H593" s="26"/>
      <c r="I593" s="26"/>
      <c r="J593" s="26"/>
      <c r="K593" s="26"/>
      <c r="L593" s="55"/>
      <c r="M593" s="26"/>
    </row>
    <row r="594" spans="1:13" ht="75" customHeight="1" thickTop="1" thickBot="1">
      <c r="A594" s="26"/>
      <c r="B594" s="55"/>
      <c r="C594" s="56" t="str">
        <f ca="1">IFERROR(__xludf.DUMMYFUNCTION("""COMPUTED_VALUE"""),"الحر")</f>
        <v>الحر</v>
      </c>
      <c r="D594" s="56"/>
      <c r="E594" s="26"/>
      <c r="F594" s="26"/>
      <c r="G594" s="26"/>
      <c r="H594" s="26"/>
      <c r="I594" s="26"/>
      <c r="J594" s="26"/>
      <c r="K594" s="26"/>
      <c r="L594" s="55"/>
      <c r="M594" s="26"/>
    </row>
    <row r="595" spans="1:13" ht="75" customHeight="1" thickTop="1" thickBot="1">
      <c r="A595" s="34"/>
      <c r="B595" s="55"/>
      <c r="C595" s="56" t="str">
        <f ca="1">IFERROR(__xludf.DUMMYFUNCTION("""COMPUTED_VALUE"""),"الحر")</f>
        <v>الحر</v>
      </c>
      <c r="D595" s="56"/>
      <c r="E595" s="26"/>
      <c r="F595" s="26"/>
      <c r="G595" s="26"/>
      <c r="H595" s="26"/>
      <c r="I595" s="26"/>
      <c r="J595" s="26"/>
      <c r="K595" s="26"/>
      <c r="L595" s="55"/>
      <c r="M595" s="26"/>
    </row>
    <row r="596" spans="1:13" ht="75" customHeight="1" thickTop="1" thickBot="1">
      <c r="A596" s="26"/>
      <c r="B596" s="55"/>
      <c r="C596" s="56" t="str">
        <f ca="1">IFERROR(__xludf.DUMMYFUNCTION("""COMPUTED_VALUE"""),"الحر")</f>
        <v>الحر</v>
      </c>
      <c r="D596" s="56"/>
      <c r="E596" s="26"/>
      <c r="F596" s="26"/>
      <c r="G596" s="26"/>
      <c r="H596" s="26"/>
      <c r="I596" s="26"/>
      <c r="J596" s="26"/>
      <c r="K596" s="26"/>
      <c r="L596" s="55"/>
      <c r="M596" s="26"/>
    </row>
    <row r="597" spans="1:13" ht="75" customHeight="1" thickTop="1" thickBot="1">
      <c r="A597" s="34"/>
      <c r="B597" s="55"/>
      <c r="C597" s="56" t="str">
        <f ca="1">IFERROR(__xludf.DUMMYFUNCTION("""COMPUTED_VALUE"""),"الحر")</f>
        <v>الحر</v>
      </c>
      <c r="D597" s="56"/>
      <c r="E597" s="26"/>
      <c r="F597" s="26"/>
      <c r="G597" s="26"/>
      <c r="H597" s="26"/>
      <c r="I597" s="26"/>
      <c r="J597" s="26"/>
      <c r="K597" s="26"/>
      <c r="L597" s="55"/>
      <c r="M597" s="26"/>
    </row>
    <row r="598" spans="1:13" ht="75" customHeight="1" thickTop="1" thickBot="1">
      <c r="A598" s="26"/>
      <c r="B598" s="55"/>
      <c r="C598" s="56" t="str">
        <f ca="1">IFERROR(__xludf.DUMMYFUNCTION("""COMPUTED_VALUE"""),"الحر")</f>
        <v>الحر</v>
      </c>
      <c r="D598" s="56"/>
      <c r="E598" s="26"/>
      <c r="F598" s="26"/>
      <c r="G598" s="26"/>
      <c r="H598" s="26"/>
      <c r="I598" s="26"/>
      <c r="J598" s="26"/>
      <c r="K598" s="26"/>
      <c r="L598" s="55"/>
      <c r="M598" s="26"/>
    </row>
    <row r="599" spans="1:13" ht="75" customHeight="1" thickTop="1" thickBot="1">
      <c r="A599" s="34"/>
      <c r="B599" s="55"/>
      <c r="C599" s="56" t="str">
        <f ca="1">IFERROR(__xludf.DUMMYFUNCTION("""COMPUTED_VALUE"""),"الحر")</f>
        <v>الحر</v>
      </c>
      <c r="D599" s="56"/>
      <c r="E599" s="26"/>
      <c r="F599" s="26"/>
      <c r="G599" s="26"/>
      <c r="H599" s="26"/>
      <c r="I599" s="26"/>
      <c r="J599" s="26"/>
      <c r="K599" s="26"/>
      <c r="L599" s="55"/>
      <c r="M599" s="26"/>
    </row>
    <row r="600" spans="1:13" ht="75" customHeight="1" thickTop="1" thickBot="1">
      <c r="A600" s="26"/>
      <c r="B600" s="55"/>
      <c r="C600" s="56" t="str">
        <f ca="1">IFERROR(__xludf.DUMMYFUNCTION("""COMPUTED_VALUE"""),"الحر")</f>
        <v>الحر</v>
      </c>
      <c r="D600" s="56"/>
      <c r="E600" s="26"/>
      <c r="F600" s="26"/>
      <c r="G600" s="26"/>
      <c r="H600" s="26"/>
      <c r="I600" s="26"/>
      <c r="J600" s="26"/>
      <c r="K600" s="26"/>
      <c r="L600" s="55"/>
      <c r="M600" s="26"/>
    </row>
    <row r="601" spans="1:13" ht="75" customHeight="1" thickTop="1" thickBot="1">
      <c r="A601" s="34"/>
      <c r="B601" s="55"/>
      <c r="C601" s="56" t="str">
        <f ca="1">IFERROR(__xludf.DUMMYFUNCTION("""COMPUTED_VALUE"""),"الحر")</f>
        <v>الحر</v>
      </c>
      <c r="D601" s="56"/>
      <c r="E601" s="26"/>
      <c r="F601" s="26"/>
      <c r="G601" s="26"/>
      <c r="H601" s="26"/>
      <c r="I601" s="26"/>
      <c r="J601" s="26"/>
      <c r="K601" s="26"/>
      <c r="L601" s="55"/>
      <c r="M601" s="26"/>
    </row>
    <row r="602" spans="1:13" ht="75" customHeight="1" thickTop="1" thickBot="1">
      <c r="A602" s="26"/>
      <c r="B602" s="55"/>
      <c r="C602" s="56" t="str">
        <f ca="1">IFERROR(__xludf.DUMMYFUNCTION("""COMPUTED_VALUE"""),"الحر")</f>
        <v>الحر</v>
      </c>
      <c r="D602" s="56"/>
      <c r="E602" s="26"/>
      <c r="F602" s="26"/>
      <c r="G602" s="26"/>
      <c r="H602" s="26"/>
      <c r="I602" s="26"/>
      <c r="J602" s="26"/>
      <c r="K602" s="26"/>
      <c r="L602" s="55"/>
      <c r="M602" s="26"/>
    </row>
    <row r="603" spans="1:13" ht="75" customHeight="1" thickTop="1" thickBot="1">
      <c r="A603" s="34"/>
      <c r="B603" s="55"/>
      <c r="C603" s="56" t="str">
        <f ca="1">IFERROR(__xludf.DUMMYFUNCTION("""COMPUTED_VALUE"""),"الحر")</f>
        <v>الحر</v>
      </c>
      <c r="D603" s="56"/>
      <c r="E603" s="26"/>
      <c r="F603" s="26"/>
      <c r="G603" s="26"/>
      <c r="H603" s="26"/>
      <c r="I603" s="26"/>
      <c r="J603" s="26"/>
      <c r="K603" s="26"/>
      <c r="L603" s="55"/>
      <c r="M603" s="26"/>
    </row>
    <row r="604" spans="1:13" ht="75" customHeight="1" thickTop="1" thickBot="1">
      <c r="A604" s="26"/>
      <c r="B604" s="55"/>
      <c r="C604" s="56" t="str">
        <f ca="1">IFERROR(__xludf.DUMMYFUNCTION("""COMPUTED_VALUE"""),"الحر")</f>
        <v>الحر</v>
      </c>
      <c r="D604" s="56"/>
      <c r="E604" s="26"/>
      <c r="F604" s="26"/>
      <c r="G604" s="26"/>
      <c r="H604" s="26"/>
      <c r="I604" s="26"/>
      <c r="J604" s="26"/>
      <c r="K604" s="26"/>
      <c r="L604" s="55"/>
      <c r="M604" s="26"/>
    </row>
    <row r="605" spans="1:13" ht="75" customHeight="1" thickTop="1" thickBot="1">
      <c r="A605" s="34"/>
      <c r="B605" s="55"/>
      <c r="C605" s="56" t="str">
        <f ca="1">IFERROR(__xludf.DUMMYFUNCTION("""COMPUTED_VALUE"""),"الحر")</f>
        <v>الحر</v>
      </c>
      <c r="D605" s="56"/>
      <c r="E605" s="26"/>
      <c r="F605" s="26"/>
      <c r="G605" s="26"/>
      <c r="H605" s="26"/>
      <c r="I605" s="26"/>
      <c r="J605" s="26"/>
      <c r="K605" s="26"/>
      <c r="L605" s="55"/>
      <c r="M605" s="26"/>
    </row>
    <row r="606" spans="1:13" ht="75" customHeight="1" thickTop="1" thickBot="1">
      <c r="A606" s="26"/>
      <c r="B606" s="55"/>
      <c r="C606" s="56" t="str">
        <f ca="1">IFERROR(__xludf.DUMMYFUNCTION("""COMPUTED_VALUE"""),"الحر")</f>
        <v>الحر</v>
      </c>
      <c r="D606" s="56"/>
      <c r="E606" s="26"/>
      <c r="F606" s="26"/>
      <c r="G606" s="26"/>
      <c r="H606" s="26"/>
      <c r="I606" s="26"/>
      <c r="J606" s="26"/>
      <c r="K606" s="26"/>
      <c r="L606" s="55"/>
      <c r="M606" s="26"/>
    </row>
    <row r="607" spans="1:13" ht="75" customHeight="1" thickTop="1" thickBot="1">
      <c r="A607" s="34"/>
      <c r="B607" s="55"/>
      <c r="C607" s="56" t="str">
        <f ca="1">IFERROR(__xludf.DUMMYFUNCTION("""COMPUTED_VALUE"""),"الحر")</f>
        <v>الحر</v>
      </c>
      <c r="D607" s="56"/>
      <c r="E607" s="26"/>
      <c r="F607" s="26"/>
      <c r="G607" s="26"/>
      <c r="H607" s="26"/>
      <c r="I607" s="26"/>
      <c r="J607" s="26"/>
      <c r="K607" s="26"/>
      <c r="L607" s="55"/>
      <c r="M607" s="26"/>
    </row>
    <row r="608" spans="1:13" ht="75" customHeight="1" thickTop="1" thickBot="1">
      <c r="A608" s="26"/>
      <c r="B608" s="55"/>
      <c r="C608" s="56" t="str">
        <f ca="1">IFERROR(__xludf.DUMMYFUNCTION("""COMPUTED_VALUE"""),"الحر")</f>
        <v>الحر</v>
      </c>
      <c r="D608" s="56"/>
      <c r="E608" s="26"/>
      <c r="F608" s="26"/>
      <c r="G608" s="26"/>
      <c r="H608" s="26"/>
      <c r="I608" s="26"/>
      <c r="J608" s="26"/>
      <c r="K608" s="26"/>
      <c r="L608" s="55"/>
      <c r="M608" s="26"/>
    </row>
    <row r="609" spans="1:13" ht="75" customHeight="1" thickTop="1" thickBot="1">
      <c r="A609" s="34"/>
      <c r="B609" s="55"/>
      <c r="C609" s="56" t="str">
        <f ca="1">IFERROR(__xludf.DUMMYFUNCTION("""COMPUTED_VALUE"""),"الحر")</f>
        <v>الحر</v>
      </c>
      <c r="D609" s="56"/>
      <c r="E609" s="26"/>
      <c r="F609" s="26"/>
      <c r="G609" s="26"/>
      <c r="H609" s="26"/>
      <c r="I609" s="26"/>
      <c r="J609" s="26"/>
      <c r="K609" s="26"/>
      <c r="L609" s="55"/>
      <c r="M609" s="26"/>
    </row>
    <row r="610" spans="1:13" ht="75" customHeight="1" thickTop="1" thickBot="1">
      <c r="A610" s="26"/>
      <c r="B610" s="55"/>
      <c r="C610" s="56" t="str">
        <f ca="1">IFERROR(__xludf.DUMMYFUNCTION("""COMPUTED_VALUE"""),"الحر")</f>
        <v>الحر</v>
      </c>
      <c r="D610" s="56"/>
      <c r="E610" s="26"/>
      <c r="F610" s="26"/>
      <c r="G610" s="26"/>
      <c r="H610" s="26"/>
      <c r="I610" s="26"/>
      <c r="J610" s="26"/>
      <c r="K610" s="26"/>
      <c r="L610" s="55"/>
      <c r="M610" s="26"/>
    </row>
    <row r="611" spans="1:13" ht="75" customHeight="1" thickTop="1" thickBot="1">
      <c r="A611" s="34"/>
      <c r="B611" s="55"/>
      <c r="C611" s="56" t="str">
        <f ca="1">IFERROR(__xludf.DUMMYFUNCTION("""COMPUTED_VALUE"""),"الحر")</f>
        <v>الحر</v>
      </c>
      <c r="D611" s="56"/>
      <c r="E611" s="26"/>
      <c r="F611" s="26"/>
      <c r="G611" s="26"/>
      <c r="H611" s="26"/>
      <c r="I611" s="26"/>
      <c r="J611" s="26"/>
      <c r="K611" s="26"/>
      <c r="L611" s="55"/>
      <c r="M611" s="26"/>
    </row>
    <row r="612" spans="1:13" ht="75" customHeight="1" thickTop="1" thickBot="1">
      <c r="A612" s="26"/>
      <c r="B612" s="55"/>
      <c r="C612" s="56" t="str">
        <f ca="1">IFERROR(__xludf.DUMMYFUNCTION("""COMPUTED_VALUE"""),"الحر")</f>
        <v>الحر</v>
      </c>
      <c r="D612" s="56"/>
      <c r="E612" s="26"/>
      <c r="F612" s="26"/>
      <c r="G612" s="26"/>
      <c r="H612" s="26"/>
      <c r="I612" s="26"/>
      <c r="J612" s="26"/>
      <c r="K612" s="26"/>
      <c r="L612" s="55"/>
      <c r="M612" s="26"/>
    </row>
    <row r="613" spans="1:13" ht="75" customHeight="1" thickTop="1" thickBot="1">
      <c r="A613" s="34"/>
      <c r="B613" s="55"/>
      <c r="C613" s="56" t="str">
        <f ca="1">IFERROR(__xludf.DUMMYFUNCTION("""COMPUTED_VALUE"""),"الحر")</f>
        <v>الحر</v>
      </c>
      <c r="D613" s="56"/>
      <c r="E613" s="26"/>
      <c r="F613" s="26"/>
      <c r="G613" s="26"/>
      <c r="H613" s="26"/>
      <c r="I613" s="26"/>
      <c r="J613" s="26"/>
      <c r="K613" s="26"/>
      <c r="L613" s="55"/>
      <c r="M613" s="26"/>
    </row>
    <row r="614" spans="1:13" ht="75" customHeight="1" thickTop="1" thickBot="1">
      <c r="A614" s="26"/>
      <c r="B614" s="55"/>
      <c r="C614" s="56" t="str">
        <f ca="1">IFERROR(__xludf.DUMMYFUNCTION("""COMPUTED_VALUE"""),"الحر")</f>
        <v>الحر</v>
      </c>
      <c r="D614" s="56"/>
      <c r="E614" s="26"/>
      <c r="F614" s="26"/>
      <c r="G614" s="26"/>
      <c r="H614" s="26"/>
      <c r="I614" s="26"/>
      <c r="J614" s="26"/>
      <c r="K614" s="26"/>
      <c r="L614" s="55"/>
      <c r="M614" s="26"/>
    </row>
    <row r="615" spans="1:13" ht="75" customHeight="1" thickTop="1" thickBot="1">
      <c r="A615" s="34"/>
      <c r="B615" s="55"/>
      <c r="C615" s="56" t="str">
        <f ca="1">IFERROR(__xludf.DUMMYFUNCTION("""COMPUTED_VALUE"""),"الحر")</f>
        <v>الحر</v>
      </c>
      <c r="D615" s="56"/>
      <c r="E615" s="26"/>
      <c r="F615" s="26"/>
      <c r="G615" s="26"/>
      <c r="H615" s="26"/>
      <c r="I615" s="26"/>
      <c r="J615" s="26"/>
      <c r="K615" s="26"/>
      <c r="L615" s="55"/>
      <c r="M615" s="26"/>
    </row>
    <row r="616" spans="1:13" ht="75" customHeight="1" thickTop="1" thickBot="1">
      <c r="A616" s="26"/>
      <c r="B616" s="55"/>
      <c r="C616" s="56" t="str">
        <f ca="1">IFERROR(__xludf.DUMMYFUNCTION("""COMPUTED_VALUE"""),"الحر")</f>
        <v>الحر</v>
      </c>
      <c r="D616" s="56"/>
      <c r="E616" s="26"/>
      <c r="F616" s="26"/>
      <c r="G616" s="26"/>
      <c r="H616" s="26"/>
      <c r="I616" s="26"/>
      <c r="J616" s="26"/>
      <c r="K616" s="26"/>
      <c r="L616" s="55"/>
      <c r="M616" s="26"/>
    </row>
    <row r="617" spans="1:13" ht="75" customHeight="1" thickTop="1" thickBot="1">
      <c r="A617" s="34"/>
      <c r="B617" s="55"/>
      <c r="C617" s="56" t="str">
        <f ca="1">IFERROR(__xludf.DUMMYFUNCTION("""COMPUTED_VALUE"""),"الحر")</f>
        <v>الحر</v>
      </c>
      <c r="D617" s="56"/>
      <c r="E617" s="26"/>
      <c r="F617" s="26"/>
      <c r="G617" s="26"/>
      <c r="H617" s="26"/>
      <c r="I617" s="26"/>
      <c r="J617" s="26"/>
      <c r="K617" s="26"/>
      <c r="L617" s="55"/>
      <c r="M617" s="26"/>
    </row>
    <row r="618" spans="1:13" ht="75" customHeight="1" thickTop="1" thickBot="1">
      <c r="A618" s="26"/>
      <c r="B618" s="55"/>
      <c r="C618" s="56" t="str">
        <f ca="1">IFERROR(__xludf.DUMMYFUNCTION("""COMPUTED_VALUE"""),"الحر")</f>
        <v>الحر</v>
      </c>
      <c r="D618" s="56"/>
      <c r="E618" s="26"/>
      <c r="F618" s="26"/>
      <c r="G618" s="26"/>
      <c r="H618" s="26"/>
      <c r="I618" s="26"/>
      <c r="J618" s="26"/>
      <c r="K618" s="26"/>
      <c r="L618" s="55"/>
      <c r="M618" s="26"/>
    </row>
    <row r="619" spans="1:13" ht="75" customHeight="1" thickTop="1" thickBot="1">
      <c r="A619" s="34"/>
      <c r="B619" s="55"/>
      <c r="C619" s="56" t="str">
        <f ca="1">IFERROR(__xludf.DUMMYFUNCTION("""COMPUTED_VALUE"""),"الحر")</f>
        <v>الحر</v>
      </c>
      <c r="D619" s="56"/>
      <c r="E619" s="26"/>
      <c r="F619" s="26"/>
      <c r="G619" s="26"/>
      <c r="H619" s="26"/>
      <c r="I619" s="26"/>
      <c r="J619" s="26"/>
      <c r="K619" s="26"/>
      <c r="L619" s="55"/>
      <c r="M619" s="26"/>
    </row>
    <row r="620" spans="1:13" ht="75" customHeight="1" thickTop="1" thickBot="1">
      <c r="A620" s="26"/>
      <c r="B620" s="55"/>
      <c r="C620" s="56" t="str">
        <f ca="1">IFERROR(__xludf.DUMMYFUNCTION("""COMPUTED_VALUE"""),"الحر")</f>
        <v>الحر</v>
      </c>
      <c r="D620" s="56"/>
      <c r="E620" s="26"/>
      <c r="F620" s="26"/>
      <c r="G620" s="26"/>
      <c r="H620" s="26"/>
      <c r="I620" s="26"/>
      <c r="J620" s="26"/>
      <c r="K620" s="26"/>
      <c r="L620" s="55"/>
      <c r="M620" s="26"/>
    </row>
    <row r="621" spans="1:13" ht="75" customHeight="1" thickTop="1" thickBot="1">
      <c r="A621" s="34"/>
      <c r="B621" s="55"/>
      <c r="C621" s="56" t="str">
        <f ca="1">IFERROR(__xludf.DUMMYFUNCTION("""COMPUTED_VALUE"""),"الحر")</f>
        <v>الحر</v>
      </c>
      <c r="D621" s="56"/>
      <c r="E621" s="26"/>
      <c r="F621" s="26"/>
      <c r="G621" s="26"/>
      <c r="H621" s="26"/>
      <c r="I621" s="26"/>
      <c r="J621" s="26"/>
      <c r="K621" s="26"/>
      <c r="L621" s="55"/>
      <c r="M621" s="26"/>
    </row>
    <row r="622" spans="1:13" ht="75" customHeight="1" thickTop="1" thickBot="1">
      <c r="A622" s="26"/>
      <c r="B622" s="55"/>
      <c r="C622" s="56" t="str">
        <f ca="1">IFERROR(__xludf.DUMMYFUNCTION("""COMPUTED_VALUE"""),"الحر")</f>
        <v>الحر</v>
      </c>
      <c r="D622" s="56"/>
      <c r="E622" s="26"/>
      <c r="F622" s="26"/>
      <c r="G622" s="26"/>
      <c r="H622" s="26"/>
      <c r="I622" s="26"/>
      <c r="J622" s="26"/>
      <c r="K622" s="26"/>
      <c r="L622" s="55"/>
      <c r="M622" s="26"/>
    </row>
    <row r="623" spans="1:13" ht="75" customHeight="1" thickTop="1" thickBot="1">
      <c r="A623" s="34"/>
      <c r="B623" s="55"/>
      <c r="C623" s="56" t="str">
        <f ca="1">IFERROR(__xludf.DUMMYFUNCTION("""COMPUTED_VALUE"""),"الحر")</f>
        <v>الحر</v>
      </c>
      <c r="D623" s="56"/>
      <c r="E623" s="26"/>
      <c r="F623" s="26"/>
      <c r="G623" s="26"/>
      <c r="H623" s="26"/>
      <c r="I623" s="26"/>
      <c r="J623" s="26"/>
      <c r="K623" s="26"/>
      <c r="L623" s="55"/>
      <c r="M623" s="26"/>
    </row>
    <row r="624" spans="1:13" ht="75" customHeight="1" thickTop="1" thickBot="1">
      <c r="A624" s="26"/>
      <c r="B624" s="55"/>
      <c r="C624" s="56" t="str">
        <f ca="1">IFERROR(__xludf.DUMMYFUNCTION("""COMPUTED_VALUE"""),"الحر")</f>
        <v>الحر</v>
      </c>
      <c r="D624" s="56"/>
      <c r="E624" s="26"/>
      <c r="F624" s="26"/>
      <c r="G624" s="26"/>
      <c r="H624" s="26"/>
      <c r="I624" s="26"/>
      <c r="J624" s="26"/>
      <c r="K624" s="26"/>
      <c r="L624" s="55"/>
      <c r="M624" s="26"/>
    </row>
    <row r="625" spans="1:13" ht="75" customHeight="1" thickTop="1" thickBot="1">
      <c r="A625" s="34"/>
      <c r="B625" s="55"/>
      <c r="C625" s="56" t="str">
        <f ca="1">IFERROR(__xludf.DUMMYFUNCTION("""COMPUTED_VALUE"""),"الحر")</f>
        <v>الحر</v>
      </c>
      <c r="D625" s="56"/>
      <c r="E625" s="26"/>
      <c r="F625" s="26"/>
      <c r="G625" s="26"/>
      <c r="H625" s="26"/>
      <c r="I625" s="26"/>
      <c r="J625" s="26"/>
      <c r="K625" s="26"/>
      <c r="L625" s="55"/>
      <c r="M625" s="26"/>
    </row>
    <row r="626" spans="1:13" ht="75" customHeight="1" thickTop="1" thickBot="1">
      <c r="A626" s="26"/>
      <c r="B626" s="55"/>
      <c r="C626" s="56" t="str">
        <f ca="1">IFERROR(__xludf.DUMMYFUNCTION("""COMPUTED_VALUE"""),"الحر")</f>
        <v>الحر</v>
      </c>
      <c r="D626" s="56"/>
      <c r="E626" s="26"/>
      <c r="F626" s="26"/>
      <c r="G626" s="26"/>
      <c r="H626" s="26"/>
      <c r="I626" s="26"/>
      <c r="J626" s="26"/>
      <c r="K626" s="26"/>
      <c r="L626" s="55"/>
      <c r="M626" s="26"/>
    </row>
    <row r="627" spans="1:13" ht="75" customHeight="1" thickTop="1" thickBot="1">
      <c r="A627" s="34"/>
      <c r="B627" s="55"/>
      <c r="C627" s="56" t="str">
        <f ca="1">IFERROR(__xludf.DUMMYFUNCTION("""COMPUTED_VALUE"""),"الحر")</f>
        <v>الحر</v>
      </c>
      <c r="D627" s="56"/>
      <c r="E627" s="26"/>
      <c r="F627" s="26"/>
      <c r="G627" s="26"/>
      <c r="H627" s="26"/>
      <c r="I627" s="26"/>
      <c r="J627" s="26"/>
      <c r="K627" s="26"/>
      <c r="L627" s="55"/>
      <c r="M627" s="26"/>
    </row>
    <row r="628" spans="1:13" ht="75" customHeight="1" thickTop="1" thickBot="1">
      <c r="A628" s="26"/>
      <c r="B628" s="55"/>
      <c r="C628" s="56" t="str">
        <f ca="1">IFERROR(__xludf.DUMMYFUNCTION("""COMPUTED_VALUE"""),"الحر")</f>
        <v>الحر</v>
      </c>
      <c r="D628" s="56"/>
      <c r="E628" s="26"/>
      <c r="F628" s="26"/>
      <c r="G628" s="26"/>
      <c r="H628" s="26"/>
      <c r="I628" s="26"/>
      <c r="J628" s="26"/>
      <c r="K628" s="26"/>
      <c r="L628" s="55"/>
      <c r="M628" s="26"/>
    </row>
    <row r="629" spans="1:13" ht="75" customHeight="1" thickTop="1" thickBot="1">
      <c r="A629" s="34"/>
      <c r="B629" s="55"/>
      <c r="C629" s="56" t="str">
        <f ca="1">IFERROR(__xludf.DUMMYFUNCTION("""COMPUTED_VALUE"""),"الحر")</f>
        <v>الحر</v>
      </c>
      <c r="D629" s="56"/>
      <c r="E629" s="26"/>
      <c r="F629" s="26"/>
      <c r="G629" s="26"/>
      <c r="H629" s="26"/>
      <c r="I629" s="26"/>
      <c r="J629" s="26"/>
      <c r="K629" s="26"/>
      <c r="L629" s="55"/>
      <c r="M629" s="26"/>
    </row>
    <row r="630" spans="1:13" ht="75" customHeight="1" thickTop="1" thickBot="1">
      <c r="A630" s="26"/>
      <c r="B630" s="55"/>
      <c r="C630" s="56" t="str">
        <f ca="1">IFERROR(__xludf.DUMMYFUNCTION("""COMPUTED_VALUE"""),"الحر")</f>
        <v>الحر</v>
      </c>
      <c r="D630" s="56"/>
      <c r="E630" s="26"/>
      <c r="F630" s="26"/>
      <c r="G630" s="26"/>
      <c r="H630" s="26"/>
      <c r="I630" s="26"/>
      <c r="J630" s="26"/>
      <c r="K630" s="26"/>
      <c r="L630" s="55"/>
      <c r="M630" s="26"/>
    </row>
    <row r="631" spans="1:13" ht="75" customHeight="1" thickTop="1" thickBot="1">
      <c r="A631" s="34"/>
      <c r="B631" s="55"/>
      <c r="C631" s="56" t="str">
        <f ca="1">IFERROR(__xludf.DUMMYFUNCTION("""COMPUTED_VALUE"""),"الحر")</f>
        <v>الحر</v>
      </c>
      <c r="D631" s="56"/>
      <c r="E631" s="26"/>
      <c r="F631" s="26"/>
      <c r="G631" s="26"/>
      <c r="H631" s="26"/>
      <c r="I631" s="26"/>
      <c r="J631" s="26"/>
      <c r="K631" s="26"/>
      <c r="L631" s="55"/>
      <c r="M631" s="26"/>
    </row>
    <row r="632" spans="1:13" ht="75" customHeight="1" thickTop="1" thickBot="1">
      <c r="A632" s="26"/>
      <c r="B632" s="55"/>
      <c r="C632" s="56" t="str">
        <f ca="1">IFERROR(__xludf.DUMMYFUNCTION("""COMPUTED_VALUE"""),"الحر")</f>
        <v>الحر</v>
      </c>
      <c r="D632" s="56"/>
      <c r="E632" s="26"/>
      <c r="F632" s="26"/>
      <c r="G632" s="26"/>
      <c r="H632" s="26"/>
      <c r="I632" s="26"/>
      <c r="J632" s="26"/>
      <c r="K632" s="26"/>
      <c r="L632" s="55"/>
      <c r="M632" s="26"/>
    </row>
    <row r="633" spans="1:13" ht="75" customHeight="1" thickTop="1" thickBot="1">
      <c r="A633" s="34"/>
      <c r="B633" s="55"/>
      <c r="C633" s="56" t="str">
        <f ca="1">IFERROR(__xludf.DUMMYFUNCTION("""COMPUTED_VALUE"""),"الحر")</f>
        <v>الحر</v>
      </c>
      <c r="D633" s="56"/>
      <c r="E633" s="26"/>
      <c r="F633" s="26"/>
      <c r="G633" s="26"/>
      <c r="H633" s="26"/>
      <c r="I633" s="26"/>
      <c r="J633" s="26"/>
      <c r="K633" s="26"/>
      <c r="L633" s="55"/>
      <c r="M633" s="26"/>
    </row>
    <row r="634" spans="1:13" ht="75" customHeight="1" thickTop="1" thickBot="1">
      <c r="A634" s="26"/>
      <c r="B634" s="55"/>
      <c r="C634" s="56" t="str">
        <f ca="1">IFERROR(__xludf.DUMMYFUNCTION("""COMPUTED_VALUE"""),"الحر")</f>
        <v>الحر</v>
      </c>
      <c r="D634" s="56"/>
      <c r="E634" s="26"/>
      <c r="F634" s="26"/>
      <c r="G634" s="26"/>
      <c r="H634" s="26"/>
      <c r="I634" s="26"/>
      <c r="J634" s="26"/>
      <c r="K634" s="26"/>
      <c r="L634" s="55"/>
      <c r="M634" s="26"/>
    </row>
    <row r="635" spans="1:13" ht="75" customHeight="1" thickTop="1" thickBot="1">
      <c r="A635" s="34"/>
      <c r="B635" s="55"/>
      <c r="C635" s="56" t="str">
        <f ca="1">IFERROR(__xludf.DUMMYFUNCTION("""COMPUTED_VALUE"""),"الحر")</f>
        <v>الحر</v>
      </c>
      <c r="D635" s="56"/>
      <c r="E635" s="26"/>
      <c r="F635" s="26"/>
      <c r="G635" s="26"/>
      <c r="H635" s="26"/>
      <c r="I635" s="26"/>
      <c r="J635" s="26"/>
      <c r="K635" s="26"/>
      <c r="L635" s="55"/>
      <c r="M635" s="26"/>
    </row>
    <row r="636" spans="1:13" ht="75" customHeight="1" thickTop="1" thickBot="1">
      <c r="A636" s="26"/>
      <c r="B636" s="55"/>
      <c r="C636" s="56" t="str">
        <f ca="1">IFERROR(__xludf.DUMMYFUNCTION("""COMPUTED_VALUE"""),"الحر")</f>
        <v>الحر</v>
      </c>
      <c r="D636" s="56"/>
      <c r="E636" s="26"/>
      <c r="F636" s="26"/>
      <c r="G636" s="26"/>
      <c r="H636" s="26"/>
      <c r="I636" s="26"/>
      <c r="J636" s="26"/>
      <c r="K636" s="26"/>
      <c r="L636" s="55"/>
      <c r="M636" s="26"/>
    </row>
    <row r="637" spans="1:13" ht="75" customHeight="1" thickTop="1" thickBot="1">
      <c r="A637" s="34"/>
      <c r="B637" s="55"/>
      <c r="C637" s="56" t="str">
        <f ca="1">IFERROR(__xludf.DUMMYFUNCTION("""COMPUTED_VALUE"""),"الحر")</f>
        <v>الحر</v>
      </c>
      <c r="D637" s="56"/>
      <c r="E637" s="26"/>
      <c r="F637" s="26"/>
      <c r="G637" s="26"/>
      <c r="H637" s="26"/>
      <c r="I637" s="26"/>
      <c r="J637" s="26"/>
      <c r="K637" s="26"/>
      <c r="L637" s="55"/>
      <c r="M637" s="26"/>
    </row>
    <row r="638" spans="1:13" ht="75" customHeight="1" thickTop="1" thickBot="1">
      <c r="A638" s="26"/>
      <c r="B638" s="55"/>
      <c r="C638" s="56" t="str">
        <f ca="1">IFERROR(__xludf.DUMMYFUNCTION("""COMPUTED_VALUE"""),"الحر")</f>
        <v>الحر</v>
      </c>
      <c r="D638" s="56"/>
      <c r="E638" s="26"/>
      <c r="F638" s="26"/>
      <c r="G638" s="26"/>
      <c r="H638" s="26"/>
      <c r="I638" s="26"/>
      <c r="J638" s="26"/>
      <c r="K638" s="26"/>
      <c r="L638" s="55"/>
      <c r="M638" s="26"/>
    </row>
    <row r="639" spans="1:13" ht="75" customHeight="1" thickTop="1" thickBot="1">
      <c r="A639" s="34"/>
      <c r="B639" s="55"/>
      <c r="C639" s="56" t="str">
        <f ca="1">IFERROR(__xludf.DUMMYFUNCTION("""COMPUTED_VALUE"""),"الحر")</f>
        <v>الحر</v>
      </c>
      <c r="D639" s="56"/>
      <c r="E639" s="26"/>
      <c r="F639" s="26"/>
      <c r="G639" s="26"/>
      <c r="H639" s="26"/>
      <c r="I639" s="26"/>
      <c r="J639" s="26"/>
      <c r="K639" s="26"/>
      <c r="L639" s="55"/>
      <c r="M639" s="26"/>
    </row>
    <row r="640" spans="1:13" ht="75" customHeight="1" thickTop="1" thickBot="1">
      <c r="A640" s="26"/>
      <c r="B640" s="55"/>
      <c r="C640" s="56" t="str">
        <f ca="1">IFERROR(__xludf.DUMMYFUNCTION("""COMPUTED_VALUE"""),"الحر")</f>
        <v>الحر</v>
      </c>
      <c r="D640" s="56"/>
      <c r="E640" s="26"/>
      <c r="F640" s="26"/>
      <c r="G640" s="26"/>
      <c r="H640" s="26"/>
      <c r="I640" s="26"/>
      <c r="J640" s="26"/>
      <c r="K640" s="26"/>
      <c r="L640" s="55"/>
      <c r="M640" s="26"/>
    </row>
    <row r="641" spans="1:13" ht="75" customHeight="1" thickTop="1" thickBot="1">
      <c r="A641" s="34"/>
      <c r="B641" s="55"/>
      <c r="C641" s="56" t="str">
        <f ca="1">IFERROR(__xludf.DUMMYFUNCTION("""COMPUTED_VALUE"""),"الحر")</f>
        <v>الحر</v>
      </c>
      <c r="D641" s="56"/>
      <c r="E641" s="26"/>
      <c r="F641" s="26"/>
      <c r="G641" s="26"/>
      <c r="H641" s="26"/>
      <c r="I641" s="26"/>
      <c r="J641" s="26"/>
      <c r="K641" s="26"/>
      <c r="L641" s="55"/>
      <c r="M641" s="26"/>
    </row>
    <row r="642" spans="1:13" ht="75" customHeight="1" thickTop="1" thickBot="1">
      <c r="A642" s="26"/>
      <c r="B642" s="55"/>
      <c r="C642" s="56" t="str">
        <f ca="1">IFERROR(__xludf.DUMMYFUNCTION("""COMPUTED_VALUE"""),"الحر")</f>
        <v>الحر</v>
      </c>
      <c r="D642" s="56"/>
      <c r="E642" s="26"/>
      <c r="F642" s="26"/>
      <c r="G642" s="26"/>
      <c r="H642" s="26"/>
      <c r="I642" s="26"/>
      <c r="J642" s="26"/>
      <c r="K642" s="26"/>
      <c r="L642" s="55"/>
      <c r="M642" s="26"/>
    </row>
    <row r="643" spans="1:13" ht="75" customHeight="1" thickTop="1" thickBot="1">
      <c r="A643" s="34"/>
      <c r="B643" s="55"/>
      <c r="C643" s="56" t="str">
        <f ca="1">IFERROR(__xludf.DUMMYFUNCTION("""COMPUTED_VALUE"""),"الحر")</f>
        <v>الحر</v>
      </c>
      <c r="D643" s="56"/>
      <c r="E643" s="26"/>
      <c r="F643" s="26"/>
      <c r="G643" s="26"/>
      <c r="H643" s="26"/>
      <c r="I643" s="26"/>
      <c r="J643" s="26"/>
      <c r="K643" s="26"/>
      <c r="L643" s="55"/>
      <c r="M643" s="26"/>
    </row>
    <row r="644" spans="1:13" ht="75" customHeight="1" thickTop="1" thickBot="1">
      <c r="A644" s="26"/>
      <c r="B644" s="55"/>
      <c r="C644" s="56" t="str">
        <f ca="1">IFERROR(__xludf.DUMMYFUNCTION("""COMPUTED_VALUE"""),"الحر")</f>
        <v>الحر</v>
      </c>
      <c r="D644" s="56"/>
      <c r="E644" s="26"/>
      <c r="F644" s="26"/>
      <c r="G644" s="26"/>
      <c r="H644" s="26"/>
      <c r="I644" s="26"/>
      <c r="J644" s="26"/>
      <c r="K644" s="26"/>
      <c r="L644" s="55"/>
      <c r="M644" s="26"/>
    </row>
    <row r="645" spans="1:13" ht="75" customHeight="1" thickTop="1" thickBot="1">
      <c r="A645" s="34"/>
      <c r="B645" s="55"/>
      <c r="C645" s="56" t="str">
        <f ca="1">IFERROR(__xludf.DUMMYFUNCTION("""COMPUTED_VALUE"""),"الحر")</f>
        <v>الحر</v>
      </c>
      <c r="D645" s="56"/>
      <c r="E645" s="26"/>
      <c r="F645" s="26"/>
      <c r="G645" s="26"/>
      <c r="H645" s="26"/>
      <c r="I645" s="26"/>
      <c r="J645" s="26"/>
      <c r="K645" s="26"/>
      <c r="L645" s="55"/>
      <c r="M645" s="26"/>
    </row>
    <row r="646" spans="1:13" ht="75" customHeight="1" thickTop="1" thickBot="1">
      <c r="A646" s="26"/>
      <c r="B646" s="55"/>
      <c r="C646" s="56" t="str">
        <f ca="1">IFERROR(__xludf.DUMMYFUNCTION("""COMPUTED_VALUE"""),"الحر")</f>
        <v>الحر</v>
      </c>
      <c r="D646" s="56"/>
      <c r="E646" s="26"/>
      <c r="F646" s="26"/>
      <c r="G646" s="26"/>
      <c r="H646" s="26"/>
      <c r="I646" s="26"/>
      <c r="J646" s="26"/>
      <c r="K646" s="26"/>
      <c r="L646" s="55"/>
      <c r="M646" s="26"/>
    </row>
    <row r="647" spans="1:13" ht="75" customHeight="1" thickTop="1" thickBot="1">
      <c r="A647" s="34"/>
      <c r="B647" s="55"/>
      <c r="C647" s="56" t="str">
        <f ca="1">IFERROR(__xludf.DUMMYFUNCTION("""COMPUTED_VALUE"""),"الحر")</f>
        <v>الحر</v>
      </c>
      <c r="D647" s="56"/>
      <c r="E647" s="26"/>
      <c r="F647" s="26"/>
      <c r="G647" s="26"/>
      <c r="H647" s="26"/>
      <c r="I647" s="26"/>
      <c r="J647" s="26"/>
      <c r="K647" s="26"/>
      <c r="L647" s="55"/>
      <c r="M647" s="26"/>
    </row>
    <row r="648" spans="1:13" ht="75" customHeight="1" thickTop="1" thickBot="1">
      <c r="A648" s="26"/>
      <c r="B648" s="55"/>
      <c r="C648" s="56" t="str">
        <f ca="1">IFERROR(__xludf.DUMMYFUNCTION("""COMPUTED_VALUE"""),"الحر")</f>
        <v>الحر</v>
      </c>
      <c r="D648" s="56"/>
      <c r="E648" s="26"/>
      <c r="F648" s="26"/>
      <c r="G648" s="26"/>
      <c r="H648" s="26"/>
      <c r="I648" s="26"/>
      <c r="J648" s="26"/>
      <c r="K648" s="26"/>
      <c r="L648" s="55"/>
      <c r="M648" s="26"/>
    </row>
    <row r="649" spans="1:13" ht="75" customHeight="1" thickTop="1" thickBot="1">
      <c r="A649" s="34"/>
      <c r="B649" s="55"/>
      <c r="C649" s="56" t="str">
        <f ca="1">IFERROR(__xludf.DUMMYFUNCTION("""COMPUTED_VALUE"""),"الحر")</f>
        <v>الحر</v>
      </c>
      <c r="D649" s="56"/>
      <c r="E649" s="26"/>
      <c r="F649" s="26"/>
      <c r="G649" s="26"/>
      <c r="H649" s="26"/>
      <c r="I649" s="26"/>
      <c r="J649" s="26"/>
      <c r="K649" s="26"/>
      <c r="L649" s="55"/>
      <c r="M649" s="26"/>
    </row>
    <row r="650" spans="1:13" ht="75" customHeight="1" thickTop="1" thickBot="1">
      <c r="A650" s="26"/>
      <c r="B650" s="55"/>
      <c r="C650" s="56" t="str">
        <f ca="1">IFERROR(__xludf.DUMMYFUNCTION("""COMPUTED_VALUE"""),"الحر")</f>
        <v>الحر</v>
      </c>
      <c r="D650" s="56"/>
      <c r="E650" s="26"/>
      <c r="F650" s="26"/>
      <c r="G650" s="26"/>
      <c r="H650" s="26"/>
      <c r="I650" s="26"/>
      <c r="J650" s="26"/>
      <c r="K650" s="26"/>
      <c r="L650" s="55"/>
      <c r="M650" s="26"/>
    </row>
    <row r="651" spans="1:13" ht="75" customHeight="1" thickTop="1" thickBot="1">
      <c r="A651" s="34"/>
      <c r="B651" s="55"/>
      <c r="C651" s="56" t="str">
        <f ca="1">IFERROR(__xludf.DUMMYFUNCTION("""COMPUTED_VALUE"""),"الحر")</f>
        <v>الحر</v>
      </c>
      <c r="D651" s="56"/>
      <c r="E651" s="26"/>
      <c r="F651" s="26"/>
      <c r="G651" s="26"/>
      <c r="H651" s="26"/>
      <c r="I651" s="26"/>
      <c r="J651" s="26"/>
      <c r="K651" s="26"/>
      <c r="L651" s="55"/>
      <c r="M651" s="26"/>
    </row>
    <row r="652" spans="1:13" ht="75" customHeight="1" thickTop="1" thickBot="1">
      <c r="A652" s="26"/>
      <c r="B652" s="55"/>
      <c r="C652" s="56" t="str">
        <f ca="1">IFERROR(__xludf.DUMMYFUNCTION("""COMPUTED_VALUE"""),"الحر")</f>
        <v>الحر</v>
      </c>
      <c r="D652" s="56"/>
      <c r="E652" s="26"/>
      <c r="F652" s="26"/>
      <c r="G652" s="26"/>
      <c r="H652" s="26"/>
      <c r="I652" s="26"/>
      <c r="J652" s="26"/>
      <c r="K652" s="26"/>
      <c r="L652" s="55"/>
      <c r="M652" s="26"/>
    </row>
    <row r="653" spans="1:13" ht="75" customHeight="1" thickTop="1" thickBot="1">
      <c r="A653" s="34"/>
      <c r="B653" s="55"/>
      <c r="C653" s="56" t="str">
        <f ca="1">IFERROR(__xludf.DUMMYFUNCTION("""COMPUTED_VALUE"""),"الحر")</f>
        <v>الحر</v>
      </c>
      <c r="D653" s="56"/>
      <c r="E653" s="26"/>
      <c r="F653" s="26"/>
      <c r="G653" s="26"/>
      <c r="H653" s="26"/>
      <c r="I653" s="26"/>
      <c r="J653" s="26"/>
      <c r="K653" s="26"/>
      <c r="L653" s="55"/>
      <c r="M653" s="26"/>
    </row>
    <row r="654" spans="1:13" ht="75" customHeight="1" thickTop="1" thickBot="1">
      <c r="A654" s="26"/>
      <c r="B654" s="55"/>
      <c r="C654" s="56" t="str">
        <f ca="1">IFERROR(__xludf.DUMMYFUNCTION("""COMPUTED_VALUE"""),"الحر")</f>
        <v>الحر</v>
      </c>
      <c r="D654" s="56"/>
      <c r="E654" s="26"/>
      <c r="F654" s="26"/>
      <c r="G654" s="26"/>
      <c r="H654" s="26"/>
      <c r="I654" s="26"/>
      <c r="J654" s="26"/>
      <c r="K654" s="26"/>
      <c r="L654" s="55"/>
      <c r="M654" s="26"/>
    </row>
    <row r="655" spans="1:13" ht="75" customHeight="1" thickTop="1" thickBot="1">
      <c r="A655" s="34"/>
      <c r="B655" s="55"/>
      <c r="C655" s="56" t="str">
        <f ca="1">IFERROR(__xludf.DUMMYFUNCTION("""COMPUTED_VALUE"""),"الحر")</f>
        <v>الحر</v>
      </c>
      <c r="D655" s="56"/>
      <c r="E655" s="26"/>
      <c r="F655" s="26"/>
      <c r="G655" s="26"/>
      <c r="H655" s="26"/>
      <c r="I655" s="26"/>
      <c r="J655" s="26"/>
      <c r="K655" s="26"/>
      <c r="L655" s="55"/>
      <c r="M655" s="26"/>
    </row>
    <row r="656" spans="1:13" ht="75" customHeight="1" thickTop="1" thickBot="1">
      <c r="A656" s="26"/>
      <c r="B656" s="55"/>
      <c r="C656" s="56" t="str">
        <f ca="1">IFERROR(__xludf.DUMMYFUNCTION("""COMPUTED_VALUE"""),"الحر")</f>
        <v>الحر</v>
      </c>
      <c r="D656" s="56"/>
      <c r="E656" s="26"/>
      <c r="F656" s="26"/>
      <c r="G656" s="26"/>
      <c r="H656" s="26"/>
      <c r="I656" s="26"/>
      <c r="J656" s="26"/>
      <c r="K656" s="26"/>
      <c r="L656" s="55"/>
      <c r="M656" s="26"/>
    </row>
    <row r="657" spans="1:13" ht="75" customHeight="1" thickTop="1" thickBot="1">
      <c r="A657" s="34"/>
      <c r="B657" s="55"/>
      <c r="C657" s="56" t="str">
        <f ca="1">IFERROR(__xludf.DUMMYFUNCTION("""COMPUTED_VALUE"""),"الحر")</f>
        <v>الحر</v>
      </c>
      <c r="D657" s="56"/>
      <c r="E657" s="26"/>
      <c r="F657" s="26"/>
      <c r="G657" s="26"/>
      <c r="H657" s="26"/>
      <c r="I657" s="26"/>
      <c r="J657" s="26"/>
      <c r="K657" s="26"/>
      <c r="L657" s="55"/>
      <c r="M657" s="26"/>
    </row>
    <row r="658" spans="1:13" ht="75" customHeight="1" thickTop="1" thickBot="1">
      <c r="A658" s="26"/>
      <c r="B658" s="55"/>
      <c r="C658" s="56" t="str">
        <f ca="1">IFERROR(__xludf.DUMMYFUNCTION("""COMPUTED_VALUE"""),"الحر")</f>
        <v>الحر</v>
      </c>
      <c r="D658" s="56"/>
      <c r="E658" s="26"/>
      <c r="F658" s="26"/>
      <c r="G658" s="26"/>
      <c r="H658" s="26"/>
      <c r="I658" s="26"/>
      <c r="J658" s="26"/>
      <c r="K658" s="26"/>
      <c r="L658" s="55"/>
      <c r="M658" s="26"/>
    </row>
    <row r="659" spans="1:13" ht="75" customHeight="1" thickTop="1" thickBot="1">
      <c r="A659" s="34"/>
      <c r="B659" s="55"/>
      <c r="C659" s="56" t="str">
        <f ca="1">IFERROR(__xludf.DUMMYFUNCTION("""COMPUTED_VALUE"""),"الحر")</f>
        <v>الحر</v>
      </c>
      <c r="D659" s="56"/>
      <c r="E659" s="26"/>
      <c r="F659" s="26"/>
      <c r="G659" s="26"/>
      <c r="H659" s="26"/>
      <c r="I659" s="26"/>
      <c r="J659" s="26"/>
      <c r="K659" s="26"/>
      <c r="L659" s="55"/>
      <c r="M659" s="26"/>
    </row>
    <row r="660" spans="1:13" ht="75" customHeight="1" thickTop="1" thickBot="1">
      <c r="A660" s="26"/>
      <c r="B660" s="55"/>
      <c r="C660" s="56" t="str">
        <f ca="1">IFERROR(__xludf.DUMMYFUNCTION("""COMPUTED_VALUE"""),"الحر")</f>
        <v>الحر</v>
      </c>
      <c r="D660" s="56"/>
      <c r="E660" s="26"/>
      <c r="F660" s="26"/>
      <c r="G660" s="26"/>
      <c r="H660" s="26"/>
      <c r="I660" s="26"/>
      <c r="J660" s="26"/>
      <c r="K660" s="26"/>
      <c r="L660" s="55"/>
      <c r="M660" s="26"/>
    </row>
    <row r="661" spans="1:13" ht="75" customHeight="1" thickTop="1" thickBot="1">
      <c r="A661" s="34"/>
      <c r="B661" s="55"/>
      <c r="C661" s="56" t="str">
        <f ca="1">IFERROR(__xludf.DUMMYFUNCTION("""COMPUTED_VALUE"""),"الحر")</f>
        <v>الحر</v>
      </c>
      <c r="D661" s="56"/>
      <c r="E661" s="26"/>
      <c r="F661" s="26"/>
      <c r="G661" s="26"/>
      <c r="H661" s="26"/>
      <c r="I661" s="26"/>
      <c r="J661" s="26"/>
      <c r="K661" s="26"/>
      <c r="L661" s="55"/>
      <c r="M661" s="26"/>
    </row>
    <row r="662" spans="1:13" ht="75" customHeight="1" thickTop="1" thickBot="1">
      <c r="A662" s="26"/>
      <c r="B662" s="55"/>
      <c r="C662" s="56" t="str">
        <f ca="1">IFERROR(__xludf.DUMMYFUNCTION("""COMPUTED_VALUE"""),"الحر")</f>
        <v>الحر</v>
      </c>
      <c r="D662" s="56"/>
      <c r="E662" s="26"/>
      <c r="F662" s="26"/>
      <c r="G662" s="26"/>
      <c r="H662" s="26"/>
      <c r="I662" s="26"/>
      <c r="J662" s="26"/>
      <c r="K662" s="26"/>
      <c r="L662" s="55"/>
      <c r="M662" s="26"/>
    </row>
    <row r="663" spans="1:13" ht="75" customHeight="1" thickTop="1" thickBot="1">
      <c r="A663" s="34"/>
      <c r="B663" s="55"/>
      <c r="C663" s="56" t="str">
        <f ca="1">IFERROR(__xludf.DUMMYFUNCTION("""COMPUTED_VALUE"""),"الحر")</f>
        <v>الحر</v>
      </c>
      <c r="D663" s="56"/>
      <c r="E663" s="26"/>
      <c r="F663" s="26"/>
      <c r="G663" s="26"/>
      <c r="H663" s="26"/>
      <c r="I663" s="26"/>
      <c r="J663" s="26"/>
      <c r="K663" s="26"/>
      <c r="L663" s="55"/>
      <c r="M663" s="26"/>
    </row>
    <row r="664" spans="1:13" ht="75" customHeight="1" thickTop="1" thickBot="1">
      <c r="A664" s="26"/>
      <c r="B664" s="55"/>
      <c r="C664" s="56" t="str">
        <f ca="1">IFERROR(__xludf.DUMMYFUNCTION("""COMPUTED_VALUE"""),"الحر")</f>
        <v>الحر</v>
      </c>
      <c r="D664" s="56"/>
      <c r="E664" s="26"/>
      <c r="F664" s="26"/>
      <c r="G664" s="26"/>
      <c r="H664" s="26"/>
      <c r="I664" s="26"/>
      <c r="J664" s="26"/>
      <c r="K664" s="26"/>
      <c r="L664" s="55"/>
      <c r="M664" s="26"/>
    </row>
    <row r="665" spans="1:13" ht="75" customHeight="1" thickTop="1" thickBot="1">
      <c r="A665" s="34"/>
      <c r="B665" s="55"/>
      <c r="C665" s="56" t="str">
        <f ca="1">IFERROR(__xludf.DUMMYFUNCTION("""COMPUTED_VALUE"""),"الحر")</f>
        <v>الحر</v>
      </c>
      <c r="D665" s="56"/>
      <c r="E665" s="26"/>
      <c r="F665" s="26"/>
      <c r="G665" s="26"/>
      <c r="H665" s="26"/>
      <c r="I665" s="26"/>
      <c r="J665" s="26"/>
      <c r="K665" s="26"/>
      <c r="L665" s="55"/>
      <c r="M665" s="26"/>
    </row>
    <row r="666" spans="1:13" ht="75" customHeight="1" thickTop="1" thickBot="1">
      <c r="A666" s="26"/>
      <c r="B666" s="55"/>
      <c r="C666" s="56" t="str">
        <f ca="1">IFERROR(__xludf.DUMMYFUNCTION("""COMPUTED_VALUE"""),"الحر")</f>
        <v>الحر</v>
      </c>
      <c r="D666" s="56"/>
      <c r="E666" s="26"/>
      <c r="F666" s="26"/>
      <c r="G666" s="26"/>
      <c r="H666" s="26"/>
      <c r="I666" s="26"/>
      <c r="J666" s="26"/>
      <c r="K666" s="26"/>
      <c r="L666" s="55"/>
      <c r="M666" s="26"/>
    </row>
    <row r="667" spans="1:13" ht="75" customHeight="1" thickTop="1" thickBot="1">
      <c r="A667" s="34"/>
      <c r="B667" s="55"/>
      <c r="C667" s="56" t="str">
        <f ca="1">IFERROR(__xludf.DUMMYFUNCTION("""COMPUTED_VALUE"""),"الحر")</f>
        <v>الحر</v>
      </c>
      <c r="D667" s="56"/>
      <c r="E667" s="26"/>
      <c r="F667" s="26"/>
      <c r="G667" s="26"/>
      <c r="H667" s="26"/>
      <c r="I667" s="26"/>
      <c r="J667" s="26"/>
      <c r="K667" s="26"/>
      <c r="L667" s="55"/>
      <c r="M667" s="26"/>
    </row>
    <row r="668" spans="1:13" ht="75" customHeight="1" thickTop="1" thickBot="1">
      <c r="A668" s="26"/>
      <c r="B668" s="55"/>
      <c r="C668" s="56" t="str">
        <f ca="1">IFERROR(__xludf.DUMMYFUNCTION("""COMPUTED_VALUE"""),"الحر")</f>
        <v>الحر</v>
      </c>
      <c r="D668" s="56"/>
      <c r="E668" s="26"/>
      <c r="F668" s="26"/>
      <c r="G668" s="26"/>
      <c r="H668" s="26"/>
      <c r="I668" s="26"/>
      <c r="J668" s="26"/>
      <c r="K668" s="26"/>
      <c r="L668" s="55"/>
      <c r="M668" s="26"/>
    </row>
    <row r="669" spans="1:13" ht="75" customHeight="1" thickTop="1" thickBot="1">
      <c r="A669" s="34"/>
      <c r="B669" s="55"/>
      <c r="C669" s="56" t="str">
        <f ca="1">IFERROR(__xludf.DUMMYFUNCTION("""COMPUTED_VALUE"""),"الحر")</f>
        <v>الحر</v>
      </c>
      <c r="D669" s="56"/>
      <c r="E669" s="26"/>
      <c r="F669" s="26"/>
      <c r="G669" s="26"/>
      <c r="H669" s="26"/>
      <c r="I669" s="26"/>
      <c r="J669" s="26"/>
      <c r="K669" s="26"/>
      <c r="L669" s="55"/>
      <c r="M669" s="26"/>
    </row>
    <row r="670" spans="1:13" ht="75" customHeight="1" thickTop="1" thickBot="1">
      <c r="A670" s="26"/>
      <c r="B670" s="55"/>
      <c r="C670" s="56" t="str">
        <f ca="1">IFERROR(__xludf.DUMMYFUNCTION("""COMPUTED_VALUE"""),"الحر")</f>
        <v>الحر</v>
      </c>
      <c r="D670" s="56"/>
      <c r="E670" s="26"/>
      <c r="F670" s="26"/>
      <c r="G670" s="26"/>
      <c r="H670" s="26"/>
      <c r="I670" s="26"/>
      <c r="J670" s="26"/>
      <c r="K670" s="26"/>
      <c r="L670" s="55"/>
      <c r="M670" s="26"/>
    </row>
    <row r="671" spans="1:13" ht="75" customHeight="1" thickTop="1" thickBot="1">
      <c r="A671" s="34"/>
      <c r="B671" s="55"/>
      <c r="C671" s="56" t="str">
        <f ca="1">IFERROR(__xludf.DUMMYFUNCTION("""COMPUTED_VALUE"""),"الحر")</f>
        <v>الحر</v>
      </c>
      <c r="D671" s="56"/>
      <c r="E671" s="26"/>
      <c r="F671" s="26"/>
      <c r="G671" s="26"/>
      <c r="H671" s="26"/>
      <c r="I671" s="26"/>
      <c r="J671" s="26"/>
      <c r="K671" s="26"/>
      <c r="L671" s="55"/>
      <c r="M671" s="26"/>
    </row>
    <row r="672" spans="1:13" ht="75" customHeight="1" thickTop="1" thickBot="1">
      <c r="A672" s="26"/>
      <c r="B672" s="55"/>
      <c r="C672" s="56" t="str">
        <f ca="1">IFERROR(__xludf.DUMMYFUNCTION("""COMPUTED_VALUE"""),"الحر")</f>
        <v>الحر</v>
      </c>
      <c r="D672" s="56"/>
      <c r="E672" s="26"/>
      <c r="F672" s="26"/>
      <c r="G672" s="26"/>
      <c r="H672" s="26"/>
      <c r="I672" s="26"/>
      <c r="J672" s="26"/>
      <c r="K672" s="26"/>
      <c r="L672" s="55"/>
      <c r="M672" s="26"/>
    </row>
    <row r="673" spans="1:13" ht="75" customHeight="1" thickTop="1" thickBot="1">
      <c r="A673" s="34"/>
      <c r="B673" s="55"/>
      <c r="C673" s="56" t="str">
        <f ca="1">IFERROR(__xludf.DUMMYFUNCTION("""COMPUTED_VALUE"""),"الحر")</f>
        <v>الحر</v>
      </c>
      <c r="D673" s="56"/>
      <c r="E673" s="26"/>
      <c r="F673" s="26"/>
      <c r="G673" s="26"/>
      <c r="H673" s="26"/>
      <c r="I673" s="26"/>
      <c r="J673" s="26"/>
      <c r="K673" s="26"/>
      <c r="L673" s="55"/>
      <c r="M673" s="26"/>
    </row>
    <row r="674" spans="1:13" ht="75" customHeight="1" thickTop="1" thickBot="1">
      <c r="A674" s="26"/>
      <c r="B674" s="55"/>
      <c r="C674" s="56" t="str">
        <f ca="1">IFERROR(__xludf.DUMMYFUNCTION("""COMPUTED_VALUE"""),"الحر")</f>
        <v>الحر</v>
      </c>
      <c r="D674" s="56"/>
      <c r="E674" s="26"/>
      <c r="F674" s="26"/>
      <c r="G674" s="26"/>
      <c r="H674" s="26"/>
      <c r="I674" s="26"/>
      <c r="J674" s="26"/>
      <c r="K674" s="26"/>
      <c r="L674" s="55"/>
      <c r="M674" s="26"/>
    </row>
    <row r="675" spans="1:13" ht="75" customHeight="1" thickTop="1" thickBot="1">
      <c r="A675" s="34"/>
      <c r="B675" s="55"/>
      <c r="C675" s="56" t="str">
        <f ca="1">IFERROR(__xludf.DUMMYFUNCTION("""COMPUTED_VALUE"""),"الحر")</f>
        <v>الحر</v>
      </c>
      <c r="D675" s="56"/>
      <c r="E675" s="26"/>
      <c r="F675" s="26"/>
      <c r="G675" s="26"/>
      <c r="H675" s="26"/>
      <c r="I675" s="26"/>
      <c r="J675" s="26"/>
      <c r="K675" s="26"/>
      <c r="L675" s="55"/>
      <c r="M675" s="26"/>
    </row>
    <row r="676" spans="1:13" ht="75" customHeight="1" thickTop="1" thickBot="1">
      <c r="A676" s="26"/>
      <c r="B676" s="55"/>
      <c r="C676" s="56" t="str">
        <f ca="1">IFERROR(__xludf.DUMMYFUNCTION("""COMPUTED_VALUE"""),"الحر")</f>
        <v>الحر</v>
      </c>
      <c r="D676" s="56"/>
      <c r="E676" s="26"/>
      <c r="F676" s="26"/>
      <c r="G676" s="26"/>
      <c r="H676" s="26"/>
      <c r="I676" s="26"/>
      <c r="J676" s="26"/>
      <c r="K676" s="26"/>
      <c r="L676" s="55"/>
      <c r="M676" s="26"/>
    </row>
    <row r="677" spans="1:13" ht="75" customHeight="1" thickTop="1" thickBot="1">
      <c r="A677" s="34"/>
      <c r="B677" s="55"/>
      <c r="C677" s="56" t="str">
        <f ca="1">IFERROR(__xludf.DUMMYFUNCTION("""COMPUTED_VALUE"""),"الحر")</f>
        <v>الحر</v>
      </c>
      <c r="D677" s="56"/>
      <c r="E677" s="26"/>
      <c r="F677" s="26"/>
      <c r="G677" s="26"/>
      <c r="H677" s="26"/>
      <c r="I677" s="26"/>
      <c r="J677" s="26"/>
      <c r="K677" s="26"/>
      <c r="L677" s="55"/>
      <c r="M677" s="26"/>
    </row>
    <row r="678" spans="1:13" ht="75" customHeight="1" thickTop="1" thickBot="1">
      <c r="A678" s="26"/>
      <c r="B678" s="55"/>
      <c r="C678" s="56" t="str">
        <f ca="1">IFERROR(__xludf.DUMMYFUNCTION("""COMPUTED_VALUE"""),"الحر")</f>
        <v>الحر</v>
      </c>
      <c r="D678" s="56"/>
      <c r="E678" s="26"/>
      <c r="F678" s="26"/>
      <c r="G678" s="26"/>
      <c r="H678" s="26"/>
      <c r="I678" s="26"/>
      <c r="J678" s="26"/>
      <c r="K678" s="26"/>
      <c r="L678" s="55"/>
      <c r="M678" s="26"/>
    </row>
    <row r="679" spans="1:13" ht="75" customHeight="1" thickTop="1" thickBot="1">
      <c r="A679" s="34"/>
      <c r="B679" s="55"/>
      <c r="C679" s="56" t="str">
        <f ca="1">IFERROR(__xludf.DUMMYFUNCTION("""COMPUTED_VALUE"""),"الحر")</f>
        <v>الحر</v>
      </c>
      <c r="D679" s="56"/>
      <c r="E679" s="26"/>
      <c r="F679" s="26"/>
      <c r="G679" s="26"/>
      <c r="H679" s="26"/>
      <c r="I679" s="26"/>
      <c r="J679" s="26"/>
      <c r="K679" s="26"/>
      <c r="L679" s="55"/>
      <c r="M679" s="26"/>
    </row>
    <row r="680" spans="1:13" ht="75" customHeight="1" thickTop="1" thickBot="1">
      <c r="A680" s="26"/>
      <c r="B680" s="55"/>
      <c r="C680" s="56" t="str">
        <f ca="1">IFERROR(__xludf.DUMMYFUNCTION("""COMPUTED_VALUE"""),"الحر")</f>
        <v>الحر</v>
      </c>
      <c r="D680" s="56"/>
      <c r="E680" s="26"/>
      <c r="F680" s="26"/>
      <c r="G680" s="26"/>
      <c r="H680" s="26"/>
      <c r="I680" s="26"/>
      <c r="J680" s="26"/>
      <c r="K680" s="26"/>
      <c r="L680" s="55"/>
      <c r="M680" s="26"/>
    </row>
    <row r="681" spans="1:13" ht="75" customHeight="1" thickTop="1" thickBot="1">
      <c r="A681" s="34"/>
      <c r="B681" s="55"/>
      <c r="C681" s="56" t="str">
        <f ca="1">IFERROR(__xludf.DUMMYFUNCTION("""COMPUTED_VALUE"""),"الحر")</f>
        <v>الحر</v>
      </c>
      <c r="D681" s="56"/>
      <c r="E681" s="26"/>
      <c r="F681" s="26"/>
      <c r="G681" s="26"/>
      <c r="H681" s="26"/>
      <c r="I681" s="26"/>
      <c r="J681" s="26"/>
      <c r="K681" s="26"/>
      <c r="L681" s="55"/>
      <c r="M681" s="26"/>
    </row>
    <row r="682" spans="1:13" ht="75" customHeight="1" thickTop="1" thickBot="1">
      <c r="A682" s="26"/>
      <c r="B682" s="55"/>
      <c r="C682" s="56" t="str">
        <f ca="1">IFERROR(__xludf.DUMMYFUNCTION("""COMPUTED_VALUE"""),"الحر")</f>
        <v>الحر</v>
      </c>
      <c r="D682" s="56"/>
      <c r="E682" s="26"/>
      <c r="F682" s="26"/>
      <c r="G682" s="26"/>
      <c r="H682" s="26"/>
      <c r="I682" s="26"/>
      <c r="J682" s="26"/>
      <c r="K682" s="26"/>
      <c r="L682" s="55"/>
      <c r="M682" s="26"/>
    </row>
    <row r="683" spans="1:13" ht="75" customHeight="1" thickTop="1" thickBot="1">
      <c r="A683" s="34"/>
      <c r="B683" s="55"/>
      <c r="C683" s="56" t="str">
        <f ca="1">IFERROR(__xludf.DUMMYFUNCTION("""COMPUTED_VALUE"""),"الحر")</f>
        <v>الحر</v>
      </c>
      <c r="D683" s="56"/>
      <c r="E683" s="26"/>
      <c r="F683" s="26"/>
      <c r="G683" s="26"/>
      <c r="H683" s="26"/>
      <c r="I683" s="26"/>
      <c r="J683" s="26"/>
      <c r="K683" s="26"/>
      <c r="L683" s="55"/>
      <c r="M683" s="26"/>
    </row>
    <row r="684" spans="1:13" ht="75" customHeight="1" thickTop="1" thickBot="1">
      <c r="A684" s="26"/>
      <c r="B684" s="55"/>
      <c r="C684" s="56" t="str">
        <f ca="1">IFERROR(__xludf.DUMMYFUNCTION("""COMPUTED_VALUE"""),"الحر")</f>
        <v>الحر</v>
      </c>
      <c r="D684" s="56"/>
      <c r="E684" s="26"/>
      <c r="F684" s="26"/>
      <c r="G684" s="26"/>
      <c r="H684" s="26"/>
      <c r="I684" s="26"/>
      <c r="J684" s="26"/>
      <c r="K684" s="26"/>
      <c r="L684" s="55"/>
      <c r="M684" s="26"/>
    </row>
    <row r="685" spans="1:13" ht="75" customHeight="1" thickTop="1" thickBot="1">
      <c r="A685" s="34"/>
      <c r="B685" s="55"/>
      <c r="C685" s="56" t="str">
        <f ca="1">IFERROR(__xludf.DUMMYFUNCTION("""COMPUTED_VALUE"""),"الحر")</f>
        <v>الحر</v>
      </c>
      <c r="D685" s="56"/>
      <c r="E685" s="26"/>
      <c r="F685" s="26"/>
      <c r="G685" s="26"/>
      <c r="H685" s="26"/>
      <c r="I685" s="26"/>
      <c r="J685" s="26"/>
      <c r="K685" s="26"/>
      <c r="L685" s="55"/>
      <c r="M685" s="26"/>
    </row>
    <row r="686" spans="1:13" ht="75" customHeight="1" thickTop="1" thickBot="1">
      <c r="A686" s="26"/>
      <c r="B686" s="55"/>
      <c r="C686" s="56" t="str">
        <f ca="1">IFERROR(__xludf.DUMMYFUNCTION("""COMPUTED_VALUE"""),"الحر")</f>
        <v>الحر</v>
      </c>
      <c r="D686" s="56"/>
      <c r="E686" s="26"/>
      <c r="F686" s="26"/>
      <c r="G686" s="26"/>
      <c r="H686" s="26"/>
      <c r="I686" s="26"/>
      <c r="J686" s="26"/>
      <c r="K686" s="26"/>
      <c r="L686" s="55"/>
      <c r="M686" s="26"/>
    </row>
    <row r="687" spans="1:13" ht="75" customHeight="1" thickTop="1" thickBot="1">
      <c r="A687" s="34"/>
      <c r="B687" s="55"/>
      <c r="C687" s="56" t="str">
        <f ca="1">IFERROR(__xludf.DUMMYFUNCTION("""COMPUTED_VALUE"""),"الحر")</f>
        <v>الحر</v>
      </c>
      <c r="D687" s="56"/>
      <c r="E687" s="26"/>
      <c r="F687" s="26"/>
      <c r="G687" s="26"/>
      <c r="H687" s="26"/>
      <c r="I687" s="26"/>
      <c r="J687" s="26"/>
      <c r="K687" s="26"/>
      <c r="L687" s="55"/>
      <c r="M687" s="26"/>
    </row>
    <row r="688" spans="1:13" ht="75" customHeight="1" thickTop="1" thickBot="1">
      <c r="A688" s="26"/>
      <c r="B688" s="55"/>
      <c r="C688" s="56" t="str">
        <f ca="1">IFERROR(__xludf.DUMMYFUNCTION("""COMPUTED_VALUE"""),"الحر")</f>
        <v>الحر</v>
      </c>
      <c r="D688" s="56"/>
      <c r="E688" s="26"/>
      <c r="F688" s="26"/>
      <c r="G688" s="26"/>
      <c r="H688" s="26"/>
      <c r="I688" s="26"/>
      <c r="J688" s="26"/>
      <c r="K688" s="26"/>
      <c r="L688" s="55"/>
      <c r="M688" s="26"/>
    </row>
    <row r="689" spans="1:13" ht="75" customHeight="1" thickTop="1" thickBot="1">
      <c r="A689" s="34"/>
      <c r="B689" s="55"/>
      <c r="C689" s="56" t="str">
        <f ca="1">IFERROR(__xludf.DUMMYFUNCTION("""COMPUTED_VALUE"""),"الحر")</f>
        <v>الحر</v>
      </c>
      <c r="D689" s="56"/>
      <c r="E689" s="26"/>
      <c r="F689" s="26"/>
      <c r="G689" s="26"/>
      <c r="H689" s="26"/>
      <c r="I689" s="26"/>
      <c r="J689" s="26"/>
      <c r="K689" s="26"/>
      <c r="L689" s="55"/>
      <c r="M689" s="26"/>
    </row>
    <row r="690" spans="1:13" ht="75" customHeight="1" thickTop="1" thickBot="1">
      <c r="A690" s="26"/>
      <c r="B690" s="55"/>
      <c r="C690" s="56" t="str">
        <f ca="1">IFERROR(__xludf.DUMMYFUNCTION("""COMPUTED_VALUE"""),"الحر")</f>
        <v>الحر</v>
      </c>
      <c r="D690" s="56"/>
      <c r="E690" s="26"/>
      <c r="F690" s="26"/>
      <c r="G690" s="26"/>
      <c r="H690" s="26"/>
      <c r="I690" s="26"/>
      <c r="J690" s="26"/>
      <c r="K690" s="26"/>
      <c r="L690" s="55"/>
      <c r="M690" s="26"/>
    </row>
    <row r="691" spans="1:13" ht="75" customHeight="1" thickTop="1" thickBot="1">
      <c r="A691" s="34"/>
      <c r="B691" s="55"/>
      <c r="C691" s="56" t="str">
        <f ca="1">IFERROR(__xludf.DUMMYFUNCTION("""COMPUTED_VALUE"""),"الحر")</f>
        <v>الحر</v>
      </c>
      <c r="D691" s="56"/>
      <c r="E691" s="26"/>
      <c r="F691" s="26"/>
      <c r="G691" s="26"/>
      <c r="H691" s="26"/>
      <c r="I691" s="26"/>
      <c r="J691" s="26"/>
      <c r="K691" s="26"/>
      <c r="L691" s="55"/>
      <c r="M691" s="26"/>
    </row>
    <row r="692" spans="1:13" ht="75" customHeight="1" thickTop="1" thickBot="1">
      <c r="A692" s="26"/>
      <c r="B692" s="55"/>
      <c r="C692" s="56" t="str">
        <f ca="1">IFERROR(__xludf.DUMMYFUNCTION("""COMPUTED_VALUE"""),"الحر")</f>
        <v>الحر</v>
      </c>
      <c r="D692" s="56"/>
      <c r="E692" s="26"/>
      <c r="F692" s="26"/>
      <c r="G692" s="26"/>
      <c r="H692" s="26"/>
      <c r="I692" s="26"/>
      <c r="J692" s="26"/>
      <c r="K692" s="26"/>
      <c r="L692" s="55"/>
      <c r="M692" s="26"/>
    </row>
    <row r="693" spans="1:13" ht="75" customHeight="1" thickTop="1" thickBot="1">
      <c r="A693" s="34"/>
      <c r="B693" s="55"/>
      <c r="C693" s="56" t="str">
        <f ca="1">IFERROR(__xludf.DUMMYFUNCTION("""COMPUTED_VALUE"""),"الحر")</f>
        <v>الحر</v>
      </c>
      <c r="D693" s="56"/>
      <c r="E693" s="26"/>
      <c r="F693" s="26"/>
      <c r="G693" s="26"/>
      <c r="H693" s="26"/>
      <c r="I693" s="26"/>
      <c r="J693" s="26"/>
      <c r="K693" s="26"/>
      <c r="L693" s="55"/>
      <c r="M693" s="26"/>
    </row>
    <row r="694" spans="1:13" ht="75" customHeight="1" thickTop="1" thickBot="1">
      <c r="A694" s="26"/>
      <c r="B694" s="55"/>
      <c r="C694" s="56" t="str">
        <f ca="1">IFERROR(__xludf.DUMMYFUNCTION("""COMPUTED_VALUE"""),"الحر")</f>
        <v>الحر</v>
      </c>
      <c r="D694" s="56"/>
      <c r="E694" s="26"/>
      <c r="F694" s="26"/>
      <c r="G694" s="26"/>
      <c r="H694" s="26"/>
      <c r="I694" s="26"/>
      <c r="J694" s="26"/>
      <c r="K694" s="26"/>
      <c r="L694" s="55"/>
      <c r="M694" s="26"/>
    </row>
    <row r="695" spans="1:13" ht="75" customHeight="1" thickTop="1" thickBot="1">
      <c r="A695" s="34"/>
      <c r="B695" s="55"/>
      <c r="C695" s="56" t="str">
        <f ca="1">IFERROR(__xludf.DUMMYFUNCTION("""COMPUTED_VALUE"""),"الحر")</f>
        <v>الحر</v>
      </c>
      <c r="D695" s="56"/>
      <c r="E695" s="26"/>
      <c r="F695" s="26"/>
      <c r="G695" s="26"/>
      <c r="H695" s="26"/>
      <c r="I695" s="26"/>
      <c r="J695" s="26"/>
      <c r="K695" s="26"/>
      <c r="L695" s="55"/>
      <c r="M695" s="26"/>
    </row>
    <row r="696" spans="1:13" ht="75" customHeight="1" thickTop="1" thickBot="1">
      <c r="A696" s="26"/>
      <c r="B696" s="55"/>
      <c r="C696" s="56" t="str">
        <f ca="1">IFERROR(__xludf.DUMMYFUNCTION("""COMPUTED_VALUE"""),"الحر")</f>
        <v>الحر</v>
      </c>
      <c r="D696" s="56"/>
      <c r="E696" s="26"/>
      <c r="F696" s="26"/>
      <c r="G696" s="26"/>
      <c r="H696" s="26"/>
      <c r="I696" s="26"/>
      <c r="J696" s="26"/>
      <c r="K696" s="26"/>
      <c r="L696" s="55"/>
      <c r="M696" s="26"/>
    </row>
    <row r="697" spans="1:13" ht="75" customHeight="1" thickTop="1" thickBot="1">
      <c r="A697" s="34"/>
      <c r="B697" s="55"/>
      <c r="C697" s="56" t="str">
        <f ca="1">IFERROR(__xludf.DUMMYFUNCTION("""COMPUTED_VALUE"""),"الحر")</f>
        <v>الحر</v>
      </c>
      <c r="D697" s="56"/>
      <c r="E697" s="26"/>
      <c r="F697" s="26"/>
      <c r="G697" s="26"/>
      <c r="H697" s="26"/>
      <c r="I697" s="26"/>
      <c r="J697" s="26"/>
      <c r="K697" s="26"/>
      <c r="L697" s="55"/>
      <c r="M697" s="26"/>
    </row>
    <row r="698" spans="1:13" ht="75" customHeight="1" thickTop="1" thickBot="1">
      <c r="A698" s="26"/>
      <c r="B698" s="55"/>
      <c r="C698" s="56" t="str">
        <f ca="1">IFERROR(__xludf.DUMMYFUNCTION("""COMPUTED_VALUE"""),"الحر")</f>
        <v>الحر</v>
      </c>
      <c r="D698" s="56"/>
      <c r="E698" s="26"/>
      <c r="F698" s="26"/>
      <c r="G698" s="26"/>
      <c r="H698" s="26"/>
      <c r="I698" s="26"/>
      <c r="J698" s="26"/>
      <c r="K698" s="26"/>
      <c r="L698" s="55"/>
      <c r="M698" s="26"/>
    </row>
    <row r="699" spans="1:13" ht="75" customHeight="1" thickTop="1" thickBot="1">
      <c r="A699" s="34"/>
      <c r="B699" s="55"/>
      <c r="C699" s="56" t="str">
        <f ca="1">IFERROR(__xludf.DUMMYFUNCTION("""COMPUTED_VALUE"""),"الحر")</f>
        <v>الحر</v>
      </c>
      <c r="D699" s="56"/>
      <c r="E699" s="26"/>
      <c r="F699" s="26"/>
      <c r="G699" s="26"/>
      <c r="H699" s="26"/>
      <c r="I699" s="26"/>
      <c r="J699" s="26"/>
      <c r="K699" s="26"/>
      <c r="L699" s="55"/>
      <c r="M699" s="26"/>
    </row>
    <row r="700" spans="1:13" ht="75" customHeight="1" thickTop="1" thickBot="1">
      <c r="A700" s="26"/>
      <c r="B700" s="55"/>
      <c r="C700" s="56" t="str">
        <f ca="1">IFERROR(__xludf.DUMMYFUNCTION("""COMPUTED_VALUE"""),"الحر")</f>
        <v>الحر</v>
      </c>
      <c r="D700" s="56"/>
      <c r="E700" s="26"/>
      <c r="F700" s="26"/>
      <c r="G700" s="26"/>
      <c r="H700" s="26"/>
      <c r="I700" s="26"/>
      <c r="J700" s="26"/>
      <c r="K700" s="26"/>
      <c r="L700" s="55"/>
      <c r="M700" s="26"/>
    </row>
    <row r="701" spans="1:13" ht="75" customHeight="1" thickTop="1" thickBot="1">
      <c r="A701" s="34"/>
      <c r="B701" s="55"/>
      <c r="C701" s="56" t="str">
        <f ca="1">IFERROR(__xludf.DUMMYFUNCTION("""COMPUTED_VALUE"""),"الحر")</f>
        <v>الحر</v>
      </c>
      <c r="D701" s="56"/>
      <c r="E701" s="26"/>
      <c r="F701" s="26"/>
      <c r="G701" s="26"/>
      <c r="H701" s="26"/>
      <c r="I701" s="26"/>
      <c r="J701" s="26"/>
      <c r="K701" s="26"/>
      <c r="L701" s="55"/>
      <c r="M701" s="26"/>
    </row>
    <row r="702" spans="1:13" ht="75" customHeight="1" thickTop="1" thickBot="1">
      <c r="A702" s="26"/>
      <c r="B702" s="55"/>
      <c r="C702" s="56" t="str">
        <f ca="1">IFERROR(__xludf.DUMMYFUNCTION("""COMPUTED_VALUE"""),"الحر")</f>
        <v>الحر</v>
      </c>
      <c r="D702" s="56"/>
      <c r="E702" s="26"/>
      <c r="F702" s="26"/>
      <c r="G702" s="26"/>
      <c r="H702" s="26"/>
      <c r="I702" s="26"/>
      <c r="J702" s="26"/>
      <c r="K702" s="26"/>
      <c r="L702" s="55"/>
      <c r="M702" s="26"/>
    </row>
    <row r="703" spans="1:13" ht="75" customHeight="1" thickTop="1" thickBot="1">
      <c r="A703" s="34"/>
      <c r="B703" s="55"/>
      <c r="C703" s="56" t="str">
        <f ca="1">IFERROR(__xludf.DUMMYFUNCTION("""COMPUTED_VALUE"""),"الحر")</f>
        <v>الحر</v>
      </c>
      <c r="D703" s="56"/>
      <c r="E703" s="26"/>
      <c r="F703" s="26"/>
      <c r="G703" s="26"/>
      <c r="H703" s="26"/>
      <c r="I703" s="26"/>
      <c r="J703" s="26"/>
      <c r="K703" s="26"/>
      <c r="L703" s="55"/>
      <c r="M703" s="26"/>
    </row>
    <row r="704" spans="1:13" ht="75" customHeight="1" thickTop="1" thickBot="1">
      <c r="A704" s="26"/>
      <c r="B704" s="55"/>
      <c r="C704" s="56" t="str">
        <f ca="1">IFERROR(__xludf.DUMMYFUNCTION("""COMPUTED_VALUE"""),"الحر")</f>
        <v>الحر</v>
      </c>
      <c r="D704" s="56"/>
      <c r="E704" s="26"/>
      <c r="F704" s="26"/>
      <c r="G704" s="26"/>
      <c r="H704" s="26"/>
      <c r="I704" s="26"/>
      <c r="J704" s="26"/>
      <c r="K704" s="26"/>
      <c r="L704" s="55"/>
      <c r="M704" s="26"/>
    </row>
    <row r="705" spans="1:13" ht="75" customHeight="1" thickTop="1" thickBot="1">
      <c r="A705" s="34"/>
      <c r="B705" s="55"/>
      <c r="C705" s="56" t="str">
        <f ca="1">IFERROR(__xludf.DUMMYFUNCTION("""COMPUTED_VALUE"""),"الحر")</f>
        <v>الحر</v>
      </c>
      <c r="D705" s="56"/>
      <c r="E705" s="26"/>
      <c r="F705" s="26"/>
      <c r="G705" s="26"/>
      <c r="H705" s="26"/>
      <c r="I705" s="26"/>
      <c r="J705" s="26"/>
      <c r="K705" s="26"/>
      <c r="L705" s="55"/>
      <c r="M705" s="26"/>
    </row>
    <row r="706" spans="1:13" ht="75" customHeight="1" thickTop="1" thickBot="1">
      <c r="A706" s="26"/>
      <c r="B706" s="55"/>
      <c r="C706" s="56" t="str">
        <f ca="1">IFERROR(__xludf.DUMMYFUNCTION("""COMPUTED_VALUE"""),"الحر")</f>
        <v>الحر</v>
      </c>
      <c r="D706" s="56"/>
      <c r="E706" s="26"/>
      <c r="F706" s="26"/>
      <c r="G706" s="26"/>
      <c r="H706" s="26"/>
      <c r="I706" s="26"/>
      <c r="J706" s="26"/>
      <c r="K706" s="26"/>
      <c r="L706" s="55"/>
      <c r="M706" s="26"/>
    </row>
    <row r="707" spans="1:13" ht="75" customHeight="1" thickTop="1" thickBot="1">
      <c r="A707" s="34"/>
      <c r="B707" s="55"/>
      <c r="C707" s="56" t="str">
        <f ca="1">IFERROR(__xludf.DUMMYFUNCTION("""COMPUTED_VALUE"""),"الحر")</f>
        <v>الحر</v>
      </c>
      <c r="D707" s="56"/>
      <c r="E707" s="26"/>
      <c r="F707" s="26"/>
      <c r="G707" s="26"/>
      <c r="H707" s="26"/>
      <c r="I707" s="26"/>
      <c r="J707" s="26"/>
      <c r="K707" s="26"/>
      <c r="L707" s="55"/>
      <c r="M707" s="26"/>
    </row>
    <row r="708" spans="1:13" ht="75" customHeight="1" thickTop="1" thickBot="1">
      <c r="A708" s="26"/>
      <c r="B708" s="55"/>
      <c r="C708" s="56" t="str">
        <f ca="1">IFERROR(__xludf.DUMMYFUNCTION("""COMPUTED_VALUE"""),"الحر")</f>
        <v>الحر</v>
      </c>
      <c r="D708" s="56"/>
      <c r="E708" s="26"/>
      <c r="F708" s="26"/>
      <c r="G708" s="26"/>
      <c r="H708" s="26"/>
      <c r="I708" s="26"/>
      <c r="J708" s="26"/>
      <c r="K708" s="26"/>
      <c r="L708" s="55"/>
      <c r="M708" s="26"/>
    </row>
    <row r="709" spans="1:13" ht="75" customHeight="1" thickTop="1" thickBot="1">
      <c r="A709" s="34"/>
      <c r="B709" s="55"/>
      <c r="C709" s="56" t="str">
        <f ca="1">IFERROR(__xludf.DUMMYFUNCTION("""COMPUTED_VALUE"""),"الحر")</f>
        <v>الحر</v>
      </c>
      <c r="D709" s="56"/>
      <c r="E709" s="26"/>
      <c r="F709" s="26"/>
      <c r="G709" s="26"/>
      <c r="H709" s="26"/>
      <c r="I709" s="26"/>
      <c r="J709" s="26"/>
      <c r="K709" s="26"/>
      <c r="L709" s="55"/>
      <c r="M709" s="26"/>
    </row>
    <row r="710" spans="1:13" ht="75" customHeight="1" thickTop="1" thickBot="1">
      <c r="A710" s="26"/>
      <c r="B710" s="55"/>
      <c r="C710" s="56" t="str">
        <f ca="1">IFERROR(__xludf.DUMMYFUNCTION("""COMPUTED_VALUE"""),"الحر")</f>
        <v>الحر</v>
      </c>
      <c r="D710" s="56"/>
      <c r="E710" s="26"/>
      <c r="F710" s="26"/>
      <c r="G710" s="26"/>
      <c r="H710" s="26"/>
      <c r="I710" s="26"/>
      <c r="J710" s="26"/>
      <c r="K710" s="26"/>
      <c r="L710" s="55"/>
      <c r="M710" s="26"/>
    </row>
    <row r="711" spans="1:13" ht="75" customHeight="1" thickTop="1" thickBot="1">
      <c r="A711" s="34"/>
      <c r="B711" s="55"/>
      <c r="C711" s="56" t="str">
        <f ca="1">IFERROR(__xludf.DUMMYFUNCTION("""COMPUTED_VALUE"""),"الحر")</f>
        <v>الحر</v>
      </c>
      <c r="D711" s="56"/>
      <c r="E711" s="26"/>
      <c r="F711" s="26"/>
      <c r="G711" s="26"/>
      <c r="H711" s="26"/>
      <c r="I711" s="26"/>
      <c r="J711" s="26"/>
      <c r="K711" s="26"/>
      <c r="L711" s="55"/>
      <c r="M711" s="26"/>
    </row>
    <row r="712" spans="1:13" ht="75" customHeight="1" thickTop="1" thickBot="1">
      <c r="A712" s="26"/>
      <c r="B712" s="55"/>
      <c r="C712" s="56" t="str">
        <f ca="1">IFERROR(__xludf.DUMMYFUNCTION("""COMPUTED_VALUE"""),"الحر")</f>
        <v>الحر</v>
      </c>
      <c r="D712" s="56"/>
      <c r="E712" s="26"/>
      <c r="F712" s="26"/>
      <c r="G712" s="26"/>
      <c r="H712" s="26"/>
      <c r="I712" s="26"/>
      <c r="J712" s="26"/>
      <c r="K712" s="26"/>
      <c r="L712" s="55"/>
      <c r="M712" s="26"/>
    </row>
    <row r="713" spans="1:13" ht="75" customHeight="1" thickTop="1" thickBot="1">
      <c r="A713" s="34"/>
      <c r="B713" s="55"/>
      <c r="C713" s="56" t="str">
        <f ca="1">IFERROR(__xludf.DUMMYFUNCTION("""COMPUTED_VALUE"""),"الحر")</f>
        <v>الحر</v>
      </c>
      <c r="D713" s="56"/>
      <c r="E713" s="26"/>
      <c r="F713" s="26"/>
      <c r="G713" s="26"/>
      <c r="H713" s="26"/>
      <c r="I713" s="26"/>
      <c r="J713" s="26"/>
      <c r="K713" s="26"/>
      <c r="L713" s="55"/>
      <c r="M713" s="26"/>
    </row>
    <row r="714" spans="1:13" ht="75" customHeight="1" thickTop="1" thickBot="1">
      <c r="A714" s="26"/>
      <c r="B714" s="55"/>
      <c r="C714" s="56" t="str">
        <f ca="1">IFERROR(__xludf.DUMMYFUNCTION("""COMPUTED_VALUE"""),"الحر")</f>
        <v>الحر</v>
      </c>
      <c r="D714" s="56"/>
      <c r="E714" s="26"/>
      <c r="F714" s="26"/>
      <c r="G714" s="26"/>
      <c r="H714" s="26"/>
      <c r="I714" s="26"/>
      <c r="J714" s="26"/>
      <c r="K714" s="26"/>
      <c r="L714" s="55"/>
      <c r="M714" s="26"/>
    </row>
    <row r="715" spans="1:13" ht="75" customHeight="1" thickTop="1" thickBot="1">
      <c r="A715" s="34"/>
      <c r="B715" s="55"/>
      <c r="C715" s="56" t="str">
        <f ca="1">IFERROR(__xludf.DUMMYFUNCTION("""COMPUTED_VALUE"""),"الحر")</f>
        <v>الحر</v>
      </c>
      <c r="D715" s="56"/>
      <c r="E715" s="26"/>
      <c r="F715" s="26"/>
      <c r="G715" s="26"/>
      <c r="H715" s="26"/>
      <c r="I715" s="26"/>
      <c r="J715" s="26"/>
      <c r="K715" s="26"/>
      <c r="L715" s="55"/>
      <c r="M715" s="26"/>
    </row>
    <row r="716" spans="1:13" ht="75" customHeight="1" thickTop="1" thickBot="1">
      <c r="A716" s="26"/>
      <c r="B716" s="55"/>
      <c r="C716" s="56" t="str">
        <f ca="1">IFERROR(__xludf.DUMMYFUNCTION("""COMPUTED_VALUE"""),"الحر")</f>
        <v>الحر</v>
      </c>
      <c r="D716" s="56"/>
      <c r="E716" s="26"/>
      <c r="F716" s="26"/>
      <c r="G716" s="26"/>
      <c r="H716" s="26"/>
      <c r="I716" s="26"/>
      <c r="J716" s="26"/>
      <c r="K716" s="26"/>
      <c r="L716" s="55"/>
      <c r="M716" s="26"/>
    </row>
    <row r="717" spans="1:13" ht="75" customHeight="1" thickTop="1" thickBot="1">
      <c r="A717" s="34"/>
      <c r="B717" s="55"/>
      <c r="C717" s="56" t="str">
        <f ca="1">IFERROR(__xludf.DUMMYFUNCTION("""COMPUTED_VALUE"""),"الحر")</f>
        <v>الحر</v>
      </c>
      <c r="D717" s="56"/>
      <c r="E717" s="26"/>
      <c r="F717" s="26"/>
      <c r="G717" s="26"/>
      <c r="H717" s="26"/>
      <c r="I717" s="26"/>
      <c r="J717" s="26"/>
      <c r="K717" s="26"/>
      <c r="L717" s="55"/>
      <c r="M717" s="26"/>
    </row>
    <row r="718" spans="1:13" ht="75" customHeight="1" thickTop="1" thickBot="1">
      <c r="A718" s="26"/>
      <c r="B718" s="55"/>
      <c r="C718" s="56" t="str">
        <f ca="1">IFERROR(__xludf.DUMMYFUNCTION("""COMPUTED_VALUE"""),"الحر")</f>
        <v>الحر</v>
      </c>
      <c r="D718" s="56"/>
      <c r="E718" s="26"/>
      <c r="F718" s="26"/>
      <c r="G718" s="26"/>
      <c r="H718" s="26"/>
      <c r="I718" s="26"/>
      <c r="J718" s="26"/>
      <c r="K718" s="26"/>
      <c r="L718" s="55"/>
      <c r="M718" s="26"/>
    </row>
    <row r="719" spans="1:13" ht="75" customHeight="1" thickTop="1" thickBot="1">
      <c r="A719" s="34"/>
      <c r="B719" s="55"/>
      <c r="C719" s="56" t="str">
        <f ca="1">IFERROR(__xludf.DUMMYFUNCTION("""COMPUTED_VALUE"""),"الحر")</f>
        <v>الحر</v>
      </c>
      <c r="D719" s="56"/>
      <c r="E719" s="26"/>
      <c r="F719" s="26"/>
      <c r="G719" s="26"/>
      <c r="H719" s="26"/>
      <c r="I719" s="26"/>
      <c r="J719" s="26"/>
      <c r="K719" s="26"/>
      <c r="L719" s="55"/>
      <c r="M719" s="26"/>
    </row>
    <row r="720" spans="1:13" ht="75" customHeight="1" thickTop="1" thickBot="1">
      <c r="A720" s="26"/>
      <c r="B720" s="55"/>
      <c r="C720" s="56" t="str">
        <f ca="1">IFERROR(__xludf.DUMMYFUNCTION("""COMPUTED_VALUE"""),"الحر")</f>
        <v>الحر</v>
      </c>
      <c r="D720" s="56"/>
      <c r="E720" s="26"/>
      <c r="F720" s="26"/>
      <c r="G720" s="26"/>
      <c r="H720" s="26"/>
      <c r="I720" s="26"/>
      <c r="J720" s="26"/>
      <c r="K720" s="26"/>
      <c r="L720" s="55"/>
      <c r="M720" s="26"/>
    </row>
    <row r="721" spans="1:13" ht="75" customHeight="1" thickTop="1" thickBot="1">
      <c r="A721" s="34"/>
      <c r="B721" s="55"/>
      <c r="C721" s="56" t="str">
        <f ca="1">IFERROR(__xludf.DUMMYFUNCTION("""COMPUTED_VALUE"""),"الحر")</f>
        <v>الحر</v>
      </c>
      <c r="D721" s="56"/>
      <c r="E721" s="26"/>
      <c r="F721" s="26"/>
      <c r="G721" s="26"/>
      <c r="H721" s="26"/>
      <c r="I721" s="26"/>
      <c r="J721" s="26"/>
      <c r="K721" s="26"/>
      <c r="L721" s="55"/>
      <c r="M721" s="26"/>
    </row>
    <row r="722" spans="1:13" ht="75" customHeight="1" thickTop="1" thickBot="1">
      <c r="A722" s="26"/>
      <c r="B722" s="55"/>
      <c r="C722" s="56" t="str">
        <f ca="1">IFERROR(__xludf.DUMMYFUNCTION("""COMPUTED_VALUE"""),"الحر")</f>
        <v>الحر</v>
      </c>
      <c r="D722" s="56"/>
      <c r="E722" s="26"/>
      <c r="F722" s="26"/>
      <c r="G722" s="26"/>
      <c r="H722" s="26"/>
      <c r="I722" s="26"/>
      <c r="J722" s="26"/>
      <c r="K722" s="26"/>
      <c r="L722" s="55"/>
      <c r="M722" s="26"/>
    </row>
    <row r="723" spans="1:13" ht="75" customHeight="1" thickTop="1" thickBot="1">
      <c r="A723" s="34"/>
      <c r="B723" s="55"/>
      <c r="C723" s="56" t="str">
        <f ca="1">IFERROR(__xludf.DUMMYFUNCTION("""COMPUTED_VALUE"""),"الحر")</f>
        <v>الحر</v>
      </c>
      <c r="D723" s="56"/>
      <c r="E723" s="26"/>
      <c r="F723" s="26"/>
      <c r="G723" s="26"/>
      <c r="H723" s="26"/>
      <c r="I723" s="26"/>
      <c r="J723" s="26"/>
      <c r="K723" s="26"/>
      <c r="L723" s="55"/>
      <c r="M723" s="26"/>
    </row>
    <row r="724" spans="1:13" ht="75" customHeight="1" thickTop="1" thickBot="1">
      <c r="A724" s="26"/>
      <c r="B724" s="55"/>
      <c r="C724" s="56" t="str">
        <f ca="1">IFERROR(__xludf.DUMMYFUNCTION("""COMPUTED_VALUE"""),"الحر")</f>
        <v>الحر</v>
      </c>
      <c r="D724" s="56"/>
      <c r="E724" s="26"/>
      <c r="F724" s="26"/>
      <c r="G724" s="26"/>
      <c r="H724" s="26"/>
      <c r="I724" s="26"/>
      <c r="J724" s="26"/>
      <c r="K724" s="26"/>
      <c r="L724" s="55"/>
      <c r="M724" s="26"/>
    </row>
    <row r="725" spans="1:13" ht="75" customHeight="1" thickTop="1" thickBot="1">
      <c r="A725" s="34"/>
      <c r="B725" s="55"/>
      <c r="C725" s="56" t="str">
        <f ca="1">IFERROR(__xludf.DUMMYFUNCTION("""COMPUTED_VALUE"""),"الحر")</f>
        <v>الحر</v>
      </c>
      <c r="D725" s="56"/>
      <c r="E725" s="26"/>
      <c r="F725" s="26"/>
      <c r="G725" s="26"/>
      <c r="H725" s="26"/>
      <c r="I725" s="26"/>
      <c r="J725" s="26"/>
      <c r="K725" s="26"/>
      <c r="L725" s="55"/>
      <c r="M725" s="26"/>
    </row>
    <row r="726" spans="1:13" ht="75" customHeight="1" thickTop="1" thickBot="1">
      <c r="A726" s="26"/>
      <c r="B726" s="55"/>
      <c r="C726" s="56" t="str">
        <f ca="1">IFERROR(__xludf.DUMMYFUNCTION("""COMPUTED_VALUE"""),"الحر")</f>
        <v>الحر</v>
      </c>
      <c r="D726" s="56"/>
      <c r="E726" s="26"/>
      <c r="F726" s="26"/>
      <c r="G726" s="26"/>
      <c r="H726" s="26"/>
      <c r="I726" s="26"/>
      <c r="J726" s="26"/>
      <c r="K726" s="26"/>
      <c r="L726" s="55"/>
      <c r="M726" s="26"/>
    </row>
    <row r="727" spans="1:13" ht="75" customHeight="1" thickTop="1" thickBot="1">
      <c r="A727" s="34"/>
      <c r="B727" s="55"/>
      <c r="C727" s="56" t="str">
        <f ca="1">IFERROR(__xludf.DUMMYFUNCTION("""COMPUTED_VALUE"""),"الحر")</f>
        <v>الحر</v>
      </c>
      <c r="D727" s="56"/>
      <c r="E727" s="26"/>
      <c r="F727" s="26"/>
      <c r="G727" s="26"/>
      <c r="H727" s="26"/>
      <c r="I727" s="26"/>
      <c r="J727" s="26"/>
      <c r="K727" s="26"/>
      <c r="L727" s="55"/>
      <c r="M727" s="26"/>
    </row>
    <row r="728" spans="1:13" ht="75" customHeight="1" thickTop="1" thickBot="1">
      <c r="A728" s="26"/>
      <c r="B728" s="55"/>
      <c r="C728" s="56" t="str">
        <f ca="1">IFERROR(__xludf.DUMMYFUNCTION("""COMPUTED_VALUE"""),"الحر")</f>
        <v>الحر</v>
      </c>
      <c r="D728" s="56"/>
      <c r="E728" s="26"/>
      <c r="F728" s="26"/>
      <c r="G728" s="26"/>
      <c r="H728" s="26"/>
      <c r="I728" s="26"/>
      <c r="J728" s="26"/>
      <c r="K728" s="26"/>
      <c r="L728" s="55"/>
      <c r="M728" s="26"/>
    </row>
    <row r="729" spans="1:13" ht="75" customHeight="1" thickTop="1" thickBot="1">
      <c r="A729" s="34"/>
      <c r="B729" s="55"/>
      <c r="C729" s="56" t="str">
        <f ca="1">IFERROR(__xludf.DUMMYFUNCTION("""COMPUTED_VALUE"""),"الحر")</f>
        <v>الحر</v>
      </c>
      <c r="D729" s="56"/>
      <c r="E729" s="26"/>
      <c r="F729" s="26"/>
      <c r="G729" s="26"/>
      <c r="H729" s="26"/>
      <c r="I729" s="26"/>
      <c r="J729" s="26"/>
      <c r="K729" s="26"/>
      <c r="L729" s="55"/>
      <c r="M729" s="26"/>
    </row>
    <row r="730" spans="1:13" ht="75" customHeight="1" thickTop="1" thickBot="1">
      <c r="A730" s="26"/>
      <c r="B730" s="55"/>
      <c r="C730" s="56" t="str">
        <f ca="1">IFERROR(__xludf.DUMMYFUNCTION("""COMPUTED_VALUE"""),"الحر")</f>
        <v>الحر</v>
      </c>
      <c r="D730" s="56"/>
      <c r="E730" s="26"/>
      <c r="F730" s="26"/>
      <c r="G730" s="26"/>
      <c r="H730" s="26"/>
      <c r="I730" s="26"/>
      <c r="J730" s="26"/>
      <c r="K730" s="26"/>
      <c r="L730" s="55"/>
      <c r="M730" s="26"/>
    </row>
    <row r="731" spans="1:13" ht="75" customHeight="1" thickTop="1" thickBot="1">
      <c r="A731" s="34"/>
      <c r="B731" s="55"/>
      <c r="C731" s="56" t="str">
        <f ca="1">IFERROR(__xludf.DUMMYFUNCTION("""COMPUTED_VALUE"""),"الحر")</f>
        <v>الحر</v>
      </c>
      <c r="D731" s="56"/>
      <c r="E731" s="26"/>
      <c r="F731" s="26"/>
      <c r="G731" s="26"/>
      <c r="H731" s="26"/>
      <c r="I731" s="26"/>
      <c r="J731" s="26"/>
      <c r="K731" s="26"/>
      <c r="L731" s="55"/>
      <c r="M731" s="26"/>
    </row>
    <row r="732" spans="1:13" ht="75" customHeight="1" thickTop="1" thickBot="1">
      <c r="A732" s="26"/>
      <c r="B732" s="55"/>
      <c r="C732" s="56" t="str">
        <f ca="1">IFERROR(__xludf.DUMMYFUNCTION("""COMPUTED_VALUE"""),"الحر")</f>
        <v>الحر</v>
      </c>
      <c r="D732" s="56"/>
      <c r="E732" s="26"/>
      <c r="F732" s="26"/>
      <c r="G732" s="26"/>
      <c r="H732" s="26"/>
      <c r="I732" s="26"/>
      <c r="J732" s="26"/>
      <c r="K732" s="26"/>
      <c r="L732" s="55"/>
      <c r="M732" s="26"/>
    </row>
    <row r="733" spans="1:13" ht="75" customHeight="1" thickTop="1" thickBot="1">
      <c r="A733" s="34"/>
      <c r="B733" s="55"/>
      <c r="C733" s="56" t="str">
        <f ca="1">IFERROR(__xludf.DUMMYFUNCTION("""COMPUTED_VALUE"""),"الحر")</f>
        <v>الحر</v>
      </c>
      <c r="D733" s="56"/>
      <c r="E733" s="26"/>
      <c r="F733" s="26"/>
      <c r="G733" s="26"/>
      <c r="H733" s="26"/>
      <c r="I733" s="26"/>
      <c r="J733" s="26"/>
      <c r="K733" s="26"/>
      <c r="L733" s="55"/>
      <c r="M733" s="26"/>
    </row>
    <row r="734" spans="1:13" ht="75" customHeight="1" thickTop="1" thickBot="1">
      <c r="A734" s="26"/>
      <c r="B734" s="55"/>
      <c r="C734" s="56" t="str">
        <f ca="1">IFERROR(__xludf.DUMMYFUNCTION("""COMPUTED_VALUE"""),"الحر")</f>
        <v>الحر</v>
      </c>
      <c r="D734" s="56"/>
      <c r="E734" s="26"/>
      <c r="F734" s="26"/>
      <c r="G734" s="26"/>
      <c r="H734" s="26"/>
      <c r="I734" s="26"/>
      <c r="J734" s="26"/>
      <c r="K734" s="26"/>
      <c r="L734" s="55"/>
      <c r="M734" s="26"/>
    </row>
    <row r="735" spans="1:13" ht="75" customHeight="1" thickTop="1" thickBot="1">
      <c r="A735" s="34"/>
      <c r="B735" s="55"/>
      <c r="C735" s="56" t="str">
        <f ca="1">IFERROR(__xludf.DUMMYFUNCTION("""COMPUTED_VALUE"""),"الحر")</f>
        <v>الحر</v>
      </c>
      <c r="D735" s="56"/>
      <c r="E735" s="26"/>
      <c r="F735" s="26"/>
      <c r="G735" s="26"/>
      <c r="H735" s="26"/>
      <c r="I735" s="26"/>
      <c r="J735" s="26"/>
      <c r="K735" s="26"/>
      <c r="L735" s="55"/>
      <c r="M735" s="26"/>
    </row>
    <row r="736" spans="1:13" ht="75" customHeight="1" thickTop="1" thickBot="1">
      <c r="A736" s="26"/>
      <c r="B736" s="55"/>
      <c r="C736" s="56" t="str">
        <f ca="1">IFERROR(__xludf.DUMMYFUNCTION("""COMPUTED_VALUE"""),"الحر")</f>
        <v>الحر</v>
      </c>
      <c r="D736" s="56"/>
      <c r="E736" s="26"/>
      <c r="F736" s="26"/>
      <c r="G736" s="26"/>
      <c r="H736" s="26"/>
      <c r="I736" s="26"/>
      <c r="J736" s="26"/>
      <c r="K736" s="26"/>
      <c r="L736" s="55"/>
      <c r="M736" s="26"/>
    </row>
    <row r="737" spans="1:13" ht="75" customHeight="1" thickTop="1" thickBot="1">
      <c r="A737" s="34"/>
      <c r="B737" s="55"/>
      <c r="C737" s="56" t="str">
        <f ca="1">IFERROR(__xludf.DUMMYFUNCTION("""COMPUTED_VALUE"""),"الحر")</f>
        <v>الحر</v>
      </c>
      <c r="D737" s="56"/>
      <c r="E737" s="26"/>
      <c r="F737" s="26"/>
      <c r="G737" s="26"/>
      <c r="H737" s="26"/>
      <c r="I737" s="26"/>
      <c r="J737" s="26"/>
      <c r="K737" s="26"/>
      <c r="L737" s="55"/>
      <c r="M737" s="26"/>
    </row>
    <row r="738" spans="1:13" ht="75" customHeight="1" thickTop="1" thickBot="1">
      <c r="A738" s="26"/>
      <c r="B738" s="55"/>
      <c r="C738" s="56" t="str">
        <f ca="1">IFERROR(__xludf.DUMMYFUNCTION("""COMPUTED_VALUE"""),"الحر")</f>
        <v>الحر</v>
      </c>
      <c r="D738" s="56"/>
      <c r="E738" s="26"/>
      <c r="F738" s="26"/>
      <c r="G738" s="26"/>
      <c r="H738" s="26"/>
      <c r="I738" s="26"/>
      <c r="J738" s="26"/>
      <c r="K738" s="26"/>
      <c r="L738" s="55"/>
      <c r="M738" s="26"/>
    </row>
    <row r="739" spans="1:13" ht="75" customHeight="1" thickTop="1" thickBot="1">
      <c r="A739" s="34"/>
      <c r="B739" s="55"/>
      <c r="C739" s="56" t="str">
        <f ca="1">IFERROR(__xludf.DUMMYFUNCTION("""COMPUTED_VALUE"""),"الحر")</f>
        <v>الحر</v>
      </c>
      <c r="D739" s="56"/>
      <c r="E739" s="26"/>
      <c r="F739" s="26"/>
      <c r="G739" s="26"/>
      <c r="H739" s="26"/>
      <c r="I739" s="26"/>
      <c r="J739" s="26"/>
      <c r="K739" s="26"/>
      <c r="L739" s="55"/>
      <c r="M739" s="26"/>
    </row>
    <row r="740" spans="1:13" ht="75" customHeight="1" thickTop="1" thickBot="1">
      <c r="A740" s="26"/>
      <c r="B740" s="55"/>
      <c r="C740" s="56" t="str">
        <f ca="1">IFERROR(__xludf.DUMMYFUNCTION("""COMPUTED_VALUE"""),"الحر")</f>
        <v>الحر</v>
      </c>
      <c r="D740" s="56"/>
      <c r="E740" s="26"/>
      <c r="F740" s="26"/>
      <c r="G740" s="26"/>
      <c r="H740" s="26"/>
      <c r="I740" s="26"/>
      <c r="J740" s="26"/>
      <c r="K740" s="26"/>
      <c r="L740" s="55"/>
      <c r="M740" s="26"/>
    </row>
    <row r="741" spans="1:13" ht="75" customHeight="1" thickTop="1" thickBot="1">
      <c r="A741" s="34"/>
      <c r="B741" s="55"/>
      <c r="C741" s="56" t="str">
        <f ca="1">IFERROR(__xludf.DUMMYFUNCTION("""COMPUTED_VALUE"""),"الحر")</f>
        <v>الحر</v>
      </c>
      <c r="D741" s="56"/>
      <c r="E741" s="26"/>
      <c r="F741" s="26"/>
      <c r="G741" s="26"/>
      <c r="H741" s="26"/>
      <c r="I741" s="26"/>
      <c r="J741" s="26"/>
      <c r="K741" s="26"/>
      <c r="L741" s="55"/>
      <c r="M741" s="26"/>
    </row>
    <row r="742" spans="1:13" ht="75" customHeight="1" thickTop="1" thickBot="1">
      <c r="A742" s="26"/>
      <c r="B742" s="55"/>
      <c r="C742" s="56" t="str">
        <f ca="1">IFERROR(__xludf.DUMMYFUNCTION("""COMPUTED_VALUE"""),"الحر")</f>
        <v>الحر</v>
      </c>
      <c r="D742" s="56"/>
      <c r="E742" s="26"/>
      <c r="F742" s="26"/>
      <c r="G742" s="26"/>
      <c r="H742" s="26"/>
      <c r="I742" s="26"/>
      <c r="J742" s="26"/>
      <c r="K742" s="26"/>
      <c r="L742" s="55"/>
      <c r="M742" s="26"/>
    </row>
    <row r="743" spans="1:13" ht="75" customHeight="1" thickTop="1" thickBot="1">
      <c r="A743" s="34"/>
      <c r="B743" s="55"/>
      <c r="C743" s="56" t="str">
        <f ca="1">IFERROR(__xludf.DUMMYFUNCTION("""COMPUTED_VALUE"""),"الحر")</f>
        <v>الحر</v>
      </c>
      <c r="D743" s="56"/>
      <c r="E743" s="26"/>
      <c r="F743" s="26"/>
      <c r="G743" s="26"/>
      <c r="H743" s="26"/>
      <c r="I743" s="26"/>
      <c r="J743" s="26"/>
      <c r="K743" s="26"/>
      <c r="L743" s="55"/>
      <c r="M743" s="26"/>
    </row>
    <row r="744" spans="1:13" ht="75" customHeight="1" thickTop="1" thickBot="1">
      <c r="A744" s="26"/>
      <c r="B744" s="55"/>
      <c r="C744" s="56" t="str">
        <f ca="1">IFERROR(__xludf.DUMMYFUNCTION("""COMPUTED_VALUE"""),"الحر")</f>
        <v>الحر</v>
      </c>
      <c r="D744" s="56"/>
      <c r="E744" s="26"/>
      <c r="F744" s="26"/>
      <c r="G744" s="26"/>
      <c r="H744" s="26"/>
      <c r="I744" s="26"/>
      <c r="J744" s="26"/>
      <c r="K744" s="26"/>
      <c r="L744" s="55"/>
      <c r="M744" s="26"/>
    </row>
    <row r="745" spans="1:13" ht="75" customHeight="1" thickTop="1" thickBot="1">
      <c r="A745" s="34"/>
      <c r="B745" s="55"/>
      <c r="C745" s="56" t="str">
        <f ca="1">IFERROR(__xludf.DUMMYFUNCTION("""COMPUTED_VALUE"""),"الحر")</f>
        <v>الحر</v>
      </c>
      <c r="D745" s="56"/>
      <c r="E745" s="26"/>
      <c r="F745" s="26"/>
      <c r="G745" s="26"/>
      <c r="H745" s="26"/>
      <c r="I745" s="26"/>
      <c r="J745" s="26"/>
      <c r="K745" s="26"/>
      <c r="L745" s="55"/>
      <c r="M745" s="26"/>
    </row>
    <row r="746" spans="1:13" ht="75" customHeight="1" thickTop="1" thickBot="1">
      <c r="A746" s="26"/>
      <c r="B746" s="55"/>
      <c r="C746" s="56" t="str">
        <f ca="1">IFERROR(__xludf.DUMMYFUNCTION("""COMPUTED_VALUE"""),"الحر")</f>
        <v>الحر</v>
      </c>
      <c r="D746" s="56"/>
      <c r="E746" s="26"/>
      <c r="F746" s="26"/>
      <c r="G746" s="26"/>
      <c r="H746" s="26"/>
      <c r="I746" s="26"/>
      <c r="J746" s="26"/>
      <c r="K746" s="26"/>
      <c r="L746" s="55"/>
      <c r="M746" s="26"/>
    </row>
    <row r="747" spans="1:13" ht="75" customHeight="1" thickTop="1" thickBot="1">
      <c r="A747" s="34"/>
      <c r="B747" s="55"/>
      <c r="C747" s="56" t="str">
        <f ca="1">IFERROR(__xludf.DUMMYFUNCTION("""COMPUTED_VALUE"""),"الحر")</f>
        <v>الحر</v>
      </c>
      <c r="D747" s="56"/>
      <c r="E747" s="26"/>
      <c r="F747" s="26"/>
      <c r="G747" s="26"/>
      <c r="H747" s="26"/>
      <c r="I747" s="26"/>
      <c r="J747" s="26"/>
      <c r="K747" s="26"/>
      <c r="L747" s="55"/>
      <c r="M747" s="26"/>
    </row>
    <row r="748" spans="1:13" ht="75" customHeight="1" thickTop="1" thickBot="1">
      <c r="A748" s="26"/>
      <c r="B748" s="55"/>
      <c r="C748" s="56" t="str">
        <f ca="1">IFERROR(__xludf.DUMMYFUNCTION("""COMPUTED_VALUE"""),"الحر")</f>
        <v>الحر</v>
      </c>
      <c r="D748" s="56"/>
      <c r="E748" s="26"/>
      <c r="F748" s="26"/>
      <c r="G748" s="26"/>
      <c r="H748" s="26"/>
      <c r="I748" s="26"/>
      <c r="J748" s="26"/>
      <c r="K748" s="26"/>
      <c r="L748" s="55"/>
      <c r="M748" s="26"/>
    </row>
    <row r="749" spans="1:13" ht="75" customHeight="1" thickTop="1" thickBot="1">
      <c r="A749" s="34"/>
      <c r="B749" s="55"/>
      <c r="C749" s="56" t="str">
        <f ca="1">IFERROR(__xludf.DUMMYFUNCTION("""COMPUTED_VALUE"""),"الحر")</f>
        <v>الحر</v>
      </c>
      <c r="D749" s="56"/>
      <c r="E749" s="26"/>
      <c r="F749" s="26"/>
      <c r="G749" s="26"/>
      <c r="H749" s="26"/>
      <c r="I749" s="26"/>
      <c r="J749" s="26"/>
      <c r="K749" s="26"/>
      <c r="L749" s="55"/>
      <c r="M749" s="26"/>
    </row>
    <row r="750" spans="1:13" ht="75" customHeight="1" thickTop="1" thickBot="1">
      <c r="A750" s="26"/>
      <c r="B750" s="55"/>
      <c r="C750" s="56" t="str">
        <f ca="1">IFERROR(__xludf.DUMMYFUNCTION("""COMPUTED_VALUE"""),"الحر")</f>
        <v>الحر</v>
      </c>
      <c r="D750" s="56"/>
      <c r="E750" s="26"/>
      <c r="F750" s="26"/>
      <c r="G750" s="26"/>
      <c r="H750" s="26"/>
      <c r="I750" s="26"/>
      <c r="J750" s="26"/>
      <c r="K750" s="26"/>
      <c r="L750" s="55"/>
      <c r="M750" s="26"/>
    </row>
    <row r="751" spans="1:13" ht="75" customHeight="1" thickTop="1" thickBot="1">
      <c r="A751" s="34"/>
      <c r="B751" s="55"/>
      <c r="C751" s="56" t="str">
        <f ca="1">IFERROR(__xludf.DUMMYFUNCTION("""COMPUTED_VALUE"""),"الحر")</f>
        <v>الحر</v>
      </c>
      <c r="D751" s="56"/>
      <c r="E751" s="26"/>
      <c r="F751" s="26"/>
      <c r="G751" s="26"/>
      <c r="H751" s="26"/>
      <c r="I751" s="26"/>
      <c r="J751" s="26"/>
      <c r="K751" s="26"/>
      <c r="L751" s="55"/>
      <c r="M751" s="26"/>
    </row>
    <row r="752" spans="1:13" ht="75" customHeight="1" thickTop="1" thickBot="1">
      <c r="A752" s="26"/>
      <c r="B752" s="55"/>
      <c r="C752" s="56" t="str">
        <f ca="1">IFERROR(__xludf.DUMMYFUNCTION("""COMPUTED_VALUE"""),"الحر")</f>
        <v>الحر</v>
      </c>
      <c r="D752" s="56"/>
      <c r="E752" s="26"/>
      <c r="F752" s="26"/>
      <c r="G752" s="26"/>
      <c r="H752" s="26"/>
      <c r="I752" s="26"/>
      <c r="J752" s="26"/>
      <c r="K752" s="26"/>
      <c r="L752" s="55"/>
      <c r="M752" s="26"/>
    </row>
    <row r="753" spans="1:13" ht="75" customHeight="1" thickTop="1" thickBot="1">
      <c r="A753" s="34"/>
      <c r="B753" s="55"/>
      <c r="C753" s="56" t="str">
        <f ca="1">IFERROR(__xludf.DUMMYFUNCTION("""COMPUTED_VALUE"""),"الحر")</f>
        <v>الحر</v>
      </c>
      <c r="D753" s="56"/>
      <c r="E753" s="26"/>
      <c r="F753" s="26"/>
      <c r="G753" s="26"/>
      <c r="H753" s="26"/>
      <c r="I753" s="26"/>
      <c r="J753" s="26"/>
      <c r="K753" s="26"/>
      <c r="L753" s="55"/>
      <c r="M753" s="26"/>
    </row>
    <row r="754" spans="1:13" ht="75" customHeight="1" thickTop="1" thickBot="1">
      <c r="A754" s="26"/>
      <c r="B754" s="55"/>
      <c r="C754" s="56" t="str">
        <f ca="1">IFERROR(__xludf.DUMMYFUNCTION("""COMPUTED_VALUE"""),"الحر")</f>
        <v>الحر</v>
      </c>
      <c r="D754" s="56"/>
      <c r="E754" s="26"/>
      <c r="F754" s="26"/>
      <c r="G754" s="26"/>
      <c r="H754" s="26"/>
      <c r="I754" s="26"/>
      <c r="J754" s="26"/>
      <c r="K754" s="26"/>
      <c r="L754" s="55"/>
      <c r="M754" s="26"/>
    </row>
    <row r="755" spans="1:13" ht="75" customHeight="1" thickTop="1" thickBot="1">
      <c r="A755" s="34"/>
      <c r="B755" s="55"/>
      <c r="C755" s="56" t="str">
        <f ca="1">IFERROR(__xludf.DUMMYFUNCTION("""COMPUTED_VALUE"""),"الحر")</f>
        <v>الحر</v>
      </c>
      <c r="D755" s="56"/>
      <c r="E755" s="26"/>
      <c r="F755" s="26"/>
      <c r="G755" s="26"/>
      <c r="H755" s="26"/>
      <c r="I755" s="26"/>
      <c r="J755" s="26"/>
      <c r="K755" s="26"/>
      <c r="L755" s="55"/>
      <c r="M755" s="26"/>
    </row>
    <row r="756" spans="1:13" ht="75" customHeight="1" thickTop="1" thickBot="1">
      <c r="A756" s="26"/>
      <c r="B756" s="55"/>
      <c r="C756" s="56" t="str">
        <f ca="1">IFERROR(__xludf.DUMMYFUNCTION("""COMPUTED_VALUE"""),"الحر")</f>
        <v>الحر</v>
      </c>
      <c r="D756" s="56"/>
      <c r="E756" s="26"/>
      <c r="F756" s="26"/>
      <c r="G756" s="26"/>
      <c r="H756" s="26"/>
      <c r="I756" s="26"/>
      <c r="J756" s="26"/>
      <c r="K756" s="26"/>
      <c r="L756" s="55"/>
      <c r="M756" s="26"/>
    </row>
    <row r="757" spans="1:13" ht="75" customHeight="1" thickTop="1" thickBot="1">
      <c r="A757" s="34"/>
      <c r="B757" s="55"/>
      <c r="C757" s="56" t="str">
        <f ca="1">IFERROR(__xludf.DUMMYFUNCTION("""COMPUTED_VALUE"""),"الحر")</f>
        <v>الحر</v>
      </c>
      <c r="D757" s="56"/>
      <c r="E757" s="26"/>
      <c r="F757" s="26"/>
      <c r="G757" s="26"/>
      <c r="H757" s="26"/>
      <c r="I757" s="26"/>
      <c r="J757" s="26"/>
      <c r="K757" s="26"/>
      <c r="L757" s="55"/>
      <c r="M757" s="26"/>
    </row>
    <row r="758" spans="1:13" ht="75" customHeight="1" thickTop="1" thickBot="1">
      <c r="A758" s="26"/>
      <c r="B758" s="55"/>
      <c r="C758" s="56" t="str">
        <f ca="1">IFERROR(__xludf.DUMMYFUNCTION("""COMPUTED_VALUE"""),"الحر")</f>
        <v>الحر</v>
      </c>
      <c r="D758" s="56"/>
      <c r="E758" s="26"/>
      <c r="F758" s="26"/>
      <c r="G758" s="26"/>
      <c r="H758" s="26"/>
      <c r="I758" s="26"/>
      <c r="J758" s="26"/>
      <c r="K758" s="26"/>
      <c r="L758" s="55"/>
      <c r="M758" s="26"/>
    </row>
    <row r="759" spans="1:13" ht="75" customHeight="1" thickTop="1" thickBot="1">
      <c r="A759" s="34"/>
      <c r="B759" s="55"/>
      <c r="C759" s="56" t="str">
        <f ca="1">IFERROR(__xludf.DUMMYFUNCTION("""COMPUTED_VALUE"""),"الحر")</f>
        <v>الحر</v>
      </c>
      <c r="D759" s="56"/>
      <c r="E759" s="26"/>
      <c r="F759" s="26"/>
      <c r="G759" s="26"/>
      <c r="H759" s="26"/>
      <c r="I759" s="26"/>
      <c r="J759" s="26"/>
      <c r="K759" s="26"/>
      <c r="L759" s="55"/>
      <c r="M759" s="26"/>
    </row>
    <row r="760" spans="1:13" ht="75" customHeight="1" thickTop="1" thickBot="1">
      <c r="A760" s="26"/>
      <c r="B760" s="55"/>
      <c r="C760" s="56" t="str">
        <f ca="1">IFERROR(__xludf.DUMMYFUNCTION("""COMPUTED_VALUE"""),"الحر")</f>
        <v>الحر</v>
      </c>
      <c r="D760" s="56"/>
      <c r="E760" s="26"/>
      <c r="F760" s="26"/>
      <c r="G760" s="26"/>
      <c r="H760" s="26"/>
      <c r="I760" s="26"/>
      <c r="J760" s="26"/>
      <c r="K760" s="26"/>
      <c r="L760" s="55"/>
      <c r="M760" s="26"/>
    </row>
    <row r="761" spans="1:13" ht="75" customHeight="1" thickTop="1" thickBot="1">
      <c r="A761" s="34"/>
      <c r="B761" s="55"/>
      <c r="C761" s="56" t="str">
        <f ca="1">IFERROR(__xludf.DUMMYFUNCTION("""COMPUTED_VALUE"""),"الحر")</f>
        <v>الحر</v>
      </c>
      <c r="D761" s="56"/>
      <c r="E761" s="26"/>
      <c r="F761" s="26"/>
      <c r="G761" s="26"/>
      <c r="H761" s="26"/>
      <c r="I761" s="26"/>
      <c r="J761" s="26"/>
      <c r="K761" s="26"/>
      <c r="L761" s="55"/>
      <c r="M761" s="26"/>
    </row>
    <row r="762" spans="1:13" ht="75" customHeight="1" thickTop="1" thickBot="1">
      <c r="A762" s="26"/>
      <c r="B762" s="55"/>
      <c r="C762" s="56" t="str">
        <f ca="1">IFERROR(__xludf.DUMMYFUNCTION("""COMPUTED_VALUE"""),"الحر")</f>
        <v>الحر</v>
      </c>
      <c r="D762" s="56"/>
      <c r="E762" s="26"/>
      <c r="F762" s="26"/>
      <c r="G762" s="26"/>
      <c r="H762" s="26"/>
      <c r="I762" s="26"/>
      <c r="J762" s="26"/>
      <c r="K762" s="26"/>
      <c r="L762" s="55"/>
      <c r="M762" s="26"/>
    </row>
    <row r="763" spans="1:13" ht="75" customHeight="1" thickTop="1" thickBot="1">
      <c r="A763" s="34"/>
      <c r="B763" s="55"/>
      <c r="C763" s="56" t="str">
        <f ca="1">IFERROR(__xludf.DUMMYFUNCTION("""COMPUTED_VALUE"""),"الحر")</f>
        <v>الحر</v>
      </c>
      <c r="D763" s="56"/>
      <c r="E763" s="26"/>
      <c r="F763" s="26"/>
      <c r="G763" s="26"/>
      <c r="H763" s="26"/>
      <c r="I763" s="26"/>
      <c r="J763" s="26"/>
      <c r="K763" s="26"/>
      <c r="L763" s="55"/>
      <c r="M763" s="26"/>
    </row>
    <row r="764" spans="1:13" ht="75" customHeight="1" thickTop="1" thickBot="1">
      <c r="A764" s="26"/>
      <c r="B764" s="55"/>
      <c r="C764" s="56" t="str">
        <f ca="1">IFERROR(__xludf.DUMMYFUNCTION("""COMPUTED_VALUE"""),"الحر")</f>
        <v>الحر</v>
      </c>
      <c r="D764" s="56"/>
      <c r="E764" s="26"/>
      <c r="F764" s="26"/>
      <c r="G764" s="26"/>
      <c r="H764" s="26"/>
      <c r="I764" s="26"/>
      <c r="J764" s="26"/>
      <c r="K764" s="26"/>
      <c r="L764" s="55"/>
      <c r="M764" s="26"/>
    </row>
    <row r="765" spans="1:13" ht="75" customHeight="1" thickTop="1" thickBot="1">
      <c r="A765" s="34"/>
      <c r="B765" s="55"/>
      <c r="C765" s="56" t="str">
        <f ca="1">IFERROR(__xludf.DUMMYFUNCTION("""COMPUTED_VALUE"""),"الحر")</f>
        <v>الحر</v>
      </c>
      <c r="D765" s="56"/>
      <c r="E765" s="26"/>
      <c r="F765" s="26"/>
      <c r="G765" s="26"/>
      <c r="H765" s="26"/>
      <c r="I765" s="26"/>
      <c r="J765" s="26"/>
      <c r="K765" s="26"/>
      <c r="L765" s="55"/>
      <c r="M765" s="26"/>
    </row>
    <row r="766" spans="1:13" ht="75" customHeight="1" thickTop="1" thickBot="1">
      <c r="A766" s="26"/>
      <c r="B766" s="55"/>
      <c r="C766" s="56" t="str">
        <f ca="1">IFERROR(__xludf.DUMMYFUNCTION("""COMPUTED_VALUE"""),"الحر")</f>
        <v>الحر</v>
      </c>
      <c r="D766" s="56"/>
      <c r="E766" s="26"/>
      <c r="F766" s="26"/>
      <c r="G766" s="26"/>
      <c r="H766" s="26"/>
      <c r="I766" s="26"/>
      <c r="J766" s="26"/>
      <c r="K766" s="26"/>
      <c r="L766" s="55"/>
      <c r="M766" s="26"/>
    </row>
    <row r="767" spans="1:13" ht="75" customHeight="1" thickTop="1" thickBot="1">
      <c r="A767" s="34"/>
      <c r="B767" s="55"/>
      <c r="C767" s="56" t="str">
        <f ca="1">IFERROR(__xludf.DUMMYFUNCTION("""COMPUTED_VALUE"""),"الحر")</f>
        <v>الحر</v>
      </c>
      <c r="D767" s="56"/>
      <c r="E767" s="26"/>
      <c r="F767" s="26"/>
      <c r="G767" s="26"/>
      <c r="H767" s="26"/>
      <c r="I767" s="26"/>
      <c r="J767" s="26"/>
      <c r="K767" s="26"/>
      <c r="L767" s="55"/>
      <c r="M767" s="26"/>
    </row>
    <row r="768" spans="1:13" ht="75" customHeight="1" thickTop="1" thickBot="1">
      <c r="A768" s="26"/>
      <c r="B768" s="55"/>
      <c r="C768" s="56" t="str">
        <f ca="1">IFERROR(__xludf.DUMMYFUNCTION("""COMPUTED_VALUE"""),"الحر")</f>
        <v>الحر</v>
      </c>
      <c r="D768" s="56"/>
      <c r="E768" s="26"/>
      <c r="F768" s="26"/>
      <c r="G768" s="26"/>
      <c r="H768" s="26"/>
      <c r="I768" s="26"/>
      <c r="J768" s="26"/>
      <c r="K768" s="26"/>
      <c r="L768" s="55"/>
      <c r="M768" s="26"/>
    </row>
    <row r="769" spans="1:13" ht="75" customHeight="1" thickTop="1" thickBot="1">
      <c r="A769" s="34"/>
      <c r="B769" s="55"/>
      <c r="C769" s="56" t="str">
        <f ca="1">IFERROR(__xludf.DUMMYFUNCTION("""COMPUTED_VALUE"""),"الحر")</f>
        <v>الحر</v>
      </c>
      <c r="D769" s="56"/>
      <c r="E769" s="26"/>
      <c r="F769" s="26"/>
      <c r="G769" s="26"/>
      <c r="H769" s="26"/>
      <c r="I769" s="26"/>
      <c r="J769" s="26"/>
      <c r="K769" s="26"/>
      <c r="L769" s="55"/>
      <c r="M769" s="26"/>
    </row>
    <row r="770" spans="1:13" ht="75" customHeight="1" thickTop="1" thickBot="1">
      <c r="A770" s="26"/>
      <c r="B770" s="55"/>
      <c r="C770" s="56" t="str">
        <f ca="1">IFERROR(__xludf.DUMMYFUNCTION("""COMPUTED_VALUE"""),"الحر")</f>
        <v>الحر</v>
      </c>
      <c r="D770" s="56"/>
      <c r="E770" s="26"/>
      <c r="F770" s="26"/>
      <c r="G770" s="26"/>
      <c r="H770" s="26"/>
      <c r="I770" s="26"/>
      <c r="J770" s="26"/>
      <c r="K770" s="26"/>
      <c r="L770" s="55"/>
      <c r="M770" s="26"/>
    </row>
    <row r="771" spans="1:13" ht="75" customHeight="1" thickTop="1" thickBot="1">
      <c r="A771" s="34"/>
      <c r="B771" s="55"/>
      <c r="C771" s="56" t="str">
        <f ca="1">IFERROR(__xludf.DUMMYFUNCTION("""COMPUTED_VALUE"""),"الحر")</f>
        <v>الحر</v>
      </c>
      <c r="D771" s="56"/>
      <c r="E771" s="26"/>
      <c r="F771" s="26"/>
      <c r="G771" s="26"/>
      <c r="H771" s="26"/>
      <c r="I771" s="26"/>
      <c r="J771" s="26"/>
      <c r="K771" s="26"/>
      <c r="L771" s="55"/>
      <c r="M771" s="26"/>
    </row>
    <row r="772" spans="1:13" ht="75" customHeight="1" thickTop="1" thickBot="1">
      <c r="A772" s="26"/>
      <c r="B772" s="55"/>
      <c r="C772" s="56" t="str">
        <f ca="1">IFERROR(__xludf.DUMMYFUNCTION("""COMPUTED_VALUE"""),"الحر")</f>
        <v>الحر</v>
      </c>
      <c r="D772" s="56"/>
      <c r="E772" s="26"/>
      <c r="F772" s="26"/>
      <c r="G772" s="26"/>
      <c r="H772" s="26"/>
      <c r="I772" s="26"/>
      <c r="J772" s="26"/>
      <c r="K772" s="26"/>
      <c r="L772" s="55"/>
      <c r="M772" s="26"/>
    </row>
    <row r="773" spans="1:13" ht="75" customHeight="1" thickTop="1" thickBot="1">
      <c r="A773" s="34"/>
      <c r="B773" s="55"/>
      <c r="C773" s="56" t="str">
        <f ca="1">IFERROR(__xludf.DUMMYFUNCTION("""COMPUTED_VALUE"""),"الحر")</f>
        <v>الحر</v>
      </c>
      <c r="D773" s="56"/>
      <c r="E773" s="26"/>
      <c r="F773" s="26"/>
      <c r="G773" s="26"/>
      <c r="H773" s="26"/>
      <c r="I773" s="26"/>
      <c r="J773" s="26"/>
      <c r="K773" s="26"/>
      <c r="L773" s="55"/>
      <c r="M773" s="26"/>
    </row>
    <row r="774" spans="1:13" ht="75" customHeight="1" thickTop="1" thickBot="1">
      <c r="A774" s="26"/>
      <c r="B774" s="55"/>
      <c r="C774" s="56" t="str">
        <f ca="1">IFERROR(__xludf.DUMMYFUNCTION("""COMPUTED_VALUE"""),"الحر")</f>
        <v>الحر</v>
      </c>
      <c r="D774" s="56"/>
      <c r="E774" s="26"/>
      <c r="F774" s="26"/>
      <c r="G774" s="26"/>
      <c r="H774" s="26"/>
      <c r="I774" s="26"/>
      <c r="J774" s="26"/>
      <c r="K774" s="26"/>
      <c r="L774" s="55"/>
      <c r="M774" s="26"/>
    </row>
    <row r="775" spans="1:13" ht="75" customHeight="1" thickTop="1" thickBot="1">
      <c r="A775" s="34"/>
      <c r="B775" s="55"/>
      <c r="C775" s="56" t="str">
        <f ca="1">IFERROR(__xludf.DUMMYFUNCTION("""COMPUTED_VALUE"""),"الحر")</f>
        <v>الحر</v>
      </c>
      <c r="D775" s="56"/>
      <c r="E775" s="26"/>
      <c r="F775" s="26"/>
      <c r="G775" s="26"/>
      <c r="H775" s="26"/>
      <c r="I775" s="26"/>
      <c r="J775" s="26"/>
      <c r="K775" s="26"/>
      <c r="L775" s="55"/>
      <c r="M775" s="26"/>
    </row>
    <row r="776" spans="1:13" ht="75" customHeight="1" thickTop="1" thickBot="1">
      <c r="A776" s="26"/>
      <c r="B776" s="55"/>
      <c r="C776" s="56" t="str">
        <f ca="1">IFERROR(__xludf.DUMMYFUNCTION("""COMPUTED_VALUE"""),"الحر")</f>
        <v>الحر</v>
      </c>
      <c r="D776" s="56"/>
      <c r="E776" s="26"/>
      <c r="F776" s="26"/>
      <c r="G776" s="26"/>
      <c r="H776" s="26"/>
      <c r="I776" s="26"/>
      <c r="J776" s="26"/>
      <c r="K776" s="26"/>
      <c r="L776" s="55"/>
      <c r="M776" s="26"/>
    </row>
    <row r="777" spans="1:13" ht="75" customHeight="1" thickTop="1" thickBot="1">
      <c r="A777" s="34"/>
      <c r="B777" s="55"/>
      <c r="C777" s="56" t="str">
        <f ca="1">IFERROR(__xludf.DUMMYFUNCTION("""COMPUTED_VALUE"""),"الحر")</f>
        <v>الحر</v>
      </c>
      <c r="D777" s="56"/>
      <c r="E777" s="26"/>
      <c r="F777" s="26"/>
      <c r="G777" s="26"/>
      <c r="H777" s="26"/>
      <c r="I777" s="26"/>
      <c r="J777" s="26"/>
      <c r="K777" s="26"/>
      <c r="L777" s="55"/>
      <c r="M777" s="26"/>
    </row>
    <row r="778" spans="1:13" ht="75" customHeight="1" thickTop="1" thickBot="1">
      <c r="A778" s="26"/>
      <c r="B778" s="55"/>
      <c r="C778" s="56" t="str">
        <f ca="1">IFERROR(__xludf.DUMMYFUNCTION("""COMPUTED_VALUE"""),"الحر")</f>
        <v>الحر</v>
      </c>
      <c r="D778" s="56"/>
      <c r="E778" s="26"/>
      <c r="F778" s="26"/>
      <c r="G778" s="26"/>
      <c r="H778" s="26"/>
      <c r="I778" s="26"/>
      <c r="J778" s="26"/>
      <c r="K778" s="26"/>
      <c r="L778" s="55"/>
      <c r="M778" s="26"/>
    </row>
    <row r="779" spans="1:13" ht="75" customHeight="1" thickTop="1" thickBot="1">
      <c r="A779" s="34"/>
      <c r="B779" s="55"/>
      <c r="C779" s="56" t="str">
        <f ca="1">IFERROR(__xludf.DUMMYFUNCTION("""COMPUTED_VALUE"""),"الحر")</f>
        <v>الحر</v>
      </c>
      <c r="D779" s="56"/>
      <c r="E779" s="26"/>
      <c r="F779" s="26"/>
      <c r="G779" s="26"/>
      <c r="H779" s="26"/>
      <c r="I779" s="26"/>
      <c r="J779" s="26"/>
      <c r="K779" s="26"/>
      <c r="L779" s="55"/>
      <c r="M779" s="26"/>
    </row>
    <row r="780" spans="1:13" ht="75" customHeight="1" thickTop="1" thickBot="1">
      <c r="A780" s="26"/>
      <c r="B780" s="55"/>
      <c r="C780" s="56" t="str">
        <f ca="1">IFERROR(__xludf.DUMMYFUNCTION("""COMPUTED_VALUE"""),"الحر")</f>
        <v>الحر</v>
      </c>
      <c r="D780" s="56"/>
      <c r="E780" s="26"/>
      <c r="F780" s="26"/>
      <c r="G780" s="26"/>
      <c r="H780" s="26"/>
      <c r="I780" s="26"/>
      <c r="J780" s="26"/>
      <c r="K780" s="26"/>
      <c r="L780" s="55"/>
      <c r="M780" s="26"/>
    </row>
    <row r="781" spans="1:13" ht="75" customHeight="1" thickTop="1" thickBot="1">
      <c r="A781" s="34"/>
      <c r="B781" s="55"/>
      <c r="C781" s="56" t="str">
        <f ca="1">IFERROR(__xludf.DUMMYFUNCTION("""COMPUTED_VALUE"""),"الحر")</f>
        <v>الحر</v>
      </c>
      <c r="D781" s="56"/>
      <c r="E781" s="26"/>
      <c r="F781" s="26"/>
      <c r="G781" s="26"/>
      <c r="H781" s="26"/>
      <c r="I781" s="26"/>
      <c r="J781" s="26"/>
      <c r="K781" s="26"/>
      <c r="L781" s="55"/>
      <c r="M781" s="26"/>
    </row>
    <row r="782" spans="1:13" ht="75" customHeight="1" thickTop="1" thickBot="1">
      <c r="A782" s="26"/>
      <c r="B782" s="55"/>
      <c r="C782" s="56" t="str">
        <f ca="1">IFERROR(__xludf.DUMMYFUNCTION("""COMPUTED_VALUE"""),"الحر")</f>
        <v>الحر</v>
      </c>
      <c r="D782" s="56"/>
      <c r="E782" s="26"/>
      <c r="F782" s="26"/>
      <c r="G782" s="26"/>
      <c r="H782" s="26"/>
      <c r="I782" s="26"/>
      <c r="J782" s="26"/>
      <c r="K782" s="26"/>
      <c r="L782" s="55"/>
      <c r="M782" s="26"/>
    </row>
    <row r="783" spans="1:13" ht="75" customHeight="1" thickTop="1" thickBot="1">
      <c r="A783" s="34"/>
      <c r="B783" s="55"/>
      <c r="C783" s="56" t="str">
        <f ca="1">IFERROR(__xludf.DUMMYFUNCTION("""COMPUTED_VALUE"""),"الحر")</f>
        <v>الحر</v>
      </c>
      <c r="D783" s="56"/>
      <c r="E783" s="26"/>
      <c r="F783" s="26"/>
      <c r="G783" s="26"/>
      <c r="H783" s="26"/>
      <c r="I783" s="26"/>
      <c r="J783" s="26"/>
      <c r="K783" s="26"/>
      <c r="L783" s="55"/>
      <c r="M783" s="26"/>
    </row>
    <row r="784" spans="1:13" ht="75" customHeight="1" thickTop="1" thickBot="1">
      <c r="A784" s="26"/>
      <c r="B784" s="55"/>
      <c r="C784" s="56" t="str">
        <f ca="1">IFERROR(__xludf.DUMMYFUNCTION("""COMPUTED_VALUE"""),"الحر")</f>
        <v>الحر</v>
      </c>
      <c r="D784" s="56"/>
      <c r="E784" s="26"/>
      <c r="F784" s="26"/>
      <c r="G784" s="26"/>
      <c r="H784" s="26"/>
      <c r="I784" s="26"/>
      <c r="J784" s="26"/>
      <c r="K784" s="26"/>
      <c r="L784" s="55"/>
      <c r="M784" s="26"/>
    </row>
    <row r="785" spans="1:13" ht="75" customHeight="1" thickTop="1" thickBot="1">
      <c r="A785" s="34"/>
      <c r="B785" s="55"/>
      <c r="C785" s="56" t="str">
        <f ca="1">IFERROR(__xludf.DUMMYFUNCTION("""COMPUTED_VALUE"""),"الحر")</f>
        <v>الحر</v>
      </c>
      <c r="D785" s="56"/>
      <c r="E785" s="26"/>
      <c r="F785" s="26"/>
      <c r="G785" s="26"/>
      <c r="H785" s="26"/>
      <c r="I785" s="26"/>
      <c r="J785" s="26"/>
      <c r="K785" s="26"/>
      <c r="L785" s="55"/>
      <c r="M785" s="26"/>
    </row>
    <row r="786" spans="1:13" ht="75" customHeight="1" thickTop="1" thickBot="1">
      <c r="A786" s="26"/>
      <c r="B786" s="55"/>
      <c r="C786" s="56" t="str">
        <f ca="1">IFERROR(__xludf.DUMMYFUNCTION("""COMPUTED_VALUE"""),"الحر")</f>
        <v>الحر</v>
      </c>
      <c r="D786" s="56"/>
      <c r="E786" s="26"/>
      <c r="F786" s="26"/>
      <c r="G786" s="26"/>
      <c r="H786" s="26"/>
      <c r="I786" s="26"/>
      <c r="J786" s="26"/>
      <c r="K786" s="26"/>
      <c r="L786" s="55"/>
      <c r="M786" s="26"/>
    </row>
    <row r="787" spans="1:13" ht="75" customHeight="1" thickTop="1" thickBot="1">
      <c r="A787" s="34"/>
      <c r="B787" s="55"/>
      <c r="C787" s="56" t="str">
        <f ca="1">IFERROR(__xludf.DUMMYFUNCTION("""COMPUTED_VALUE"""),"الحر")</f>
        <v>الحر</v>
      </c>
      <c r="D787" s="56"/>
      <c r="E787" s="26"/>
      <c r="F787" s="26"/>
      <c r="G787" s="26"/>
      <c r="H787" s="26"/>
      <c r="I787" s="26"/>
      <c r="J787" s="26"/>
      <c r="K787" s="26"/>
      <c r="L787" s="55"/>
      <c r="M787" s="26"/>
    </row>
    <row r="788" spans="1:13" ht="75" customHeight="1" thickTop="1" thickBot="1">
      <c r="A788" s="26"/>
      <c r="B788" s="55"/>
      <c r="C788" s="56" t="str">
        <f ca="1">IFERROR(__xludf.DUMMYFUNCTION("""COMPUTED_VALUE"""),"الحر")</f>
        <v>الحر</v>
      </c>
      <c r="D788" s="56"/>
      <c r="E788" s="26"/>
      <c r="F788" s="26"/>
      <c r="G788" s="26"/>
      <c r="H788" s="26"/>
      <c r="I788" s="26"/>
      <c r="J788" s="26"/>
      <c r="K788" s="26"/>
      <c r="L788" s="55"/>
      <c r="M788" s="26"/>
    </row>
    <row r="789" spans="1:13" ht="75" customHeight="1" thickTop="1" thickBot="1">
      <c r="A789" s="34"/>
      <c r="B789" s="55"/>
      <c r="C789" s="56" t="str">
        <f ca="1">IFERROR(__xludf.DUMMYFUNCTION("""COMPUTED_VALUE"""),"الحر")</f>
        <v>الحر</v>
      </c>
      <c r="D789" s="56"/>
      <c r="E789" s="26"/>
      <c r="F789" s="26"/>
      <c r="G789" s="26"/>
      <c r="H789" s="26"/>
      <c r="I789" s="26"/>
      <c r="J789" s="26"/>
      <c r="K789" s="26"/>
      <c r="L789" s="55"/>
      <c r="M789" s="26"/>
    </row>
    <row r="790" spans="1:13" ht="75" customHeight="1" thickTop="1" thickBot="1">
      <c r="A790" s="26"/>
      <c r="B790" s="55"/>
      <c r="C790" s="56" t="str">
        <f ca="1">IFERROR(__xludf.DUMMYFUNCTION("""COMPUTED_VALUE"""),"الحر")</f>
        <v>الحر</v>
      </c>
      <c r="D790" s="56"/>
      <c r="E790" s="26"/>
      <c r="F790" s="26"/>
      <c r="G790" s="26"/>
      <c r="H790" s="26"/>
      <c r="I790" s="26"/>
      <c r="J790" s="26"/>
      <c r="K790" s="26"/>
      <c r="L790" s="55"/>
      <c r="M790" s="26"/>
    </row>
    <row r="791" spans="1:13" ht="75" customHeight="1" thickTop="1" thickBot="1">
      <c r="A791" s="34"/>
      <c r="B791" s="55"/>
      <c r="C791" s="56" t="str">
        <f ca="1">IFERROR(__xludf.DUMMYFUNCTION("""COMPUTED_VALUE"""),"الحر")</f>
        <v>الحر</v>
      </c>
      <c r="D791" s="56"/>
      <c r="E791" s="26"/>
      <c r="F791" s="26"/>
      <c r="G791" s="26"/>
      <c r="H791" s="26"/>
      <c r="I791" s="26"/>
      <c r="J791" s="26"/>
      <c r="K791" s="26"/>
      <c r="L791" s="55"/>
      <c r="M791" s="26"/>
    </row>
    <row r="792" spans="1:13" ht="75" customHeight="1" thickTop="1" thickBot="1">
      <c r="A792" s="26"/>
      <c r="B792" s="55"/>
      <c r="C792" s="56" t="str">
        <f ca="1">IFERROR(__xludf.DUMMYFUNCTION("""COMPUTED_VALUE"""),"الحر")</f>
        <v>الحر</v>
      </c>
      <c r="D792" s="56"/>
      <c r="E792" s="26"/>
      <c r="F792" s="26"/>
      <c r="G792" s="26"/>
      <c r="H792" s="26"/>
      <c r="I792" s="26"/>
      <c r="J792" s="26"/>
      <c r="K792" s="26"/>
      <c r="L792" s="55"/>
      <c r="M792" s="26"/>
    </row>
    <row r="793" spans="1:13" ht="75" customHeight="1" thickTop="1" thickBot="1">
      <c r="A793" s="34"/>
      <c r="B793" s="55"/>
      <c r="C793" s="56" t="str">
        <f ca="1">IFERROR(__xludf.DUMMYFUNCTION("""COMPUTED_VALUE"""),"الحر")</f>
        <v>الحر</v>
      </c>
      <c r="D793" s="56"/>
      <c r="E793" s="26"/>
      <c r="F793" s="26"/>
      <c r="G793" s="26"/>
      <c r="H793" s="26"/>
      <c r="I793" s="26"/>
      <c r="J793" s="26"/>
      <c r="K793" s="26"/>
      <c r="L793" s="55"/>
      <c r="M793" s="26"/>
    </row>
    <row r="794" spans="1:13" ht="75" customHeight="1" thickTop="1" thickBot="1">
      <c r="A794" s="26"/>
      <c r="B794" s="55"/>
      <c r="C794" s="56" t="str">
        <f ca="1">IFERROR(__xludf.DUMMYFUNCTION("""COMPUTED_VALUE"""),"الحر")</f>
        <v>الحر</v>
      </c>
      <c r="D794" s="56"/>
      <c r="E794" s="26"/>
      <c r="F794" s="26"/>
      <c r="G794" s="26"/>
      <c r="H794" s="26"/>
      <c r="I794" s="26"/>
      <c r="J794" s="26"/>
      <c r="K794" s="26"/>
      <c r="L794" s="55"/>
      <c r="M794" s="26"/>
    </row>
    <row r="795" spans="1:13" ht="75" customHeight="1" thickTop="1" thickBot="1">
      <c r="A795" s="34"/>
      <c r="B795" s="55"/>
      <c r="C795" s="56" t="str">
        <f ca="1">IFERROR(__xludf.DUMMYFUNCTION("""COMPUTED_VALUE"""),"الحر")</f>
        <v>الحر</v>
      </c>
      <c r="D795" s="56"/>
      <c r="E795" s="26"/>
      <c r="F795" s="26"/>
      <c r="G795" s="26"/>
      <c r="H795" s="26"/>
      <c r="I795" s="26"/>
      <c r="J795" s="26"/>
      <c r="K795" s="26"/>
      <c r="L795" s="55"/>
      <c r="M795" s="26"/>
    </row>
    <row r="796" spans="1:13" ht="75" customHeight="1" thickTop="1" thickBot="1">
      <c r="A796" s="26"/>
      <c r="B796" s="55"/>
      <c r="C796" s="56" t="str">
        <f ca="1">IFERROR(__xludf.DUMMYFUNCTION("""COMPUTED_VALUE"""),"الحر")</f>
        <v>الحر</v>
      </c>
      <c r="D796" s="56"/>
      <c r="E796" s="26"/>
      <c r="F796" s="26"/>
      <c r="G796" s="26"/>
      <c r="H796" s="26"/>
      <c r="I796" s="26"/>
      <c r="J796" s="26"/>
      <c r="K796" s="26"/>
      <c r="L796" s="55"/>
      <c r="M796" s="26"/>
    </row>
    <row r="797" spans="1:13" ht="75" customHeight="1" thickTop="1" thickBot="1">
      <c r="A797" s="34"/>
      <c r="B797" s="55"/>
      <c r="C797" s="56" t="str">
        <f ca="1">IFERROR(__xludf.DUMMYFUNCTION("""COMPUTED_VALUE"""),"الحر")</f>
        <v>الحر</v>
      </c>
      <c r="D797" s="56"/>
      <c r="E797" s="26"/>
      <c r="F797" s="26"/>
      <c r="G797" s="26"/>
      <c r="H797" s="26"/>
      <c r="I797" s="26"/>
      <c r="J797" s="26"/>
      <c r="K797" s="26"/>
      <c r="L797" s="55"/>
      <c r="M797" s="26"/>
    </row>
    <row r="798" spans="1:13" ht="75" customHeight="1" thickTop="1" thickBot="1">
      <c r="A798" s="26"/>
      <c r="B798" s="55"/>
      <c r="C798" s="56" t="str">
        <f ca="1">IFERROR(__xludf.DUMMYFUNCTION("""COMPUTED_VALUE"""),"الحر")</f>
        <v>الحر</v>
      </c>
      <c r="D798" s="56"/>
      <c r="E798" s="26"/>
      <c r="F798" s="26"/>
      <c r="G798" s="26"/>
      <c r="H798" s="26"/>
      <c r="I798" s="26"/>
      <c r="J798" s="26"/>
      <c r="K798" s="26"/>
      <c r="L798" s="55"/>
      <c r="M798" s="26"/>
    </row>
    <row r="799" spans="1:13" ht="75" customHeight="1" thickTop="1" thickBot="1">
      <c r="A799" s="34"/>
      <c r="B799" s="55"/>
      <c r="C799" s="56" t="str">
        <f ca="1">IFERROR(__xludf.DUMMYFUNCTION("""COMPUTED_VALUE"""),"الحر")</f>
        <v>الحر</v>
      </c>
      <c r="D799" s="56"/>
      <c r="E799" s="26"/>
      <c r="F799" s="26"/>
      <c r="G799" s="26"/>
      <c r="H799" s="26"/>
      <c r="I799" s="26"/>
      <c r="J799" s="26"/>
      <c r="K799" s="26"/>
      <c r="L799" s="55"/>
      <c r="M799" s="26"/>
    </row>
    <row r="800" spans="1:13" ht="75" customHeight="1" thickTop="1" thickBot="1">
      <c r="A800" s="26"/>
      <c r="B800" s="55"/>
      <c r="C800" s="56" t="str">
        <f ca="1">IFERROR(__xludf.DUMMYFUNCTION("""COMPUTED_VALUE"""),"الحر")</f>
        <v>الحر</v>
      </c>
      <c r="D800" s="56"/>
      <c r="E800" s="26"/>
      <c r="F800" s="26"/>
      <c r="G800" s="26"/>
      <c r="H800" s="26"/>
      <c r="I800" s="26"/>
      <c r="J800" s="26"/>
      <c r="K800" s="26"/>
      <c r="L800" s="55"/>
      <c r="M800" s="26"/>
    </row>
    <row r="801" spans="1:13" ht="75" customHeight="1" thickTop="1" thickBot="1">
      <c r="A801" s="34"/>
      <c r="B801" s="55"/>
      <c r="C801" s="56" t="str">
        <f ca="1">IFERROR(__xludf.DUMMYFUNCTION("""COMPUTED_VALUE"""),"الحر")</f>
        <v>الحر</v>
      </c>
      <c r="D801" s="56"/>
      <c r="E801" s="26"/>
      <c r="F801" s="26"/>
      <c r="G801" s="26"/>
      <c r="H801" s="26"/>
      <c r="I801" s="26"/>
      <c r="J801" s="26"/>
      <c r="K801" s="26"/>
      <c r="L801" s="55"/>
      <c r="M801" s="26"/>
    </row>
    <row r="802" spans="1:13" ht="75" customHeight="1" thickTop="1" thickBot="1">
      <c r="A802" s="26"/>
      <c r="B802" s="55"/>
      <c r="C802" s="56" t="str">
        <f ca="1">IFERROR(__xludf.DUMMYFUNCTION("""COMPUTED_VALUE"""),"الحر")</f>
        <v>الحر</v>
      </c>
      <c r="D802" s="56"/>
      <c r="E802" s="26"/>
      <c r="F802" s="26"/>
      <c r="G802" s="26"/>
      <c r="H802" s="26"/>
      <c r="I802" s="26"/>
      <c r="J802" s="26"/>
      <c r="K802" s="26"/>
      <c r="L802" s="55"/>
      <c r="M802" s="26"/>
    </row>
    <row r="803" spans="1:13" ht="75" customHeight="1" thickTop="1" thickBot="1">
      <c r="A803" s="34"/>
      <c r="B803" s="55"/>
      <c r="C803" s="56" t="str">
        <f ca="1">IFERROR(__xludf.DUMMYFUNCTION("""COMPUTED_VALUE"""),"الحر")</f>
        <v>الحر</v>
      </c>
      <c r="D803" s="56"/>
      <c r="E803" s="26"/>
      <c r="F803" s="26"/>
      <c r="G803" s="26"/>
      <c r="H803" s="26"/>
      <c r="I803" s="26"/>
      <c r="J803" s="26"/>
      <c r="K803" s="26"/>
      <c r="L803" s="55"/>
      <c r="M803" s="26"/>
    </row>
    <row r="804" spans="1:13" ht="75" customHeight="1" thickTop="1" thickBot="1">
      <c r="A804" s="26"/>
      <c r="B804" s="55"/>
      <c r="C804" s="56" t="str">
        <f ca="1">IFERROR(__xludf.DUMMYFUNCTION("""COMPUTED_VALUE"""),"الحر")</f>
        <v>الحر</v>
      </c>
      <c r="D804" s="56"/>
      <c r="E804" s="26"/>
      <c r="F804" s="26"/>
      <c r="G804" s="26"/>
      <c r="H804" s="26"/>
      <c r="I804" s="26"/>
      <c r="J804" s="26"/>
      <c r="K804" s="26"/>
      <c r="L804" s="55"/>
      <c r="M804" s="26"/>
    </row>
    <row r="805" spans="1:13" ht="75" customHeight="1" thickTop="1" thickBot="1">
      <c r="A805" s="34"/>
      <c r="B805" s="55"/>
      <c r="C805" s="56" t="str">
        <f ca="1">IFERROR(__xludf.DUMMYFUNCTION("""COMPUTED_VALUE"""),"الحر")</f>
        <v>الحر</v>
      </c>
      <c r="D805" s="56"/>
      <c r="E805" s="26"/>
      <c r="F805" s="26"/>
      <c r="G805" s="26"/>
      <c r="H805" s="26"/>
      <c r="I805" s="26"/>
      <c r="J805" s="26"/>
      <c r="K805" s="26"/>
      <c r="L805" s="55"/>
      <c r="M805" s="26"/>
    </row>
    <row r="806" spans="1:13" ht="75" customHeight="1" thickTop="1" thickBot="1">
      <c r="A806" s="26"/>
      <c r="B806" s="55"/>
      <c r="C806" s="56" t="str">
        <f ca="1">IFERROR(__xludf.DUMMYFUNCTION("""COMPUTED_VALUE"""),"الحر")</f>
        <v>الحر</v>
      </c>
      <c r="D806" s="56"/>
      <c r="E806" s="26"/>
      <c r="F806" s="26"/>
      <c r="G806" s="26"/>
      <c r="H806" s="26"/>
      <c r="I806" s="26"/>
      <c r="J806" s="26"/>
      <c r="K806" s="26"/>
      <c r="L806" s="55"/>
      <c r="M806" s="26"/>
    </row>
    <row r="807" spans="1:13" ht="75" customHeight="1" thickTop="1" thickBot="1">
      <c r="A807" s="34"/>
      <c r="B807" s="55"/>
      <c r="C807" s="56" t="str">
        <f ca="1">IFERROR(__xludf.DUMMYFUNCTION("""COMPUTED_VALUE"""),"الحر")</f>
        <v>الحر</v>
      </c>
      <c r="D807" s="56"/>
      <c r="E807" s="26"/>
      <c r="F807" s="26"/>
      <c r="G807" s="26"/>
      <c r="H807" s="26"/>
      <c r="I807" s="26"/>
      <c r="J807" s="26"/>
      <c r="K807" s="26"/>
      <c r="L807" s="55"/>
      <c r="M807" s="26"/>
    </row>
    <row r="808" spans="1:13" ht="75" customHeight="1" thickTop="1" thickBot="1">
      <c r="A808" s="26"/>
      <c r="B808" s="55"/>
      <c r="C808" s="56" t="str">
        <f ca="1">IFERROR(__xludf.DUMMYFUNCTION("""COMPUTED_VALUE"""),"الحر")</f>
        <v>الحر</v>
      </c>
      <c r="D808" s="56"/>
      <c r="E808" s="26"/>
      <c r="F808" s="26"/>
      <c r="G808" s="26"/>
      <c r="H808" s="26"/>
      <c r="I808" s="26"/>
      <c r="J808" s="26"/>
      <c r="K808" s="26"/>
      <c r="L808" s="55"/>
      <c r="M808" s="26"/>
    </row>
    <row r="809" spans="1:13" ht="75" customHeight="1" thickTop="1" thickBot="1">
      <c r="A809" s="34"/>
      <c r="B809" s="55"/>
      <c r="C809" s="56" t="str">
        <f ca="1">IFERROR(__xludf.DUMMYFUNCTION("""COMPUTED_VALUE"""),"الحر")</f>
        <v>الحر</v>
      </c>
      <c r="D809" s="56"/>
      <c r="E809" s="26"/>
      <c r="F809" s="26"/>
      <c r="G809" s="26"/>
      <c r="H809" s="26"/>
      <c r="I809" s="26"/>
      <c r="J809" s="26"/>
      <c r="K809" s="26"/>
      <c r="L809" s="55"/>
      <c r="M809" s="26"/>
    </row>
    <row r="810" spans="1:13" ht="75" customHeight="1" thickTop="1" thickBot="1">
      <c r="A810" s="26"/>
      <c r="B810" s="55"/>
      <c r="C810" s="56" t="str">
        <f ca="1">IFERROR(__xludf.DUMMYFUNCTION("""COMPUTED_VALUE"""),"الحر")</f>
        <v>الحر</v>
      </c>
      <c r="D810" s="56"/>
      <c r="E810" s="26"/>
      <c r="F810" s="26"/>
      <c r="G810" s="26"/>
      <c r="H810" s="26"/>
      <c r="I810" s="26"/>
      <c r="J810" s="26"/>
      <c r="K810" s="26"/>
      <c r="L810" s="55"/>
      <c r="M810" s="26"/>
    </row>
    <row r="811" spans="1:13" ht="75" customHeight="1" thickTop="1" thickBot="1">
      <c r="A811" s="34"/>
      <c r="B811" s="55"/>
      <c r="C811" s="56" t="str">
        <f ca="1">IFERROR(__xludf.DUMMYFUNCTION("""COMPUTED_VALUE"""),"الحر")</f>
        <v>الحر</v>
      </c>
      <c r="D811" s="56"/>
      <c r="E811" s="26"/>
      <c r="F811" s="26"/>
      <c r="G811" s="26"/>
      <c r="H811" s="26"/>
      <c r="I811" s="26"/>
      <c r="J811" s="26"/>
      <c r="K811" s="26"/>
      <c r="L811" s="55"/>
      <c r="M811" s="26"/>
    </row>
    <row r="812" spans="1:13" ht="75" customHeight="1" thickTop="1" thickBot="1">
      <c r="A812" s="26"/>
      <c r="B812" s="55"/>
      <c r="C812" s="56" t="str">
        <f ca="1">IFERROR(__xludf.DUMMYFUNCTION("""COMPUTED_VALUE"""),"الحر")</f>
        <v>الحر</v>
      </c>
      <c r="D812" s="56"/>
      <c r="E812" s="26"/>
      <c r="F812" s="26"/>
      <c r="G812" s="26"/>
      <c r="H812" s="26"/>
      <c r="I812" s="26"/>
      <c r="J812" s="26"/>
      <c r="K812" s="26"/>
      <c r="L812" s="55"/>
      <c r="M812" s="26"/>
    </row>
    <row r="813" spans="1:13" ht="75" customHeight="1" thickTop="1" thickBot="1">
      <c r="A813" s="34"/>
      <c r="B813" s="55"/>
      <c r="C813" s="56" t="str">
        <f ca="1">IFERROR(__xludf.DUMMYFUNCTION("""COMPUTED_VALUE"""),"الحر")</f>
        <v>الحر</v>
      </c>
      <c r="D813" s="56"/>
      <c r="E813" s="26"/>
      <c r="F813" s="26"/>
      <c r="G813" s="26"/>
      <c r="H813" s="26"/>
      <c r="I813" s="26"/>
      <c r="J813" s="26"/>
      <c r="K813" s="26"/>
      <c r="L813" s="55"/>
      <c r="M813" s="26"/>
    </row>
    <row r="814" spans="1:13" ht="75" customHeight="1" thickTop="1" thickBot="1">
      <c r="A814" s="26"/>
      <c r="B814" s="55"/>
      <c r="C814" s="56" t="str">
        <f ca="1">IFERROR(__xludf.DUMMYFUNCTION("""COMPUTED_VALUE"""),"الحر")</f>
        <v>الحر</v>
      </c>
      <c r="D814" s="56"/>
      <c r="E814" s="26"/>
      <c r="F814" s="26"/>
      <c r="G814" s="26"/>
      <c r="H814" s="26"/>
      <c r="I814" s="26"/>
      <c r="J814" s="26"/>
      <c r="K814" s="26"/>
      <c r="L814" s="55"/>
      <c r="M814" s="26"/>
    </row>
    <row r="815" spans="1:13" ht="75" customHeight="1" thickTop="1" thickBot="1">
      <c r="A815" s="34"/>
      <c r="B815" s="55"/>
      <c r="C815" s="56" t="str">
        <f ca="1">IFERROR(__xludf.DUMMYFUNCTION("""COMPUTED_VALUE"""),"الحر")</f>
        <v>الحر</v>
      </c>
      <c r="D815" s="56"/>
      <c r="E815" s="26"/>
      <c r="F815" s="26"/>
      <c r="G815" s="26"/>
      <c r="H815" s="26"/>
      <c r="I815" s="26"/>
      <c r="J815" s="26"/>
      <c r="K815" s="26"/>
      <c r="L815" s="55"/>
      <c r="M815" s="26"/>
    </row>
    <row r="816" spans="1:13" ht="75" customHeight="1" thickTop="1" thickBot="1">
      <c r="A816" s="26"/>
      <c r="B816" s="55"/>
      <c r="C816" s="56" t="str">
        <f ca="1">IFERROR(__xludf.DUMMYFUNCTION("""COMPUTED_VALUE"""),"الحر")</f>
        <v>الحر</v>
      </c>
      <c r="D816" s="56"/>
      <c r="E816" s="26"/>
      <c r="F816" s="26"/>
      <c r="G816" s="26"/>
      <c r="H816" s="26"/>
      <c r="I816" s="26"/>
      <c r="J816" s="26"/>
      <c r="K816" s="26"/>
      <c r="L816" s="55"/>
      <c r="M816" s="26"/>
    </row>
    <row r="817" spans="1:13" ht="75" customHeight="1" thickTop="1" thickBot="1">
      <c r="A817" s="34"/>
      <c r="B817" s="55"/>
      <c r="C817" s="56" t="str">
        <f ca="1">IFERROR(__xludf.DUMMYFUNCTION("""COMPUTED_VALUE"""),"الحر")</f>
        <v>الحر</v>
      </c>
      <c r="D817" s="56"/>
      <c r="E817" s="26"/>
      <c r="F817" s="26"/>
      <c r="G817" s="26"/>
      <c r="H817" s="26"/>
      <c r="I817" s="26"/>
      <c r="J817" s="26"/>
      <c r="K817" s="26"/>
      <c r="L817" s="55"/>
      <c r="M817" s="26"/>
    </row>
    <row r="818" spans="1:13" ht="75" customHeight="1" thickTop="1" thickBot="1">
      <c r="A818" s="26"/>
      <c r="B818" s="55"/>
      <c r="C818" s="56" t="str">
        <f ca="1">IFERROR(__xludf.DUMMYFUNCTION("""COMPUTED_VALUE"""),"الحر")</f>
        <v>الحر</v>
      </c>
      <c r="D818" s="56"/>
      <c r="E818" s="26"/>
      <c r="F818" s="26"/>
      <c r="G818" s="26"/>
      <c r="H818" s="26"/>
      <c r="I818" s="26"/>
      <c r="J818" s="26"/>
      <c r="K818" s="26"/>
      <c r="L818" s="55"/>
      <c r="M818" s="26"/>
    </row>
    <row r="819" spans="1:13" ht="75" customHeight="1" thickTop="1" thickBot="1">
      <c r="A819" s="34"/>
      <c r="B819" s="55"/>
      <c r="C819" s="56" t="str">
        <f ca="1">IFERROR(__xludf.DUMMYFUNCTION("""COMPUTED_VALUE"""),"الحر")</f>
        <v>الحر</v>
      </c>
      <c r="D819" s="56"/>
      <c r="E819" s="26"/>
      <c r="F819" s="26"/>
      <c r="G819" s="26"/>
      <c r="H819" s="26"/>
      <c r="I819" s="26"/>
      <c r="J819" s="26"/>
      <c r="K819" s="26"/>
      <c r="L819" s="55"/>
      <c r="M819" s="26"/>
    </row>
    <row r="820" spans="1:13" ht="75" customHeight="1" thickTop="1" thickBot="1">
      <c r="A820" s="26"/>
      <c r="B820" s="55"/>
      <c r="C820" s="56" t="str">
        <f ca="1">IFERROR(__xludf.DUMMYFUNCTION("""COMPUTED_VALUE"""),"الحر")</f>
        <v>الحر</v>
      </c>
      <c r="D820" s="56"/>
      <c r="E820" s="26"/>
      <c r="F820" s="26"/>
      <c r="G820" s="26"/>
      <c r="H820" s="26"/>
      <c r="I820" s="26"/>
      <c r="J820" s="26"/>
      <c r="K820" s="26"/>
      <c r="L820" s="55"/>
      <c r="M820" s="26"/>
    </row>
    <row r="821" spans="1:13" ht="75" customHeight="1" thickTop="1" thickBot="1">
      <c r="A821" s="34"/>
      <c r="B821" s="55"/>
      <c r="C821" s="56" t="str">
        <f ca="1">IFERROR(__xludf.DUMMYFUNCTION("""COMPUTED_VALUE"""),"الحر")</f>
        <v>الحر</v>
      </c>
      <c r="D821" s="56"/>
      <c r="E821" s="26"/>
      <c r="F821" s="26"/>
      <c r="G821" s="26"/>
      <c r="H821" s="26"/>
      <c r="I821" s="26"/>
      <c r="J821" s="26"/>
      <c r="K821" s="26"/>
      <c r="L821" s="55"/>
      <c r="M821" s="26"/>
    </row>
    <row r="822" spans="1:13" ht="75" customHeight="1" thickTop="1" thickBot="1">
      <c r="A822" s="26"/>
      <c r="B822" s="55"/>
      <c r="C822" s="56" t="str">
        <f ca="1">IFERROR(__xludf.DUMMYFUNCTION("""COMPUTED_VALUE"""),"الحر")</f>
        <v>الحر</v>
      </c>
      <c r="D822" s="56"/>
      <c r="E822" s="26"/>
      <c r="F822" s="26"/>
      <c r="G822" s="26"/>
      <c r="H822" s="26"/>
      <c r="I822" s="26"/>
      <c r="J822" s="26"/>
      <c r="K822" s="26"/>
      <c r="L822" s="55"/>
      <c r="M822" s="26"/>
    </row>
    <row r="823" spans="1:13" ht="75" customHeight="1" thickTop="1" thickBot="1">
      <c r="A823" s="34"/>
      <c r="B823" s="55"/>
      <c r="C823" s="56" t="str">
        <f ca="1">IFERROR(__xludf.DUMMYFUNCTION("""COMPUTED_VALUE"""),"الحر")</f>
        <v>الحر</v>
      </c>
      <c r="D823" s="56"/>
      <c r="E823" s="26"/>
      <c r="F823" s="26"/>
      <c r="G823" s="26"/>
      <c r="H823" s="26"/>
      <c r="I823" s="26"/>
      <c r="J823" s="26"/>
      <c r="K823" s="26"/>
      <c r="L823" s="55"/>
      <c r="M823" s="26"/>
    </row>
    <row r="824" spans="1:13" ht="75" customHeight="1" thickTop="1" thickBot="1">
      <c r="A824" s="26"/>
      <c r="B824" s="55"/>
      <c r="C824" s="56" t="str">
        <f ca="1">IFERROR(__xludf.DUMMYFUNCTION("""COMPUTED_VALUE"""),"الحر")</f>
        <v>الحر</v>
      </c>
      <c r="D824" s="56"/>
      <c r="E824" s="26"/>
      <c r="F824" s="26"/>
      <c r="G824" s="26"/>
      <c r="H824" s="26"/>
      <c r="I824" s="26"/>
      <c r="J824" s="26"/>
      <c r="K824" s="26"/>
      <c r="L824" s="55"/>
      <c r="M824" s="26"/>
    </row>
    <row r="825" spans="1:13" ht="75" customHeight="1" thickTop="1" thickBot="1">
      <c r="A825" s="34"/>
      <c r="B825" s="55"/>
      <c r="C825" s="56" t="str">
        <f ca="1">IFERROR(__xludf.DUMMYFUNCTION("""COMPUTED_VALUE"""),"الحر")</f>
        <v>الحر</v>
      </c>
      <c r="D825" s="56"/>
      <c r="E825" s="26"/>
      <c r="F825" s="26"/>
      <c r="G825" s="26"/>
      <c r="H825" s="26"/>
      <c r="I825" s="26"/>
      <c r="J825" s="26"/>
      <c r="K825" s="26"/>
      <c r="L825" s="55"/>
      <c r="M825" s="26"/>
    </row>
    <row r="826" spans="1:13" ht="75" customHeight="1" thickTop="1" thickBot="1">
      <c r="A826" s="26"/>
      <c r="B826" s="55"/>
      <c r="C826" s="56" t="str">
        <f ca="1">IFERROR(__xludf.DUMMYFUNCTION("""COMPUTED_VALUE"""),"الحر")</f>
        <v>الحر</v>
      </c>
      <c r="D826" s="56"/>
      <c r="E826" s="26"/>
      <c r="F826" s="26"/>
      <c r="G826" s="26"/>
      <c r="H826" s="26"/>
      <c r="I826" s="26"/>
      <c r="J826" s="26"/>
      <c r="K826" s="26"/>
      <c r="L826" s="55"/>
      <c r="M826" s="26"/>
    </row>
    <row r="827" spans="1:13" ht="75" customHeight="1" thickTop="1" thickBot="1">
      <c r="A827" s="34"/>
      <c r="B827" s="55"/>
      <c r="C827" s="56" t="str">
        <f ca="1">IFERROR(__xludf.DUMMYFUNCTION("""COMPUTED_VALUE"""),"الحر")</f>
        <v>الحر</v>
      </c>
      <c r="D827" s="56"/>
      <c r="E827" s="26"/>
      <c r="F827" s="26"/>
      <c r="G827" s="26"/>
      <c r="H827" s="26"/>
      <c r="I827" s="26"/>
      <c r="J827" s="26"/>
      <c r="K827" s="26"/>
      <c r="L827" s="55"/>
      <c r="M827" s="26"/>
    </row>
    <row r="828" spans="1:13" ht="75" customHeight="1" thickTop="1" thickBot="1">
      <c r="A828" s="26"/>
      <c r="B828" s="55"/>
      <c r="C828" s="56" t="str">
        <f ca="1">IFERROR(__xludf.DUMMYFUNCTION("""COMPUTED_VALUE"""),"الحر")</f>
        <v>الحر</v>
      </c>
      <c r="D828" s="56"/>
      <c r="E828" s="26"/>
      <c r="F828" s="26"/>
      <c r="G828" s="26"/>
      <c r="H828" s="26"/>
      <c r="I828" s="26"/>
      <c r="J828" s="26"/>
      <c r="K828" s="26"/>
      <c r="L828" s="55"/>
      <c r="M828" s="26"/>
    </row>
    <row r="829" spans="1:13" ht="75" customHeight="1" thickTop="1" thickBot="1">
      <c r="A829" s="34"/>
      <c r="B829" s="55"/>
      <c r="C829" s="56" t="str">
        <f ca="1">IFERROR(__xludf.DUMMYFUNCTION("""COMPUTED_VALUE"""),"الحر")</f>
        <v>الحر</v>
      </c>
      <c r="D829" s="56"/>
      <c r="E829" s="26"/>
      <c r="F829" s="26"/>
      <c r="G829" s="26"/>
      <c r="H829" s="26"/>
      <c r="I829" s="26"/>
      <c r="J829" s="26"/>
      <c r="K829" s="26"/>
      <c r="L829" s="55"/>
      <c r="M829" s="26"/>
    </row>
    <row r="830" spans="1:13" ht="75" customHeight="1" thickTop="1" thickBot="1">
      <c r="A830" s="26"/>
      <c r="B830" s="55"/>
      <c r="C830" s="56" t="str">
        <f ca="1">IFERROR(__xludf.DUMMYFUNCTION("""COMPUTED_VALUE"""),"الحر")</f>
        <v>الحر</v>
      </c>
      <c r="D830" s="56"/>
      <c r="E830" s="26"/>
      <c r="F830" s="26"/>
      <c r="G830" s="26"/>
      <c r="H830" s="26"/>
      <c r="I830" s="26"/>
      <c r="J830" s="26"/>
      <c r="K830" s="26"/>
      <c r="L830" s="55"/>
      <c r="M830" s="26"/>
    </row>
    <row r="831" spans="1:13" ht="75" customHeight="1" thickTop="1" thickBot="1">
      <c r="A831" s="34"/>
      <c r="B831" s="55"/>
      <c r="C831" s="56" t="str">
        <f ca="1">IFERROR(__xludf.DUMMYFUNCTION("""COMPUTED_VALUE"""),"الحر")</f>
        <v>الحر</v>
      </c>
      <c r="D831" s="56"/>
      <c r="E831" s="26"/>
      <c r="F831" s="26"/>
      <c r="G831" s="26"/>
      <c r="H831" s="26"/>
      <c r="I831" s="26"/>
      <c r="J831" s="26"/>
      <c r="K831" s="26"/>
      <c r="L831" s="55"/>
      <c r="M831" s="26"/>
    </row>
    <row r="832" spans="1:13" ht="75" customHeight="1" thickTop="1" thickBot="1">
      <c r="A832" s="26"/>
      <c r="B832" s="55"/>
      <c r="C832" s="56" t="str">
        <f ca="1">IFERROR(__xludf.DUMMYFUNCTION("""COMPUTED_VALUE"""),"الحر")</f>
        <v>الحر</v>
      </c>
      <c r="D832" s="56"/>
      <c r="E832" s="26"/>
      <c r="F832" s="26"/>
      <c r="G832" s="26"/>
      <c r="H832" s="26"/>
      <c r="I832" s="26"/>
      <c r="J832" s="26"/>
      <c r="K832" s="26"/>
      <c r="L832" s="55"/>
      <c r="M832" s="26"/>
    </row>
    <row r="833" spans="1:13" ht="75" customHeight="1" thickTop="1" thickBot="1">
      <c r="A833" s="34"/>
      <c r="B833" s="55"/>
      <c r="C833" s="56" t="str">
        <f ca="1">IFERROR(__xludf.DUMMYFUNCTION("""COMPUTED_VALUE"""),"الحر")</f>
        <v>الحر</v>
      </c>
      <c r="D833" s="56"/>
      <c r="E833" s="26"/>
      <c r="F833" s="26"/>
      <c r="G833" s="26"/>
      <c r="H833" s="26"/>
      <c r="I833" s="26"/>
      <c r="J833" s="26"/>
      <c r="K833" s="26"/>
      <c r="L833" s="55"/>
      <c r="M833" s="26"/>
    </row>
    <row r="834" spans="1:13" ht="75" customHeight="1" thickTop="1" thickBot="1">
      <c r="A834" s="26"/>
      <c r="B834" s="55"/>
      <c r="C834" s="56" t="str">
        <f ca="1">IFERROR(__xludf.DUMMYFUNCTION("""COMPUTED_VALUE"""),"الحر")</f>
        <v>الحر</v>
      </c>
      <c r="D834" s="56"/>
      <c r="E834" s="26"/>
      <c r="F834" s="26"/>
      <c r="G834" s="26"/>
      <c r="H834" s="26"/>
      <c r="I834" s="26"/>
      <c r="J834" s="26"/>
      <c r="K834" s="26"/>
      <c r="L834" s="55"/>
      <c r="M834" s="26"/>
    </row>
    <row r="835" spans="1:13" ht="75" customHeight="1" thickTop="1" thickBot="1">
      <c r="A835" s="34"/>
      <c r="B835" s="55"/>
      <c r="C835" s="56" t="str">
        <f ca="1">IFERROR(__xludf.DUMMYFUNCTION("""COMPUTED_VALUE"""),"الحر")</f>
        <v>الحر</v>
      </c>
      <c r="D835" s="56"/>
      <c r="E835" s="26"/>
      <c r="F835" s="26"/>
      <c r="G835" s="26"/>
      <c r="H835" s="26"/>
      <c r="I835" s="26"/>
      <c r="J835" s="26"/>
      <c r="K835" s="26"/>
      <c r="L835" s="55"/>
      <c r="M835" s="26"/>
    </row>
    <row r="836" spans="1:13" ht="75" customHeight="1" thickTop="1" thickBot="1">
      <c r="A836" s="26"/>
      <c r="B836" s="55"/>
      <c r="C836" s="56" t="str">
        <f ca="1">IFERROR(__xludf.DUMMYFUNCTION("""COMPUTED_VALUE"""),"الحر")</f>
        <v>الحر</v>
      </c>
      <c r="D836" s="56"/>
      <c r="E836" s="26"/>
      <c r="F836" s="26"/>
      <c r="G836" s="26"/>
      <c r="H836" s="26"/>
      <c r="I836" s="26"/>
      <c r="J836" s="26"/>
      <c r="K836" s="26"/>
      <c r="L836" s="55"/>
      <c r="M836" s="26"/>
    </row>
    <row r="837" spans="1:13" ht="75" customHeight="1" thickTop="1" thickBot="1">
      <c r="A837" s="34"/>
      <c r="B837" s="55"/>
      <c r="C837" s="56" t="str">
        <f ca="1">IFERROR(__xludf.DUMMYFUNCTION("""COMPUTED_VALUE"""),"الحر")</f>
        <v>الحر</v>
      </c>
      <c r="D837" s="56"/>
      <c r="E837" s="26"/>
      <c r="F837" s="26"/>
      <c r="G837" s="26"/>
      <c r="H837" s="26"/>
      <c r="I837" s="26"/>
      <c r="J837" s="26"/>
      <c r="K837" s="26"/>
      <c r="L837" s="55"/>
      <c r="M837" s="26"/>
    </row>
    <row r="838" spans="1:13" ht="75" customHeight="1" thickTop="1" thickBot="1">
      <c r="A838" s="26"/>
      <c r="B838" s="55"/>
      <c r="C838" s="56" t="str">
        <f ca="1">IFERROR(__xludf.DUMMYFUNCTION("""COMPUTED_VALUE"""),"الحر")</f>
        <v>الحر</v>
      </c>
      <c r="D838" s="56"/>
      <c r="E838" s="26"/>
      <c r="F838" s="26"/>
      <c r="G838" s="26"/>
      <c r="H838" s="26"/>
      <c r="I838" s="26"/>
      <c r="J838" s="26"/>
      <c r="K838" s="26"/>
      <c r="L838" s="55"/>
      <c r="M838" s="26"/>
    </row>
    <row r="839" spans="1:13" ht="75" customHeight="1" thickTop="1" thickBot="1">
      <c r="A839" s="34"/>
      <c r="B839" s="55"/>
      <c r="C839" s="56" t="str">
        <f ca="1">IFERROR(__xludf.DUMMYFUNCTION("""COMPUTED_VALUE"""),"الحر")</f>
        <v>الحر</v>
      </c>
      <c r="D839" s="56"/>
      <c r="E839" s="26"/>
      <c r="F839" s="26"/>
      <c r="G839" s="26"/>
      <c r="H839" s="26"/>
      <c r="I839" s="26"/>
      <c r="J839" s="26"/>
      <c r="K839" s="26"/>
      <c r="L839" s="55"/>
      <c r="M839" s="26"/>
    </row>
    <row r="840" spans="1:13" ht="75" customHeight="1" thickTop="1" thickBot="1">
      <c r="A840" s="26"/>
      <c r="B840" s="55"/>
      <c r="C840" s="56" t="str">
        <f ca="1">IFERROR(__xludf.DUMMYFUNCTION("""COMPUTED_VALUE"""),"الحر")</f>
        <v>الحر</v>
      </c>
      <c r="D840" s="56"/>
      <c r="E840" s="26"/>
      <c r="F840" s="26"/>
      <c r="G840" s="26"/>
      <c r="H840" s="26"/>
      <c r="I840" s="26"/>
      <c r="J840" s="26"/>
      <c r="K840" s="26"/>
      <c r="L840" s="55"/>
      <c r="M840" s="26"/>
    </row>
    <row r="841" spans="1:13" ht="75" customHeight="1" thickTop="1" thickBot="1">
      <c r="A841" s="34"/>
      <c r="B841" s="55"/>
      <c r="C841" s="56" t="str">
        <f ca="1">IFERROR(__xludf.DUMMYFUNCTION("""COMPUTED_VALUE"""),"الحر")</f>
        <v>الحر</v>
      </c>
      <c r="D841" s="56"/>
      <c r="E841" s="26"/>
      <c r="F841" s="26"/>
      <c r="G841" s="26"/>
      <c r="H841" s="26"/>
      <c r="I841" s="26"/>
      <c r="J841" s="26"/>
      <c r="K841" s="26"/>
      <c r="L841" s="55"/>
      <c r="M841" s="26"/>
    </row>
    <row r="842" spans="1:13" ht="75" customHeight="1" thickTop="1" thickBot="1">
      <c r="A842" s="26"/>
      <c r="B842" s="55"/>
      <c r="C842" s="56" t="str">
        <f ca="1">IFERROR(__xludf.DUMMYFUNCTION("""COMPUTED_VALUE"""),"الحر")</f>
        <v>الحر</v>
      </c>
      <c r="D842" s="56"/>
      <c r="E842" s="26"/>
      <c r="F842" s="26"/>
      <c r="G842" s="26"/>
      <c r="H842" s="26"/>
      <c r="I842" s="26"/>
      <c r="J842" s="26"/>
      <c r="K842" s="26"/>
      <c r="L842" s="55"/>
      <c r="M842" s="26"/>
    </row>
    <row r="843" spans="1:13" ht="75" customHeight="1" thickTop="1" thickBot="1">
      <c r="A843" s="34"/>
      <c r="B843" s="55"/>
      <c r="C843" s="56" t="str">
        <f ca="1">IFERROR(__xludf.DUMMYFUNCTION("""COMPUTED_VALUE"""),"الحر")</f>
        <v>الحر</v>
      </c>
      <c r="D843" s="56"/>
      <c r="E843" s="26"/>
      <c r="F843" s="26"/>
      <c r="G843" s="26"/>
      <c r="H843" s="26"/>
      <c r="I843" s="26"/>
      <c r="J843" s="26"/>
      <c r="K843" s="26"/>
      <c r="L843" s="55"/>
      <c r="M843" s="26"/>
    </row>
    <row r="844" spans="1:13" ht="75" customHeight="1" thickTop="1" thickBot="1">
      <c r="A844" s="26"/>
      <c r="B844" s="55"/>
      <c r="C844" s="56" t="str">
        <f ca="1">IFERROR(__xludf.DUMMYFUNCTION("""COMPUTED_VALUE"""),"الحر")</f>
        <v>الحر</v>
      </c>
      <c r="D844" s="56"/>
      <c r="E844" s="26"/>
      <c r="F844" s="26"/>
      <c r="G844" s="26"/>
      <c r="H844" s="26"/>
      <c r="I844" s="26"/>
      <c r="J844" s="26"/>
      <c r="K844" s="26"/>
      <c r="L844" s="55"/>
      <c r="M844" s="26"/>
    </row>
    <row r="845" spans="1:13" ht="75" customHeight="1" thickTop="1" thickBot="1">
      <c r="A845" s="34"/>
      <c r="B845" s="55"/>
      <c r="C845" s="56" t="str">
        <f ca="1">IFERROR(__xludf.DUMMYFUNCTION("""COMPUTED_VALUE"""),"الحر")</f>
        <v>الحر</v>
      </c>
      <c r="D845" s="56"/>
      <c r="E845" s="26"/>
      <c r="F845" s="26"/>
      <c r="G845" s="26"/>
      <c r="H845" s="26"/>
      <c r="I845" s="26"/>
      <c r="J845" s="26"/>
      <c r="K845" s="26"/>
      <c r="L845" s="55"/>
      <c r="M845" s="26"/>
    </row>
    <row r="846" spans="1:13" ht="75" customHeight="1" thickTop="1" thickBot="1">
      <c r="A846" s="26"/>
      <c r="B846" s="55"/>
      <c r="C846" s="56" t="str">
        <f ca="1">IFERROR(__xludf.DUMMYFUNCTION("""COMPUTED_VALUE"""),"الحر")</f>
        <v>الحر</v>
      </c>
      <c r="D846" s="56"/>
      <c r="E846" s="26"/>
      <c r="F846" s="26"/>
      <c r="G846" s="26"/>
      <c r="H846" s="26"/>
      <c r="I846" s="26"/>
      <c r="J846" s="26"/>
      <c r="K846" s="26"/>
      <c r="L846" s="55"/>
      <c r="M846" s="26"/>
    </row>
    <row r="847" spans="1:13" ht="75" customHeight="1" thickTop="1" thickBot="1">
      <c r="A847" s="34"/>
      <c r="B847" s="55"/>
      <c r="C847" s="56" t="str">
        <f ca="1">IFERROR(__xludf.DUMMYFUNCTION("""COMPUTED_VALUE"""),"الحر")</f>
        <v>الحر</v>
      </c>
      <c r="D847" s="56"/>
      <c r="E847" s="26"/>
      <c r="F847" s="26"/>
      <c r="G847" s="26"/>
      <c r="H847" s="26"/>
      <c r="I847" s="26"/>
      <c r="J847" s="26"/>
      <c r="K847" s="26"/>
      <c r="L847" s="55"/>
      <c r="M847" s="26"/>
    </row>
    <row r="848" spans="1:13" ht="75" customHeight="1" thickTop="1" thickBot="1">
      <c r="A848" s="26"/>
      <c r="B848" s="55"/>
      <c r="C848" s="56" t="str">
        <f ca="1">IFERROR(__xludf.DUMMYFUNCTION("""COMPUTED_VALUE"""),"الحر")</f>
        <v>الحر</v>
      </c>
      <c r="D848" s="56"/>
      <c r="E848" s="26"/>
      <c r="F848" s="26"/>
      <c r="G848" s="26"/>
      <c r="H848" s="26"/>
      <c r="I848" s="26"/>
      <c r="J848" s="26"/>
      <c r="K848" s="26"/>
      <c r="L848" s="55"/>
      <c r="M848" s="26"/>
    </row>
    <row r="849" spans="1:13" ht="75" customHeight="1" thickTop="1" thickBot="1">
      <c r="A849" s="34"/>
      <c r="B849" s="55"/>
      <c r="C849" s="56" t="str">
        <f ca="1">IFERROR(__xludf.DUMMYFUNCTION("""COMPUTED_VALUE"""),"الحر")</f>
        <v>الحر</v>
      </c>
      <c r="D849" s="56"/>
      <c r="E849" s="26"/>
      <c r="F849" s="26"/>
      <c r="G849" s="26"/>
      <c r="H849" s="26"/>
      <c r="I849" s="26"/>
      <c r="J849" s="26"/>
      <c r="K849" s="26"/>
      <c r="L849" s="55"/>
      <c r="M849" s="26"/>
    </row>
    <row r="850" spans="1:13" ht="75" customHeight="1" thickTop="1" thickBot="1">
      <c r="A850" s="26"/>
      <c r="B850" s="55"/>
      <c r="C850" s="56" t="str">
        <f ca="1">IFERROR(__xludf.DUMMYFUNCTION("""COMPUTED_VALUE"""),"الحر")</f>
        <v>الحر</v>
      </c>
      <c r="D850" s="56"/>
      <c r="E850" s="26"/>
      <c r="F850" s="26"/>
      <c r="G850" s="26"/>
      <c r="H850" s="26"/>
      <c r="I850" s="26"/>
      <c r="J850" s="26"/>
      <c r="K850" s="26"/>
      <c r="L850" s="55"/>
      <c r="M850" s="26"/>
    </row>
    <row r="851" spans="1:13" ht="75" customHeight="1" thickTop="1" thickBot="1">
      <c r="A851" s="34"/>
      <c r="B851" s="55"/>
      <c r="C851" s="56" t="str">
        <f ca="1">IFERROR(__xludf.DUMMYFUNCTION("""COMPUTED_VALUE"""),"الحر")</f>
        <v>الحر</v>
      </c>
      <c r="D851" s="56"/>
      <c r="E851" s="26"/>
      <c r="F851" s="26"/>
      <c r="G851" s="26"/>
      <c r="H851" s="26"/>
      <c r="I851" s="26"/>
      <c r="J851" s="26"/>
      <c r="K851" s="26"/>
      <c r="L851" s="55"/>
      <c r="M851" s="26"/>
    </row>
    <row r="852" spans="1:13" ht="75" customHeight="1" thickTop="1" thickBot="1">
      <c r="A852" s="26"/>
      <c r="B852" s="55"/>
      <c r="C852" s="56" t="str">
        <f ca="1">IFERROR(__xludf.DUMMYFUNCTION("""COMPUTED_VALUE"""),"الحر")</f>
        <v>الحر</v>
      </c>
      <c r="D852" s="56"/>
      <c r="E852" s="26"/>
      <c r="F852" s="26"/>
      <c r="G852" s="26"/>
      <c r="H852" s="26"/>
      <c r="I852" s="26"/>
      <c r="J852" s="26"/>
      <c r="K852" s="26"/>
      <c r="L852" s="55"/>
      <c r="M852" s="26"/>
    </row>
    <row r="853" spans="1:13" ht="75" customHeight="1" thickTop="1" thickBot="1">
      <c r="A853" s="34"/>
      <c r="B853" s="55"/>
      <c r="C853" s="56" t="str">
        <f ca="1">IFERROR(__xludf.DUMMYFUNCTION("""COMPUTED_VALUE"""),"الحر")</f>
        <v>الحر</v>
      </c>
      <c r="D853" s="56"/>
      <c r="E853" s="26"/>
      <c r="F853" s="26"/>
      <c r="G853" s="26"/>
      <c r="H853" s="26"/>
      <c r="I853" s="26"/>
      <c r="J853" s="26"/>
      <c r="K853" s="26"/>
      <c r="L853" s="55"/>
      <c r="M853" s="26"/>
    </row>
    <row r="854" spans="1:13" ht="75" customHeight="1" thickTop="1" thickBot="1">
      <c r="A854" s="26"/>
      <c r="B854" s="55"/>
      <c r="C854" s="56" t="str">
        <f ca="1">IFERROR(__xludf.DUMMYFUNCTION("""COMPUTED_VALUE"""),"الحر")</f>
        <v>الحر</v>
      </c>
      <c r="D854" s="56"/>
      <c r="E854" s="26"/>
      <c r="F854" s="26"/>
      <c r="G854" s="26"/>
      <c r="H854" s="26"/>
      <c r="I854" s="26"/>
      <c r="J854" s="26"/>
      <c r="K854" s="26"/>
      <c r="L854" s="55"/>
      <c r="M854" s="26"/>
    </row>
    <row r="855" spans="1:13" ht="75" customHeight="1" thickTop="1" thickBot="1">
      <c r="A855" s="34"/>
      <c r="B855" s="55"/>
      <c r="C855" s="56" t="str">
        <f ca="1">IFERROR(__xludf.DUMMYFUNCTION("""COMPUTED_VALUE"""),"الحر")</f>
        <v>الحر</v>
      </c>
      <c r="D855" s="56"/>
      <c r="E855" s="26"/>
      <c r="F855" s="26"/>
      <c r="G855" s="26"/>
      <c r="H855" s="26"/>
      <c r="I855" s="26"/>
      <c r="J855" s="26"/>
      <c r="K855" s="26"/>
      <c r="L855" s="55"/>
      <c r="M855" s="26"/>
    </row>
    <row r="856" spans="1:13" ht="75" customHeight="1" thickTop="1" thickBot="1">
      <c r="A856" s="26"/>
      <c r="B856" s="55"/>
      <c r="C856" s="56" t="str">
        <f ca="1">IFERROR(__xludf.DUMMYFUNCTION("""COMPUTED_VALUE"""),"الحر")</f>
        <v>الحر</v>
      </c>
      <c r="D856" s="56"/>
      <c r="E856" s="26"/>
      <c r="F856" s="26"/>
      <c r="G856" s="26"/>
      <c r="H856" s="26"/>
      <c r="I856" s="26"/>
      <c r="J856" s="26"/>
      <c r="K856" s="26"/>
      <c r="L856" s="55"/>
      <c r="M856" s="26"/>
    </row>
    <row r="857" spans="1:13" ht="75" customHeight="1" thickTop="1" thickBot="1">
      <c r="A857" s="34"/>
      <c r="B857" s="55"/>
      <c r="C857" s="56" t="str">
        <f ca="1">IFERROR(__xludf.DUMMYFUNCTION("""COMPUTED_VALUE"""),"الحر")</f>
        <v>الحر</v>
      </c>
      <c r="D857" s="56"/>
      <c r="E857" s="26"/>
      <c r="F857" s="26"/>
      <c r="G857" s="26"/>
      <c r="H857" s="26"/>
      <c r="I857" s="26"/>
      <c r="J857" s="26"/>
      <c r="K857" s="26"/>
      <c r="L857" s="55"/>
      <c r="M857" s="26"/>
    </row>
    <row r="858" spans="1:13" ht="75" customHeight="1" thickTop="1" thickBot="1">
      <c r="A858" s="26"/>
      <c r="B858" s="55"/>
      <c r="C858" s="56" t="str">
        <f ca="1">IFERROR(__xludf.DUMMYFUNCTION("""COMPUTED_VALUE"""),"الحر")</f>
        <v>الحر</v>
      </c>
      <c r="D858" s="56"/>
      <c r="E858" s="26"/>
      <c r="F858" s="26"/>
      <c r="G858" s="26"/>
      <c r="H858" s="26"/>
      <c r="I858" s="26"/>
      <c r="J858" s="26"/>
      <c r="K858" s="26"/>
      <c r="L858" s="55"/>
      <c r="M858" s="26"/>
    </row>
    <row r="859" spans="1:13" ht="75" customHeight="1" thickTop="1" thickBot="1">
      <c r="A859" s="34"/>
      <c r="B859" s="55"/>
      <c r="C859" s="56" t="str">
        <f ca="1">IFERROR(__xludf.DUMMYFUNCTION("""COMPUTED_VALUE"""),"الحر")</f>
        <v>الحر</v>
      </c>
      <c r="D859" s="56"/>
      <c r="E859" s="26"/>
      <c r="F859" s="26"/>
      <c r="G859" s="26"/>
      <c r="H859" s="26"/>
      <c r="I859" s="26"/>
      <c r="J859" s="26"/>
      <c r="K859" s="26"/>
      <c r="L859" s="55"/>
      <c r="M859" s="26"/>
    </row>
    <row r="860" spans="1:13" ht="75" customHeight="1" thickTop="1" thickBot="1">
      <c r="A860" s="26"/>
      <c r="B860" s="55"/>
      <c r="C860" s="56" t="str">
        <f ca="1">IFERROR(__xludf.DUMMYFUNCTION("""COMPUTED_VALUE"""),"الحر")</f>
        <v>الحر</v>
      </c>
      <c r="D860" s="56"/>
      <c r="E860" s="26"/>
      <c r="F860" s="26"/>
      <c r="G860" s="26"/>
      <c r="H860" s="26"/>
      <c r="I860" s="26"/>
      <c r="J860" s="26"/>
      <c r="K860" s="26"/>
      <c r="L860" s="55"/>
      <c r="M860" s="26"/>
    </row>
    <row r="861" spans="1:13" ht="75" customHeight="1" thickTop="1" thickBot="1">
      <c r="A861" s="34"/>
      <c r="B861" s="55"/>
      <c r="C861" s="56" t="str">
        <f ca="1">IFERROR(__xludf.DUMMYFUNCTION("""COMPUTED_VALUE"""),"الحر")</f>
        <v>الحر</v>
      </c>
      <c r="D861" s="56"/>
      <c r="E861" s="26"/>
      <c r="F861" s="26"/>
      <c r="G861" s="26"/>
      <c r="H861" s="26"/>
      <c r="I861" s="26"/>
      <c r="J861" s="26"/>
      <c r="K861" s="26"/>
      <c r="L861" s="55"/>
      <c r="M861" s="26"/>
    </row>
    <row r="862" spans="1:13" ht="75" customHeight="1" thickTop="1" thickBot="1">
      <c r="A862" s="26"/>
      <c r="B862" s="55"/>
      <c r="C862" s="56" t="str">
        <f ca="1">IFERROR(__xludf.DUMMYFUNCTION("""COMPUTED_VALUE"""),"الحر")</f>
        <v>الحر</v>
      </c>
      <c r="D862" s="56"/>
      <c r="E862" s="26"/>
      <c r="F862" s="26"/>
      <c r="G862" s="26"/>
      <c r="H862" s="26"/>
      <c r="I862" s="26"/>
      <c r="J862" s="26"/>
      <c r="K862" s="26"/>
      <c r="L862" s="55"/>
      <c r="M862" s="26"/>
    </row>
    <row r="863" spans="1:13" ht="75" customHeight="1" thickTop="1" thickBot="1">
      <c r="A863" s="34"/>
      <c r="B863" s="55"/>
      <c r="C863" s="56" t="str">
        <f ca="1">IFERROR(__xludf.DUMMYFUNCTION("""COMPUTED_VALUE"""),"الحر")</f>
        <v>الحر</v>
      </c>
      <c r="D863" s="56"/>
      <c r="E863" s="26"/>
      <c r="F863" s="26"/>
      <c r="G863" s="26"/>
      <c r="H863" s="26"/>
      <c r="I863" s="26"/>
      <c r="J863" s="26"/>
      <c r="K863" s="26"/>
      <c r="L863" s="55"/>
      <c r="M863" s="26"/>
    </row>
    <row r="864" spans="1:13" ht="75" customHeight="1" thickTop="1" thickBot="1">
      <c r="A864" s="26"/>
      <c r="B864" s="55"/>
      <c r="C864" s="56" t="str">
        <f ca="1">IFERROR(__xludf.DUMMYFUNCTION("""COMPUTED_VALUE"""),"الحر")</f>
        <v>الحر</v>
      </c>
      <c r="D864" s="56"/>
      <c r="E864" s="26"/>
      <c r="F864" s="26"/>
      <c r="G864" s="26"/>
      <c r="H864" s="26"/>
      <c r="I864" s="26"/>
      <c r="J864" s="26"/>
      <c r="K864" s="26"/>
      <c r="L864" s="55"/>
      <c r="M864" s="26"/>
    </row>
    <row r="865" spans="1:13" ht="75" customHeight="1" thickTop="1" thickBot="1">
      <c r="A865" s="34"/>
      <c r="B865" s="55"/>
      <c r="C865" s="56" t="str">
        <f ca="1">IFERROR(__xludf.DUMMYFUNCTION("""COMPUTED_VALUE"""),"الحر")</f>
        <v>الحر</v>
      </c>
      <c r="D865" s="56"/>
      <c r="E865" s="26"/>
      <c r="F865" s="26"/>
      <c r="G865" s="26"/>
      <c r="H865" s="26"/>
      <c r="I865" s="26"/>
      <c r="J865" s="26"/>
      <c r="K865" s="26"/>
      <c r="L865" s="55"/>
      <c r="M865" s="26"/>
    </row>
    <row r="866" spans="1:13" ht="75" customHeight="1" thickTop="1" thickBot="1">
      <c r="A866" s="26"/>
      <c r="B866" s="55"/>
      <c r="C866" s="56" t="str">
        <f ca="1">IFERROR(__xludf.DUMMYFUNCTION("""COMPUTED_VALUE"""),"الحر")</f>
        <v>الحر</v>
      </c>
      <c r="D866" s="56"/>
      <c r="E866" s="26"/>
      <c r="F866" s="26"/>
      <c r="G866" s="26"/>
      <c r="H866" s="26"/>
      <c r="I866" s="26"/>
      <c r="J866" s="26"/>
      <c r="K866" s="26"/>
      <c r="L866" s="55"/>
      <c r="M866" s="26"/>
    </row>
    <row r="867" spans="1:13" ht="75" customHeight="1" thickTop="1" thickBot="1">
      <c r="A867" s="34"/>
      <c r="B867" s="55"/>
      <c r="C867" s="56" t="str">
        <f ca="1">IFERROR(__xludf.DUMMYFUNCTION("""COMPUTED_VALUE"""),"الحر")</f>
        <v>الحر</v>
      </c>
      <c r="D867" s="56"/>
      <c r="E867" s="26"/>
      <c r="F867" s="26"/>
      <c r="G867" s="26"/>
      <c r="H867" s="26"/>
      <c r="I867" s="26"/>
      <c r="J867" s="26"/>
      <c r="K867" s="26"/>
      <c r="L867" s="55"/>
      <c r="M867" s="26"/>
    </row>
    <row r="868" spans="1:13" ht="75" customHeight="1" thickTop="1" thickBot="1">
      <c r="A868" s="26"/>
      <c r="B868" s="55"/>
      <c r="C868" s="56" t="str">
        <f ca="1">IFERROR(__xludf.DUMMYFUNCTION("""COMPUTED_VALUE"""),"الحر")</f>
        <v>الحر</v>
      </c>
      <c r="D868" s="56"/>
      <c r="E868" s="26"/>
      <c r="F868" s="26"/>
      <c r="G868" s="26"/>
      <c r="H868" s="26"/>
      <c r="I868" s="26"/>
      <c r="J868" s="26"/>
      <c r="K868" s="26"/>
      <c r="L868" s="55"/>
      <c r="M868" s="26"/>
    </row>
    <row r="869" spans="1:13" ht="75" customHeight="1" thickTop="1" thickBot="1">
      <c r="A869" s="34"/>
      <c r="B869" s="55"/>
      <c r="C869" s="56" t="str">
        <f ca="1">IFERROR(__xludf.DUMMYFUNCTION("""COMPUTED_VALUE"""),"الحر")</f>
        <v>الحر</v>
      </c>
      <c r="D869" s="56"/>
      <c r="E869" s="26"/>
      <c r="F869" s="26"/>
      <c r="G869" s="26"/>
      <c r="H869" s="26"/>
      <c r="I869" s="26"/>
      <c r="J869" s="26"/>
      <c r="K869" s="26"/>
      <c r="L869" s="55"/>
      <c r="M869" s="26"/>
    </row>
    <row r="870" spans="1:13" ht="75" customHeight="1" thickTop="1" thickBot="1">
      <c r="A870" s="26"/>
      <c r="B870" s="55"/>
      <c r="C870" s="56" t="str">
        <f ca="1">IFERROR(__xludf.DUMMYFUNCTION("""COMPUTED_VALUE"""),"الحر")</f>
        <v>الحر</v>
      </c>
      <c r="D870" s="56"/>
      <c r="E870" s="26"/>
      <c r="F870" s="26"/>
      <c r="G870" s="26"/>
      <c r="H870" s="26"/>
      <c r="I870" s="26"/>
      <c r="J870" s="26"/>
      <c r="K870" s="26"/>
      <c r="L870" s="55"/>
      <c r="M870" s="26"/>
    </row>
    <row r="871" spans="1:13" ht="75" customHeight="1" thickTop="1" thickBot="1">
      <c r="A871" s="34"/>
      <c r="B871" s="55"/>
      <c r="C871" s="56" t="str">
        <f ca="1">IFERROR(__xludf.DUMMYFUNCTION("""COMPUTED_VALUE"""),"الحر")</f>
        <v>الحر</v>
      </c>
      <c r="D871" s="56"/>
      <c r="E871" s="26"/>
      <c r="F871" s="26"/>
      <c r="G871" s="26"/>
      <c r="H871" s="26"/>
      <c r="I871" s="26"/>
      <c r="J871" s="26"/>
      <c r="K871" s="26"/>
      <c r="L871" s="55"/>
      <c r="M871" s="26"/>
    </row>
    <row r="872" spans="1:13" ht="75" customHeight="1" thickTop="1" thickBot="1">
      <c r="A872" s="26"/>
      <c r="B872" s="55"/>
      <c r="C872" s="56" t="str">
        <f ca="1">IFERROR(__xludf.DUMMYFUNCTION("""COMPUTED_VALUE"""),"الحر")</f>
        <v>الحر</v>
      </c>
      <c r="D872" s="56"/>
      <c r="E872" s="26"/>
      <c r="F872" s="26"/>
      <c r="G872" s="26"/>
      <c r="H872" s="26"/>
      <c r="I872" s="26"/>
      <c r="J872" s="26"/>
      <c r="K872" s="26"/>
      <c r="L872" s="55"/>
      <c r="M872" s="26"/>
    </row>
    <row r="873" spans="1:13" ht="75" customHeight="1" thickTop="1" thickBot="1">
      <c r="A873" s="34"/>
      <c r="B873" s="55"/>
      <c r="C873" s="56" t="str">
        <f ca="1">IFERROR(__xludf.DUMMYFUNCTION("""COMPUTED_VALUE"""),"الحر")</f>
        <v>الحر</v>
      </c>
      <c r="D873" s="56"/>
      <c r="E873" s="26"/>
      <c r="F873" s="26"/>
      <c r="G873" s="26"/>
      <c r="H873" s="26"/>
      <c r="I873" s="26"/>
      <c r="J873" s="26"/>
      <c r="K873" s="26"/>
      <c r="L873" s="55"/>
      <c r="M873" s="26"/>
    </row>
    <row r="874" spans="1:13" ht="75" customHeight="1" thickTop="1" thickBot="1">
      <c r="A874" s="26"/>
      <c r="B874" s="55"/>
      <c r="C874" s="56" t="str">
        <f ca="1">IFERROR(__xludf.DUMMYFUNCTION("""COMPUTED_VALUE"""),"الحر")</f>
        <v>الحر</v>
      </c>
      <c r="D874" s="56"/>
      <c r="E874" s="26"/>
      <c r="F874" s="26"/>
      <c r="G874" s="26"/>
      <c r="H874" s="26"/>
      <c r="I874" s="26"/>
      <c r="J874" s="26"/>
      <c r="K874" s="26"/>
      <c r="L874" s="55"/>
      <c r="M874" s="26"/>
    </row>
    <row r="875" spans="1:13" ht="75" customHeight="1" thickTop="1" thickBot="1">
      <c r="A875" s="34"/>
      <c r="B875" s="55"/>
      <c r="C875" s="56" t="str">
        <f ca="1">IFERROR(__xludf.DUMMYFUNCTION("""COMPUTED_VALUE"""),"الحر")</f>
        <v>الحر</v>
      </c>
      <c r="D875" s="56"/>
      <c r="E875" s="26"/>
      <c r="F875" s="26"/>
      <c r="G875" s="26"/>
      <c r="H875" s="26"/>
      <c r="I875" s="26"/>
      <c r="J875" s="26"/>
      <c r="K875" s="26"/>
      <c r="L875" s="55"/>
      <c r="M875" s="26"/>
    </row>
    <row r="876" spans="1:13" ht="75" customHeight="1" thickTop="1" thickBot="1">
      <c r="A876" s="26"/>
      <c r="B876" s="55"/>
      <c r="C876" s="56" t="str">
        <f ca="1">IFERROR(__xludf.DUMMYFUNCTION("""COMPUTED_VALUE"""),"الحر")</f>
        <v>الحر</v>
      </c>
      <c r="D876" s="56"/>
      <c r="E876" s="26"/>
      <c r="F876" s="26"/>
      <c r="G876" s="26"/>
      <c r="H876" s="26"/>
      <c r="I876" s="26"/>
      <c r="J876" s="26"/>
      <c r="K876" s="26"/>
      <c r="L876" s="55"/>
      <c r="M876" s="26"/>
    </row>
    <row r="877" spans="1:13" ht="75" customHeight="1" thickTop="1" thickBot="1">
      <c r="A877" s="34"/>
      <c r="B877" s="55"/>
      <c r="C877" s="56" t="str">
        <f ca="1">IFERROR(__xludf.DUMMYFUNCTION("""COMPUTED_VALUE"""),"الحر")</f>
        <v>الحر</v>
      </c>
      <c r="D877" s="56"/>
      <c r="E877" s="26"/>
      <c r="F877" s="26"/>
      <c r="G877" s="26"/>
      <c r="H877" s="26"/>
      <c r="I877" s="26"/>
      <c r="J877" s="26"/>
      <c r="K877" s="26"/>
      <c r="L877" s="55"/>
      <c r="M877" s="26"/>
    </row>
    <row r="878" spans="1:13" ht="75" customHeight="1" thickTop="1" thickBot="1">
      <c r="A878" s="26"/>
      <c r="B878" s="55"/>
      <c r="C878" s="56" t="str">
        <f ca="1">IFERROR(__xludf.DUMMYFUNCTION("""COMPUTED_VALUE"""),"الحر")</f>
        <v>الحر</v>
      </c>
      <c r="D878" s="56"/>
      <c r="E878" s="26"/>
      <c r="F878" s="26"/>
      <c r="G878" s="26"/>
      <c r="H878" s="26"/>
      <c r="I878" s="26"/>
      <c r="J878" s="26"/>
      <c r="K878" s="26"/>
      <c r="L878" s="55"/>
      <c r="M878" s="26"/>
    </row>
    <row r="879" spans="1:13" ht="75" customHeight="1" thickTop="1" thickBot="1">
      <c r="A879" s="34"/>
      <c r="B879" s="55"/>
      <c r="C879" s="56" t="str">
        <f ca="1">IFERROR(__xludf.DUMMYFUNCTION("""COMPUTED_VALUE"""),"الحر")</f>
        <v>الحر</v>
      </c>
      <c r="D879" s="56"/>
      <c r="E879" s="26"/>
      <c r="F879" s="26"/>
      <c r="G879" s="26"/>
      <c r="H879" s="26"/>
      <c r="I879" s="26"/>
      <c r="J879" s="26"/>
      <c r="K879" s="26"/>
      <c r="L879" s="55"/>
      <c r="M879" s="26"/>
    </row>
    <row r="880" spans="1:13" ht="75" customHeight="1" thickTop="1" thickBot="1">
      <c r="A880" s="26"/>
      <c r="B880" s="55"/>
      <c r="C880" s="56" t="str">
        <f ca="1">IFERROR(__xludf.DUMMYFUNCTION("""COMPUTED_VALUE"""),"الحر")</f>
        <v>الحر</v>
      </c>
      <c r="D880" s="56"/>
      <c r="E880" s="26"/>
      <c r="F880" s="26"/>
      <c r="G880" s="26"/>
      <c r="H880" s="26"/>
      <c r="I880" s="26"/>
      <c r="J880" s="26"/>
      <c r="K880" s="26"/>
      <c r="L880" s="55"/>
      <c r="M880" s="26"/>
    </row>
    <row r="881" spans="1:13" ht="75" customHeight="1" thickTop="1" thickBot="1">
      <c r="A881" s="34"/>
      <c r="B881" s="55"/>
      <c r="C881" s="56" t="str">
        <f ca="1">IFERROR(__xludf.DUMMYFUNCTION("""COMPUTED_VALUE"""),"الحر")</f>
        <v>الحر</v>
      </c>
      <c r="D881" s="56"/>
      <c r="E881" s="26"/>
      <c r="F881" s="26"/>
      <c r="G881" s="26"/>
      <c r="H881" s="26"/>
      <c r="I881" s="26"/>
      <c r="J881" s="26"/>
      <c r="K881" s="26"/>
      <c r="L881" s="55"/>
      <c r="M881" s="26"/>
    </row>
    <row r="882" spans="1:13" ht="75" customHeight="1" thickTop="1" thickBot="1">
      <c r="A882" s="26"/>
      <c r="B882" s="55"/>
      <c r="C882" s="56" t="str">
        <f ca="1">IFERROR(__xludf.DUMMYFUNCTION("""COMPUTED_VALUE"""),"الحر")</f>
        <v>الحر</v>
      </c>
      <c r="D882" s="56"/>
      <c r="E882" s="26"/>
      <c r="F882" s="26"/>
      <c r="G882" s="26"/>
      <c r="H882" s="26"/>
      <c r="I882" s="26"/>
      <c r="J882" s="26"/>
      <c r="K882" s="26"/>
      <c r="L882" s="55"/>
      <c r="M882" s="26"/>
    </row>
    <row r="883" spans="1:13" ht="75" customHeight="1" thickTop="1" thickBot="1">
      <c r="A883" s="34"/>
      <c r="B883" s="55"/>
      <c r="C883" s="56" t="str">
        <f ca="1">IFERROR(__xludf.DUMMYFUNCTION("""COMPUTED_VALUE"""),"الحر")</f>
        <v>الحر</v>
      </c>
      <c r="D883" s="56"/>
      <c r="E883" s="26"/>
      <c r="F883" s="26"/>
      <c r="G883" s="26"/>
      <c r="H883" s="26"/>
      <c r="I883" s="26"/>
      <c r="J883" s="26"/>
      <c r="K883" s="26"/>
      <c r="L883" s="55"/>
      <c r="M883" s="26"/>
    </row>
    <row r="884" spans="1:13" ht="75" customHeight="1" thickTop="1" thickBot="1">
      <c r="A884" s="26"/>
      <c r="B884" s="55"/>
      <c r="C884" s="56" t="str">
        <f ca="1">IFERROR(__xludf.DUMMYFUNCTION("""COMPUTED_VALUE"""),"الحر")</f>
        <v>الحر</v>
      </c>
      <c r="D884" s="56"/>
      <c r="E884" s="26"/>
      <c r="F884" s="26"/>
      <c r="G884" s="26"/>
      <c r="H884" s="26"/>
      <c r="I884" s="26"/>
      <c r="J884" s="26"/>
      <c r="K884" s="26"/>
      <c r="L884" s="55"/>
      <c r="M884" s="26"/>
    </row>
    <row r="885" spans="1:13" ht="75" customHeight="1" thickTop="1" thickBot="1">
      <c r="A885" s="34"/>
      <c r="B885" s="55"/>
      <c r="C885" s="56" t="str">
        <f ca="1">IFERROR(__xludf.DUMMYFUNCTION("""COMPUTED_VALUE"""),"الحر")</f>
        <v>الحر</v>
      </c>
      <c r="D885" s="56"/>
      <c r="E885" s="26"/>
      <c r="F885" s="26"/>
      <c r="G885" s="26"/>
      <c r="H885" s="26"/>
      <c r="I885" s="26"/>
      <c r="J885" s="26"/>
      <c r="K885" s="26"/>
      <c r="L885" s="55"/>
      <c r="M885" s="26"/>
    </row>
    <row r="886" spans="1:13" ht="75" customHeight="1" thickTop="1" thickBot="1">
      <c r="A886" s="26"/>
      <c r="B886" s="55"/>
      <c r="C886" s="56" t="str">
        <f ca="1">IFERROR(__xludf.DUMMYFUNCTION("""COMPUTED_VALUE"""),"الحر")</f>
        <v>الحر</v>
      </c>
      <c r="D886" s="56"/>
      <c r="E886" s="26"/>
      <c r="F886" s="26"/>
      <c r="G886" s="26"/>
      <c r="H886" s="26"/>
      <c r="I886" s="26"/>
      <c r="J886" s="26"/>
      <c r="K886" s="26"/>
      <c r="L886" s="55"/>
      <c r="M886" s="26"/>
    </row>
    <row r="887" spans="1:13" ht="75" customHeight="1" thickTop="1" thickBot="1">
      <c r="A887" s="34"/>
      <c r="B887" s="55"/>
      <c r="C887" s="56" t="str">
        <f ca="1">IFERROR(__xludf.DUMMYFUNCTION("""COMPUTED_VALUE"""),"الحر")</f>
        <v>الحر</v>
      </c>
      <c r="D887" s="56"/>
      <c r="E887" s="26"/>
      <c r="F887" s="26"/>
      <c r="G887" s="26"/>
      <c r="H887" s="26"/>
      <c r="I887" s="26"/>
      <c r="J887" s="26"/>
      <c r="K887" s="26"/>
      <c r="L887" s="55"/>
      <c r="M887" s="26"/>
    </row>
    <row r="888" spans="1:13" ht="75" customHeight="1" thickTop="1" thickBot="1">
      <c r="A888" s="26"/>
      <c r="B888" s="55"/>
      <c r="C888" s="56" t="str">
        <f ca="1">IFERROR(__xludf.DUMMYFUNCTION("""COMPUTED_VALUE"""),"الحر")</f>
        <v>الحر</v>
      </c>
      <c r="D888" s="56"/>
      <c r="E888" s="26"/>
      <c r="F888" s="26"/>
      <c r="G888" s="26"/>
      <c r="H888" s="26"/>
      <c r="I888" s="26"/>
      <c r="J888" s="26"/>
      <c r="K888" s="26"/>
      <c r="L888" s="55"/>
      <c r="M888" s="26"/>
    </row>
    <row r="889" spans="1:13" ht="75" customHeight="1" thickTop="1" thickBot="1">
      <c r="A889" s="34"/>
      <c r="B889" s="55"/>
      <c r="C889" s="56" t="str">
        <f ca="1">IFERROR(__xludf.DUMMYFUNCTION("""COMPUTED_VALUE"""),"الحر")</f>
        <v>الحر</v>
      </c>
      <c r="D889" s="56"/>
      <c r="E889" s="26"/>
      <c r="F889" s="26"/>
      <c r="G889" s="26"/>
      <c r="H889" s="26"/>
      <c r="I889" s="26"/>
      <c r="J889" s="26"/>
      <c r="K889" s="26"/>
      <c r="L889" s="55"/>
      <c r="M889" s="26"/>
    </row>
    <row r="890" spans="1:13" ht="75" customHeight="1" thickTop="1" thickBot="1">
      <c r="A890" s="26"/>
      <c r="B890" s="55"/>
      <c r="C890" s="56" t="str">
        <f ca="1">IFERROR(__xludf.DUMMYFUNCTION("""COMPUTED_VALUE"""),"الحر")</f>
        <v>الحر</v>
      </c>
      <c r="D890" s="56"/>
      <c r="E890" s="26"/>
      <c r="F890" s="26"/>
      <c r="G890" s="26"/>
      <c r="H890" s="26"/>
      <c r="I890" s="26"/>
      <c r="J890" s="26"/>
      <c r="K890" s="26"/>
      <c r="L890" s="55"/>
      <c r="M890" s="26"/>
    </row>
    <row r="891" spans="1:13" ht="75" customHeight="1" thickTop="1" thickBot="1">
      <c r="A891" s="34"/>
      <c r="B891" s="55"/>
      <c r="C891" s="56" t="str">
        <f ca="1">IFERROR(__xludf.DUMMYFUNCTION("""COMPUTED_VALUE"""),"الحر")</f>
        <v>الحر</v>
      </c>
      <c r="D891" s="56"/>
      <c r="E891" s="26"/>
      <c r="F891" s="26"/>
      <c r="G891" s="26"/>
      <c r="H891" s="26"/>
      <c r="I891" s="26"/>
      <c r="J891" s="26"/>
      <c r="K891" s="26"/>
      <c r="L891" s="55"/>
      <c r="M891" s="26"/>
    </row>
    <row r="892" spans="1:13" ht="75" customHeight="1" thickTop="1" thickBot="1">
      <c r="A892" s="26"/>
      <c r="B892" s="55"/>
      <c r="C892" s="56" t="str">
        <f ca="1">IFERROR(__xludf.DUMMYFUNCTION("""COMPUTED_VALUE"""),"الحر")</f>
        <v>الحر</v>
      </c>
      <c r="D892" s="56"/>
      <c r="E892" s="26"/>
      <c r="F892" s="26"/>
      <c r="G892" s="26"/>
      <c r="H892" s="26"/>
      <c r="I892" s="26"/>
      <c r="J892" s="26"/>
      <c r="K892" s="26"/>
      <c r="L892" s="55"/>
      <c r="M892" s="26"/>
    </row>
    <row r="893" spans="1:13" ht="75" customHeight="1" thickTop="1" thickBot="1">
      <c r="A893" s="34"/>
      <c r="B893" s="55"/>
      <c r="C893" s="56" t="str">
        <f ca="1">IFERROR(__xludf.DUMMYFUNCTION("""COMPUTED_VALUE"""),"الحر")</f>
        <v>الحر</v>
      </c>
      <c r="D893" s="56"/>
      <c r="E893" s="26"/>
      <c r="F893" s="26"/>
      <c r="G893" s="26"/>
      <c r="H893" s="26"/>
      <c r="I893" s="26"/>
      <c r="J893" s="26"/>
      <c r="K893" s="26"/>
      <c r="L893" s="55"/>
      <c r="M893" s="26"/>
    </row>
    <row r="894" spans="1:13" ht="75" customHeight="1" thickTop="1" thickBot="1">
      <c r="A894" s="26"/>
      <c r="B894" s="55"/>
      <c r="C894" s="56" t="str">
        <f ca="1">IFERROR(__xludf.DUMMYFUNCTION("""COMPUTED_VALUE"""),"الحر")</f>
        <v>الحر</v>
      </c>
      <c r="D894" s="56"/>
      <c r="E894" s="26"/>
      <c r="F894" s="26"/>
      <c r="G894" s="26"/>
      <c r="H894" s="26"/>
      <c r="I894" s="26"/>
      <c r="J894" s="26"/>
      <c r="K894" s="26"/>
      <c r="L894" s="55"/>
      <c r="M894" s="26"/>
    </row>
    <row r="895" spans="1:13" ht="75" customHeight="1" thickTop="1" thickBot="1">
      <c r="A895" s="34"/>
      <c r="B895" s="55"/>
      <c r="C895" s="56" t="str">
        <f ca="1">IFERROR(__xludf.DUMMYFUNCTION("""COMPUTED_VALUE"""),"الحر")</f>
        <v>الحر</v>
      </c>
      <c r="D895" s="56"/>
      <c r="E895" s="26"/>
      <c r="F895" s="26"/>
      <c r="G895" s="26"/>
      <c r="H895" s="26"/>
      <c r="I895" s="26"/>
      <c r="J895" s="26"/>
      <c r="K895" s="26"/>
      <c r="L895" s="55"/>
      <c r="M895" s="26"/>
    </row>
    <row r="896" spans="1:13" ht="75" customHeight="1" thickTop="1" thickBot="1">
      <c r="A896" s="26"/>
      <c r="B896" s="55"/>
      <c r="C896" s="56" t="str">
        <f ca="1">IFERROR(__xludf.DUMMYFUNCTION("""COMPUTED_VALUE"""),"الحر")</f>
        <v>الحر</v>
      </c>
      <c r="D896" s="56"/>
      <c r="E896" s="26"/>
      <c r="F896" s="26"/>
      <c r="G896" s="26"/>
      <c r="H896" s="26"/>
      <c r="I896" s="26"/>
      <c r="J896" s="26"/>
      <c r="K896" s="26"/>
      <c r="L896" s="55"/>
      <c r="M896" s="26"/>
    </row>
    <row r="897" spans="1:13" ht="75" customHeight="1" thickTop="1" thickBot="1">
      <c r="A897" s="34"/>
      <c r="B897" s="55"/>
      <c r="C897" s="56" t="str">
        <f ca="1">IFERROR(__xludf.DUMMYFUNCTION("""COMPUTED_VALUE"""),"الحر")</f>
        <v>الحر</v>
      </c>
      <c r="D897" s="56"/>
      <c r="E897" s="26"/>
      <c r="F897" s="26"/>
      <c r="G897" s="26"/>
      <c r="H897" s="26"/>
      <c r="I897" s="26"/>
      <c r="J897" s="26"/>
      <c r="K897" s="26"/>
      <c r="L897" s="55"/>
      <c r="M897" s="26"/>
    </row>
    <row r="898" spans="1:13" ht="75" customHeight="1" thickTop="1" thickBot="1">
      <c r="A898" s="26"/>
      <c r="B898" s="55"/>
      <c r="C898" s="56" t="str">
        <f ca="1">IFERROR(__xludf.DUMMYFUNCTION("""COMPUTED_VALUE"""),"الحر")</f>
        <v>الحر</v>
      </c>
      <c r="D898" s="56"/>
      <c r="E898" s="26"/>
      <c r="F898" s="26"/>
      <c r="G898" s="26"/>
      <c r="H898" s="26"/>
      <c r="I898" s="26"/>
      <c r="J898" s="26"/>
      <c r="K898" s="26"/>
      <c r="L898" s="55"/>
      <c r="M898" s="26"/>
    </row>
    <row r="899" spans="1:13" ht="75" customHeight="1" thickTop="1" thickBot="1">
      <c r="A899" s="34"/>
      <c r="B899" s="55"/>
      <c r="C899" s="56" t="str">
        <f ca="1">IFERROR(__xludf.DUMMYFUNCTION("""COMPUTED_VALUE"""),"الحر")</f>
        <v>الحر</v>
      </c>
      <c r="D899" s="56"/>
      <c r="E899" s="26"/>
      <c r="F899" s="26"/>
      <c r="G899" s="26"/>
      <c r="H899" s="26"/>
      <c r="I899" s="26"/>
      <c r="J899" s="26"/>
      <c r="K899" s="26"/>
      <c r="L899" s="55"/>
      <c r="M899" s="26"/>
    </row>
    <row r="900" spans="1:13" ht="75" customHeight="1" thickTop="1" thickBot="1">
      <c r="A900" s="26"/>
      <c r="B900" s="55"/>
      <c r="C900" s="56" t="str">
        <f ca="1">IFERROR(__xludf.DUMMYFUNCTION("""COMPUTED_VALUE"""),"الحر")</f>
        <v>الحر</v>
      </c>
      <c r="D900" s="56"/>
      <c r="E900" s="26"/>
      <c r="F900" s="26"/>
      <c r="G900" s="26"/>
      <c r="H900" s="26"/>
      <c r="I900" s="26"/>
      <c r="J900" s="26"/>
      <c r="K900" s="26"/>
      <c r="L900" s="55"/>
      <c r="M900" s="26"/>
    </row>
    <row r="901" spans="1:13" ht="75" customHeight="1" thickTop="1" thickBot="1">
      <c r="A901" s="34"/>
      <c r="B901" s="55"/>
      <c r="C901" s="56" t="str">
        <f ca="1">IFERROR(__xludf.DUMMYFUNCTION("""COMPUTED_VALUE"""),"الحر")</f>
        <v>الحر</v>
      </c>
      <c r="D901" s="56"/>
      <c r="E901" s="26"/>
      <c r="F901" s="26"/>
      <c r="G901" s="26"/>
      <c r="H901" s="26"/>
      <c r="I901" s="26"/>
      <c r="J901" s="26"/>
      <c r="K901" s="26"/>
      <c r="L901" s="55"/>
      <c r="M901" s="26"/>
    </row>
    <row r="902" spans="1:13" ht="75" customHeight="1" thickTop="1" thickBot="1">
      <c r="A902" s="26"/>
      <c r="B902" s="55"/>
      <c r="C902" s="56" t="str">
        <f ca="1">IFERROR(__xludf.DUMMYFUNCTION("""COMPUTED_VALUE"""),"الحر")</f>
        <v>الحر</v>
      </c>
      <c r="D902" s="56"/>
      <c r="E902" s="26"/>
      <c r="F902" s="26"/>
      <c r="G902" s="26"/>
      <c r="H902" s="26"/>
      <c r="I902" s="26"/>
      <c r="J902" s="26"/>
      <c r="K902" s="26"/>
      <c r="L902" s="55"/>
      <c r="M902" s="26"/>
    </row>
    <row r="903" spans="1:13" ht="75" customHeight="1" thickTop="1" thickBot="1">
      <c r="A903" s="34"/>
      <c r="B903" s="55"/>
      <c r="C903" s="56" t="str">
        <f ca="1">IFERROR(__xludf.DUMMYFUNCTION("""COMPUTED_VALUE"""),"الحر")</f>
        <v>الحر</v>
      </c>
      <c r="D903" s="56"/>
      <c r="E903" s="26"/>
      <c r="F903" s="26"/>
      <c r="G903" s="26"/>
      <c r="H903" s="26"/>
      <c r="I903" s="26"/>
      <c r="J903" s="26"/>
      <c r="K903" s="26"/>
      <c r="L903" s="55"/>
      <c r="M903" s="26"/>
    </row>
    <row r="904" spans="1:13" ht="75" customHeight="1" thickTop="1" thickBot="1">
      <c r="A904" s="26"/>
      <c r="B904" s="55"/>
      <c r="C904" s="56" t="str">
        <f ca="1">IFERROR(__xludf.DUMMYFUNCTION("""COMPUTED_VALUE"""),"الحر")</f>
        <v>الحر</v>
      </c>
      <c r="D904" s="56"/>
      <c r="E904" s="26"/>
      <c r="F904" s="26"/>
      <c r="G904" s="26"/>
      <c r="H904" s="26"/>
      <c r="I904" s="26"/>
      <c r="J904" s="26"/>
      <c r="K904" s="26"/>
      <c r="L904" s="55"/>
      <c r="M904" s="26"/>
    </row>
    <row r="905" spans="1:13" ht="75" customHeight="1" thickTop="1" thickBot="1">
      <c r="A905" s="34"/>
      <c r="B905" s="55"/>
      <c r="C905" s="56" t="str">
        <f ca="1">IFERROR(__xludf.DUMMYFUNCTION("""COMPUTED_VALUE"""),"الحر")</f>
        <v>الحر</v>
      </c>
      <c r="D905" s="56"/>
      <c r="E905" s="26"/>
      <c r="F905" s="26"/>
      <c r="G905" s="26"/>
      <c r="H905" s="26"/>
      <c r="I905" s="26"/>
      <c r="J905" s="26"/>
      <c r="K905" s="26"/>
      <c r="L905" s="55"/>
      <c r="M905" s="26"/>
    </row>
    <row r="906" spans="1:13" ht="75" customHeight="1" thickTop="1" thickBot="1">
      <c r="A906" s="26"/>
      <c r="B906" s="55"/>
      <c r="C906" s="56" t="str">
        <f ca="1">IFERROR(__xludf.DUMMYFUNCTION("""COMPUTED_VALUE"""),"الحر")</f>
        <v>الحر</v>
      </c>
      <c r="D906" s="56"/>
      <c r="E906" s="26"/>
      <c r="F906" s="26"/>
      <c r="G906" s="26"/>
      <c r="H906" s="26"/>
      <c r="I906" s="26"/>
      <c r="J906" s="26"/>
      <c r="K906" s="26"/>
      <c r="L906" s="55"/>
      <c r="M906" s="26"/>
    </row>
    <row r="907" spans="1:13" ht="75" customHeight="1" thickTop="1" thickBot="1">
      <c r="A907" s="34"/>
      <c r="B907" s="55"/>
      <c r="C907" s="56" t="str">
        <f ca="1">IFERROR(__xludf.DUMMYFUNCTION("""COMPUTED_VALUE"""),"الحر")</f>
        <v>الحر</v>
      </c>
      <c r="D907" s="56"/>
      <c r="E907" s="26"/>
      <c r="F907" s="26"/>
      <c r="G907" s="26"/>
      <c r="H907" s="26"/>
      <c r="I907" s="26"/>
      <c r="J907" s="26"/>
      <c r="K907" s="26"/>
      <c r="L907" s="55"/>
      <c r="M907" s="26"/>
    </row>
    <row r="908" spans="1:13" ht="75" customHeight="1" thickTop="1" thickBot="1">
      <c r="A908" s="26"/>
      <c r="B908" s="55"/>
      <c r="C908" s="56" t="str">
        <f ca="1">IFERROR(__xludf.DUMMYFUNCTION("""COMPUTED_VALUE"""),"الحر")</f>
        <v>الحر</v>
      </c>
      <c r="D908" s="56"/>
      <c r="E908" s="26"/>
      <c r="F908" s="26"/>
      <c r="G908" s="26"/>
      <c r="H908" s="26"/>
      <c r="I908" s="26"/>
      <c r="J908" s="26"/>
      <c r="K908" s="26"/>
      <c r="L908" s="55"/>
      <c r="M908" s="26"/>
    </row>
    <row r="909" spans="1:13" ht="75" customHeight="1" thickTop="1" thickBot="1">
      <c r="A909" s="34"/>
      <c r="B909" s="55"/>
      <c r="C909" s="56" t="str">
        <f ca="1">IFERROR(__xludf.DUMMYFUNCTION("""COMPUTED_VALUE"""),"الحر")</f>
        <v>الحر</v>
      </c>
      <c r="D909" s="56"/>
      <c r="E909" s="26"/>
      <c r="F909" s="26"/>
      <c r="G909" s="26"/>
      <c r="H909" s="26"/>
      <c r="I909" s="26"/>
      <c r="J909" s="26"/>
      <c r="K909" s="26"/>
      <c r="L909" s="55"/>
      <c r="M909" s="26"/>
    </row>
    <row r="910" spans="1:13" ht="75" customHeight="1" thickTop="1" thickBot="1">
      <c r="A910" s="26"/>
      <c r="B910" s="55"/>
      <c r="C910" s="56" t="str">
        <f ca="1">IFERROR(__xludf.DUMMYFUNCTION("""COMPUTED_VALUE"""),"الحر")</f>
        <v>الحر</v>
      </c>
      <c r="D910" s="56"/>
      <c r="E910" s="26"/>
      <c r="F910" s="26"/>
      <c r="G910" s="26"/>
      <c r="H910" s="26"/>
      <c r="I910" s="26"/>
      <c r="J910" s="26"/>
      <c r="K910" s="26"/>
      <c r="L910" s="55"/>
      <c r="M910" s="26"/>
    </row>
    <row r="911" spans="1:13" ht="75" customHeight="1" thickTop="1" thickBot="1">
      <c r="A911" s="34"/>
      <c r="B911" s="55"/>
      <c r="C911" s="56" t="str">
        <f ca="1">IFERROR(__xludf.DUMMYFUNCTION("""COMPUTED_VALUE"""),"الحر")</f>
        <v>الحر</v>
      </c>
      <c r="D911" s="56"/>
      <c r="E911" s="26"/>
      <c r="F911" s="26"/>
      <c r="G911" s="26"/>
      <c r="H911" s="26"/>
      <c r="I911" s="26"/>
      <c r="J911" s="26"/>
      <c r="K911" s="26"/>
      <c r="L911" s="55"/>
      <c r="M911" s="26"/>
    </row>
    <row r="912" spans="1:13" ht="75" customHeight="1" thickTop="1" thickBot="1">
      <c r="A912" s="26"/>
      <c r="B912" s="55"/>
      <c r="C912" s="56" t="str">
        <f ca="1">IFERROR(__xludf.DUMMYFUNCTION("""COMPUTED_VALUE"""),"الحر")</f>
        <v>الحر</v>
      </c>
      <c r="D912" s="56"/>
      <c r="E912" s="26"/>
      <c r="F912" s="26"/>
      <c r="G912" s="26"/>
      <c r="H912" s="26"/>
      <c r="I912" s="26"/>
      <c r="J912" s="26"/>
      <c r="K912" s="26"/>
      <c r="L912" s="55"/>
      <c r="M912" s="26"/>
    </row>
    <row r="913" spans="1:13" ht="75" customHeight="1" thickTop="1" thickBot="1">
      <c r="A913" s="34"/>
      <c r="B913" s="55"/>
      <c r="C913" s="56" t="str">
        <f ca="1">IFERROR(__xludf.DUMMYFUNCTION("""COMPUTED_VALUE"""),"الحر")</f>
        <v>الحر</v>
      </c>
      <c r="D913" s="56"/>
      <c r="E913" s="26"/>
      <c r="F913" s="26"/>
      <c r="G913" s="26"/>
      <c r="H913" s="26"/>
      <c r="I913" s="26"/>
      <c r="J913" s="26"/>
      <c r="K913" s="26"/>
      <c r="L913" s="55"/>
      <c r="M913" s="26"/>
    </row>
    <row r="914" spans="1:13" ht="75" customHeight="1" thickTop="1" thickBot="1">
      <c r="A914" s="26"/>
      <c r="B914" s="55"/>
      <c r="C914" s="56" t="str">
        <f ca="1">IFERROR(__xludf.DUMMYFUNCTION("""COMPUTED_VALUE"""),"الحر")</f>
        <v>الحر</v>
      </c>
      <c r="D914" s="56"/>
      <c r="E914" s="26"/>
      <c r="F914" s="26"/>
      <c r="G914" s="26"/>
      <c r="H914" s="26"/>
      <c r="I914" s="26"/>
      <c r="J914" s="26"/>
      <c r="K914" s="26"/>
      <c r="L914" s="55"/>
      <c r="M914" s="26"/>
    </row>
    <row r="915" spans="1:13" ht="75" customHeight="1" thickTop="1" thickBot="1">
      <c r="A915" s="34"/>
      <c r="B915" s="55"/>
      <c r="C915" s="56" t="str">
        <f ca="1">IFERROR(__xludf.DUMMYFUNCTION("""COMPUTED_VALUE"""),"الحر")</f>
        <v>الحر</v>
      </c>
      <c r="D915" s="56"/>
      <c r="E915" s="26"/>
      <c r="F915" s="26"/>
      <c r="G915" s="26"/>
      <c r="H915" s="26"/>
      <c r="I915" s="26"/>
      <c r="J915" s="26"/>
      <c r="K915" s="26"/>
      <c r="L915" s="55"/>
      <c r="M915" s="26"/>
    </row>
    <row r="916" spans="1:13" ht="75" customHeight="1" thickTop="1" thickBot="1">
      <c r="A916" s="26"/>
      <c r="B916" s="55"/>
      <c r="C916" s="56" t="str">
        <f ca="1">IFERROR(__xludf.DUMMYFUNCTION("""COMPUTED_VALUE"""),"الحر")</f>
        <v>الحر</v>
      </c>
      <c r="D916" s="56"/>
      <c r="E916" s="26"/>
      <c r="F916" s="26"/>
      <c r="G916" s="26"/>
      <c r="H916" s="26"/>
      <c r="I916" s="26"/>
      <c r="J916" s="26"/>
      <c r="K916" s="26"/>
      <c r="L916" s="55"/>
      <c r="M916" s="26"/>
    </row>
    <row r="917" spans="1:13" ht="75" customHeight="1" thickTop="1" thickBot="1">
      <c r="A917" s="34"/>
      <c r="B917" s="55"/>
      <c r="C917" s="56" t="str">
        <f ca="1">IFERROR(__xludf.DUMMYFUNCTION("""COMPUTED_VALUE"""),"الحر")</f>
        <v>الحر</v>
      </c>
      <c r="D917" s="56"/>
      <c r="E917" s="26"/>
      <c r="F917" s="26"/>
      <c r="G917" s="26"/>
      <c r="H917" s="26"/>
      <c r="I917" s="26"/>
      <c r="J917" s="26"/>
      <c r="K917" s="26"/>
      <c r="L917" s="55"/>
      <c r="M917" s="26"/>
    </row>
    <row r="918" spans="1:13" ht="75" customHeight="1" thickTop="1" thickBot="1">
      <c r="A918" s="26"/>
      <c r="B918" s="55"/>
      <c r="C918" s="56" t="str">
        <f ca="1">IFERROR(__xludf.DUMMYFUNCTION("""COMPUTED_VALUE"""),"الحر")</f>
        <v>الحر</v>
      </c>
      <c r="D918" s="56"/>
      <c r="E918" s="26"/>
      <c r="F918" s="26"/>
      <c r="G918" s="26"/>
      <c r="H918" s="26"/>
      <c r="I918" s="26"/>
      <c r="J918" s="26"/>
      <c r="K918" s="26"/>
      <c r="L918" s="55"/>
      <c r="M918" s="26"/>
    </row>
    <row r="919" spans="1:13" ht="75" customHeight="1" thickTop="1" thickBot="1">
      <c r="A919" s="34"/>
      <c r="B919" s="55"/>
      <c r="C919" s="56" t="str">
        <f ca="1">IFERROR(__xludf.DUMMYFUNCTION("""COMPUTED_VALUE"""),"الحر")</f>
        <v>الحر</v>
      </c>
      <c r="D919" s="56"/>
      <c r="E919" s="26"/>
      <c r="F919" s="26"/>
      <c r="G919" s="26"/>
      <c r="H919" s="26"/>
      <c r="I919" s="26"/>
      <c r="J919" s="26"/>
      <c r="K919" s="26"/>
      <c r="L919" s="55"/>
      <c r="M919" s="26"/>
    </row>
    <row r="920" spans="1:13" ht="75" customHeight="1" thickTop="1" thickBot="1">
      <c r="A920" s="26"/>
      <c r="B920" s="55"/>
      <c r="C920" s="56" t="str">
        <f ca="1">IFERROR(__xludf.DUMMYFUNCTION("""COMPUTED_VALUE"""),"الحر")</f>
        <v>الحر</v>
      </c>
      <c r="D920" s="56"/>
      <c r="E920" s="26"/>
      <c r="F920" s="26"/>
      <c r="G920" s="26"/>
      <c r="H920" s="26"/>
      <c r="I920" s="26"/>
      <c r="J920" s="26"/>
      <c r="K920" s="26"/>
      <c r="L920" s="55"/>
      <c r="M920" s="26"/>
    </row>
    <row r="921" spans="1:13" ht="75" customHeight="1" thickTop="1" thickBot="1">
      <c r="A921" s="34"/>
      <c r="B921" s="55"/>
      <c r="C921" s="56" t="str">
        <f ca="1">IFERROR(__xludf.DUMMYFUNCTION("""COMPUTED_VALUE"""),"الحر")</f>
        <v>الحر</v>
      </c>
      <c r="D921" s="56"/>
      <c r="E921" s="26"/>
      <c r="F921" s="26"/>
      <c r="G921" s="26"/>
      <c r="H921" s="26"/>
      <c r="I921" s="26"/>
      <c r="J921" s="26"/>
      <c r="K921" s="26"/>
      <c r="L921" s="55"/>
      <c r="M921" s="26"/>
    </row>
    <row r="922" spans="1:13" ht="75" customHeight="1" thickTop="1" thickBot="1">
      <c r="A922" s="26"/>
      <c r="B922" s="55"/>
      <c r="C922" s="56" t="str">
        <f ca="1">IFERROR(__xludf.DUMMYFUNCTION("""COMPUTED_VALUE"""),"الحر")</f>
        <v>الحر</v>
      </c>
      <c r="D922" s="56"/>
      <c r="E922" s="26"/>
      <c r="F922" s="26"/>
      <c r="G922" s="26"/>
      <c r="H922" s="26"/>
      <c r="I922" s="26"/>
      <c r="J922" s="26"/>
      <c r="K922" s="26"/>
      <c r="L922" s="55"/>
      <c r="M922" s="26"/>
    </row>
    <row r="923" spans="1:13" ht="75" customHeight="1" thickTop="1" thickBot="1">
      <c r="A923" s="34"/>
      <c r="B923" s="55"/>
      <c r="C923" s="56" t="str">
        <f ca="1">IFERROR(__xludf.DUMMYFUNCTION("""COMPUTED_VALUE"""),"الحر")</f>
        <v>الحر</v>
      </c>
      <c r="D923" s="56"/>
      <c r="E923" s="26"/>
      <c r="F923" s="26"/>
      <c r="G923" s="26"/>
      <c r="H923" s="26"/>
      <c r="I923" s="26"/>
      <c r="J923" s="26"/>
      <c r="K923" s="26"/>
      <c r="L923" s="55"/>
      <c r="M923" s="26"/>
    </row>
    <row r="924" spans="1:13" ht="75" customHeight="1" thickTop="1" thickBot="1">
      <c r="A924" s="26"/>
      <c r="B924" s="55"/>
      <c r="C924" s="56" t="str">
        <f ca="1">IFERROR(__xludf.DUMMYFUNCTION("""COMPUTED_VALUE"""),"الحر")</f>
        <v>الحر</v>
      </c>
      <c r="D924" s="56"/>
      <c r="E924" s="26"/>
      <c r="F924" s="26"/>
      <c r="G924" s="26"/>
      <c r="H924" s="26"/>
      <c r="I924" s="26"/>
      <c r="J924" s="26"/>
      <c r="K924" s="26"/>
      <c r="L924" s="55"/>
      <c r="M924" s="26"/>
    </row>
    <row r="925" spans="1:13" ht="75" customHeight="1" thickTop="1" thickBot="1">
      <c r="A925" s="34"/>
      <c r="B925" s="55"/>
      <c r="C925" s="56" t="str">
        <f ca="1">IFERROR(__xludf.DUMMYFUNCTION("""COMPUTED_VALUE"""),"الحر")</f>
        <v>الحر</v>
      </c>
      <c r="D925" s="56"/>
      <c r="E925" s="26"/>
      <c r="F925" s="26"/>
      <c r="G925" s="26"/>
      <c r="H925" s="26"/>
      <c r="I925" s="26"/>
      <c r="J925" s="26"/>
      <c r="K925" s="26"/>
      <c r="L925" s="55"/>
      <c r="M925" s="26"/>
    </row>
    <row r="926" spans="1:13" ht="75" customHeight="1" thickTop="1" thickBot="1">
      <c r="A926" s="26"/>
      <c r="B926" s="55"/>
      <c r="C926" s="56" t="str">
        <f ca="1">IFERROR(__xludf.DUMMYFUNCTION("""COMPUTED_VALUE"""),"الحر")</f>
        <v>الحر</v>
      </c>
      <c r="D926" s="56"/>
      <c r="E926" s="26"/>
      <c r="F926" s="26"/>
      <c r="G926" s="26"/>
      <c r="H926" s="26"/>
      <c r="I926" s="26"/>
      <c r="J926" s="26"/>
      <c r="K926" s="26"/>
      <c r="L926" s="55"/>
      <c r="M926" s="26"/>
    </row>
    <row r="927" spans="1:13" ht="75" customHeight="1" thickTop="1" thickBot="1">
      <c r="A927" s="34"/>
      <c r="B927" s="55"/>
      <c r="C927" s="56" t="str">
        <f ca="1">IFERROR(__xludf.DUMMYFUNCTION("""COMPUTED_VALUE"""),"الحر")</f>
        <v>الحر</v>
      </c>
      <c r="D927" s="56"/>
      <c r="E927" s="26"/>
      <c r="F927" s="26"/>
      <c r="G927" s="26"/>
      <c r="H927" s="26"/>
      <c r="I927" s="26"/>
      <c r="J927" s="26"/>
      <c r="K927" s="26"/>
      <c r="L927" s="55"/>
      <c r="M927" s="26"/>
    </row>
    <row r="928" spans="1:13" ht="75" customHeight="1" thickTop="1" thickBot="1">
      <c r="A928" s="26"/>
      <c r="B928" s="55"/>
      <c r="C928" s="56" t="str">
        <f ca="1">IFERROR(__xludf.DUMMYFUNCTION("""COMPUTED_VALUE"""),"الحر")</f>
        <v>الحر</v>
      </c>
      <c r="D928" s="56"/>
      <c r="E928" s="26"/>
      <c r="F928" s="26"/>
      <c r="G928" s="26"/>
      <c r="H928" s="26"/>
      <c r="I928" s="26"/>
      <c r="J928" s="26"/>
      <c r="K928" s="26"/>
      <c r="L928" s="55"/>
      <c r="M928" s="26"/>
    </row>
    <row r="929" spans="1:13" ht="75" customHeight="1" thickTop="1" thickBot="1">
      <c r="A929" s="34"/>
      <c r="B929" s="55"/>
      <c r="C929" s="56" t="str">
        <f ca="1">IFERROR(__xludf.DUMMYFUNCTION("""COMPUTED_VALUE"""),"الحر")</f>
        <v>الحر</v>
      </c>
      <c r="D929" s="56"/>
      <c r="E929" s="26"/>
      <c r="F929" s="26"/>
      <c r="G929" s="26"/>
      <c r="H929" s="26"/>
      <c r="I929" s="26"/>
      <c r="J929" s="26"/>
      <c r="K929" s="26"/>
      <c r="L929" s="55"/>
      <c r="M929" s="26"/>
    </row>
    <row r="930" spans="1:13" ht="75" customHeight="1" thickTop="1" thickBot="1">
      <c r="A930" s="26"/>
      <c r="B930" s="55"/>
      <c r="C930" s="56" t="str">
        <f ca="1">IFERROR(__xludf.DUMMYFUNCTION("""COMPUTED_VALUE"""),"الحر")</f>
        <v>الحر</v>
      </c>
      <c r="D930" s="56"/>
      <c r="E930" s="26"/>
      <c r="F930" s="26"/>
      <c r="G930" s="26"/>
      <c r="H930" s="26"/>
      <c r="I930" s="26"/>
      <c r="J930" s="26"/>
      <c r="K930" s="26"/>
      <c r="L930" s="55"/>
      <c r="M930" s="26"/>
    </row>
    <row r="931" spans="1:13" ht="75" customHeight="1" thickTop="1" thickBot="1">
      <c r="A931" s="34"/>
      <c r="B931" s="55"/>
      <c r="C931" s="56" t="str">
        <f ca="1">IFERROR(__xludf.DUMMYFUNCTION("""COMPUTED_VALUE"""),"الحر")</f>
        <v>الحر</v>
      </c>
      <c r="D931" s="56"/>
      <c r="E931" s="26"/>
      <c r="F931" s="26"/>
      <c r="G931" s="26"/>
      <c r="H931" s="26"/>
      <c r="I931" s="26"/>
      <c r="J931" s="26"/>
      <c r="K931" s="26"/>
      <c r="L931" s="55"/>
      <c r="M931" s="26"/>
    </row>
    <row r="932" spans="1:13" ht="75" customHeight="1" thickTop="1" thickBot="1">
      <c r="A932" s="26"/>
      <c r="B932" s="55"/>
      <c r="C932" s="56" t="str">
        <f ca="1">IFERROR(__xludf.DUMMYFUNCTION("""COMPUTED_VALUE"""),"الحر")</f>
        <v>الحر</v>
      </c>
      <c r="D932" s="56"/>
      <c r="E932" s="26"/>
      <c r="F932" s="26"/>
      <c r="G932" s="26"/>
      <c r="H932" s="26"/>
      <c r="I932" s="26"/>
      <c r="J932" s="26"/>
      <c r="K932" s="26"/>
      <c r="L932" s="55"/>
      <c r="M932" s="26"/>
    </row>
    <row r="933" spans="1:13" ht="75" customHeight="1" thickTop="1" thickBot="1">
      <c r="A933" s="34"/>
      <c r="B933" s="55"/>
      <c r="C933" s="56" t="str">
        <f ca="1">IFERROR(__xludf.DUMMYFUNCTION("""COMPUTED_VALUE"""),"الحر")</f>
        <v>الحر</v>
      </c>
      <c r="D933" s="56"/>
      <c r="E933" s="26"/>
      <c r="F933" s="26"/>
      <c r="G933" s="26"/>
      <c r="H933" s="26"/>
      <c r="I933" s="26"/>
      <c r="J933" s="26"/>
      <c r="K933" s="26"/>
      <c r="L933" s="55"/>
      <c r="M933" s="26"/>
    </row>
    <row r="934" spans="1:13" ht="75" customHeight="1" thickTop="1" thickBot="1">
      <c r="A934" s="26"/>
      <c r="B934" s="55"/>
      <c r="C934" s="56" t="str">
        <f ca="1">IFERROR(__xludf.DUMMYFUNCTION("""COMPUTED_VALUE"""),"الحر")</f>
        <v>الحر</v>
      </c>
      <c r="D934" s="56"/>
      <c r="E934" s="26"/>
      <c r="F934" s="26"/>
      <c r="G934" s="26"/>
      <c r="H934" s="26"/>
      <c r="I934" s="26"/>
      <c r="J934" s="26"/>
      <c r="K934" s="26"/>
      <c r="L934" s="55"/>
      <c r="M934" s="26"/>
    </row>
    <row r="935" spans="1:13" ht="75" customHeight="1" thickTop="1" thickBot="1">
      <c r="A935" s="34"/>
      <c r="B935" s="55"/>
      <c r="C935" s="56" t="str">
        <f ca="1">IFERROR(__xludf.DUMMYFUNCTION("""COMPUTED_VALUE"""),"الحر")</f>
        <v>الحر</v>
      </c>
      <c r="D935" s="56"/>
      <c r="E935" s="26"/>
      <c r="F935" s="26"/>
      <c r="G935" s="26"/>
      <c r="H935" s="26"/>
      <c r="I935" s="26"/>
      <c r="J935" s="26"/>
      <c r="K935" s="26"/>
      <c r="L935" s="55"/>
      <c r="M935" s="26"/>
    </row>
    <row r="936" spans="1:13" ht="75" customHeight="1" thickTop="1" thickBot="1">
      <c r="A936" s="26"/>
      <c r="B936" s="55"/>
      <c r="C936" s="56" t="str">
        <f ca="1">IFERROR(__xludf.DUMMYFUNCTION("""COMPUTED_VALUE"""),"الحر")</f>
        <v>الحر</v>
      </c>
      <c r="D936" s="56"/>
      <c r="E936" s="26"/>
      <c r="F936" s="26"/>
      <c r="G936" s="26"/>
      <c r="H936" s="26"/>
      <c r="I936" s="26"/>
      <c r="J936" s="26"/>
      <c r="K936" s="26"/>
      <c r="L936" s="55"/>
      <c r="M936" s="26"/>
    </row>
    <row r="937" spans="1:13" ht="75" customHeight="1" thickTop="1" thickBot="1">
      <c r="A937" s="34"/>
      <c r="B937" s="55"/>
      <c r="C937" s="56" t="str">
        <f ca="1">IFERROR(__xludf.DUMMYFUNCTION("""COMPUTED_VALUE"""),"الحر")</f>
        <v>الحر</v>
      </c>
      <c r="D937" s="56"/>
      <c r="E937" s="26"/>
      <c r="F937" s="26"/>
      <c r="G937" s="26"/>
      <c r="H937" s="26"/>
      <c r="I937" s="26"/>
      <c r="J937" s="26"/>
      <c r="K937" s="26"/>
      <c r="L937" s="55"/>
      <c r="M937" s="26"/>
    </row>
    <row r="938" spans="1:13" ht="75" customHeight="1" thickTop="1" thickBot="1">
      <c r="A938" s="26"/>
      <c r="B938" s="55"/>
      <c r="C938" s="56" t="str">
        <f ca="1">IFERROR(__xludf.DUMMYFUNCTION("""COMPUTED_VALUE"""),"الحر")</f>
        <v>الحر</v>
      </c>
      <c r="D938" s="56"/>
      <c r="E938" s="26"/>
      <c r="F938" s="26"/>
      <c r="G938" s="26"/>
      <c r="H938" s="26"/>
      <c r="I938" s="26"/>
      <c r="J938" s="26"/>
      <c r="K938" s="26"/>
      <c r="L938" s="55"/>
      <c r="M938" s="26"/>
    </row>
    <row r="939" spans="1:13" ht="75" customHeight="1" thickTop="1" thickBot="1">
      <c r="A939" s="34"/>
      <c r="B939" s="55"/>
      <c r="C939" s="56" t="str">
        <f ca="1">IFERROR(__xludf.DUMMYFUNCTION("""COMPUTED_VALUE"""),"الحر")</f>
        <v>الحر</v>
      </c>
      <c r="D939" s="56"/>
      <c r="E939" s="26"/>
      <c r="F939" s="26"/>
      <c r="G939" s="26"/>
      <c r="H939" s="26"/>
      <c r="I939" s="26"/>
      <c r="J939" s="26"/>
      <c r="K939" s="26"/>
      <c r="L939" s="55"/>
      <c r="M939" s="26"/>
    </row>
    <row r="940" spans="1:13" ht="75" customHeight="1" thickTop="1" thickBot="1">
      <c r="A940" s="26"/>
      <c r="B940" s="55"/>
      <c r="C940" s="56" t="str">
        <f ca="1">IFERROR(__xludf.DUMMYFUNCTION("""COMPUTED_VALUE"""),"الحر")</f>
        <v>الحر</v>
      </c>
      <c r="D940" s="56"/>
      <c r="E940" s="26"/>
      <c r="F940" s="26"/>
      <c r="G940" s="26"/>
      <c r="H940" s="26"/>
      <c r="I940" s="26"/>
      <c r="J940" s="26"/>
      <c r="K940" s="26"/>
      <c r="L940" s="55"/>
      <c r="M940" s="26"/>
    </row>
    <row r="941" spans="1:13" ht="75" customHeight="1" thickTop="1" thickBot="1">
      <c r="A941" s="34"/>
      <c r="B941" s="55"/>
      <c r="C941" s="56" t="str">
        <f ca="1">IFERROR(__xludf.DUMMYFUNCTION("""COMPUTED_VALUE"""),"الحر")</f>
        <v>الحر</v>
      </c>
      <c r="D941" s="56"/>
      <c r="E941" s="26"/>
      <c r="F941" s="26"/>
      <c r="G941" s="26"/>
      <c r="H941" s="26"/>
      <c r="I941" s="26"/>
      <c r="J941" s="26"/>
      <c r="K941" s="26"/>
      <c r="L941" s="55"/>
      <c r="M941" s="26"/>
    </row>
    <row r="942" spans="1:13" ht="75" customHeight="1" thickTop="1" thickBot="1">
      <c r="A942" s="26"/>
      <c r="B942" s="55"/>
      <c r="C942" s="56" t="str">
        <f ca="1">IFERROR(__xludf.DUMMYFUNCTION("""COMPUTED_VALUE"""),"الحر")</f>
        <v>الحر</v>
      </c>
      <c r="D942" s="56"/>
      <c r="E942" s="26"/>
      <c r="F942" s="26"/>
      <c r="G942" s="26"/>
      <c r="H942" s="26"/>
      <c r="I942" s="26"/>
      <c r="J942" s="26"/>
      <c r="K942" s="26"/>
      <c r="L942" s="55"/>
      <c r="M942" s="26"/>
    </row>
    <row r="943" spans="1:13" ht="75" customHeight="1" thickTop="1" thickBot="1">
      <c r="A943" s="34"/>
      <c r="B943" s="55"/>
      <c r="C943" s="56" t="str">
        <f ca="1">IFERROR(__xludf.DUMMYFUNCTION("""COMPUTED_VALUE"""),"الحر")</f>
        <v>الحر</v>
      </c>
      <c r="D943" s="56"/>
      <c r="E943" s="26"/>
      <c r="F943" s="26"/>
      <c r="G943" s="26"/>
      <c r="H943" s="26"/>
      <c r="I943" s="26"/>
      <c r="J943" s="26"/>
      <c r="K943" s="26"/>
      <c r="L943" s="55"/>
      <c r="M943" s="26"/>
    </row>
    <row r="944" spans="1:13" ht="75" customHeight="1" thickTop="1" thickBot="1">
      <c r="A944" s="26"/>
      <c r="B944" s="55"/>
      <c r="C944" s="56" t="str">
        <f ca="1">IFERROR(__xludf.DUMMYFUNCTION("""COMPUTED_VALUE"""),"الحر")</f>
        <v>الحر</v>
      </c>
      <c r="D944" s="56"/>
      <c r="E944" s="26"/>
      <c r="F944" s="26"/>
      <c r="G944" s="26"/>
      <c r="H944" s="26"/>
      <c r="I944" s="26"/>
      <c r="J944" s="26"/>
      <c r="K944" s="26"/>
      <c r="L944" s="55"/>
      <c r="M944" s="26"/>
    </row>
    <row r="945" spans="1:13" ht="75" customHeight="1" thickTop="1" thickBot="1">
      <c r="A945" s="34"/>
      <c r="B945" s="55"/>
      <c r="C945" s="56" t="str">
        <f ca="1">IFERROR(__xludf.DUMMYFUNCTION("""COMPUTED_VALUE"""),"الحر")</f>
        <v>الحر</v>
      </c>
      <c r="D945" s="56"/>
      <c r="E945" s="26"/>
      <c r="F945" s="26"/>
      <c r="G945" s="26"/>
      <c r="H945" s="26"/>
      <c r="I945" s="26"/>
      <c r="J945" s="26"/>
      <c r="K945" s="26"/>
      <c r="L945" s="55"/>
      <c r="M945" s="26"/>
    </row>
    <row r="946" spans="1:13" ht="75" customHeight="1" thickTop="1" thickBot="1">
      <c r="A946" s="26"/>
      <c r="B946" s="55"/>
      <c r="C946" s="56" t="str">
        <f ca="1">IFERROR(__xludf.DUMMYFUNCTION("""COMPUTED_VALUE"""),"الحر")</f>
        <v>الحر</v>
      </c>
      <c r="D946" s="56"/>
      <c r="E946" s="26"/>
      <c r="F946" s="26"/>
      <c r="G946" s="26"/>
      <c r="H946" s="26"/>
      <c r="I946" s="26"/>
      <c r="J946" s="26"/>
      <c r="K946" s="26"/>
      <c r="L946" s="55"/>
      <c r="M946" s="26"/>
    </row>
    <row r="947" spans="1:13" ht="75" customHeight="1" thickTop="1" thickBot="1">
      <c r="A947" s="34"/>
      <c r="B947" s="55"/>
      <c r="C947" s="56" t="str">
        <f ca="1">IFERROR(__xludf.DUMMYFUNCTION("""COMPUTED_VALUE"""),"الحر")</f>
        <v>الحر</v>
      </c>
      <c r="D947" s="56"/>
      <c r="E947" s="26"/>
      <c r="F947" s="26"/>
      <c r="G947" s="26"/>
      <c r="H947" s="26"/>
      <c r="I947" s="26"/>
      <c r="J947" s="26"/>
      <c r="K947" s="26"/>
      <c r="L947" s="55"/>
      <c r="M947" s="26"/>
    </row>
    <row r="948" spans="1:13" ht="75" customHeight="1" thickTop="1" thickBot="1">
      <c r="A948" s="26"/>
      <c r="B948" s="55"/>
      <c r="C948" s="56" t="str">
        <f ca="1">IFERROR(__xludf.DUMMYFUNCTION("""COMPUTED_VALUE"""),"الحر")</f>
        <v>الحر</v>
      </c>
      <c r="D948" s="56"/>
      <c r="E948" s="26"/>
      <c r="F948" s="26"/>
      <c r="G948" s="26"/>
      <c r="H948" s="26"/>
      <c r="I948" s="26"/>
      <c r="J948" s="26"/>
      <c r="K948" s="26"/>
      <c r="L948" s="55"/>
      <c r="M948" s="26"/>
    </row>
    <row r="949" spans="1:13" ht="75" customHeight="1" thickTop="1" thickBot="1">
      <c r="A949" s="34"/>
      <c r="B949" s="55"/>
      <c r="C949" s="56" t="str">
        <f ca="1">IFERROR(__xludf.DUMMYFUNCTION("""COMPUTED_VALUE"""),"الحر")</f>
        <v>الحر</v>
      </c>
      <c r="D949" s="56"/>
      <c r="E949" s="26"/>
      <c r="F949" s="26"/>
      <c r="G949" s="26"/>
      <c r="H949" s="26"/>
      <c r="I949" s="26"/>
      <c r="J949" s="26"/>
      <c r="K949" s="26"/>
      <c r="L949" s="55"/>
      <c r="M949" s="26"/>
    </row>
    <row r="950" spans="1:13" ht="75" customHeight="1" thickTop="1" thickBot="1">
      <c r="A950" s="26"/>
      <c r="B950" s="55"/>
      <c r="C950" s="56" t="str">
        <f ca="1">IFERROR(__xludf.DUMMYFUNCTION("""COMPUTED_VALUE"""),"الحر")</f>
        <v>الحر</v>
      </c>
      <c r="D950" s="56"/>
      <c r="E950" s="26"/>
      <c r="F950" s="26"/>
      <c r="G950" s="26"/>
      <c r="H950" s="26"/>
      <c r="I950" s="26"/>
      <c r="J950" s="26"/>
      <c r="K950" s="26"/>
      <c r="L950" s="55"/>
      <c r="M950" s="26"/>
    </row>
    <row r="951" spans="1:13" ht="75" customHeight="1" thickTop="1" thickBot="1">
      <c r="A951" s="34"/>
      <c r="B951" s="55"/>
      <c r="C951" s="56" t="str">
        <f ca="1">IFERROR(__xludf.DUMMYFUNCTION("""COMPUTED_VALUE"""),"الحر")</f>
        <v>الحر</v>
      </c>
      <c r="D951" s="56"/>
      <c r="E951" s="26"/>
      <c r="F951" s="26"/>
      <c r="G951" s="26"/>
      <c r="H951" s="26"/>
      <c r="I951" s="26"/>
      <c r="J951" s="26"/>
      <c r="K951" s="26"/>
      <c r="L951" s="55"/>
      <c r="M951" s="26"/>
    </row>
    <row r="952" spans="1:13" ht="75" customHeight="1" thickTop="1" thickBot="1">
      <c r="A952" s="26"/>
      <c r="B952" s="55"/>
      <c r="C952" s="56" t="str">
        <f ca="1">IFERROR(__xludf.DUMMYFUNCTION("""COMPUTED_VALUE"""),"الحر")</f>
        <v>الحر</v>
      </c>
      <c r="D952" s="56"/>
      <c r="E952" s="26"/>
      <c r="F952" s="26"/>
      <c r="G952" s="26"/>
      <c r="H952" s="26"/>
      <c r="I952" s="26"/>
      <c r="J952" s="26"/>
      <c r="K952" s="26"/>
      <c r="L952" s="55"/>
      <c r="M952" s="26"/>
    </row>
    <row r="953" spans="1:13" ht="75" customHeight="1" thickTop="1" thickBot="1">
      <c r="A953" s="34"/>
      <c r="B953" s="55"/>
      <c r="C953" s="56" t="str">
        <f ca="1">IFERROR(__xludf.DUMMYFUNCTION("""COMPUTED_VALUE"""),"الحر")</f>
        <v>الحر</v>
      </c>
      <c r="D953" s="56"/>
      <c r="E953" s="26"/>
      <c r="F953" s="26"/>
      <c r="G953" s="26"/>
      <c r="H953" s="26"/>
      <c r="I953" s="26"/>
      <c r="J953" s="26"/>
      <c r="K953" s="26"/>
      <c r="L953" s="55"/>
      <c r="M953" s="26"/>
    </row>
    <row r="954" spans="1:13" ht="75" customHeight="1" thickTop="1" thickBot="1">
      <c r="A954" s="26"/>
      <c r="B954" s="55"/>
      <c r="C954" s="56" t="str">
        <f ca="1">IFERROR(__xludf.DUMMYFUNCTION("""COMPUTED_VALUE"""),"الحر")</f>
        <v>الحر</v>
      </c>
      <c r="D954" s="56"/>
      <c r="E954" s="26"/>
      <c r="F954" s="26"/>
      <c r="G954" s="26"/>
      <c r="H954" s="26"/>
      <c r="I954" s="26"/>
      <c r="J954" s="26"/>
      <c r="K954" s="26"/>
      <c r="L954" s="55"/>
      <c r="M954" s="26"/>
    </row>
    <row r="955" spans="1:13" ht="75" customHeight="1" thickTop="1" thickBot="1">
      <c r="A955" s="34"/>
      <c r="B955" s="55"/>
      <c r="C955" s="56" t="str">
        <f ca="1">IFERROR(__xludf.DUMMYFUNCTION("""COMPUTED_VALUE"""),"الحر")</f>
        <v>الحر</v>
      </c>
      <c r="D955" s="56"/>
      <c r="E955" s="26"/>
      <c r="F955" s="26"/>
      <c r="G955" s="26"/>
      <c r="H955" s="26"/>
      <c r="I955" s="26"/>
      <c r="J955" s="26"/>
      <c r="K955" s="26"/>
      <c r="L955" s="55"/>
      <c r="M955" s="26"/>
    </row>
    <row r="956" spans="1:13" ht="75" customHeight="1" thickTop="1" thickBot="1">
      <c r="A956" s="26"/>
      <c r="B956" s="55"/>
      <c r="C956" s="56" t="str">
        <f ca="1">IFERROR(__xludf.DUMMYFUNCTION("""COMPUTED_VALUE"""),"الحر")</f>
        <v>الحر</v>
      </c>
      <c r="D956" s="56"/>
      <c r="E956" s="26"/>
      <c r="F956" s="26"/>
      <c r="G956" s="26"/>
      <c r="H956" s="26"/>
      <c r="I956" s="26"/>
      <c r="J956" s="26"/>
      <c r="K956" s="26"/>
      <c r="L956" s="55"/>
      <c r="M956" s="26"/>
    </row>
    <row r="957" spans="1:13" ht="75" customHeight="1" thickTop="1" thickBot="1">
      <c r="A957" s="34"/>
      <c r="B957" s="55"/>
      <c r="C957" s="56" t="str">
        <f ca="1">IFERROR(__xludf.DUMMYFUNCTION("""COMPUTED_VALUE"""),"الحر")</f>
        <v>الحر</v>
      </c>
      <c r="D957" s="56"/>
      <c r="E957" s="26"/>
      <c r="F957" s="26"/>
      <c r="G957" s="26"/>
      <c r="H957" s="26"/>
      <c r="I957" s="26"/>
      <c r="J957" s="26"/>
      <c r="K957" s="26"/>
      <c r="L957" s="55"/>
      <c r="M957" s="26"/>
    </row>
    <row r="958" spans="1:13" ht="75" customHeight="1" thickTop="1" thickBot="1">
      <c r="A958" s="26"/>
      <c r="B958" s="55"/>
      <c r="C958" s="56" t="str">
        <f ca="1">IFERROR(__xludf.DUMMYFUNCTION("""COMPUTED_VALUE"""),"الحر")</f>
        <v>الحر</v>
      </c>
      <c r="D958" s="56"/>
      <c r="E958" s="26"/>
      <c r="F958" s="26"/>
      <c r="G958" s="26"/>
      <c r="H958" s="26"/>
      <c r="I958" s="26"/>
      <c r="J958" s="26"/>
      <c r="K958" s="26"/>
      <c r="L958" s="55"/>
      <c r="M958" s="26"/>
    </row>
    <row r="959" spans="1:13" ht="75" customHeight="1" thickTop="1" thickBot="1">
      <c r="A959" s="34"/>
      <c r="B959" s="55"/>
      <c r="C959" s="56" t="str">
        <f ca="1">IFERROR(__xludf.DUMMYFUNCTION("""COMPUTED_VALUE"""),"الحر")</f>
        <v>الحر</v>
      </c>
      <c r="D959" s="56"/>
      <c r="E959" s="26"/>
      <c r="F959" s="26"/>
      <c r="G959" s="26"/>
      <c r="H959" s="26"/>
      <c r="I959" s="26"/>
      <c r="J959" s="26"/>
      <c r="K959" s="26"/>
      <c r="L959" s="55"/>
      <c r="M959" s="26"/>
    </row>
    <row r="960" spans="1:13" ht="75" customHeight="1" thickTop="1" thickBot="1">
      <c r="A960" s="26"/>
      <c r="B960" s="55"/>
      <c r="C960" s="56" t="str">
        <f ca="1">IFERROR(__xludf.DUMMYFUNCTION("""COMPUTED_VALUE"""),"الحر")</f>
        <v>الحر</v>
      </c>
      <c r="D960" s="56"/>
      <c r="E960" s="26"/>
      <c r="F960" s="26"/>
      <c r="G960" s="26"/>
      <c r="H960" s="26"/>
      <c r="I960" s="26"/>
      <c r="J960" s="26"/>
      <c r="K960" s="26"/>
      <c r="L960" s="55"/>
      <c r="M960" s="26"/>
    </row>
    <row r="961" spans="1:13" ht="75" customHeight="1" thickTop="1" thickBot="1">
      <c r="A961" s="34"/>
      <c r="B961" s="55"/>
      <c r="C961" s="56" t="str">
        <f ca="1">IFERROR(__xludf.DUMMYFUNCTION("""COMPUTED_VALUE"""),"الحر")</f>
        <v>الحر</v>
      </c>
      <c r="D961" s="56"/>
      <c r="E961" s="26"/>
      <c r="F961" s="26"/>
      <c r="G961" s="26"/>
      <c r="H961" s="26"/>
      <c r="I961" s="26"/>
      <c r="J961" s="26"/>
      <c r="K961" s="26"/>
      <c r="L961" s="55"/>
      <c r="M961" s="26"/>
    </row>
    <row r="962" spans="1:13" ht="75" customHeight="1" thickTop="1" thickBot="1">
      <c r="A962" s="26"/>
      <c r="B962" s="55"/>
      <c r="C962" s="56" t="str">
        <f ca="1">IFERROR(__xludf.DUMMYFUNCTION("""COMPUTED_VALUE"""),"الحر")</f>
        <v>الحر</v>
      </c>
      <c r="D962" s="56"/>
      <c r="E962" s="26"/>
      <c r="F962" s="26"/>
      <c r="G962" s="26"/>
      <c r="H962" s="26"/>
      <c r="I962" s="26"/>
      <c r="J962" s="26"/>
      <c r="K962" s="26"/>
      <c r="L962" s="55"/>
      <c r="M962" s="26"/>
    </row>
    <row r="963" spans="1:13" ht="75" customHeight="1" thickTop="1" thickBot="1">
      <c r="A963" s="34"/>
      <c r="B963" s="55"/>
      <c r="C963" s="56" t="str">
        <f ca="1">IFERROR(__xludf.DUMMYFUNCTION("""COMPUTED_VALUE"""),"الحر")</f>
        <v>الحر</v>
      </c>
      <c r="D963" s="56"/>
      <c r="E963" s="26"/>
      <c r="F963" s="26"/>
      <c r="G963" s="26"/>
      <c r="H963" s="26"/>
      <c r="I963" s="26"/>
      <c r="J963" s="26"/>
      <c r="K963" s="26"/>
      <c r="L963" s="55"/>
      <c r="M963" s="26"/>
    </row>
    <row r="964" spans="1:13" ht="75" customHeight="1" thickTop="1" thickBot="1">
      <c r="A964" s="26"/>
      <c r="B964" s="55"/>
      <c r="C964" s="56" t="str">
        <f ca="1">IFERROR(__xludf.DUMMYFUNCTION("""COMPUTED_VALUE"""),"الحر")</f>
        <v>الحر</v>
      </c>
      <c r="D964" s="56"/>
      <c r="E964" s="26"/>
      <c r="F964" s="26"/>
      <c r="G964" s="26"/>
      <c r="H964" s="26"/>
      <c r="I964" s="26"/>
      <c r="J964" s="26"/>
      <c r="K964" s="26"/>
      <c r="L964" s="55"/>
      <c r="M964" s="26"/>
    </row>
    <row r="965" spans="1:13" ht="75" customHeight="1" thickTop="1" thickBot="1">
      <c r="A965" s="34"/>
      <c r="B965" s="55"/>
      <c r="C965" s="56" t="str">
        <f ca="1">IFERROR(__xludf.DUMMYFUNCTION("""COMPUTED_VALUE"""),"الحر")</f>
        <v>الحر</v>
      </c>
      <c r="D965" s="56"/>
      <c r="E965" s="26"/>
      <c r="F965" s="26"/>
      <c r="G965" s="26"/>
      <c r="H965" s="26"/>
      <c r="I965" s="26"/>
      <c r="J965" s="26"/>
      <c r="K965" s="26"/>
      <c r="L965" s="55"/>
      <c r="M965" s="26"/>
    </row>
    <row r="966" spans="1:13" ht="75" customHeight="1" thickTop="1" thickBot="1">
      <c r="A966" s="26"/>
      <c r="B966" s="55"/>
      <c r="C966" s="56" t="str">
        <f ca="1">IFERROR(__xludf.DUMMYFUNCTION("""COMPUTED_VALUE"""),"الحر")</f>
        <v>الحر</v>
      </c>
      <c r="D966" s="56"/>
      <c r="E966" s="26"/>
      <c r="F966" s="26"/>
      <c r="G966" s="26"/>
      <c r="H966" s="26"/>
      <c r="I966" s="26"/>
      <c r="J966" s="26"/>
      <c r="K966" s="26"/>
      <c r="L966" s="55"/>
      <c r="M966" s="26"/>
    </row>
    <row r="967" spans="1:13" ht="75" customHeight="1" thickTop="1" thickBot="1">
      <c r="A967" s="34"/>
      <c r="B967" s="55"/>
      <c r="C967" s="56" t="str">
        <f ca="1">IFERROR(__xludf.DUMMYFUNCTION("""COMPUTED_VALUE"""),"الحر")</f>
        <v>الحر</v>
      </c>
      <c r="D967" s="56"/>
      <c r="E967" s="26"/>
      <c r="F967" s="26"/>
      <c r="G967" s="26"/>
      <c r="H967" s="26"/>
      <c r="I967" s="26"/>
      <c r="J967" s="26"/>
      <c r="K967" s="26"/>
      <c r="L967" s="55"/>
      <c r="M967" s="26"/>
    </row>
    <row r="968" spans="1:13" ht="75" customHeight="1" thickTop="1" thickBot="1">
      <c r="A968" s="26"/>
      <c r="B968" s="55"/>
      <c r="C968" s="56" t="str">
        <f ca="1">IFERROR(__xludf.DUMMYFUNCTION("""COMPUTED_VALUE"""),"الحر")</f>
        <v>الحر</v>
      </c>
      <c r="D968" s="56"/>
      <c r="E968" s="26"/>
      <c r="F968" s="26"/>
      <c r="G968" s="26"/>
      <c r="H968" s="26"/>
      <c r="I968" s="26"/>
      <c r="J968" s="26"/>
      <c r="K968" s="26"/>
      <c r="L968" s="55"/>
      <c r="M968" s="26"/>
    </row>
    <row r="969" spans="1:13" ht="75" customHeight="1" thickTop="1" thickBot="1">
      <c r="A969" s="34"/>
      <c r="B969" s="55"/>
      <c r="C969" s="56" t="str">
        <f ca="1">IFERROR(__xludf.DUMMYFUNCTION("""COMPUTED_VALUE"""),"الحر")</f>
        <v>الحر</v>
      </c>
      <c r="D969" s="56"/>
      <c r="E969" s="26"/>
      <c r="F969" s="26"/>
      <c r="G969" s="26"/>
      <c r="H969" s="26"/>
      <c r="I969" s="26"/>
      <c r="J969" s="26"/>
      <c r="K969" s="26"/>
      <c r="L969" s="55"/>
      <c r="M969" s="26"/>
    </row>
    <row r="970" spans="1:13" ht="75" customHeight="1" thickTop="1" thickBot="1">
      <c r="A970" s="26"/>
      <c r="B970" s="55"/>
      <c r="C970" s="56" t="str">
        <f ca="1">IFERROR(__xludf.DUMMYFUNCTION("""COMPUTED_VALUE"""),"الحر")</f>
        <v>الحر</v>
      </c>
      <c r="D970" s="56"/>
      <c r="E970" s="26"/>
      <c r="F970" s="26"/>
      <c r="G970" s="26"/>
      <c r="H970" s="26"/>
      <c r="I970" s="26"/>
      <c r="J970" s="26"/>
      <c r="K970" s="26"/>
      <c r="L970" s="55"/>
      <c r="M970" s="26"/>
    </row>
    <row r="971" spans="1:13" ht="75" customHeight="1" thickTop="1" thickBot="1">
      <c r="A971" s="34"/>
      <c r="B971" s="55"/>
      <c r="C971" s="56" t="str">
        <f ca="1">IFERROR(__xludf.DUMMYFUNCTION("""COMPUTED_VALUE"""),"الحر")</f>
        <v>الحر</v>
      </c>
      <c r="D971" s="56"/>
      <c r="E971" s="26"/>
      <c r="F971" s="26"/>
      <c r="G971" s="26"/>
      <c r="H971" s="26"/>
      <c r="I971" s="26"/>
      <c r="J971" s="26"/>
      <c r="K971" s="26"/>
      <c r="L971" s="55"/>
      <c r="M971" s="26"/>
    </row>
    <row r="972" spans="1:13" ht="75" customHeight="1" thickTop="1" thickBot="1">
      <c r="A972" s="26"/>
      <c r="B972" s="55"/>
      <c r="C972" s="56" t="str">
        <f ca="1">IFERROR(__xludf.DUMMYFUNCTION("""COMPUTED_VALUE"""),"الحر")</f>
        <v>الحر</v>
      </c>
      <c r="D972" s="56"/>
      <c r="E972" s="26"/>
      <c r="F972" s="26"/>
      <c r="G972" s="26"/>
      <c r="H972" s="26"/>
      <c r="I972" s="26"/>
      <c r="J972" s="26"/>
      <c r="K972" s="26"/>
      <c r="L972" s="55"/>
      <c r="M972" s="26"/>
    </row>
    <row r="973" spans="1:13" ht="75" customHeight="1" thickTop="1" thickBot="1">
      <c r="A973" s="34"/>
      <c r="B973" s="55"/>
      <c r="C973" s="56" t="str">
        <f ca="1">IFERROR(__xludf.DUMMYFUNCTION("""COMPUTED_VALUE"""),"الحر")</f>
        <v>الحر</v>
      </c>
      <c r="D973" s="56"/>
      <c r="E973" s="26"/>
      <c r="F973" s="26"/>
      <c r="G973" s="26"/>
      <c r="H973" s="26"/>
      <c r="I973" s="26"/>
      <c r="J973" s="26"/>
      <c r="K973" s="26"/>
      <c r="L973" s="55"/>
      <c r="M973" s="26"/>
    </row>
    <row r="974" spans="1:13" ht="75" customHeight="1" thickTop="1" thickBot="1">
      <c r="A974" s="26"/>
      <c r="B974" s="55"/>
      <c r="C974" s="56" t="str">
        <f ca="1">IFERROR(__xludf.DUMMYFUNCTION("""COMPUTED_VALUE"""),"الحر")</f>
        <v>الحر</v>
      </c>
      <c r="D974" s="56"/>
      <c r="E974" s="26"/>
      <c r="F974" s="26"/>
      <c r="G974" s="26"/>
      <c r="H974" s="26"/>
      <c r="I974" s="26"/>
      <c r="J974" s="26"/>
      <c r="K974" s="26"/>
      <c r="L974" s="55"/>
      <c r="M974" s="26"/>
    </row>
    <row r="975" spans="1:13" ht="75" customHeight="1" thickTop="1" thickBot="1">
      <c r="A975" s="34"/>
      <c r="B975" s="55"/>
      <c r="C975" s="56" t="str">
        <f ca="1">IFERROR(__xludf.DUMMYFUNCTION("""COMPUTED_VALUE"""),"الحر")</f>
        <v>الحر</v>
      </c>
      <c r="D975" s="56"/>
      <c r="E975" s="26"/>
      <c r="F975" s="26"/>
      <c r="G975" s="26"/>
      <c r="H975" s="26"/>
      <c r="I975" s="26"/>
      <c r="J975" s="26"/>
      <c r="K975" s="26"/>
      <c r="L975" s="55"/>
      <c r="M975" s="26"/>
    </row>
    <row r="976" spans="1:13" ht="75" customHeight="1" thickTop="1" thickBot="1">
      <c r="A976" s="26"/>
      <c r="B976" s="55"/>
      <c r="C976" s="56" t="str">
        <f ca="1">IFERROR(__xludf.DUMMYFUNCTION("""COMPUTED_VALUE"""),"الحر")</f>
        <v>الحر</v>
      </c>
      <c r="D976" s="56"/>
      <c r="E976" s="26"/>
      <c r="F976" s="26"/>
      <c r="G976" s="26"/>
      <c r="H976" s="26"/>
      <c r="I976" s="26"/>
      <c r="J976" s="26"/>
      <c r="K976" s="26"/>
      <c r="L976" s="55"/>
      <c r="M976" s="26"/>
    </row>
    <row r="977" spans="1:13" ht="75" customHeight="1" thickTop="1" thickBot="1">
      <c r="A977" s="34"/>
      <c r="B977" s="55"/>
      <c r="C977" s="56" t="str">
        <f ca="1">IFERROR(__xludf.DUMMYFUNCTION("""COMPUTED_VALUE"""),"الحر")</f>
        <v>الحر</v>
      </c>
      <c r="D977" s="56"/>
      <c r="E977" s="26"/>
      <c r="F977" s="26"/>
      <c r="G977" s="26"/>
      <c r="H977" s="26"/>
      <c r="I977" s="26"/>
      <c r="J977" s="26"/>
      <c r="K977" s="26"/>
      <c r="L977" s="55"/>
      <c r="M977" s="26"/>
    </row>
    <row r="978" spans="1:13" ht="75" customHeight="1" thickTop="1" thickBot="1">
      <c r="A978" s="26"/>
      <c r="B978" s="55"/>
      <c r="C978" s="56" t="str">
        <f ca="1">IFERROR(__xludf.DUMMYFUNCTION("""COMPUTED_VALUE"""),"الحر")</f>
        <v>الحر</v>
      </c>
      <c r="D978" s="56"/>
      <c r="E978" s="26"/>
      <c r="F978" s="26"/>
      <c r="G978" s="26"/>
      <c r="H978" s="26"/>
      <c r="I978" s="26"/>
      <c r="J978" s="26"/>
      <c r="K978" s="26"/>
      <c r="L978" s="55"/>
      <c r="M978" s="26"/>
    </row>
    <row r="979" spans="1:13" ht="75" customHeight="1" thickTop="1" thickBot="1">
      <c r="A979" s="34"/>
      <c r="B979" s="55"/>
      <c r="C979" s="56" t="str">
        <f ca="1">IFERROR(__xludf.DUMMYFUNCTION("""COMPUTED_VALUE"""),"الحر")</f>
        <v>الحر</v>
      </c>
      <c r="D979" s="56"/>
      <c r="E979" s="26"/>
      <c r="F979" s="26"/>
      <c r="G979" s="26"/>
      <c r="H979" s="26"/>
      <c r="I979" s="26"/>
      <c r="J979" s="26"/>
      <c r="K979" s="26"/>
      <c r="L979" s="55"/>
      <c r="M979" s="26"/>
    </row>
    <row r="980" spans="1:13" ht="75" customHeight="1" thickTop="1" thickBot="1">
      <c r="A980" s="26"/>
      <c r="B980" s="55"/>
      <c r="C980" s="56" t="str">
        <f ca="1">IFERROR(__xludf.DUMMYFUNCTION("""COMPUTED_VALUE"""),"الحر")</f>
        <v>الحر</v>
      </c>
      <c r="D980" s="56"/>
      <c r="E980" s="26"/>
      <c r="F980" s="26"/>
      <c r="G980" s="26"/>
      <c r="H980" s="26"/>
      <c r="I980" s="26"/>
      <c r="J980" s="26"/>
      <c r="K980" s="26"/>
      <c r="L980" s="55"/>
      <c r="M980" s="26"/>
    </row>
    <row r="981" spans="1:13" ht="75" customHeight="1" thickTop="1" thickBot="1">
      <c r="A981" s="34"/>
      <c r="B981" s="55"/>
      <c r="C981" s="56" t="str">
        <f ca="1">IFERROR(__xludf.DUMMYFUNCTION("""COMPUTED_VALUE"""),"الحر")</f>
        <v>الحر</v>
      </c>
      <c r="D981" s="56"/>
      <c r="E981" s="26"/>
      <c r="F981" s="26"/>
      <c r="G981" s="26"/>
      <c r="H981" s="26"/>
      <c r="I981" s="26"/>
      <c r="J981" s="26"/>
      <c r="K981" s="26"/>
      <c r="L981" s="55"/>
      <c r="M981" s="26"/>
    </row>
    <row r="982" spans="1:13" ht="75" customHeight="1" thickTop="1" thickBot="1">
      <c r="A982" s="26"/>
      <c r="B982" s="55"/>
      <c r="C982" s="56" t="str">
        <f ca="1">IFERROR(__xludf.DUMMYFUNCTION("""COMPUTED_VALUE"""),"الحر")</f>
        <v>الحر</v>
      </c>
      <c r="D982" s="56"/>
      <c r="E982" s="26"/>
      <c r="F982" s="26"/>
      <c r="G982" s="26"/>
      <c r="H982" s="26"/>
      <c r="I982" s="26"/>
      <c r="J982" s="26"/>
      <c r="K982" s="26"/>
      <c r="L982" s="55"/>
      <c r="M982" s="26"/>
    </row>
    <row r="983" spans="1:13" ht="75" customHeight="1" thickTop="1" thickBot="1">
      <c r="A983" s="34"/>
      <c r="B983" s="55"/>
      <c r="C983" s="56" t="str">
        <f ca="1">IFERROR(__xludf.DUMMYFUNCTION("""COMPUTED_VALUE"""),"الحر")</f>
        <v>الحر</v>
      </c>
      <c r="D983" s="56"/>
      <c r="E983" s="26"/>
      <c r="F983" s="26"/>
      <c r="G983" s="26"/>
      <c r="H983" s="26"/>
      <c r="I983" s="26"/>
      <c r="J983" s="26"/>
      <c r="K983" s="26"/>
      <c r="L983" s="55"/>
      <c r="M983" s="26"/>
    </row>
    <row r="984" spans="1:13" ht="75" customHeight="1" thickTop="1" thickBot="1">
      <c r="A984" s="26"/>
      <c r="B984" s="55"/>
      <c r="C984" s="56" t="str">
        <f ca="1">IFERROR(__xludf.DUMMYFUNCTION("""COMPUTED_VALUE"""),"الحر")</f>
        <v>الحر</v>
      </c>
      <c r="D984" s="56"/>
      <c r="E984" s="26"/>
      <c r="F984" s="26"/>
      <c r="G984" s="26"/>
      <c r="H984" s="26"/>
      <c r="I984" s="26"/>
      <c r="J984" s="26"/>
      <c r="K984" s="26"/>
      <c r="L984" s="55"/>
      <c r="M984" s="26"/>
    </row>
    <row r="985" spans="1:13" ht="75" customHeight="1" thickTop="1" thickBot="1">
      <c r="A985" s="34"/>
      <c r="B985" s="55"/>
      <c r="C985" s="56" t="str">
        <f ca="1">IFERROR(__xludf.DUMMYFUNCTION("""COMPUTED_VALUE"""),"الحر")</f>
        <v>الحر</v>
      </c>
      <c r="D985" s="56"/>
      <c r="E985" s="26"/>
      <c r="F985" s="26"/>
      <c r="G985" s="26"/>
      <c r="H985" s="26"/>
      <c r="I985" s="26"/>
      <c r="J985" s="26"/>
      <c r="K985" s="26"/>
      <c r="L985" s="55"/>
      <c r="M985" s="26"/>
    </row>
    <row r="986" spans="1:13" ht="75" customHeight="1" thickTop="1" thickBot="1">
      <c r="A986" s="26"/>
      <c r="B986" s="55"/>
      <c r="C986" s="56" t="str">
        <f ca="1">IFERROR(__xludf.DUMMYFUNCTION("""COMPUTED_VALUE"""),"الحر")</f>
        <v>الحر</v>
      </c>
      <c r="D986" s="56"/>
      <c r="E986" s="26"/>
      <c r="F986" s="26"/>
      <c r="G986" s="26"/>
      <c r="H986" s="26"/>
      <c r="I986" s="26"/>
      <c r="J986" s="26"/>
      <c r="K986" s="26"/>
      <c r="L986" s="55"/>
      <c r="M986" s="26"/>
    </row>
    <row r="987" spans="1:13" ht="75" customHeight="1" thickTop="1" thickBot="1">
      <c r="A987" s="34"/>
      <c r="B987" s="55"/>
      <c r="C987" s="56" t="str">
        <f ca="1">IFERROR(__xludf.DUMMYFUNCTION("""COMPUTED_VALUE"""),"الحر")</f>
        <v>الحر</v>
      </c>
      <c r="D987" s="56"/>
      <c r="E987" s="26"/>
      <c r="F987" s="26"/>
      <c r="G987" s="26"/>
      <c r="H987" s="26"/>
      <c r="I987" s="26"/>
      <c r="J987" s="26"/>
      <c r="K987" s="26"/>
      <c r="L987" s="55"/>
      <c r="M987" s="26"/>
    </row>
    <row r="988" spans="1:13" ht="75" customHeight="1" thickTop="1" thickBot="1">
      <c r="A988" s="26"/>
      <c r="B988" s="55"/>
      <c r="C988" s="56" t="str">
        <f ca="1">IFERROR(__xludf.DUMMYFUNCTION("""COMPUTED_VALUE"""),"الحر")</f>
        <v>الحر</v>
      </c>
      <c r="D988" s="56"/>
      <c r="E988" s="26"/>
      <c r="F988" s="26"/>
      <c r="G988" s="26"/>
      <c r="H988" s="26"/>
      <c r="I988" s="26"/>
      <c r="J988" s="26"/>
      <c r="K988" s="26"/>
      <c r="L988" s="55"/>
      <c r="M988" s="26"/>
    </row>
    <row r="989" spans="1:13" ht="75" customHeight="1" thickTop="1" thickBot="1">
      <c r="A989" s="34"/>
      <c r="B989" s="55"/>
      <c r="C989" s="56" t="str">
        <f ca="1">IFERROR(__xludf.DUMMYFUNCTION("""COMPUTED_VALUE"""),"الحر")</f>
        <v>الحر</v>
      </c>
      <c r="D989" s="56"/>
      <c r="E989" s="26"/>
      <c r="F989" s="26"/>
      <c r="G989" s="26"/>
      <c r="H989" s="26"/>
      <c r="I989" s="26"/>
      <c r="J989" s="26"/>
      <c r="K989" s="26"/>
      <c r="L989" s="55"/>
      <c r="M989" s="26"/>
    </row>
    <row r="990" spans="1:13" ht="75" customHeight="1" thickTop="1" thickBot="1">
      <c r="A990" s="26"/>
      <c r="B990" s="55"/>
      <c r="C990" s="56" t="str">
        <f ca="1">IFERROR(__xludf.DUMMYFUNCTION("""COMPUTED_VALUE"""),"الحر")</f>
        <v>الحر</v>
      </c>
      <c r="D990" s="56"/>
      <c r="E990" s="26"/>
      <c r="F990" s="26"/>
      <c r="G990" s="26"/>
      <c r="H990" s="26"/>
      <c r="I990" s="26"/>
      <c r="J990" s="26"/>
      <c r="K990" s="26"/>
      <c r="L990" s="55"/>
      <c r="M990" s="26"/>
    </row>
    <row r="991" spans="1:13" ht="75" customHeight="1" thickTop="1" thickBot="1">
      <c r="A991" s="34"/>
      <c r="B991" s="55"/>
      <c r="C991" s="56" t="str">
        <f ca="1">IFERROR(__xludf.DUMMYFUNCTION("""COMPUTED_VALUE"""),"الحر")</f>
        <v>الحر</v>
      </c>
      <c r="D991" s="56"/>
      <c r="E991" s="26"/>
      <c r="F991" s="26"/>
      <c r="G991" s="26"/>
      <c r="H991" s="26"/>
      <c r="I991" s="26"/>
      <c r="J991" s="26"/>
      <c r="K991" s="26"/>
      <c r="L991" s="55"/>
      <c r="M991" s="26"/>
    </row>
    <row r="992" spans="1:13" ht="75" customHeight="1" thickTop="1" thickBot="1">
      <c r="A992" s="26"/>
      <c r="B992" s="55"/>
      <c r="C992" s="56" t="str">
        <f ca="1">IFERROR(__xludf.DUMMYFUNCTION("""COMPUTED_VALUE"""),"الحر")</f>
        <v>الحر</v>
      </c>
      <c r="D992" s="56"/>
      <c r="E992" s="26"/>
      <c r="F992" s="26"/>
      <c r="G992" s="26"/>
      <c r="H992" s="26"/>
      <c r="I992" s="26"/>
      <c r="J992" s="26"/>
      <c r="K992" s="26"/>
      <c r="L992" s="55"/>
      <c r="M992" s="26"/>
    </row>
    <row r="993" spans="1:13" ht="75" customHeight="1" thickTop="1" thickBot="1">
      <c r="A993" s="34"/>
      <c r="B993" s="55"/>
      <c r="C993" s="56" t="str">
        <f ca="1">IFERROR(__xludf.DUMMYFUNCTION("""COMPUTED_VALUE"""),"الحر")</f>
        <v>الحر</v>
      </c>
      <c r="D993" s="56"/>
      <c r="E993" s="26"/>
      <c r="F993" s="26"/>
      <c r="G993" s="26"/>
      <c r="H993" s="26"/>
      <c r="I993" s="26"/>
      <c r="J993" s="26"/>
      <c r="K993" s="26"/>
      <c r="L993" s="55"/>
      <c r="M993" s="26"/>
    </row>
    <row r="994" spans="1:13" ht="75" customHeight="1" thickTop="1" thickBot="1">
      <c r="A994" s="26"/>
      <c r="B994" s="55"/>
      <c r="C994" s="56" t="str">
        <f ca="1">IFERROR(__xludf.DUMMYFUNCTION("""COMPUTED_VALUE"""),"الحر")</f>
        <v>الحر</v>
      </c>
      <c r="D994" s="56"/>
      <c r="E994" s="26"/>
      <c r="F994" s="26"/>
      <c r="G994" s="26"/>
      <c r="H994" s="26"/>
      <c r="I994" s="26"/>
      <c r="J994" s="26"/>
      <c r="K994" s="26"/>
      <c r="L994" s="55"/>
      <c r="M994" s="26"/>
    </row>
    <row r="995" spans="1:13" ht="75" customHeight="1" thickTop="1" thickBot="1">
      <c r="A995" s="34"/>
      <c r="B995" s="55"/>
      <c r="C995" s="56" t="str">
        <f ca="1">IFERROR(__xludf.DUMMYFUNCTION("""COMPUTED_VALUE"""),"الحر")</f>
        <v>الحر</v>
      </c>
      <c r="D995" s="56"/>
      <c r="E995" s="26"/>
      <c r="F995" s="26"/>
      <c r="G995" s="26"/>
      <c r="H995" s="26"/>
      <c r="I995" s="26"/>
      <c r="J995" s="26"/>
      <c r="K995" s="26"/>
      <c r="L995" s="55"/>
      <c r="M995" s="26"/>
    </row>
    <row r="996" spans="1:13" ht="75" customHeight="1" thickTop="1" thickBot="1">
      <c r="A996" s="26"/>
      <c r="B996" s="55"/>
      <c r="C996" s="56" t="str">
        <f ca="1">IFERROR(__xludf.DUMMYFUNCTION("""COMPUTED_VALUE"""),"الحر")</f>
        <v>الحر</v>
      </c>
      <c r="D996" s="56"/>
      <c r="E996" s="26"/>
      <c r="F996" s="26"/>
      <c r="G996" s="26"/>
      <c r="H996" s="26"/>
      <c r="I996" s="26"/>
      <c r="J996" s="26"/>
      <c r="K996" s="26"/>
      <c r="L996" s="55"/>
      <c r="M996" s="26"/>
    </row>
    <row r="997" spans="1:13" ht="75" customHeight="1" thickTop="1" thickBot="1">
      <c r="A997" s="34"/>
      <c r="B997" s="55"/>
      <c r="C997" s="56" t="str">
        <f ca="1">IFERROR(__xludf.DUMMYFUNCTION("""COMPUTED_VALUE"""),"الحر")</f>
        <v>الحر</v>
      </c>
      <c r="D997" s="56"/>
      <c r="E997" s="26"/>
      <c r="F997" s="26"/>
      <c r="G997" s="26"/>
      <c r="H997" s="26"/>
      <c r="I997" s="26"/>
      <c r="J997" s="26"/>
      <c r="K997" s="26"/>
      <c r="L997" s="55"/>
      <c r="M997" s="26"/>
    </row>
    <row r="998" spans="1:13" ht="75" customHeight="1" thickTop="1" thickBot="1">
      <c r="A998" s="26"/>
      <c r="B998" s="55"/>
      <c r="C998" s="56" t="str">
        <f ca="1">IFERROR(__xludf.DUMMYFUNCTION("""COMPUTED_VALUE"""),"الحر")</f>
        <v>الحر</v>
      </c>
      <c r="D998" s="56"/>
      <c r="E998" s="26"/>
      <c r="F998" s="26"/>
      <c r="G998" s="26"/>
      <c r="H998" s="26"/>
      <c r="I998" s="26"/>
      <c r="J998" s="26"/>
      <c r="K998" s="26"/>
      <c r="L998" s="55"/>
      <c r="M998" s="26"/>
    </row>
    <row r="999" spans="1:13" ht="75" customHeight="1" thickTop="1" thickBot="1">
      <c r="A999" s="34"/>
      <c r="B999" s="55"/>
      <c r="C999" s="56" t="str">
        <f ca="1">IFERROR(__xludf.DUMMYFUNCTION("""COMPUTED_VALUE"""),"الحر")</f>
        <v>الحر</v>
      </c>
      <c r="D999" s="56"/>
      <c r="E999" s="26"/>
      <c r="F999" s="26"/>
      <c r="G999" s="26"/>
      <c r="H999" s="26"/>
      <c r="I999" s="26"/>
      <c r="J999" s="26"/>
      <c r="K999" s="26"/>
      <c r="L999" s="55"/>
      <c r="M999" s="26"/>
    </row>
    <row r="1000" spans="1:13" ht="75" customHeight="1" thickTop="1" thickBot="1">
      <c r="A1000" s="26"/>
      <c r="B1000" s="55"/>
      <c r="C1000" s="56" t="str">
        <f ca="1">IFERROR(__xludf.DUMMYFUNCTION("""COMPUTED_VALUE"""),"الحر")</f>
        <v>الحر</v>
      </c>
      <c r="D1000" s="56"/>
      <c r="E1000" s="26"/>
      <c r="F1000" s="26"/>
      <c r="G1000" s="26"/>
      <c r="H1000" s="26"/>
      <c r="I1000" s="26"/>
      <c r="J1000" s="26"/>
      <c r="K1000" s="26"/>
      <c r="L1000" s="55"/>
      <c r="M1000" s="26"/>
    </row>
    <row r="1001" spans="1:13" ht="75" customHeight="1" thickTop="1" thickBot="1">
      <c r="A1001" s="34"/>
      <c r="B1001" s="55"/>
      <c r="C1001" s="56" t="str">
        <f ca="1">IFERROR(__xludf.DUMMYFUNCTION("""COMPUTED_VALUE"""),"الحر")</f>
        <v>الحر</v>
      </c>
      <c r="D1001" s="56"/>
      <c r="E1001" s="26"/>
      <c r="F1001" s="26"/>
      <c r="G1001" s="26"/>
      <c r="H1001" s="26"/>
      <c r="I1001" s="26"/>
      <c r="J1001" s="26"/>
      <c r="K1001" s="26"/>
      <c r="L1001" s="55"/>
      <c r="M1001" s="26"/>
    </row>
    <row r="1002" spans="1:13" ht="75" customHeight="1" thickTop="1" thickBot="1">
      <c r="A1002" s="26"/>
      <c r="B1002" s="57"/>
      <c r="C1002" s="58" t="str">
        <f ca="1">IFERROR(__xludf.DUMMYFUNCTION("""COMPUTED_VALUE"""),"الحر")</f>
        <v>الحر</v>
      </c>
      <c r="D1002" s="58"/>
      <c r="E1002" s="48"/>
      <c r="F1002" s="48"/>
      <c r="G1002" s="48"/>
      <c r="H1002" s="48"/>
      <c r="I1002" s="48"/>
      <c r="J1002" s="48"/>
      <c r="K1002" s="48"/>
      <c r="L1002" s="57"/>
      <c r="M1002" s="48"/>
    </row>
    <row r="1003" spans="1:13" ht="75" customHeight="1" thickTop="1" thickBot="1">
      <c r="A1003" s="31"/>
      <c r="B1003" s="2"/>
      <c r="C1003" s="3"/>
      <c r="D1003" s="3"/>
      <c r="E1003" s="4"/>
      <c r="F1003" s="43"/>
      <c r="G1003" s="4"/>
      <c r="H1003" s="30"/>
      <c r="I1003" s="4"/>
      <c r="J1003" s="26"/>
      <c r="K1003" s="27"/>
      <c r="L1003" s="2"/>
      <c r="M1003" s="24"/>
    </row>
    <row r="1004" spans="1:13" ht="75" customHeight="1" thickTop="1" thickBot="1">
      <c r="A1004" s="4"/>
      <c r="B1004" s="2"/>
      <c r="C1004" s="3"/>
      <c r="D1004" s="3"/>
      <c r="E1004" s="4"/>
      <c r="F1004" s="43"/>
      <c r="G1004" s="4"/>
      <c r="H1004" s="30"/>
      <c r="I1004" s="4"/>
      <c r="J1004" s="26"/>
      <c r="K1004" s="27"/>
      <c r="L1004" s="2"/>
      <c r="M1004" s="24"/>
    </row>
    <row r="1005" spans="1:13" ht="75" customHeight="1" thickTop="1" thickBot="1">
      <c r="A1005" s="31"/>
      <c r="B1005" s="2"/>
      <c r="C1005" s="3"/>
      <c r="D1005" s="3"/>
      <c r="E1005" s="4"/>
      <c r="F1005" s="43"/>
      <c r="G1005" s="4"/>
      <c r="H1005" s="30"/>
      <c r="I1005" s="4"/>
      <c r="J1005" s="26"/>
      <c r="K1005" s="27"/>
      <c r="L1005" s="2"/>
      <c r="M1005" s="24"/>
    </row>
    <row r="1006" spans="1:13" ht="75" customHeight="1" thickTop="1" thickBot="1">
      <c r="A1006" s="4"/>
      <c r="B1006" s="2"/>
      <c r="C1006" s="3"/>
      <c r="D1006" s="3"/>
      <c r="E1006" s="4"/>
      <c r="F1006" s="43"/>
      <c r="G1006" s="4"/>
      <c r="H1006" s="30"/>
      <c r="I1006" s="4"/>
      <c r="J1006" s="26"/>
      <c r="K1006" s="27"/>
      <c r="L1006" s="2"/>
      <c r="M1006" s="24"/>
    </row>
    <row r="1007" spans="1:13" ht="75" customHeight="1" thickTop="1" thickBot="1">
      <c r="A1007" s="31"/>
      <c r="B1007" s="2"/>
      <c r="C1007" s="3"/>
      <c r="D1007" s="3"/>
      <c r="E1007" s="4"/>
      <c r="F1007" s="43"/>
      <c r="G1007" s="4"/>
      <c r="H1007" s="30"/>
      <c r="I1007" s="4"/>
      <c r="J1007" s="26"/>
      <c r="K1007" s="27"/>
      <c r="L1007" s="2"/>
      <c r="M1007" s="24"/>
    </row>
    <row r="1008" spans="1:13" ht="75" customHeight="1" thickTop="1" thickBot="1">
      <c r="A1008" s="4"/>
      <c r="B1008" s="2"/>
      <c r="C1008" s="3"/>
      <c r="D1008" s="3"/>
      <c r="E1008" s="4"/>
      <c r="F1008" s="43"/>
      <c r="G1008" s="4"/>
      <c r="H1008" s="30"/>
      <c r="I1008" s="4"/>
      <c r="J1008" s="26"/>
      <c r="K1008" s="27"/>
      <c r="L1008" s="2"/>
      <c r="M1008" s="24"/>
    </row>
    <row r="1009" spans="1:13" ht="75" customHeight="1" thickTop="1" thickBot="1">
      <c r="A1009" s="4"/>
      <c r="B1009" s="2"/>
      <c r="C1009" s="3"/>
      <c r="D1009" s="3"/>
      <c r="E1009" s="4"/>
      <c r="F1009" s="43"/>
      <c r="G1009" s="4"/>
      <c r="H1009" s="30"/>
      <c r="I1009" s="4"/>
      <c r="J1009" s="26"/>
      <c r="K1009" s="27"/>
      <c r="L1009" s="2"/>
      <c r="M1009" s="24"/>
    </row>
    <row r="1010" spans="1:13" ht="75" customHeight="1" thickTop="1" thickBot="1">
      <c r="A1010" s="4"/>
      <c r="B1010" s="2"/>
      <c r="C1010" s="3"/>
      <c r="D1010" s="3"/>
      <c r="E1010" s="4"/>
      <c r="F1010" s="43"/>
      <c r="G1010" s="4"/>
      <c r="H1010" s="30"/>
      <c r="I1010" s="4"/>
      <c r="J1010" s="26"/>
      <c r="K1010" s="27"/>
      <c r="L1010" s="2"/>
      <c r="M1010" s="24"/>
    </row>
    <row r="1011" spans="1:13" ht="75" customHeight="1" thickTop="1" thickBot="1">
      <c r="A1011" s="4"/>
      <c r="B1011" s="2"/>
      <c r="C1011" s="3"/>
      <c r="D1011" s="3"/>
      <c r="E1011" s="4"/>
      <c r="F1011" s="43"/>
      <c r="G1011" s="4"/>
      <c r="H1011" s="30"/>
      <c r="I1011" s="4"/>
      <c r="J1011" s="26"/>
      <c r="K1011" s="27"/>
      <c r="L1011" s="2"/>
      <c r="M1011" s="24"/>
    </row>
    <row r="1012" spans="1:13" ht="75" customHeight="1" thickTop="1" thickBot="1">
      <c r="A1012" s="4"/>
      <c r="B1012" s="2"/>
      <c r="C1012" s="3"/>
      <c r="D1012" s="3"/>
      <c r="E1012" s="4"/>
      <c r="F1012" s="43"/>
      <c r="G1012" s="4"/>
      <c r="H1012" s="30"/>
      <c r="I1012" s="4"/>
      <c r="J1012" s="26"/>
      <c r="K1012" s="27"/>
      <c r="L1012" s="2"/>
      <c r="M1012" s="24"/>
    </row>
    <row r="1013" spans="1:13" ht="75" customHeight="1" thickTop="1" thickBot="1">
      <c r="A1013" s="4"/>
      <c r="B1013" s="2"/>
      <c r="C1013" s="3"/>
      <c r="D1013" s="3"/>
      <c r="E1013" s="4"/>
      <c r="F1013" s="43"/>
      <c r="G1013" s="4"/>
      <c r="H1013" s="30"/>
      <c r="I1013" s="4"/>
      <c r="J1013" s="26"/>
      <c r="K1013" s="27"/>
      <c r="L1013" s="2"/>
      <c r="M1013" s="24"/>
    </row>
    <row r="1014" spans="1:13" ht="75" customHeight="1" thickTop="1" thickBot="1">
      <c r="A1014" s="4"/>
      <c r="B1014" s="2"/>
      <c r="C1014" s="3"/>
      <c r="D1014" s="3"/>
      <c r="E1014" s="4"/>
      <c r="F1014" s="43"/>
      <c r="G1014" s="4"/>
      <c r="H1014" s="30"/>
      <c r="I1014" s="4"/>
      <c r="J1014" s="26"/>
      <c r="K1014" s="27"/>
      <c r="L1014" s="2"/>
      <c r="M1014" s="24"/>
    </row>
    <row r="1015" spans="1:13" ht="75" customHeight="1" thickTop="1" thickBot="1">
      <c r="A1015" s="4"/>
      <c r="B1015" s="2"/>
      <c r="C1015" s="3"/>
      <c r="D1015" s="3"/>
      <c r="E1015" s="4"/>
      <c r="F1015" s="43"/>
      <c r="G1015" s="4"/>
      <c r="H1015" s="30"/>
      <c r="I1015" s="4"/>
      <c r="J1015" s="26"/>
      <c r="K1015" s="27"/>
      <c r="L1015" s="2"/>
      <c r="M1015" s="24"/>
    </row>
    <row r="1016" spans="1:13" ht="75" customHeight="1" thickTop="1" thickBot="1">
      <c r="A1016" s="4"/>
      <c r="B1016" s="2"/>
      <c r="C1016" s="3"/>
      <c r="D1016" s="3"/>
      <c r="E1016" s="4"/>
      <c r="F1016" s="43"/>
      <c r="G1016" s="4"/>
      <c r="H1016" s="30"/>
      <c r="I1016" s="4"/>
      <c r="J1016" s="26"/>
      <c r="K1016" s="27"/>
      <c r="L1016" s="2"/>
      <c r="M1016" s="24"/>
    </row>
    <row r="1017" spans="1:13" ht="75" customHeight="1" thickTop="1" thickBot="1">
      <c r="A1017" s="4"/>
      <c r="B1017" s="2"/>
      <c r="C1017" s="3"/>
      <c r="D1017" s="3"/>
      <c r="E1017" s="4"/>
      <c r="F1017" s="43"/>
      <c r="G1017" s="4"/>
      <c r="H1017" s="30"/>
      <c r="I1017" s="4"/>
      <c r="J1017" s="26"/>
      <c r="K1017" s="27"/>
      <c r="L1017" s="2"/>
      <c r="M1017" s="24"/>
    </row>
    <row r="1018" spans="1:13" ht="75" customHeight="1" thickTop="1" thickBot="1">
      <c r="A1018" s="4"/>
      <c r="B1018" s="2"/>
      <c r="C1018" s="3"/>
      <c r="D1018" s="3"/>
      <c r="E1018" s="4"/>
      <c r="F1018" s="43"/>
      <c r="G1018" s="4"/>
      <c r="H1018" s="30"/>
      <c r="I1018" s="4"/>
      <c r="J1018" s="26"/>
      <c r="K1018" s="27"/>
      <c r="L1018" s="2"/>
      <c r="M1018" s="24"/>
    </row>
    <row r="1019" spans="1:13" ht="75" customHeight="1" thickTop="1" thickBot="1">
      <c r="A1019" s="4"/>
      <c r="B1019" s="2"/>
      <c r="C1019" s="3"/>
      <c r="D1019" s="3"/>
      <c r="E1019" s="4"/>
      <c r="F1019" s="43"/>
      <c r="G1019" s="4"/>
      <c r="H1019" s="30"/>
      <c r="I1019" s="4"/>
      <c r="J1019" s="26"/>
      <c r="K1019" s="27"/>
      <c r="L1019" s="2"/>
      <c r="M1019" s="24"/>
    </row>
    <row r="1020" spans="1:13" ht="75" customHeight="1" thickTop="1" thickBot="1">
      <c r="A1020" s="4"/>
      <c r="B1020" s="2"/>
      <c r="C1020" s="3"/>
      <c r="D1020" s="3"/>
      <c r="E1020" s="4"/>
      <c r="F1020" s="43"/>
      <c r="G1020" s="4"/>
      <c r="H1020" s="30"/>
      <c r="I1020" s="4"/>
      <c r="J1020" s="26"/>
      <c r="K1020" s="27"/>
      <c r="L1020" s="2"/>
      <c r="M1020" s="24"/>
    </row>
    <row r="1021" spans="1:13" ht="75" customHeight="1" thickTop="1" thickBot="1">
      <c r="A1021" s="4"/>
      <c r="B1021" s="2"/>
      <c r="C1021" s="3"/>
      <c r="D1021" s="3"/>
      <c r="E1021" s="4"/>
      <c r="F1021" s="43"/>
      <c r="G1021" s="4"/>
      <c r="H1021" s="30"/>
      <c r="I1021" s="4"/>
      <c r="J1021" s="26"/>
      <c r="K1021" s="27"/>
      <c r="L1021" s="2"/>
      <c r="M1021" s="24"/>
    </row>
    <row r="1022" spans="1:13" ht="75" customHeight="1" thickTop="1" thickBot="1">
      <c r="A1022" s="4"/>
      <c r="B1022" s="2"/>
      <c r="C1022" s="3"/>
      <c r="D1022" s="3"/>
      <c r="E1022" s="4"/>
      <c r="F1022" s="43"/>
      <c r="G1022" s="4"/>
      <c r="H1022" s="30"/>
      <c r="I1022" s="4"/>
      <c r="J1022" s="26"/>
      <c r="K1022" s="27"/>
      <c r="L1022" s="2"/>
      <c r="M1022" s="24"/>
    </row>
    <row r="1023" spans="1:13" ht="75" customHeight="1" thickTop="1" thickBot="1">
      <c r="A1023" s="4"/>
      <c r="B1023" s="2"/>
      <c r="C1023" s="3"/>
      <c r="D1023" s="3"/>
      <c r="E1023" s="4"/>
      <c r="F1023" s="43"/>
      <c r="G1023" s="4"/>
      <c r="H1023" s="30"/>
      <c r="I1023" s="4"/>
      <c r="J1023" s="26"/>
      <c r="K1023" s="27"/>
      <c r="L1023" s="2"/>
      <c r="M1023" s="24"/>
    </row>
    <row r="1024" spans="1:13" ht="75" customHeight="1" thickTop="1" thickBot="1">
      <c r="A1024" s="4"/>
      <c r="B1024" s="2"/>
      <c r="C1024" s="3"/>
      <c r="D1024" s="3"/>
      <c r="E1024" s="4"/>
      <c r="F1024" s="43"/>
      <c r="G1024" s="4"/>
      <c r="H1024" s="30"/>
      <c r="I1024" s="4"/>
      <c r="J1024" s="26"/>
      <c r="K1024" s="27"/>
      <c r="L1024" s="2"/>
      <c r="M1024" s="24"/>
    </row>
    <row r="1025" spans="1:13" ht="75" customHeight="1" thickTop="1" thickBot="1">
      <c r="A1025" s="4"/>
      <c r="B1025" s="2"/>
      <c r="C1025" s="3"/>
      <c r="D1025" s="3"/>
      <c r="E1025" s="4"/>
      <c r="F1025" s="43"/>
      <c r="G1025" s="4"/>
      <c r="H1025" s="30"/>
      <c r="I1025" s="4"/>
      <c r="J1025" s="26"/>
      <c r="K1025" s="27"/>
      <c r="L1025" s="2"/>
      <c r="M1025" s="24"/>
    </row>
    <row r="1026" spans="1:13" ht="75" customHeight="1" thickTop="1" thickBot="1">
      <c r="A1026" s="4"/>
      <c r="B1026" s="2"/>
      <c r="C1026" s="3"/>
      <c r="D1026" s="3"/>
      <c r="E1026" s="4"/>
      <c r="F1026" s="43"/>
      <c r="G1026" s="4"/>
      <c r="H1026" s="30"/>
      <c r="I1026" s="4"/>
      <c r="J1026" s="26"/>
      <c r="K1026" s="27"/>
      <c r="L1026" s="2"/>
      <c r="M1026" s="24"/>
    </row>
    <row r="1027" spans="1:13" ht="75" customHeight="1" thickTop="1" thickBot="1">
      <c r="A1027" s="4"/>
      <c r="B1027" s="2"/>
      <c r="C1027" s="3"/>
      <c r="D1027" s="3"/>
      <c r="E1027" s="4"/>
      <c r="F1027" s="43"/>
      <c r="G1027" s="4"/>
      <c r="H1027" s="30"/>
      <c r="I1027" s="4"/>
      <c r="J1027" s="26"/>
      <c r="K1027" s="27"/>
      <c r="L1027" s="2"/>
      <c r="M1027" s="24"/>
    </row>
    <row r="1028" spans="1:13" ht="75" customHeight="1" thickTop="1" thickBot="1">
      <c r="A1028" s="4"/>
      <c r="B1028" s="2"/>
      <c r="C1028" s="3"/>
      <c r="D1028" s="3"/>
      <c r="E1028" s="4"/>
      <c r="F1028" s="43"/>
      <c r="G1028" s="4"/>
      <c r="H1028" s="30"/>
      <c r="I1028" s="4"/>
      <c r="J1028" s="26"/>
      <c r="K1028" s="27"/>
      <c r="L1028" s="2"/>
      <c r="M1028" s="24"/>
    </row>
    <row r="1029" spans="1:13" ht="75" customHeight="1" thickTop="1" thickBot="1">
      <c r="A1029" s="4"/>
      <c r="B1029" s="2"/>
      <c r="C1029" s="3"/>
      <c r="D1029" s="3"/>
      <c r="E1029" s="4"/>
      <c r="F1029" s="43"/>
      <c r="G1029" s="4"/>
      <c r="H1029" s="30"/>
      <c r="I1029" s="4"/>
      <c r="J1029" s="26"/>
      <c r="K1029" s="27"/>
      <c r="L1029" s="2"/>
      <c r="M1029" s="24"/>
    </row>
    <row r="1030" spans="1:13" ht="75" customHeight="1" thickTop="1" thickBot="1">
      <c r="A1030" s="4"/>
      <c r="B1030" s="2"/>
      <c r="C1030" s="3"/>
      <c r="D1030" s="3"/>
      <c r="E1030" s="4"/>
      <c r="F1030" s="43"/>
      <c r="G1030" s="4"/>
      <c r="H1030" s="30"/>
      <c r="I1030" s="4"/>
      <c r="J1030" s="26"/>
      <c r="K1030" s="27"/>
      <c r="L1030" s="2"/>
      <c r="M1030" s="24"/>
    </row>
    <row r="1031" spans="1:13" ht="75" customHeight="1" thickTop="1" thickBot="1">
      <c r="A1031" s="4"/>
      <c r="B1031" s="2"/>
      <c r="C1031" s="3"/>
      <c r="D1031" s="3"/>
      <c r="E1031" s="4"/>
      <c r="F1031" s="43"/>
      <c r="G1031" s="4"/>
      <c r="H1031" s="30"/>
      <c r="I1031" s="4"/>
      <c r="J1031" s="26"/>
      <c r="K1031" s="27"/>
      <c r="L1031" s="2"/>
      <c r="M1031" s="24"/>
    </row>
    <row r="1032" spans="1:13" ht="75" customHeight="1" thickTop="1" thickBot="1">
      <c r="A1032" s="4"/>
      <c r="B1032" s="2"/>
      <c r="C1032" s="3"/>
      <c r="D1032" s="3"/>
      <c r="E1032" s="4"/>
      <c r="F1032" s="43"/>
      <c r="G1032" s="4"/>
      <c r="H1032" s="30"/>
      <c r="I1032" s="4"/>
      <c r="J1032" s="26"/>
      <c r="K1032" s="27"/>
      <c r="L1032" s="2"/>
      <c r="M1032" s="24"/>
    </row>
    <row r="1033" spans="1:13" ht="75" customHeight="1" thickTop="1" thickBot="1">
      <c r="A1033" s="4"/>
      <c r="B1033" s="2"/>
      <c r="C1033" s="3"/>
      <c r="D1033" s="3"/>
      <c r="E1033" s="4"/>
      <c r="F1033" s="43"/>
      <c r="G1033" s="4"/>
      <c r="H1033" s="30"/>
      <c r="I1033" s="4"/>
      <c r="J1033" s="26"/>
      <c r="K1033" s="27"/>
      <c r="L1033" s="2"/>
      <c r="M1033" s="24"/>
    </row>
    <row r="1034" spans="1:13" ht="75" customHeight="1" thickTop="1" thickBot="1">
      <c r="A1034" s="4"/>
      <c r="B1034" s="2"/>
      <c r="C1034" s="3"/>
      <c r="D1034" s="3"/>
      <c r="E1034" s="4"/>
      <c r="F1034" s="43"/>
      <c r="G1034" s="4"/>
      <c r="H1034" s="30"/>
      <c r="I1034" s="4"/>
      <c r="J1034" s="26"/>
      <c r="K1034" s="27"/>
      <c r="L1034" s="2"/>
      <c r="M1034" s="24"/>
    </row>
    <row r="1035" spans="1:13" ht="75" customHeight="1" thickTop="1" thickBot="1">
      <c r="A1035" s="4"/>
      <c r="B1035" s="2"/>
      <c r="C1035" s="3"/>
      <c r="D1035" s="3"/>
      <c r="E1035" s="4"/>
      <c r="F1035" s="43"/>
      <c r="G1035" s="4"/>
      <c r="H1035" s="30"/>
      <c r="I1035" s="4"/>
      <c r="J1035" s="26"/>
      <c r="K1035" s="27"/>
      <c r="L1035" s="2"/>
      <c r="M1035" s="24"/>
    </row>
    <row r="1036" spans="1:13" ht="75" customHeight="1" thickTop="1" thickBot="1">
      <c r="A1036" s="4"/>
      <c r="B1036" s="2"/>
      <c r="C1036" s="3"/>
      <c r="D1036" s="3"/>
      <c r="E1036" s="4"/>
      <c r="F1036" s="43"/>
      <c r="G1036" s="4"/>
      <c r="H1036" s="30"/>
      <c r="I1036" s="4"/>
      <c r="J1036" s="26"/>
      <c r="K1036" s="27"/>
      <c r="L1036" s="2"/>
      <c r="M1036" s="24"/>
    </row>
    <row r="1037" spans="1:13" ht="75" customHeight="1" thickTop="1" thickBot="1">
      <c r="A1037" s="4"/>
      <c r="B1037" s="2"/>
      <c r="C1037" s="3"/>
      <c r="D1037" s="3"/>
      <c r="E1037" s="4"/>
      <c r="F1037" s="43"/>
      <c r="G1037" s="4"/>
      <c r="H1037" s="30"/>
      <c r="I1037" s="4"/>
      <c r="J1037" s="26"/>
      <c r="K1037" s="27"/>
      <c r="L1037" s="2"/>
      <c r="M1037" s="24"/>
    </row>
    <row r="1038" spans="1:13" ht="75" customHeight="1" thickTop="1" thickBot="1">
      <c r="A1038" s="4"/>
      <c r="B1038" s="2"/>
      <c r="C1038" s="3"/>
      <c r="D1038" s="3"/>
      <c r="E1038" s="4"/>
      <c r="F1038" s="43"/>
      <c r="G1038" s="4"/>
      <c r="H1038" s="30"/>
      <c r="I1038" s="4"/>
      <c r="J1038" s="26"/>
      <c r="K1038" s="27"/>
      <c r="L1038" s="2"/>
      <c r="M1038" s="24"/>
    </row>
    <row r="1039" spans="1:13" ht="75" customHeight="1" thickTop="1" thickBot="1">
      <c r="A1039" s="4"/>
      <c r="B1039" s="2"/>
      <c r="C1039" s="3"/>
      <c r="D1039" s="3"/>
      <c r="E1039" s="4"/>
      <c r="F1039" s="43"/>
      <c r="G1039" s="4"/>
      <c r="H1039" s="30"/>
      <c r="I1039" s="4"/>
      <c r="J1039" s="26"/>
      <c r="K1039" s="27"/>
      <c r="L1039" s="2"/>
      <c r="M1039" s="24"/>
    </row>
    <row r="1040" spans="1:13" ht="75" customHeight="1" thickTop="1" thickBot="1">
      <c r="A1040" s="4"/>
      <c r="B1040" s="2"/>
      <c r="C1040" s="3"/>
      <c r="D1040" s="3"/>
      <c r="E1040" s="4"/>
      <c r="F1040" s="43"/>
      <c r="G1040" s="4"/>
      <c r="H1040" s="30"/>
      <c r="I1040" s="4"/>
      <c r="J1040" s="26"/>
      <c r="K1040" s="27"/>
      <c r="L1040" s="2"/>
      <c r="M1040" s="24"/>
    </row>
    <row r="1041" spans="1:13" ht="75" customHeight="1" thickTop="1" thickBot="1">
      <c r="A1041" s="4"/>
      <c r="B1041" s="2"/>
      <c r="C1041" s="3"/>
      <c r="D1041" s="3"/>
      <c r="E1041" s="4"/>
      <c r="F1041" s="43"/>
      <c r="G1041" s="4"/>
      <c r="H1041" s="30"/>
      <c r="I1041" s="4"/>
      <c r="J1041" s="26"/>
      <c r="K1041" s="27"/>
      <c r="L1041" s="2"/>
      <c r="M1041" s="24"/>
    </row>
    <row r="1042" spans="1:13" ht="75" customHeight="1" thickTop="1" thickBot="1">
      <c r="A1042" s="4"/>
      <c r="B1042" s="2"/>
      <c r="C1042" s="3"/>
      <c r="D1042" s="3"/>
      <c r="E1042" s="4"/>
      <c r="F1042" s="43"/>
      <c r="G1042" s="4"/>
      <c r="H1042" s="30"/>
      <c r="I1042" s="4"/>
      <c r="J1042" s="26"/>
      <c r="K1042" s="27"/>
      <c r="L1042" s="2"/>
      <c r="M1042" s="24"/>
    </row>
    <row r="1043" spans="1:13" ht="75" customHeight="1" thickTop="1" thickBot="1">
      <c r="A1043" s="4"/>
      <c r="B1043" s="2"/>
      <c r="C1043" s="3"/>
      <c r="D1043" s="3"/>
      <c r="E1043" s="4"/>
      <c r="F1043" s="43"/>
      <c r="G1043" s="4"/>
      <c r="H1043" s="30"/>
      <c r="I1043" s="4"/>
      <c r="J1043" s="26"/>
      <c r="K1043" s="27"/>
      <c r="L1043" s="2"/>
      <c r="M1043" s="24"/>
    </row>
    <row r="1044" spans="1:13" ht="75" customHeight="1" thickTop="1" thickBot="1">
      <c r="A1044" s="4"/>
      <c r="B1044" s="2"/>
      <c r="C1044" s="3"/>
      <c r="D1044" s="3"/>
      <c r="E1044" s="4"/>
      <c r="F1044" s="43"/>
      <c r="G1044" s="4"/>
      <c r="H1044" s="30"/>
      <c r="I1044" s="4"/>
      <c r="J1044" s="26"/>
      <c r="K1044" s="27"/>
      <c r="L1044" s="2"/>
      <c r="M1044" s="24"/>
    </row>
    <row r="1045" spans="1:13" ht="75" customHeight="1" thickTop="1" thickBot="1">
      <c r="A1045" s="4"/>
      <c r="B1045" s="2"/>
      <c r="C1045" s="3"/>
      <c r="D1045" s="3"/>
      <c r="E1045" s="4"/>
      <c r="F1045" s="43"/>
      <c r="G1045" s="4"/>
      <c r="H1045" s="30"/>
      <c r="I1045" s="4"/>
      <c r="J1045" s="26"/>
      <c r="K1045" s="27"/>
      <c r="L1045" s="2"/>
      <c r="M1045" s="24"/>
    </row>
    <row r="1046" spans="1:13" ht="75" customHeight="1" thickTop="1" thickBot="1">
      <c r="A1046" s="4"/>
      <c r="B1046" s="2"/>
      <c r="C1046" s="3"/>
      <c r="D1046" s="3"/>
      <c r="E1046" s="4"/>
      <c r="F1046" s="43"/>
      <c r="G1046" s="4"/>
      <c r="H1046" s="30"/>
      <c r="I1046" s="4"/>
      <c r="J1046" s="26"/>
      <c r="K1046" s="27"/>
      <c r="L1046" s="2"/>
      <c r="M1046" s="24"/>
    </row>
    <row r="1047" spans="1:13" ht="75" customHeight="1" thickTop="1" thickBot="1">
      <c r="A1047" s="4"/>
      <c r="B1047" s="2"/>
      <c r="C1047" s="3"/>
      <c r="D1047" s="3"/>
      <c r="E1047" s="4"/>
      <c r="F1047" s="43"/>
      <c r="G1047" s="4"/>
      <c r="H1047" s="30"/>
      <c r="I1047" s="4"/>
      <c r="J1047" s="26"/>
      <c r="K1047" s="27"/>
      <c r="L1047" s="2"/>
      <c r="M1047" s="24"/>
    </row>
    <row r="1048" spans="1:13" ht="75" customHeight="1" thickTop="1" thickBot="1">
      <c r="A1048" s="4"/>
      <c r="B1048" s="2"/>
      <c r="C1048" s="3"/>
      <c r="D1048" s="3"/>
      <c r="E1048" s="4"/>
      <c r="F1048" s="43"/>
      <c r="G1048" s="4"/>
      <c r="H1048" s="30"/>
      <c r="I1048" s="4"/>
      <c r="J1048" s="26"/>
      <c r="K1048" s="27"/>
      <c r="L1048" s="2"/>
      <c r="M1048" s="24"/>
    </row>
    <row r="1049" spans="1:13" ht="75" customHeight="1" thickTop="1" thickBot="1">
      <c r="A1049" s="4"/>
      <c r="B1049" s="2"/>
      <c r="C1049" s="3"/>
      <c r="D1049" s="3"/>
      <c r="E1049" s="4"/>
      <c r="F1049" s="43"/>
      <c r="G1049" s="4"/>
      <c r="H1049" s="30"/>
      <c r="I1049" s="4"/>
      <c r="J1049" s="26"/>
      <c r="K1049" s="27"/>
      <c r="L1049" s="2"/>
      <c r="M1049" s="24"/>
    </row>
    <row r="1050" spans="1:13" ht="75" customHeight="1" thickTop="1" thickBot="1">
      <c r="A1050" s="4"/>
      <c r="B1050" s="2"/>
      <c r="C1050" s="3"/>
      <c r="D1050" s="3"/>
      <c r="E1050" s="4"/>
      <c r="F1050" s="43"/>
      <c r="G1050" s="4"/>
      <c r="H1050" s="30"/>
      <c r="I1050" s="4"/>
      <c r="J1050" s="26"/>
      <c r="K1050" s="27"/>
      <c r="L1050" s="2"/>
      <c r="M1050" s="24"/>
    </row>
    <row r="1051" spans="1:13" ht="75" customHeight="1" thickTop="1" thickBot="1">
      <c r="A1051" s="4"/>
      <c r="B1051" s="2"/>
      <c r="C1051" s="3"/>
      <c r="D1051" s="3"/>
      <c r="E1051" s="4"/>
      <c r="F1051" s="43"/>
      <c r="G1051" s="4"/>
      <c r="H1051" s="30"/>
      <c r="I1051" s="4"/>
      <c r="J1051" s="26"/>
      <c r="K1051" s="27"/>
      <c r="L1051" s="2"/>
      <c r="M1051" s="24"/>
    </row>
    <row r="1052" spans="1:13" ht="75" customHeight="1" thickTop="1" thickBot="1">
      <c r="A1052" s="4"/>
      <c r="B1052" s="2"/>
      <c r="C1052" s="3"/>
      <c r="D1052" s="3"/>
      <c r="E1052" s="4"/>
      <c r="F1052" s="43"/>
      <c r="G1052" s="4"/>
      <c r="H1052" s="30"/>
      <c r="I1052" s="4"/>
      <c r="J1052" s="26"/>
      <c r="K1052" s="27"/>
      <c r="L1052" s="2"/>
      <c r="M1052" s="24"/>
    </row>
    <row r="1053" spans="1:13" ht="75" customHeight="1" thickTop="1" thickBot="1">
      <c r="A1053" s="4"/>
      <c r="B1053" s="2"/>
      <c r="C1053" s="3"/>
      <c r="D1053" s="3"/>
      <c r="E1053" s="4"/>
      <c r="F1053" s="43"/>
      <c r="G1053" s="4"/>
      <c r="H1053" s="30"/>
      <c r="I1053" s="4"/>
      <c r="J1053" s="26"/>
      <c r="K1053" s="27"/>
      <c r="L1053" s="2"/>
      <c r="M1053" s="24"/>
    </row>
    <row r="1054" spans="1:13" ht="75" customHeight="1" thickTop="1" thickBot="1">
      <c r="A1054" s="4"/>
      <c r="B1054" s="2"/>
      <c r="C1054" s="3"/>
      <c r="D1054" s="3"/>
      <c r="E1054" s="4"/>
      <c r="F1054" s="43"/>
      <c r="G1054" s="4"/>
      <c r="H1054" s="30"/>
      <c r="I1054" s="4"/>
      <c r="J1054" s="26"/>
      <c r="K1054" s="27"/>
      <c r="L1054" s="2"/>
      <c r="M1054" s="24"/>
    </row>
    <row r="1055" spans="1:13" ht="75" customHeight="1" thickTop="1" thickBot="1">
      <c r="A1055" s="4"/>
      <c r="B1055" s="2"/>
      <c r="C1055" s="3"/>
      <c r="D1055" s="3"/>
      <c r="E1055" s="4"/>
      <c r="F1055" s="43"/>
      <c r="G1055" s="4"/>
      <c r="H1055" s="30"/>
      <c r="I1055" s="4"/>
      <c r="J1055" s="26"/>
      <c r="K1055" s="27"/>
      <c r="L1055" s="2"/>
      <c r="M1055" s="24"/>
    </row>
    <row r="1056" spans="1:13" ht="75" customHeight="1" thickTop="1" thickBot="1">
      <c r="A1056" s="4"/>
      <c r="B1056" s="2"/>
      <c r="C1056" s="3"/>
      <c r="D1056" s="3"/>
      <c r="E1056" s="4"/>
      <c r="F1056" s="43"/>
      <c r="G1056" s="4"/>
      <c r="H1056" s="30"/>
      <c r="I1056" s="4"/>
      <c r="J1056" s="26"/>
      <c r="K1056" s="27"/>
      <c r="L1056" s="2"/>
      <c r="M1056" s="24"/>
    </row>
    <row r="1057" spans="1:13" ht="75" customHeight="1" thickTop="1" thickBot="1">
      <c r="A1057" s="4"/>
      <c r="B1057" s="2"/>
      <c r="C1057" s="3"/>
      <c r="D1057" s="3"/>
      <c r="E1057" s="4"/>
      <c r="F1057" s="43"/>
      <c r="G1057" s="4"/>
      <c r="H1057" s="30"/>
      <c r="I1057" s="4"/>
      <c r="J1057" s="26"/>
      <c r="K1057" s="27"/>
      <c r="L1057" s="2"/>
      <c r="M1057" s="24"/>
    </row>
    <row r="1058" spans="1:13" ht="75" customHeight="1" thickTop="1" thickBot="1">
      <c r="A1058" s="4"/>
      <c r="B1058" s="2"/>
      <c r="C1058" s="3"/>
      <c r="D1058" s="3"/>
      <c r="E1058" s="4"/>
      <c r="F1058" s="43"/>
      <c r="G1058" s="4"/>
      <c r="H1058" s="30"/>
      <c r="I1058" s="4"/>
      <c r="J1058" s="26"/>
      <c r="K1058" s="27"/>
      <c r="L1058" s="2"/>
      <c r="M1058" s="24"/>
    </row>
    <row r="1059" spans="1:13" ht="75" customHeight="1" thickTop="1" thickBot="1">
      <c r="A1059" s="4"/>
      <c r="B1059" s="2"/>
      <c r="C1059" s="3"/>
      <c r="D1059" s="3"/>
      <c r="E1059" s="4"/>
      <c r="F1059" s="43"/>
      <c r="G1059" s="4"/>
      <c r="H1059" s="30"/>
      <c r="I1059" s="4"/>
      <c r="J1059" s="26"/>
      <c r="K1059" s="27"/>
      <c r="L1059" s="2"/>
      <c r="M1059" s="24"/>
    </row>
    <row r="1060" spans="1:13" ht="75" customHeight="1" thickTop="1" thickBot="1">
      <c r="A1060" s="4"/>
      <c r="B1060" s="2"/>
      <c r="C1060" s="3"/>
      <c r="D1060" s="3"/>
      <c r="E1060" s="4"/>
      <c r="F1060" s="43"/>
      <c r="G1060" s="4"/>
      <c r="H1060" s="30"/>
      <c r="I1060" s="4"/>
      <c r="J1060" s="26"/>
      <c r="K1060" s="27"/>
      <c r="L1060" s="2"/>
      <c r="M1060" s="24"/>
    </row>
    <row r="1061" spans="1:13" ht="75" customHeight="1" thickTop="1" thickBot="1">
      <c r="A1061" s="4"/>
      <c r="B1061" s="2"/>
      <c r="C1061" s="3"/>
      <c r="D1061" s="3"/>
      <c r="E1061" s="4"/>
      <c r="F1061" s="43"/>
      <c r="G1061" s="4"/>
      <c r="H1061" s="30"/>
      <c r="I1061" s="4"/>
      <c r="J1061" s="26"/>
      <c r="K1061" s="27"/>
      <c r="L1061" s="2"/>
      <c r="M1061" s="24"/>
    </row>
    <row r="1062" spans="1:13" ht="75" customHeight="1" thickTop="1" thickBot="1">
      <c r="A1062" s="4"/>
      <c r="B1062" s="2"/>
      <c r="C1062" s="3"/>
      <c r="D1062" s="3"/>
      <c r="E1062" s="4"/>
      <c r="F1062" s="43"/>
      <c r="G1062" s="4"/>
      <c r="H1062" s="30"/>
      <c r="I1062" s="4"/>
      <c r="J1062" s="26"/>
      <c r="K1062" s="27"/>
      <c r="L1062" s="2"/>
      <c r="M1062" s="24"/>
    </row>
    <row r="1063" spans="1:13" ht="75" customHeight="1" thickTop="1" thickBot="1">
      <c r="A1063" s="4"/>
      <c r="B1063" s="2"/>
      <c r="C1063" s="3"/>
      <c r="D1063" s="3"/>
      <c r="E1063" s="4"/>
      <c r="F1063" s="43"/>
      <c r="G1063" s="4"/>
      <c r="H1063" s="30"/>
      <c r="I1063" s="4"/>
      <c r="J1063" s="26"/>
      <c r="K1063" s="27"/>
      <c r="L1063" s="2"/>
      <c r="M1063" s="24"/>
    </row>
    <row r="1064" spans="1:13" ht="75" customHeight="1" thickTop="1" thickBot="1">
      <c r="A1064" s="4"/>
      <c r="B1064" s="2"/>
      <c r="C1064" s="3"/>
      <c r="D1064" s="3"/>
      <c r="E1064" s="4"/>
      <c r="F1064" s="43"/>
      <c r="G1064" s="4"/>
      <c r="H1064" s="30"/>
      <c r="I1064" s="4"/>
      <c r="J1064" s="26"/>
      <c r="K1064" s="27"/>
      <c r="L1064" s="2"/>
      <c r="M1064" s="24"/>
    </row>
    <row r="1065" spans="1:13" ht="75" customHeight="1" thickTop="1" thickBot="1">
      <c r="A1065" s="4"/>
      <c r="B1065" s="2"/>
      <c r="C1065" s="3"/>
      <c r="D1065" s="3"/>
      <c r="E1065" s="4"/>
      <c r="F1065" s="43"/>
      <c r="G1065" s="4"/>
      <c r="H1065" s="30"/>
      <c r="I1065" s="4"/>
      <c r="J1065" s="26"/>
      <c r="K1065" s="27"/>
      <c r="L1065" s="2"/>
      <c r="M1065" s="24"/>
    </row>
    <row r="1066" spans="1:13" ht="75" customHeight="1" thickTop="1" thickBot="1">
      <c r="A1066" s="4"/>
      <c r="B1066" s="2"/>
      <c r="C1066" s="3"/>
      <c r="D1066" s="3"/>
      <c r="E1066" s="4"/>
      <c r="F1066" s="43"/>
      <c r="G1066" s="4"/>
      <c r="H1066" s="30"/>
      <c r="I1066" s="4"/>
      <c r="J1066" s="26"/>
      <c r="K1066" s="27"/>
      <c r="L1066" s="2"/>
      <c r="M1066" s="24"/>
    </row>
    <row r="1067" spans="1:13" ht="75" customHeight="1" thickTop="1" thickBot="1">
      <c r="A1067" s="4"/>
      <c r="B1067" s="2"/>
      <c r="C1067" s="3"/>
      <c r="D1067" s="3"/>
      <c r="E1067" s="4"/>
      <c r="F1067" s="43"/>
      <c r="G1067" s="4"/>
      <c r="H1067" s="30"/>
      <c r="I1067" s="4"/>
      <c r="J1067" s="26"/>
      <c r="K1067" s="27"/>
      <c r="L1067" s="2"/>
      <c r="M1067" s="24"/>
    </row>
    <row r="1068" spans="1:13" ht="75" customHeight="1" thickTop="1" thickBot="1">
      <c r="A1068" s="4"/>
      <c r="B1068" s="2"/>
      <c r="C1068" s="3"/>
      <c r="D1068" s="3"/>
      <c r="E1068" s="4"/>
      <c r="F1068" s="43"/>
      <c r="G1068" s="4"/>
      <c r="H1068" s="30"/>
      <c r="I1068" s="4"/>
      <c r="J1068" s="26"/>
      <c r="K1068" s="27"/>
      <c r="L1068" s="2"/>
      <c r="M1068" s="24"/>
    </row>
    <row r="1069" spans="1:13" ht="75" customHeight="1" thickTop="1" thickBot="1">
      <c r="A1069" s="4"/>
      <c r="B1069" s="2"/>
      <c r="C1069" s="3"/>
      <c r="D1069" s="3"/>
      <c r="E1069" s="4"/>
      <c r="F1069" s="43"/>
      <c r="G1069" s="4"/>
      <c r="H1069" s="30"/>
      <c r="I1069" s="4"/>
      <c r="J1069" s="26"/>
      <c r="K1069" s="27"/>
      <c r="L1069" s="2"/>
      <c r="M1069" s="24"/>
    </row>
    <row r="1070" spans="1:13" ht="75" customHeight="1" thickTop="1" thickBot="1">
      <c r="A1070" s="4"/>
      <c r="B1070" s="2"/>
      <c r="C1070" s="3"/>
      <c r="D1070" s="3"/>
      <c r="E1070" s="4"/>
      <c r="F1070" s="43"/>
      <c r="G1070" s="4"/>
      <c r="H1070" s="30"/>
      <c r="I1070" s="4"/>
      <c r="J1070" s="26"/>
      <c r="K1070" s="27"/>
      <c r="L1070" s="2"/>
      <c r="M1070" s="24"/>
    </row>
    <row r="1071" spans="1:13" ht="75" customHeight="1" thickTop="1" thickBot="1">
      <c r="A1071" s="4"/>
      <c r="B1071" s="2"/>
      <c r="C1071" s="3"/>
      <c r="D1071" s="3"/>
      <c r="E1071" s="4"/>
      <c r="F1071" s="43"/>
      <c r="G1071" s="4"/>
      <c r="H1071" s="30"/>
      <c r="I1071" s="4"/>
      <c r="J1071" s="26"/>
      <c r="K1071" s="27"/>
      <c r="L1071" s="2"/>
      <c r="M1071" s="24"/>
    </row>
    <row r="1072" spans="1:13" ht="75" customHeight="1" thickTop="1" thickBot="1">
      <c r="A1072" s="4"/>
      <c r="B1072" s="2"/>
      <c r="C1072" s="3"/>
      <c r="D1072" s="3"/>
      <c r="E1072" s="4"/>
      <c r="F1072" s="43"/>
      <c r="G1072" s="4"/>
      <c r="H1072" s="30"/>
      <c r="I1072" s="4"/>
      <c r="J1072" s="26"/>
      <c r="K1072" s="27"/>
      <c r="L1072" s="2"/>
      <c r="M1072" s="24"/>
    </row>
    <row r="1073" spans="1:13" ht="75" customHeight="1" thickTop="1" thickBot="1">
      <c r="A1073" s="4"/>
      <c r="B1073" s="2"/>
      <c r="C1073" s="3"/>
      <c r="D1073" s="3"/>
      <c r="E1073" s="4"/>
      <c r="F1073" s="43"/>
      <c r="G1073" s="4"/>
      <c r="H1073" s="30"/>
      <c r="I1073" s="4"/>
      <c r="J1073" s="26"/>
      <c r="K1073" s="27"/>
      <c r="L1073" s="2"/>
      <c r="M1073" s="24"/>
    </row>
    <row r="1074" spans="1:13" ht="75" customHeight="1" thickTop="1" thickBot="1">
      <c r="A1074" s="4"/>
      <c r="B1074" s="2"/>
      <c r="C1074" s="3"/>
      <c r="D1074" s="3"/>
      <c r="E1074" s="4"/>
      <c r="F1074" s="43"/>
      <c r="G1074" s="4"/>
      <c r="H1074" s="30"/>
      <c r="I1074" s="4"/>
      <c r="J1074" s="26"/>
      <c r="K1074" s="27"/>
      <c r="L1074" s="2"/>
      <c r="M1074" s="24"/>
    </row>
    <row r="1075" spans="1:13" ht="75" customHeight="1" thickTop="1" thickBot="1">
      <c r="A1075" s="4"/>
      <c r="B1075" s="2"/>
      <c r="C1075" s="3"/>
      <c r="D1075" s="3"/>
      <c r="E1075" s="4"/>
      <c r="F1075" s="43"/>
      <c r="G1075" s="4"/>
      <c r="H1075" s="30"/>
      <c r="I1075" s="4"/>
      <c r="J1075" s="26"/>
      <c r="K1075" s="27"/>
      <c r="L1075" s="2"/>
      <c r="M1075" s="24"/>
    </row>
    <row r="1076" spans="1:13" ht="75" customHeight="1" thickTop="1"/>
  </sheetData>
  <conditionalFormatting sqref="B173:B1075">
    <cfRule type="expression" dxfId="127" priority="8">
      <formula>AND($B173&lt;&gt;"", TRIM($K173)="")</formula>
    </cfRule>
    <cfRule type="expression" dxfId="126" priority="9">
      <formula>INT($B173) &lt; TODAY()</formula>
    </cfRule>
    <cfRule type="expression" dxfId="125" priority="10">
      <formula>INT($B173) = TODAY()</formula>
    </cfRule>
  </conditionalFormatting>
  <conditionalFormatting sqref="K173:K1048576">
    <cfRule type="containsText" dxfId="124" priority="6" operator="containsText" text="منجز">
      <formula>NOT(ISERROR(SEARCH("منجز",K173)))</formula>
    </cfRule>
    <cfRule type="containsText" dxfId="123" priority="7" operator="containsText" text="منجز">
      <formula>NOT(ISERROR(SEARCH("منجز",K173)))</formula>
    </cfRule>
  </conditionalFormatting>
  <conditionalFormatting sqref="B3:B172">
    <cfRule type="expression" dxfId="122" priority="3">
      <formula>AND($B3&lt;&gt;"", TRIM($K3)="")</formula>
    </cfRule>
    <cfRule type="expression" dxfId="121" priority="4">
      <formula>INT($B3) &lt; TODAY()</formula>
    </cfRule>
    <cfRule type="expression" dxfId="120" priority="5">
      <formula>INT($B3) = TODAY()</formula>
    </cfRule>
  </conditionalFormatting>
  <conditionalFormatting sqref="K1:K172">
    <cfRule type="containsText" dxfId="119" priority="1" operator="containsText" text="منجز">
      <formula>NOT(ISERROR(SEARCH("منجز",K1)))</formula>
    </cfRule>
    <cfRule type="containsText" dxfId="118" priority="2" operator="containsText" text="منجز">
      <formula>NOT(ISERROR(SEARCH("منجز",K1)))</formula>
    </cfRule>
  </conditionalFormatting>
  <dataValidations count="2">
    <dataValidation type="list" allowBlank="1" sqref="K3:K1002" xr:uid="{AEEB8A06-16E0-4AF2-BA07-F30084408A67}">
      <formula1>"منجز,ملغي,تابع للتربية,مؤجل"</formula1>
    </dataValidation>
    <dataValidation type="list" allowBlank="1" sqref="J3:J1002" xr:uid="{8B183DC3-65DB-439E-A930-9BC4E006B657}">
      <formula1>#REF!</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BD954-FA32-4027-8FAB-AEC0E6A68276}">
  <sheetPr>
    <tabColor rgb="FF2ECC71"/>
    <outlinePr summaryBelow="0" summaryRight="0"/>
    <pageSetUpPr fitToPage="1"/>
  </sheetPr>
  <dimension ref="A1:N1093"/>
  <sheetViews>
    <sheetView showGridLines="0" zoomScale="70" zoomScaleNormal="70" workbookViewId="0">
      <pane ySplit="2" topLeftCell="A3" activePane="bottomLeft" state="frozen"/>
      <selection pane="bottomLeft" activeCell="O4" sqref="O4"/>
    </sheetView>
  </sheetViews>
  <sheetFormatPr defaultColWidth="12.5546875" defaultRowHeight="75" customHeight="1"/>
  <cols>
    <col min="1" max="1" width="9.33203125" style="25" customWidth="1"/>
    <col min="2" max="2" width="30.5546875" bestFit="1" customWidth="1"/>
    <col min="3" max="4" width="6" customWidth="1"/>
    <col min="5" max="5" width="13" style="25" customWidth="1"/>
    <col min="6" max="6" width="45.33203125" style="25" bestFit="1" customWidth="1"/>
    <col min="7" max="7" width="25.109375" style="25" customWidth="1"/>
    <col min="8" max="8" width="65" style="59" customWidth="1"/>
    <col min="9" max="9" width="18.88671875" style="25" customWidth="1"/>
    <col min="10" max="10" width="10.6640625" style="25" customWidth="1"/>
    <col min="11" max="11" width="10" style="25" customWidth="1"/>
    <col min="12" max="12" width="30.5546875" style="25" bestFit="1" customWidth="1"/>
    <col min="13" max="13" width="18.88671875" style="28" customWidth="1"/>
    <col min="14" max="14" width="15.109375" hidden="1" customWidth="1"/>
  </cols>
  <sheetData>
    <row r="1" spans="1:14" ht="99.9" customHeight="1" thickBot="1">
      <c r="A1" s="60"/>
      <c r="B1" s="61"/>
      <c r="C1" s="61"/>
      <c r="D1" s="61"/>
      <c r="E1" s="60"/>
      <c r="F1" s="60"/>
      <c r="G1" s="60"/>
      <c r="H1" s="62"/>
      <c r="I1" s="60"/>
      <c r="J1" s="60"/>
      <c r="K1" s="60"/>
      <c r="L1" s="60"/>
      <c r="M1" s="60"/>
    </row>
    <row r="2" spans="1:14" ht="50.1" customHeight="1" thickTop="1" thickBot="1">
      <c r="A2" s="37" t="s">
        <v>112</v>
      </c>
      <c r="B2" s="37" t="s">
        <v>0</v>
      </c>
      <c r="C2" s="38" t="s">
        <v>1</v>
      </c>
      <c r="D2" s="38" t="s">
        <v>2</v>
      </c>
      <c r="E2" s="37" t="s">
        <v>3</v>
      </c>
      <c r="F2" s="37" t="s">
        <v>4</v>
      </c>
      <c r="G2" s="37" t="s">
        <v>18</v>
      </c>
      <c r="H2" s="37" t="s">
        <v>5</v>
      </c>
      <c r="I2" s="37" t="s">
        <v>6</v>
      </c>
      <c r="J2" s="40" t="s">
        <v>7</v>
      </c>
      <c r="K2" s="40" t="s">
        <v>8</v>
      </c>
      <c r="L2" s="40" t="s">
        <v>9</v>
      </c>
      <c r="M2" s="40" t="s">
        <v>10</v>
      </c>
      <c r="N2" s="1" t="s">
        <v>11</v>
      </c>
    </row>
    <row r="3" spans="1:14" ht="75" customHeight="1" thickTop="1" thickBot="1">
      <c r="A3" s="34">
        <v>1</v>
      </c>
      <c r="B3" s="53">
        <f ca="1">IFERROR(__xludf.DUMMYFUNCTION("QUERY('الطلبات'!A2:O1540, ""SELECT A,C,D,E,F,G,H,I WHERE C='المعملجي' "")"),46113.3205052777)</f>
        <v>46113.320505277698</v>
      </c>
      <c r="C3" s="54" t="str">
        <f ca="1">IFERROR(__xludf.DUMMYFUNCTION("""COMPUTED_VALUE"""),"المعملجي")</f>
        <v>المعملجي</v>
      </c>
      <c r="D3" s="54" t="str">
        <f ca="1">IFERROR(__xludf.DUMMYFUNCTION("""COMPUTED_VALUE"""),"سجاد تربية")</f>
        <v>سجاد تربية</v>
      </c>
      <c r="E3" s="34" t="str">
        <f ca="1">IFERROR(__xludf.DUMMYFUNCTION("""COMPUTED_VALUE"""),"قسم التربية والتعليم العالي")</f>
        <v>قسم التربية والتعليم العالي</v>
      </c>
      <c r="F3" s="34" t="str">
        <f ca="1">IFERROR(__xludf.DUMMYFUNCTION("""COMPUTED_VALUE"""),"I- ابتدائية الساقي للبنين (السادسة)")</f>
        <v>I- ابتدائية الساقي للبنين (السادسة)</v>
      </c>
      <c r="G3" s="34" t="str">
        <f ca="1">IFERROR(__xludf.DUMMYFUNCTION("""COMPUTED_VALUE"""),".")</f>
        <v>.</v>
      </c>
      <c r="H3" s="63" t="str">
        <f ca="1">IFERROR(__xludf.DUMMYFUNCTION("""COMPUTED_VALUE"""),"لايوجد ماء شرب")</f>
        <v>لايوجد ماء شرب</v>
      </c>
      <c r="I3" s="34"/>
      <c r="J3" s="34" t="s">
        <v>14</v>
      </c>
      <c r="K3" s="34" t="s">
        <v>13</v>
      </c>
      <c r="L3" s="53">
        <v>46113.379850081023</v>
      </c>
      <c r="M3" s="34"/>
      <c r="N3" s="4" t="s">
        <v>121</v>
      </c>
    </row>
    <row r="4" spans="1:14" ht="75" customHeight="1" thickTop="1" thickBot="1">
      <c r="A4" s="26">
        <v>2</v>
      </c>
      <c r="B4" s="55">
        <f ca="1">IFERROR(__xludf.DUMMYFUNCTION("""COMPUTED_VALUE"""),46113.3212761111)</f>
        <v>46113.321276111099</v>
      </c>
      <c r="C4" s="56" t="str">
        <f ca="1">IFERROR(__xludf.DUMMYFUNCTION("""COMPUTED_VALUE"""),"المعملجي")</f>
        <v>المعملجي</v>
      </c>
      <c r="D4" s="56" t="str">
        <f ca="1">IFERROR(__xludf.DUMMYFUNCTION("""COMPUTED_VALUE"""),"سجاد تربية")</f>
        <v>سجاد تربية</v>
      </c>
      <c r="E4" s="26" t="str">
        <f ca="1">IFERROR(__xludf.DUMMYFUNCTION("""COMPUTED_VALUE"""),"قسم التربية والتعليم العالي")</f>
        <v>قسم التربية والتعليم العالي</v>
      </c>
      <c r="F4" s="26" t="str">
        <f ca="1">IFERROR(__xludf.DUMMYFUNCTION("""COMPUTED_VALUE"""),"A- المركز الثقافي")</f>
        <v>A- المركز الثقافي</v>
      </c>
      <c r="G4" s="26" t="str">
        <f ca="1">IFERROR(__xludf.DUMMYFUNCTION("""COMPUTED_VALUE"""),"كل طوابق")</f>
        <v>كل طوابق</v>
      </c>
      <c r="H4" s="64" t="str">
        <f ca="1">IFERROR(__xludf.DUMMYFUNCTION("""COMPUTED_VALUE"""),"لاتوجد كهرباء في المصاعد")</f>
        <v>لاتوجد كهرباء في المصاعد</v>
      </c>
      <c r="I4" s="26"/>
      <c r="J4" s="26" t="s">
        <v>3910</v>
      </c>
      <c r="K4" s="26" t="s">
        <v>13</v>
      </c>
      <c r="L4" s="55">
        <v>46113.379879247688</v>
      </c>
      <c r="M4" s="26"/>
      <c r="N4" s="4" t="s">
        <v>121</v>
      </c>
    </row>
    <row r="5" spans="1:14" ht="75" customHeight="1" thickTop="1" thickBot="1">
      <c r="A5" s="34">
        <v>3</v>
      </c>
      <c r="B5" s="55">
        <f ca="1">IFERROR(__xludf.DUMMYFUNCTION("""COMPUTED_VALUE"""),46113.3218137963)</f>
        <v>46113.321813796298</v>
      </c>
      <c r="C5" s="56" t="str">
        <f ca="1">IFERROR(__xludf.DUMMYFUNCTION("""COMPUTED_VALUE"""),"المعملجي")</f>
        <v>المعملجي</v>
      </c>
      <c r="D5" s="56" t="str">
        <f ca="1">IFERROR(__xludf.DUMMYFUNCTION("""COMPUTED_VALUE"""),"سجاد تربية")</f>
        <v>سجاد تربية</v>
      </c>
      <c r="E5" s="26" t="str">
        <f ca="1">IFERROR(__xludf.DUMMYFUNCTION("""COMPUTED_VALUE"""),"قسم التربية والتعليم العالي")</f>
        <v>قسم التربية والتعليم العالي</v>
      </c>
      <c r="F5" s="26" t="str">
        <f ca="1">IFERROR(__xludf.DUMMYFUNCTION("""COMPUTED_VALUE"""),"I- ابتدائية الساقي للبنين (السادسة)")</f>
        <v>I- ابتدائية الساقي للبنين (السادسة)</v>
      </c>
      <c r="G5" s="26" t="str">
        <f ca="1">IFERROR(__xludf.DUMMYFUNCTION("""COMPUTED_VALUE"""),"الطابق الاول")</f>
        <v>الطابق الاول</v>
      </c>
      <c r="H5" s="64" t="str">
        <f ca="1">IFERROR(__xludf.DUMMYFUNCTION("""COMPUTED_VALUE"""),"لايوجد ماء في الحمامات")</f>
        <v>لايوجد ماء في الحمامات</v>
      </c>
      <c r="I5" s="26"/>
      <c r="J5" s="26" t="s">
        <v>14</v>
      </c>
      <c r="K5" s="26" t="s">
        <v>13</v>
      </c>
      <c r="L5" s="55">
        <v>46113.379824641204</v>
      </c>
      <c r="M5" s="26"/>
      <c r="N5" s="4" t="s">
        <v>121</v>
      </c>
    </row>
    <row r="6" spans="1:14" ht="75" customHeight="1" thickTop="1" thickBot="1">
      <c r="A6" s="26">
        <v>4</v>
      </c>
      <c r="B6" s="55">
        <f ca="1">IFERROR(__xludf.DUMMYFUNCTION("""COMPUTED_VALUE"""),46114.3570548958)</f>
        <v>46114.357054895801</v>
      </c>
      <c r="C6" s="56" t="str">
        <f ca="1">IFERROR(__xludf.DUMMYFUNCTION("""COMPUTED_VALUE"""),"المعملجي")</f>
        <v>المعملجي</v>
      </c>
      <c r="D6" s="56" t="str">
        <f ca="1">IFERROR(__xludf.DUMMYFUNCTION("""COMPUTED_VALUE"""),"سجاد تربية")</f>
        <v>سجاد تربية</v>
      </c>
      <c r="E6" s="26" t="str">
        <f ca="1">IFERROR(__xludf.DUMMYFUNCTION("""COMPUTED_VALUE"""),"قسم التربية والتعليم العالي")</f>
        <v>قسم التربية والتعليم العالي</v>
      </c>
      <c r="F6" s="26" t="str">
        <f ca="1">IFERROR(__xludf.DUMMYFUNCTION("""COMPUTED_VALUE"""),"H- ابتدائية القمر للبنات (الخامسة)")</f>
        <v>H- ابتدائية القمر للبنات (الخامسة)</v>
      </c>
      <c r="G6" s="26" t="str">
        <f ca="1">IFERROR(__xludf.DUMMYFUNCTION("""COMPUTED_VALUE"""),"الطابق الارضي")</f>
        <v>الطابق الارضي</v>
      </c>
      <c r="H6" s="26" t="str">
        <f ca="1">IFERROR(__xludf.DUMMYFUNCTION("""COMPUTED_VALUE"""),"لا يوجد ماء ")</f>
        <v xml:space="preserve">لا يوجد ماء </v>
      </c>
      <c r="I6" s="26"/>
      <c r="J6" s="26" t="s">
        <v>14</v>
      </c>
      <c r="K6" s="26" t="s">
        <v>13</v>
      </c>
      <c r="L6" s="55">
        <v>46114.444166296293</v>
      </c>
      <c r="M6" s="26"/>
      <c r="N6" s="4" t="s">
        <v>121</v>
      </c>
    </row>
    <row r="7" spans="1:14" ht="75" customHeight="1" thickTop="1" thickBot="1">
      <c r="A7" s="34">
        <v>5</v>
      </c>
      <c r="B7" s="55">
        <f ca="1">IFERROR(__xludf.DUMMYFUNCTION("""COMPUTED_VALUE"""),46114.3707895023)</f>
        <v>46114.370789502304</v>
      </c>
      <c r="C7" s="56" t="str">
        <f ca="1">IFERROR(__xludf.DUMMYFUNCTION("""COMPUTED_VALUE"""),"المعملجي")</f>
        <v>المعملجي</v>
      </c>
      <c r="D7" s="56" t="str">
        <f ca="1">IFERROR(__xludf.DUMMYFUNCTION("""COMPUTED_VALUE"""),"سجاد تربية")</f>
        <v>سجاد تربية</v>
      </c>
      <c r="E7" s="26" t="str">
        <f ca="1">IFERROR(__xludf.DUMMYFUNCTION("""COMPUTED_VALUE"""),"قسم التربية والتعليم العالي")</f>
        <v>قسم التربية والتعليم العالي</v>
      </c>
      <c r="F7" s="26" t="str">
        <f ca="1">IFERROR(__xludf.DUMMYFUNCTION("""COMPUTED_VALUE"""),"H- ابتدائية القمر للبنات (الخامسة)")</f>
        <v>H- ابتدائية القمر للبنات (الخامسة)</v>
      </c>
      <c r="G7" s="26" t="str">
        <f ca="1">IFERROR(__xludf.DUMMYFUNCTION("""COMPUTED_VALUE"""),"الطابق الارضي")</f>
        <v>الطابق الارضي</v>
      </c>
      <c r="H7" s="26" t="str">
        <f ca="1">IFERROR(__xludf.DUMMYFUNCTION("""COMPUTED_VALUE"""),"صيانة انارة قرب الساحة المستطيلة ")</f>
        <v xml:space="preserve">صيانة انارة قرب الساحة المستطيلة </v>
      </c>
      <c r="I7" s="26"/>
      <c r="J7" s="26" t="s">
        <v>3910</v>
      </c>
      <c r="K7" s="26" t="s">
        <v>13</v>
      </c>
      <c r="L7" s="55">
        <v>46114.499509837959</v>
      </c>
      <c r="M7" s="26"/>
      <c r="N7" s="4" t="s">
        <v>121</v>
      </c>
    </row>
    <row r="8" spans="1:14" ht="75" customHeight="1" thickTop="1" thickBot="1">
      <c r="A8" s="26">
        <v>6</v>
      </c>
      <c r="B8" s="55">
        <f ca="1">IFERROR(__xludf.DUMMYFUNCTION("""COMPUTED_VALUE"""),46114.3733833796)</f>
        <v>46114.3733833796</v>
      </c>
      <c r="C8" s="56" t="str">
        <f ca="1">IFERROR(__xludf.DUMMYFUNCTION("""COMPUTED_VALUE"""),"المعملجي")</f>
        <v>المعملجي</v>
      </c>
      <c r="D8" s="56" t="str">
        <f ca="1">IFERROR(__xludf.DUMMYFUNCTION("""COMPUTED_VALUE"""),"سجاد تربية")</f>
        <v>سجاد تربية</v>
      </c>
      <c r="E8" s="26" t="str">
        <f ca="1">IFERROR(__xludf.DUMMYFUNCTION("""COMPUTED_VALUE"""),"قسم التربية والتعليم العالي")</f>
        <v>قسم التربية والتعليم العالي</v>
      </c>
      <c r="F8" s="26" t="str">
        <f ca="1">IFERROR(__xludf.DUMMYFUNCTION("""COMPUTED_VALUE"""),"I- ابتدائية الساقي للبنين (السادسة)")</f>
        <v>I- ابتدائية الساقي للبنين (السادسة)</v>
      </c>
      <c r="G8" s="26" t="str">
        <f ca="1">IFERROR(__xludf.DUMMYFUNCTION("""COMPUTED_VALUE"""),"/")</f>
        <v>/</v>
      </c>
      <c r="H8" s="26" t="str">
        <f ca="1">IFERROR(__xludf.DUMMYFUNCTION("""COMPUTED_VALUE"""),"تشغيل سبالات ")</f>
        <v xml:space="preserve">تشغيل سبالات </v>
      </c>
      <c r="I8" s="26"/>
      <c r="J8" s="26" t="s">
        <v>15</v>
      </c>
      <c r="K8" s="26" t="s">
        <v>13</v>
      </c>
      <c r="L8" s="55">
        <v>46114.44607568287</v>
      </c>
      <c r="M8" s="26"/>
      <c r="N8" s="4" t="s">
        <v>121</v>
      </c>
    </row>
    <row r="9" spans="1:14" ht="75" customHeight="1" thickTop="1" thickBot="1">
      <c r="A9" s="34">
        <v>7</v>
      </c>
      <c r="B9" s="55">
        <f ca="1">IFERROR(__xludf.DUMMYFUNCTION("""COMPUTED_VALUE"""),46114.3741142245)</f>
        <v>46114.374114224498</v>
      </c>
      <c r="C9" s="56" t="str">
        <f ca="1">IFERROR(__xludf.DUMMYFUNCTION("""COMPUTED_VALUE"""),"المعملجي")</f>
        <v>المعملجي</v>
      </c>
      <c r="D9" s="56" t="str">
        <f ca="1">IFERROR(__xludf.DUMMYFUNCTION("""COMPUTED_VALUE"""),"سجاد تربية")</f>
        <v>سجاد تربية</v>
      </c>
      <c r="E9" s="26" t="str">
        <f ca="1">IFERROR(__xludf.DUMMYFUNCTION("""COMPUTED_VALUE"""),"قسم التربية والتعليم العالي")</f>
        <v>قسم التربية والتعليم العالي</v>
      </c>
      <c r="F9" s="26" t="str">
        <f ca="1">IFERROR(__xludf.DUMMYFUNCTION("""COMPUTED_VALUE"""),"I- ابتدائية الساقي للبنين (السادسة)")</f>
        <v>I- ابتدائية الساقي للبنين (السادسة)</v>
      </c>
      <c r="G9" s="26" t="str">
        <f ca="1">IFERROR(__xludf.DUMMYFUNCTION("""COMPUTED_VALUE"""),"/")</f>
        <v>/</v>
      </c>
      <c r="H9" s="26" t="str">
        <f ca="1">IFERROR(__xludf.DUMMYFUNCTION("""COMPUTED_VALUE"""),"فتح باب صحيات ")</f>
        <v xml:space="preserve">فتح باب صحيات </v>
      </c>
      <c r="I9" s="26"/>
      <c r="J9" s="26" t="s">
        <v>16</v>
      </c>
      <c r="K9" s="26" t="s">
        <v>13</v>
      </c>
      <c r="L9" s="55">
        <v>46114.447573587968</v>
      </c>
      <c r="M9" s="26"/>
      <c r="N9" s="4" t="s">
        <v>121</v>
      </c>
    </row>
    <row r="10" spans="1:14" ht="75" customHeight="1" thickTop="1" thickBot="1">
      <c r="A10" s="26">
        <v>8</v>
      </c>
      <c r="B10" s="55">
        <f ca="1">IFERROR(__xludf.DUMMYFUNCTION("""COMPUTED_VALUE"""),46114.3751460416)</f>
        <v>46114.375146041602</v>
      </c>
      <c r="C10" s="56" t="str">
        <f ca="1">IFERROR(__xludf.DUMMYFUNCTION("""COMPUTED_VALUE"""),"المعملجي")</f>
        <v>المعملجي</v>
      </c>
      <c r="D10" s="56" t="str">
        <f ca="1">IFERROR(__xludf.DUMMYFUNCTION("""COMPUTED_VALUE"""),"سجاد تربية")</f>
        <v>سجاد تربية</v>
      </c>
      <c r="E10" s="26" t="str">
        <f ca="1">IFERROR(__xludf.DUMMYFUNCTION("""COMPUTED_VALUE"""),"قسم التربية والتعليم العالي")</f>
        <v>قسم التربية والتعليم العالي</v>
      </c>
      <c r="F10" s="26" t="str">
        <f ca="1">IFERROR(__xludf.DUMMYFUNCTION("""COMPUTED_VALUE"""),"H- ابتدائية القمر للبنات (الخامسة)")</f>
        <v>H- ابتدائية القمر للبنات (الخامسة)</v>
      </c>
      <c r="G10" s="26" t="str">
        <f ca="1">IFERROR(__xludf.DUMMYFUNCTION("""COMPUTED_VALUE"""),"الطابق الارضي")</f>
        <v>الطابق الارضي</v>
      </c>
      <c r="H10" s="26" t="str">
        <f ca="1">IFERROR(__xludf.DUMMYFUNCTION("""COMPUTED_VALUE"""),"صيانة سبلت  كونه يسبب رائحة ")</f>
        <v xml:space="preserve">صيانة سبلت  كونه يسبب رائحة </v>
      </c>
      <c r="I10" s="26"/>
      <c r="J10" s="26" t="s">
        <v>15</v>
      </c>
      <c r="K10" s="26" t="s">
        <v>13</v>
      </c>
      <c r="L10" s="55">
        <v>46114.445834768514</v>
      </c>
      <c r="M10" s="26"/>
      <c r="N10" s="4" t="s">
        <v>121</v>
      </c>
    </row>
    <row r="11" spans="1:14" ht="75" customHeight="1" thickTop="1" thickBot="1">
      <c r="A11" s="34">
        <v>9</v>
      </c>
      <c r="B11" s="55">
        <f ca="1">IFERROR(__xludf.DUMMYFUNCTION("""COMPUTED_VALUE"""),46114.3760262847)</f>
        <v>46114.376026284699</v>
      </c>
      <c r="C11" s="56" t="str">
        <f ca="1">IFERROR(__xludf.DUMMYFUNCTION("""COMPUTED_VALUE"""),"المعملجي")</f>
        <v>المعملجي</v>
      </c>
      <c r="D11" s="56" t="str">
        <f ca="1">IFERROR(__xludf.DUMMYFUNCTION("""COMPUTED_VALUE"""),"سجاد تربية")</f>
        <v>سجاد تربية</v>
      </c>
      <c r="E11" s="26" t="str">
        <f ca="1">IFERROR(__xludf.DUMMYFUNCTION("""COMPUTED_VALUE"""),"قسم التربية والتعليم العالي")</f>
        <v>قسم التربية والتعليم العالي</v>
      </c>
      <c r="F11" s="26" t="str">
        <f ca="1">IFERROR(__xludf.DUMMYFUNCTION("""COMPUTED_VALUE"""),"F-  ابتدائية جود العميد للبنات (الرابعة)")</f>
        <v>F-  ابتدائية جود العميد للبنات (الرابعة)</v>
      </c>
      <c r="G11" s="26" t="str">
        <f ca="1">IFERROR(__xludf.DUMMYFUNCTION("""COMPUTED_VALUE"""),"الطابق الارضي, الطابق الاول, الطابق الثاني")</f>
        <v>الطابق الارضي, الطابق الاول, الطابق الثاني</v>
      </c>
      <c r="H11" s="26" t="str">
        <f ca="1">IFERROR(__xludf.DUMMYFUNCTION("""COMPUTED_VALUE"""),"متابعة ومعالجة طفايات الحريق ")</f>
        <v xml:space="preserve">متابعة ومعالجة طفايات الحريق </v>
      </c>
      <c r="I11" s="26"/>
      <c r="J11" s="26" t="s">
        <v>14</v>
      </c>
      <c r="K11" s="26" t="s">
        <v>13</v>
      </c>
      <c r="L11" s="55">
        <v>46158.34655185185</v>
      </c>
      <c r="M11" s="26"/>
      <c r="N11" s="4" t="s">
        <v>121</v>
      </c>
    </row>
    <row r="12" spans="1:14" ht="75" customHeight="1" thickTop="1" thickBot="1">
      <c r="A12" s="26">
        <v>10</v>
      </c>
      <c r="B12" s="55">
        <f ca="1">IFERROR(__xludf.DUMMYFUNCTION("""COMPUTED_VALUE"""),46114.3769214467)</f>
        <v>46114.376921446703</v>
      </c>
      <c r="C12" s="56" t="str">
        <f ca="1">IFERROR(__xludf.DUMMYFUNCTION("""COMPUTED_VALUE"""),"المعملجي")</f>
        <v>المعملجي</v>
      </c>
      <c r="D12" s="56" t="str">
        <f ca="1">IFERROR(__xludf.DUMMYFUNCTION("""COMPUTED_VALUE"""),"سجاد تربية")</f>
        <v>سجاد تربية</v>
      </c>
      <c r="E12" s="26" t="str">
        <f ca="1">IFERROR(__xludf.DUMMYFUNCTION("""COMPUTED_VALUE"""),"قسم التربية والتعليم العالي")</f>
        <v>قسم التربية والتعليم العالي</v>
      </c>
      <c r="F12" s="26" t="str">
        <f ca="1">IFERROR(__xludf.DUMMYFUNCTION("""COMPUTED_VALUE"""),"E- ابتدائية العميد للبنات (الثالثة)")</f>
        <v>E- ابتدائية العميد للبنات (الثالثة)</v>
      </c>
      <c r="G12" s="26" t="str">
        <f ca="1">IFERROR(__xludf.DUMMYFUNCTION("""COMPUTED_VALUE"""),"غرفة معلمات ")</f>
        <v xml:space="preserve">غرفة معلمات </v>
      </c>
      <c r="H12" s="26" t="str">
        <f ca="1">IFERROR(__xludf.DUMMYFUNCTION("""COMPUTED_VALUE"""),"صيانة بردة ")</f>
        <v xml:space="preserve">صيانة بردة </v>
      </c>
      <c r="I12" s="26"/>
      <c r="J12" s="26" t="s">
        <v>16</v>
      </c>
      <c r="K12" s="26" t="s">
        <v>13</v>
      </c>
      <c r="L12" s="55">
        <v>46114.44550538194</v>
      </c>
      <c r="M12" s="26"/>
      <c r="N12" s="4" t="s">
        <v>121</v>
      </c>
    </row>
    <row r="13" spans="1:14" ht="75" customHeight="1" thickTop="1" thickBot="1">
      <c r="A13" s="34">
        <v>11</v>
      </c>
      <c r="B13" s="55">
        <f ca="1">IFERROR(__xludf.DUMMYFUNCTION("""COMPUTED_VALUE"""),46114.448580868)</f>
        <v>46114.448580867996</v>
      </c>
      <c r="C13" s="56" t="str">
        <f ca="1">IFERROR(__xludf.DUMMYFUNCTION("""COMPUTED_VALUE"""),"المعملجي")</f>
        <v>المعملجي</v>
      </c>
      <c r="D13" s="56" t="str">
        <f ca="1">IFERROR(__xludf.DUMMYFUNCTION("""COMPUTED_VALUE"""),"سجاد تربية")</f>
        <v>سجاد تربية</v>
      </c>
      <c r="E13" s="26" t="str">
        <f ca="1">IFERROR(__xludf.DUMMYFUNCTION("""COMPUTED_VALUE"""),"قسم التربية والتعليم العالي")</f>
        <v>قسم التربية والتعليم العالي</v>
      </c>
      <c r="F13" s="26" t="str">
        <f ca="1">IFERROR(__xludf.DUMMYFUNCTION("""COMPUTED_VALUE"""),"J- ابتدائية الساقي للبنين الجانب الثاني (السابعة)")</f>
        <v>J- ابتدائية الساقي للبنين الجانب الثاني (السابعة)</v>
      </c>
      <c r="G13" s="26" t="str">
        <f ca="1">IFERROR(__xludf.DUMMYFUNCTION("""COMPUTED_VALUE"""),"الطابق الارضي, الطابق الاول")</f>
        <v>الطابق الارضي, الطابق الاول</v>
      </c>
      <c r="H13" s="26" t="str">
        <f ca="1">IFERROR(__xludf.DUMMYFUNCTION("""COMPUTED_VALUE"""),"لا يوجد ماء ")</f>
        <v xml:space="preserve">لا يوجد ماء </v>
      </c>
      <c r="I13" s="26"/>
      <c r="J13" s="26" t="s">
        <v>14</v>
      </c>
      <c r="K13" s="26" t="s">
        <v>13</v>
      </c>
      <c r="L13" s="55">
        <v>46114.4500815625</v>
      </c>
      <c r="M13" s="26"/>
      <c r="N13" s="4" t="s">
        <v>121</v>
      </c>
    </row>
    <row r="14" spans="1:14" ht="75" customHeight="1" thickTop="1" thickBot="1">
      <c r="A14" s="26">
        <v>12</v>
      </c>
      <c r="B14" s="55">
        <f ca="1">IFERROR(__xludf.DUMMYFUNCTION("""COMPUTED_VALUE"""),46114.4494537268)</f>
        <v>46114.449453726796</v>
      </c>
      <c r="C14" s="56" t="str">
        <f ca="1">IFERROR(__xludf.DUMMYFUNCTION("""COMPUTED_VALUE"""),"المعملجي")</f>
        <v>المعملجي</v>
      </c>
      <c r="D14" s="56" t="str">
        <f ca="1">IFERROR(__xludf.DUMMYFUNCTION("""COMPUTED_VALUE"""),"سجاد تربية")</f>
        <v>سجاد تربية</v>
      </c>
      <c r="E14" s="26" t="str">
        <f ca="1">IFERROR(__xludf.DUMMYFUNCTION("""COMPUTED_VALUE"""),"قسم التربية والتعليم العالي")</f>
        <v>قسم التربية والتعليم العالي</v>
      </c>
      <c r="F14" s="26" t="str">
        <f ca="1">IFERROR(__xludf.DUMMYFUNCTION("""COMPUTED_VALUE"""),"A- المركز الثقافي")</f>
        <v>A- المركز الثقافي</v>
      </c>
      <c r="G14" s="26" t="str">
        <f ca="1">IFERROR(__xludf.DUMMYFUNCTION("""COMPUTED_VALUE"""),"الطابق الارضي")</f>
        <v>الطابق الارضي</v>
      </c>
      <c r="H14" s="26" t="str">
        <f ca="1">IFERROR(__xludf.DUMMYFUNCTION("""COMPUTED_VALUE"""),"لا يوجد كهرباء في المصعد والطابق الثاني والثالث")</f>
        <v>لا يوجد كهرباء في المصعد والطابق الثاني والثالث</v>
      </c>
      <c r="I14" s="26"/>
      <c r="J14" s="26" t="s">
        <v>3910</v>
      </c>
      <c r="K14" s="26" t="s">
        <v>13</v>
      </c>
      <c r="L14" s="55">
        <v>46114.449942453706</v>
      </c>
      <c r="M14" s="26"/>
      <c r="N14" s="4" t="s">
        <v>121</v>
      </c>
    </row>
    <row r="15" spans="1:14" ht="75" customHeight="1" thickTop="1" thickBot="1">
      <c r="A15" s="34">
        <v>13</v>
      </c>
      <c r="B15" s="55">
        <f ca="1">IFERROR(__xludf.DUMMYFUNCTION("""COMPUTED_VALUE"""),46114.5006810532)</f>
        <v>46114.5006810532</v>
      </c>
      <c r="C15" s="56" t="str">
        <f ca="1">IFERROR(__xludf.DUMMYFUNCTION("""COMPUTED_VALUE"""),"المعملجي")</f>
        <v>المعملجي</v>
      </c>
      <c r="D15" s="56" t="str">
        <f ca="1">IFERROR(__xludf.DUMMYFUNCTION("""COMPUTED_VALUE"""),"سجاد تربية")</f>
        <v>سجاد تربية</v>
      </c>
      <c r="E15" s="26" t="str">
        <f ca="1">IFERROR(__xludf.DUMMYFUNCTION("""COMPUTED_VALUE"""),"قسم التربية والتعليم العالي")</f>
        <v>قسم التربية والتعليم العالي</v>
      </c>
      <c r="F15" s="26" t="str">
        <f ca="1">IFERROR(__xludf.DUMMYFUNCTION("""COMPUTED_VALUE"""),"E- ابتدائية العميد للبنات (الثالثة)")</f>
        <v>E- ابتدائية العميد للبنات (الثالثة)</v>
      </c>
      <c r="G15" s="26" t="str">
        <f ca="1">IFERROR(__xludf.DUMMYFUNCTION("""COMPUTED_VALUE"""),"الطابق الاول")</f>
        <v>الطابق الاول</v>
      </c>
      <c r="H15" s="26" t="str">
        <f ca="1">IFERROR(__xludf.DUMMYFUNCTION("""COMPUTED_VALUE"""),"صيانة حمامات ")</f>
        <v xml:space="preserve">صيانة حمامات </v>
      </c>
      <c r="I15" s="26"/>
      <c r="J15" s="26" t="s">
        <v>14</v>
      </c>
      <c r="K15" s="26" t="s">
        <v>13</v>
      </c>
      <c r="L15" s="55">
        <v>46114.579224166664</v>
      </c>
      <c r="M15" s="26"/>
      <c r="N15" s="4" t="s">
        <v>121</v>
      </c>
    </row>
    <row r="16" spans="1:14" ht="75" customHeight="1" thickTop="1" thickBot="1">
      <c r="A16" s="26">
        <v>14</v>
      </c>
      <c r="B16" s="55">
        <f ca="1">IFERROR(__xludf.DUMMYFUNCTION("""COMPUTED_VALUE"""),46114.5010192824)</f>
        <v>46114.501019282397</v>
      </c>
      <c r="C16" s="56" t="str">
        <f ca="1">IFERROR(__xludf.DUMMYFUNCTION("""COMPUTED_VALUE"""),"المعملجي")</f>
        <v>المعملجي</v>
      </c>
      <c r="D16" s="56" t="str">
        <f ca="1">IFERROR(__xludf.DUMMYFUNCTION("""COMPUTED_VALUE"""),"سجاد تربية")</f>
        <v>سجاد تربية</v>
      </c>
      <c r="E16" s="26" t="str">
        <f ca="1">IFERROR(__xludf.DUMMYFUNCTION("""COMPUTED_VALUE"""),"قسم التربية والتعليم العالي")</f>
        <v>قسم التربية والتعليم العالي</v>
      </c>
      <c r="F16" s="26" t="str">
        <f ca="1">IFERROR(__xludf.DUMMYFUNCTION("""COMPUTED_VALUE"""),"A- المركز الثقافي")</f>
        <v>A- المركز الثقافي</v>
      </c>
      <c r="G16" s="26" t="str">
        <f ca="1">IFERROR(__xludf.DUMMYFUNCTION("""COMPUTED_VALUE"""),"الطابق الثاني")</f>
        <v>الطابق الثاني</v>
      </c>
      <c r="H16" s="26" t="str">
        <f ca="1">IFERROR(__xludf.DUMMYFUNCTION("""COMPUTED_VALUE"""),"صيانة يدة مجر ")</f>
        <v xml:space="preserve">صيانة يدة مجر </v>
      </c>
      <c r="I16" s="26"/>
      <c r="J16" s="26" t="s">
        <v>16</v>
      </c>
      <c r="K16" s="26" t="s">
        <v>13</v>
      </c>
      <c r="L16" s="55">
        <v>46114.549218715278</v>
      </c>
      <c r="M16" s="26"/>
      <c r="N16" s="4" t="s">
        <v>121</v>
      </c>
    </row>
    <row r="17" spans="1:14" ht="75" customHeight="1" thickTop="1" thickBot="1">
      <c r="A17" s="34">
        <v>15</v>
      </c>
      <c r="B17" s="55">
        <f ca="1">IFERROR(__xludf.DUMMYFUNCTION("""COMPUTED_VALUE"""),46114.5795766898)</f>
        <v>46114.579576689801</v>
      </c>
      <c r="C17" s="56" t="str">
        <f ca="1">IFERROR(__xludf.DUMMYFUNCTION("""COMPUTED_VALUE"""),"المعملجي")</f>
        <v>المعملجي</v>
      </c>
      <c r="D17" s="56" t="str">
        <f ca="1">IFERROR(__xludf.DUMMYFUNCTION("""COMPUTED_VALUE"""),"سجاد تربية")</f>
        <v>سجاد تربية</v>
      </c>
      <c r="E17" s="26" t="str">
        <f ca="1">IFERROR(__xludf.DUMMYFUNCTION("""COMPUTED_VALUE"""),"قسم التربية والتعليم العالي")</f>
        <v>قسم التربية والتعليم العالي</v>
      </c>
      <c r="F17" s="26" t="str">
        <f ca="1">IFERROR(__xludf.DUMMYFUNCTION("""COMPUTED_VALUE"""),"E- ابتدائية العميد للبنات (الثالثة)")</f>
        <v>E- ابتدائية العميد للبنات (الثالثة)</v>
      </c>
      <c r="G17" s="26" t="str">
        <f ca="1">IFERROR(__xludf.DUMMYFUNCTION("""COMPUTED_VALUE"""),"الطابق الاول, جناح الساحة ZONE B")</f>
        <v>الطابق الاول, جناح الساحة ZONE B</v>
      </c>
      <c r="H17" s="26" t="str">
        <f ca="1">IFERROR(__xludf.DUMMYFUNCTION("""COMPUTED_VALUE"""),"صيانة كاك زاوية")</f>
        <v>صيانة كاك زاوية</v>
      </c>
      <c r="I17" s="26"/>
      <c r="J17" s="26" t="s">
        <v>14</v>
      </c>
      <c r="K17" s="26" t="s">
        <v>13</v>
      </c>
      <c r="L17" s="55"/>
      <c r="M17" s="26"/>
      <c r="N17" s="4" t="s">
        <v>121</v>
      </c>
    </row>
    <row r="18" spans="1:14" ht="75" customHeight="1" thickTop="1" thickBot="1">
      <c r="A18" s="26">
        <v>16</v>
      </c>
      <c r="B18" s="55">
        <f ca="1">IFERROR(__xludf.DUMMYFUNCTION("""COMPUTED_VALUE"""),46114.5799716088)</f>
        <v>46114.5799716088</v>
      </c>
      <c r="C18" s="56" t="str">
        <f ca="1">IFERROR(__xludf.DUMMYFUNCTION("""COMPUTED_VALUE"""),"المعملجي")</f>
        <v>المعملجي</v>
      </c>
      <c r="D18" s="56" t="str">
        <f ca="1">IFERROR(__xludf.DUMMYFUNCTION("""COMPUTED_VALUE"""),"سجاد تربية")</f>
        <v>سجاد تربية</v>
      </c>
      <c r="E18" s="26" t="str">
        <f ca="1">IFERROR(__xludf.DUMMYFUNCTION("""COMPUTED_VALUE"""),"قسم التربية والتعليم العالي")</f>
        <v>قسم التربية والتعليم العالي</v>
      </c>
      <c r="F18" s="26" t="str">
        <f ca="1">IFERROR(__xludf.DUMMYFUNCTION("""COMPUTED_VALUE"""),"E- ابتدائية العميد للبنات (الثالثة)")</f>
        <v>E- ابتدائية العميد للبنات (الثالثة)</v>
      </c>
      <c r="G18" s="26" t="str">
        <f ca="1">IFERROR(__xludf.DUMMYFUNCTION("""COMPUTED_VALUE"""),"الطابق الارضي, جناح الساحة ZONE B")</f>
        <v>الطابق الارضي, جناح الساحة ZONE B</v>
      </c>
      <c r="H18" s="26" t="str">
        <f ca="1">IFERROR(__xludf.DUMMYFUNCTION("""COMPUTED_VALUE"""),"تبديل غطاء غربي")</f>
        <v>تبديل غطاء غربي</v>
      </c>
      <c r="I18" s="26"/>
      <c r="J18" s="26" t="s">
        <v>14</v>
      </c>
      <c r="K18" s="26" t="s">
        <v>13</v>
      </c>
      <c r="L18" s="55"/>
      <c r="M18" s="26"/>
      <c r="N18" s="4" t="s">
        <v>121</v>
      </c>
    </row>
    <row r="19" spans="1:14" ht="75" customHeight="1" thickTop="1" thickBot="1">
      <c r="A19" s="34">
        <v>17</v>
      </c>
      <c r="B19" s="55">
        <f ca="1">IFERROR(__xludf.DUMMYFUNCTION("""COMPUTED_VALUE"""),46114.5803920833)</f>
        <v>46114.580392083299</v>
      </c>
      <c r="C19" s="56" t="str">
        <f ca="1">IFERROR(__xludf.DUMMYFUNCTION("""COMPUTED_VALUE"""),"المعملجي")</f>
        <v>المعملجي</v>
      </c>
      <c r="D19" s="56" t="str">
        <f ca="1">IFERROR(__xludf.DUMMYFUNCTION("""COMPUTED_VALUE"""),"سجاد تربية")</f>
        <v>سجاد تربية</v>
      </c>
      <c r="E19" s="26" t="str">
        <f ca="1">IFERROR(__xludf.DUMMYFUNCTION("""COMPUTED_VALUE"""),"قسم التربية والتعليم العالي")</f>
        <v>قسم التربية والتعليم العالي</v>
      </c>
      <c r="F19" s="26" t="str">
        <f ca="1">IFERROR(__xludf.DUMMYFUNCTION("""COMPUTED_VALUE"""),"E- ابتدائية العميد للبنات (الثالثة)")</f>
        <v>E- ابتدائية العميد للبنات (الثالثة)</v>
      </c>
      <c r="G19" s="26" t="str">
        <f ca="1">IFERROR(__xludf.DUMMYFUNCTION("""COMPUTED_VALUE"""),"الطابق الاول, جناح الساحة ZONE B")</f>
        <v>الطابق الاول, جناح الساحة ZONE B</v>
      </c>
      <c r="H19" s="26" t="str">
        <f ca="1">IFERROR(__xludf.DUMMYFUNCTION("""COMPUTED_VALUE"""),"تثبيت قاعدة صوندة شطاف")</f>
        <v>تثبيت قاعدة صوندة شطاف</v>
      </c>
      <c r="I19" s="26"/>
      <c r="J19" s="26" t="s">
        <v>14</v>
      </c>
      <c r="K19" s="26" t="s">
        <v>13</v>
      </c>
      <c r="L19" s="55"/>
      <c r="M19" s="26"/>
      <c r="N19" s="4" t="s">
        <v>121</v>
      </c>
    </row>
    <row r="20" spans="1:14" ht="75" customHeight="1" thickTop="1" thickBot="1">
      <c r="A20" s="26">
        <v>18</v>
      </c>
      <c r="B20" s="55">
        <f ca="1">IFERROR(__xludf.DUMMYFUNCTION("""COMPUTED_VALUE"""),46115.5085288425)</f>
        <v>46115.508528842503</v>
      </c>
      <c r="C20" s="56" t="str">
        <f ca="1">IFERROR(__xludf.DUMMYFUNCTION("""COMPUTED_VALUE"""),"المعملجي")</f>
        <v>المعملجي</v>
      </c>
      <c r="D20" s="56" t="str">
        <f ca="1">IFERROR(__xludf.DUMMYFUNCTION("""COMPUTED_VALUE"""),"وحدة الميكانيك")</f>
        <v>وحدة الميكانيك</v>
      </c>
      <c r="E20" s="26" t="str">
        <f ca="1">IFERROR(__xludf.DUMMYFUNCTION("""COMPUTED_VALUE"""),"قسم المشاريع الهندسية")</f>
        <v>قسم المشاريع الهندسية</v>
      </c>
      <c r="F20" s="26" t="str">
        <f ca="1">IFERROR(__xludf.DUMMYFUNCTION("""COMPUTED_VALUE"""),"D- ثانوية العميد بناية المتوسطة  (الثانية)")</f>
        <v>D- ثانوية العميد بناية المتوسطة  (الثانية)</v>
      </c>
      <c r="G20" s="26" t="str">
        <f ca="1">IFERROR(__xludf.DUMMYFUNCTION("""COMPUTED_VALUE"""),"الطابق الاول, جناح الساحة ZONE B")</f>
        <v>الطابق الاول, جناح الساحة ZONE B</v>
      </c>
      <c r="H20" s="26" t="str">
        <f ca="1">IFERROR(__xludf.DUMMYFUNCTION("""COMPUTED_VALUE"""),"تبديل كاك زاوية")</f>
        <v>تبديل كاك زاوية</v>
      </c>
      <c r="I20" s="26"/>
      <c r="J20" s="26" t="s">
        <v>14</v>
      </c>
      <c r="K20" s="26" t="s">
        <v>13</v>
      </c>
      <c r="L20" s="55"/>
      <c r="M20" s="26"/>
      <c r="N20" s="4" t="s">
        <v>121</v>
      </c>
    </row>
    <row r="21" spans="1:14" ht="75" customHeight="1" thickTop="1" thickBot="1">
      <c r="A21" s="34">
        <v>19</v>
      </c>
      <c r="B21" s="55">
        <f ca="1">IFERROR(__xludf.DUMMYFUNCTION("""COMPUTED_VALUE"""),46115.5092503587)</f>
        <v>46115.5092503587</v>
      </c>
      <c r="C21" s="56" t="str">
        <f ca="1">IFERROR(__xludf.DUMMYFUNCTION("""COMPUTED_VALUE"""),"المعملجي")</f>
        <v>المعملجي</v>
      </c>
      <c r="D21" s="56" t="str">
        <f ca="1">IFERROR(__xludf.DUMMYFUNCTION("""COMPUTED_VALUE"""),"وحدة الميكانيك")</f>
        <v>وحدة الميكانيك</v>
      </c>
      <c r="E21" s="26" t="str">
        <f ca="1">IFERROR(__xludf.DUMMYFUNCTION("""COMPUTED_VALUE"""),"قسم المشاريع الهندسية")</f>
        <v>قسم المشاريع الهندسية</v>
      </c>
      <c r="F21" s="26" t="str">
        <f ca="1">IFERROR(__xludf.DUMMYFUNCTION("""COMPUTED_VALUE"""),"B- روضة القمر")</f>
        <v>B- روضة القمر</v>
      </c>
      <c r="G21" s="26" t="str">
        <f ca="1">IFERROR(__xludf.DUMMYFUNCTION("""COMPUTED_VALUE"""),"الطابق الثاني")</f>
        <v>الطابق الثاني</v>
      </c>
      <c r="H21" s="26" t="str">
        <f ca="1">IFERROR(__xludf.DUMMYFUNCTION("""COMPUTED_VALUE"""),"تبديل قاعدة شطاف ")</f>
        <v xml:space="preserve">تبديل قاعدة شطاف </v>
      </c>
      <c r="I21" s="26"/>
      <c r="J21" s="26" t="s">
        <v>14</v>
      </c>
      <c r="K21" s="26" t="s">
        <v>13</v>
      </c>
      <c r="L21" s="55"/>
      <c r="M21" s="26"/>
      <c r="N21" s="4" t="s">
        <v>121</v>
      </c>
    </row>
    <row r="22" spans="1:14" ht="75" customHeight="1" thickTop="1" thickBot="1">
      <c r="A22" s="26">
        <v>20</v>
      </c>
      <c r="B22" s="55">
        <f ca="1">IFERROR(__xludf.DUMMYFUNCTION("""COMPUTED_VALUE"""),46115.5109074537)</f>
        <v>46115.510907453703</v>
      </c>
      <c r="C22" s="56" t="str">
        <f ca="1">IFERROR(__xludf.DUMMYFUNCTION("""COMPUTED_VALUE"""),"المعملجي")</f>
        <v>المعملجي</v>
      </c>
      <c r="D22" s="56" t="str">
        <f ca="1">IFERROR(__xludf.DUMMYFUNCTION("""COMPUTED_VALUE"""),"وحدة الميكانيك")</f>
        <v>وحدة الميكانيك</v>
      </c>
      <c r="E22" s="26" t="str">
        <f ca="1">IFERROR(__xludf.DUMMYFUNCTION("""COMPUTED_VALUE"""),"قسم التربية والتعليم العالي")</f>
        <v>قسم التربية والتعليم العالي</v>
      </c>
      <c r="F22" s="26" t="str">
        <f ca="1">IFERROR(__xludf.DUMMYFUNCTION("""COMPUTED_VALUE"""),"B- روضة القمر")</f>
        <v>B- روضة القمر</v>
      </c>
      <c r="G22" s="26" t="str">
        <f ca="1">IFERROR(__xludf.DUMMYFUNCTION("""COMPUTED_VALUE"""),"الطابق الاول")</f>
        <v>الطابق الاول</v>
      </c>
      <c r="H22" s="26" t="str">
        <f ca="1">IFERROR(__xludf.DUMMYFUNCTION("""COMPUTED_VALUE"""),"تبديل قاعدة شطاف ")</f>
        <v xml:space="preserve">تبديل قاعدة شطاف </v>
      </c>
      <c r="I22" s="26"/>
      <c r="J22" s="26" t="s">
        <v>14</v>
      </c>
      <c r="K22" s="26" t="s">
        <v>13</v>
      </c>
      <c r="L22" s="55"/>
      <c r="M22" s="26"/>
      <c r="N22" s="4" t="s">
        <v>121</v>
      </c>
    </row>
    <row r="23" spans="1:14" ht="75" customHeight="1" thickTop="1" thickBot="1">
      <c r="A23" s="34">
        <v>21</v>
      </c>
      <c r="B23" s="55">
        <f ca="1">IFERROR(__xludf.DUMMYFUNCTION("""COMPUTED_VALUE"""),46115.5115394097)</f>
        <v>46115.511539409701</v>
      </c>
      <c r="C23" s="56" t="str">
        <f ca="1">IFERROR(__xludf.DUMMYFUNCTION("""COMPUTED_VALUE"""),"المعملجي")</f>
        <v>المعملجي</v>
      </c>
      <c r="D23" s="56" t="str">
        <f ca="1">IFERROR(__xludf.DUMMYFUNCTION("""COMPUTED_VALUE"""),"وحدة الميكانيك")</f>
        <v>وحدة الميكانيك</v>
      </c>
      <c r="E23" s="26" t="str">
        <f ca="1">IFERROR(__xludf.DUMMYFUNCTION("""COMPUTED_VALUE"""),"قسم المشاريع الهندسية")</f>
        <v>قسم المشاريع الهندسية</v>
      </c>
      <c r="F23" s="26" t="str">
        <f ca="1">IFERROR(__xludf.DUMMYFUNCTION("""COMPUTED_VALUE"""),"E- ابتدائية العميد للبنات (الثالثة)")</f>
        <v>E- ابتدائية العميد للبنات (الثالثة)</v>
      </c>
      <c r="G23" s="26" t="str">
        <f ca="1">IFERROR(__xludf.DUMMYFUNCTION("""COMPUTED_VALUE"""),"الطابق الثاني, جناح الساحة ZONE B")</f>
        <v>الطابق الثاني, جناح الساحة ZONE B</v>
      </c>
      <c r="H23" s="26" t="str">
        <f ca="1">IFERROR(__xludf.DUMMYFUNCTION("""COMPUTED_VALUE"""),"تبديل صوندة شطاف ")</f>
        <v xml:space="preserve">تبديل صوندة شطاف </v>
      </c>
      <c r="I23" s="26"/>
      <c r="J23" s="26" t="s">
        <v>14</v>
      </c>
      <c r="K23" s="26" t="s">
        <v>13</v>
      </c>
      <c r="L23" s="55"/>
      <c r="M23" s="26"/>
      <c r="N23" s="4" t="s">
        <v>121</v>
      </c>
    </row>
    <row r="24" spans="1:14" ht="75" customHeight="1" thickTop="1" thickBot="1">
      <c r="A24" s="26">
        <v>22</v>
      </c>
      <c r="B24" s="55">
        <f ca="1">IFERROR(__xludf.DUMMYFUNCTION("""COMPUTED_VALUE"""),46115.5120132638)</f>
        <v>46115.512013263797</v>
      </c>
      <c r="C24" s="56" t="str">
        <f ca="1">IFERROR(__xludf.DUMMYFUNCTION("""COMPUTED_VALUE"""),"المعملجي")</f>
        <v>المعملجي</v>
      </c>
      <c r="D24" s="56" t="str">
        <f ca="1">IFERROR(__xludf.DUMMYFUNCTION("""COMPUTED_VALUE"""),"وحدة الميكانيك")</f>
        <v>وحدة الميكانيك</v>
      </c>
      <c r="E24" s="26" t="str">
        <f ca="1">IFERROR(__xludf.DUMMYFUNCTION("""COMPUTED_VALUE"""),"قسم المشاريع الهندسية")</f>
        <v>قسم المشاريع الهندسية</v>
      </c>
      <c r="F24" s="26" t="str">
        <f ca="1">IFERROR(__xludf.DUMMYFUNCTION("""COMPUTED_VALUE"""),"F-  ابتدائية جود العميد للبنات (الرابعة)")</f>
        <v>F-  ابتدائية جود العميد للبنات (الرابعة)</v>
      </c>
      <c r="G24" s="26" t="str">
        <f ca="1">IFERROR(__xludf.DUMMYFUNCTION("""COMPUTED_VALUE"""),"الطابق الاول, جناح الادائرة ZONE A")</f>
        <v>الطابق الاول, جناح الادائرة ZONE A</v>
      </c>
      <c r="H24" s="26" t="str">
        <f ca="1">IFERROR(__xludf.DUMMYFUNCTION("""COMPUTED_VALUE"""),"صيانة قبق غربي")</f>
        <v>صيانة قبق غربي</v>
      </c>
      <c r="I24" s="26"/>
      <c r="J24" s="26" t="s">
        <v>14</v>
      </c>
      <c r="K24" s="26" t="s">
        <v>13</v>
      </c>
      <c r="L24" s="55"/>
      <c r="M24" s="26"/>
      <c r="N24" s="4"/>
    </row>
    <row r="25" spans="1:14" ht="75" customHeight="1" thickTop="1" thickBot="1">
      <c r="A25" s="34">
        <v>23</v>
      </c>
      <c r="B25" s="55">
        <f ca="1">IFERROR(__xludf.DUMMYFUNCTION("""COMPUTED_VALUE"""),46115.5136128935)</f>
        <v>46115.513612893497</v>
      </c>
      <c r="C25" s="56" t="str">
        <f ca="1">IFERROR(__xludf.DUMMYFUNCTION("""COMPUTED_VALUE"""),"المعملجي")</f>
        <v>المعملجي</v>
      </c>
      <c r="D25" s="56" t="str">
        <f ca="1">IFERROR(__xludf.DUMMYFUNCTION("""COMPUTED_VALUE"""),"وحدة الميكانيك")</f>
        <v>وحدة الميكانيك</v>
      </c>
      <c r="E25" s="26" t="str">
        <f ca="1">IFERROR(__xludf.DUMMYFUNCTION("""COMPUTED_VALUE"""),"قسم التربية والتعليم العالي")</f>
        <v>قسم التربية والتعليم العالي</v>
      </c>
      <c r="F25" s="26" t="str">
        <f ca="1">IFERROR(__xludf.DUMMYFUNCTION("""COMPUTED_VALUE"""),"C-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الس"&amp;"اقي للبنين الجانب الثاني (السابعة), J- جامعة العميد (السابعة)")</f>
        <v>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 I- ابتدائية الساقي للبنين (السادسة), J- ابتدائية الساقي للبنين الجانب الثاني (السابعة), J- جامعة العميد (السابعة)</v>
      </c>
      <c r="G25" s="26" t="str">
        <f ca="1">IFERROR(__xludf.DUMMYFUNCTION("""COMPUTED_VALUE"""),"الطابق الارضي")</f>
        <v>الطابق الارضي</v>
      </c>
      <c r="H25" s="26" t="str">
        <f ca="1">IFERROR(__xludf.DUMMYFUNCTION("""COMPUTED_VALUE"""),"تم تفريغ وفحص جميع البرادات ماء RO")</f>
        <v>تم تفريغ وفحص جميع البرادات ماء RO</v>
      </c>
      <c r="I25" s="26"/>
      <c r="J25" s="26" t="s">
        <v>14</v>
      </c>
      <c r="K25" s="26" t="s">
        <v>13</v>
      </c>
      <c r="L25" s="55">
        <v>46116.293145138887</v>
      </c>
      <c r="M25" s="26"/>
      <c r="N25" s="4"/>
    </row>
    <row r="26" spans="1:14" ht="75" customHeight="1" thickTop="1" thickBot="1">
      <c r="A26" s="26">
        <v>24</v>
      </c>
      <c r="B26" s="55">
        <f ca="1">IFERROR(__xludf.DUMMYFUNCTION("""COMPUTED_VALUE"""),46116.3437681134)</f>
        <v>46116.343768113402</v>
      </c>
      <c r="C26" s="56" t="str">
        <f ca="1">IFERROR(__xludf.DUMMYFUNCTION("""COMPUTED_VALUE"""),"المعملجي")</f>
        <v>المعملجي</v>
      </c>
      <c r="D26" s="56" t="str">
        <f ca="1">IFERROR(__xludf.DUMMYFUNCTION("""COMPUTED_VALUE"""),"سجاد تربية")</f>
        <v>سجاد تربية</v>
      </c>
      <c r="E26" s="26" t="str">
        <f ca="1">IFERROR(__xludf.DUMMYFUNCTION("""COMPUTED_VALUE"""),"قسم التربية والتعليم العالي")</f>
        <v>قسم التربية والتعليم العالي</v>
      </c>
      <c r="F26" s="26" t="str">
        <f ca="1">IFERROR(__xludf.DUMMYFUNCTION("""COMPUTED_VALUE"""),"الاستعلامات الرئيسية")</f>
        <v>الاستعلامات الرئيسية</v>
      </c>
      <c r="G26" s="26" t="str">
        <f ca="1">IFERROR(__xludf.DUMMYFUNCTION("""COMPUTED_VALUE"""),"غرفه م شعبة الخدمات ")</f>
        <v xml:space="preserve">غرفه م شعبة الخدمات </v>
      </c>
      <c r="H26" s="26" t="str">
        <f ca="1">IFERROR(__xludf.DUMMYFUNCTION("""COMPUTED_VALUE"""),"صيانة مفرغة")</f>
        <v>صيانة مفرغة</v>
      </c>
      <c r="I26" s="26"/>
      <c r="J26" s="26" t="s">
        <v>3910</v>
      </c>
      <c r="K26" s="26" t="s">
        <v>3911</v>
      </c>
      <c r="L26" s="55">
        <v>46118.314562615742</v>
      </c>
      <c r="M26" s="26"/>
      <c r="N26" s="4"/>
    </row>
    <row r="27" spans="1:14" ht="75" customHeight="1" thickTop="1" thickBot="1">
      <c r="A27" s="34">
        <v>25</v>
      </c>
      <c r="B27" s="55">
        <f ca="1">IFERROR(__xludf.DUMMYFUNCTION("""COMPUTED_VALUE"""),46116.3796470254)</f>
        <v>46116.379647025402</v>
      </c>
      <c r="C27" s="56" t="str">
        <f ca="1">IFERROR(__xludf.DUMMYFUNCTION("""COMPUTED_VALUE"""),"المعملجي")</f>
        <v>المعملجي</v>
      </c>
      <c r="D27" s="56" t="str">
        <f ca="1">IFERROR(__xludf.DUMMYFUNCTION("""COMPUTED_VALUE"""),"سجاد تربية")</f>
        <v>سجاد تربية</v>
      </c>
      <c r="E27" s="26" t="str">
        <f ca="1">IFERROR(__xludf.DUMMYFUNCTION("""COMPUTED_VALUE"""),"قسم التربية والتعليم العالي")</f>
        <v>قسم التربية والتعليم العالي</v>
      </c>
      <c r="F27" s="26" t="str">
        <f ca="1">IFERROR(__xludf.DUMMYFUNCTION("""COMPUTED_VALUE"""),"D- ثانوية العميد بناية المتوسطة  (الثانية)")</f>
        <v>D- ثانوية العميد بناية المتوسطة  (الثانية)</v>
      </c>
      <c r="G27" s="26" t="str">
        <f ca="1">IFERROR(__xludf.DUMMYFUNCTION("""COMPUTED_VALUE"""),"حمامات الادارة ")</f>
        <v xml:space="preserve">حمامات الادارة </v>
      </c>
      <c r="H27" s="26" t="str">
        <f ca="1">IFERROR(__xludf.DUMMYFUNCTION("""COMPUTED_VALUE"""),"تسريب ماء في الحمامات")</f>
        <v>تسريب ماء في الحمامات</v>
      </c>
      <c r="I27" s="26"/>
      <c r="J27" s="26" t="s">
        <v>14</v>
      </c>
      <c r="K27" s="26" t="s">
        <v>13</v>
      </c>
      <c r="L27" s="55">
        <v>46117.309732615744</v>
      </c>
      <c r="M27" s="26"/>
      <c r="N27" s="4"/>
    </row>
    <row r="28" spans="1:14" ht="75" customHeight="1" thickTop="1" thickBot="1">
      <c r="A28" s="26">
        <v>26</v>
      </c>
      <c r="B28" s="55">
        <f ca="1">IFERROR(__xludf.DUMMYFUNCTION("""COMPUTED_VALUE"""),46117.309352743)</f>
        <v>46117.309352743003</v>
      </c>
      <c r="C28" s="56" t="str">
        <f ca="1">IFERROR(__xludf.DUMMYFUNCTION("""COMPUTED_VALUE"""),"المعملجي")</f>
        <v>المعملجي</v>
      </c>
      <c r="D28" s="56" t="str">
        <f ca="1">IFERROR(__xludf.DUMMYFUNCTION("""COMPUTED_VALUE"""),"سجاد تربية")</f>
        <v>سجاد تربية</v>
      </c>
      <c r="E28" s="26" t="str">
        <f ca="1">IFERROR(__xludf.DUMMYFUNCTION("""COMPUTED_VALUE"""),"قسم التربية والتعليم العالي")</f>
        <v>قسم التربية والتعليم العالي</v>
      </c>
      <c r="F28" s="26" t="str">
        <f ca="1">IFERROR(__xludf.DUMMYFUNCTION("""COMPUTED_VALUE"""),"H- ابتدائية القمر للبنات (الخامسة)")</f>
        <v>H- ابتدائية القمر للبنات (الخامسة)</v>
      </c>
      <c r="G28" s="26" t="str">
        <f ca="1">IFERROR(__xludf.DUMMYFUNCTION("""COMPUTED_VALUE"""),"الطابق الارضي")</f>
        <v>الطابق الارضي</v>
      </c>
      <c r="H28" s="26" t="str">
        <f ca="1">IFERROR(__xludf.DUMMYFUNCTION("""COMPUTED_VALUE"""),"لايوجد ماء ارو")</f>
        <v>لايوجد ماء ارو</v>
      </c>
      <c r="I28" s="26"/>
      <c r="J28" s="26" t="s">
        <v>14</v>
      </c>
      <c r="K28" s="26" t="s">
        <v>13</v>
      </c>
      <c r="L28" s="55">
        <v>46117.566546099537</v>
      </c>
      <c r="M28" s="26"/>
      <c r="N28" s="4"/>
    </row>
    <row r="29" spans="1:14" ht="75" customHeight="1" thickTop="1" thickBot="1">
      <c r="A29" s="34">
        <v>27</v>
      </c>
      <c r="B29" s="55">
        <f ca="1">IFERROR(__xludf.DUMMYFUNCTION("""COMPUTED_VALUE"""),46117.5038910763)</f>
        <v>46117.503891076303</v>
      </c>
      <c r="C29" s="56" t="str">
        <f ca="1">IFERROR(__xludf.DUMMYFUNCTION("""COMPUTED_VALUE"""),"المعملجي")</f>
        <v>المعملجي</v>
      </c>
      <c r="D29" s="56" t="str">
        <f ca="1">IFERROR(__xludf.DUMMYFUNCTION("""COMPUTED_VALUE"""),"سجاد تربية")</f>
        <v>سجاد تربية</v>
      </c>
      <c r="E29" s="26" t="str">
        <f ca="1">IFERROR(__xludf.DUMMYFUNCTION("""COMPUTED_VALUE"""),"قسم التربية والتعليم العالي")</f>
        <v>قسم التربية والتعليم العالي</v>
      </c>
      <c r="F29" s="26" t="str">
        <f ca="1">IFERROR(__xludf.DUMMYFUNCTION("""COMPUTED_VALUE"""),"D- ثانوية العميد بناية المتوسطة  (الثانية)")</f>
        <v>D- ثانوية العميد بناية المتوسطة  (الثانية)</v>
      </c>
      <c r="G29" s="26" t="str">
        <f ca="1">IFERROR(__xludf.DUMMYFUNCTION("""COMPUTED_VALUE"""),"حمامات الادارة")</f>
        <v>حمامات الادارة</v>
      </c>
      <c r="H29" s="26" t="str">
        <f ca="1">IFERROR(__xludf.DUMMYFUNCTION("""COMPUTED_VALUE"""),"صيانه حمام تسريب ماء ")</f>
        <v xml:space="preserve">صيانه حمام تسريب ماء </v>
      </c>
      <c r="I29" s="26"/>
      <c r="J29" s="26" t="s">
        <v>14</v>
      </c>
      <c r="K29" s="26" t="s">
        <v>13</v>
      </c>
      <c r="L29" s="55">
        <v>46118.314611157402</v>
      </c>
      <c r="M29" s="26" t="s">
        <v>3912</v>
      </c>
      <c r="N29" s="4"/>
    </row>
    <row r="30" spans="1:14" ht="75" customHeight="1" thickTop="1" thickBot="1">
      <c r="A30" s="26">
        <v>28</v>
      </c>
      <c r="B30" s="55">
        <f ca="1">IFERROR(__xludf.DUMMYFUNCTION("""COMPUTED_VALUE"""),46117.5504929282)</f>
        <v>46117.550492928203</v>
      </c>
      <c r="C30" s="56" t="str">
        <f ca="1">IFERROR(__xludf.DUMMYFUNCTION("""COMPUTED_VALUE"""),"المعملجي")</f>
        <v>المعملجي</v>
      </c>
      <c r="D30" s="56" t="str">
        <f ca="1">IFERROR(__xludf.DUMMYFUNCTION("""COMPUTED_VALUE"""),"سجاد تربية")</f>
        <v>سجاد تربية</v>
      </c>
      <c r="E30" s="26" t="str">
        <f ca="1">IFERROR(__xludf.DUMMYFUNCTION("""COMPUTED_VALUE"""),"قسم التربية والتعليم العالي")</f>
        <v>قسم التربية والتعليم العالي</v>
      </c>
      <c r="F30" s="26" t="str">
        <f ca="1">IFERROR(__xludf.DUMMYFUNCTION("""COMPUTED_VALUE"""),"I- ابتدائية الساقي للبنين (السادسة)")</f>
        <v>I- ابتدائية الساقي للبنين (السادسة)</v>
      </c>
      <c r="G30" s="26" t="str">
        <f ca="1">IFERROR(__xludf.DUMMYFUNCTION("""COMPUTED_VALUE"""),"الطابق الاول, الطابق الثاني")</f>
        <v>الطابق الاول, الطابق الثاني</v>
      </c>
      <c r="H30" s="26" t="str">
        <f ca="1">IFERROR(__xludf.DUMMYFUNCTION("""COMPUTED_VALUE"""),"صيانة بردات")</f>
        <v>صيانة بردات</v>
      </c>
      <c r="I30" s="26"/>
      <c r="J30" s="26" t="s">
        <v>16</v>
      </c>
      <c r="K30" s="26" t="s">
        <v>13</v>
      </c>
      <c r="L30" s="55">
        <v>46118.314649224536</v>
      </c>
      <c r="M30" s="26"/>
      <c r="N30" s="4"/>
    </row>
    <row r="31" spans="1:14" ht="75" customHeight="1" thickTop="1" thickBot="1">
      <c r="A31" s="34">
        <v>29</v>
      </c>
      <c r="B31" s="55">
        <f ca="1">IFERROR(__xludf.DUMMYFUNCTION("""COMPUTED_VALUE"""),46117.5507874652)</f>
        <v>46117.550787465203</v>
      </c>
      <c r="C31" s="56" t="str">
        <f ca="1">IFERROR(__xludf.DUMMYFUNCTION("""COMPUTED_VALUE"""),"المعملجي")</f>
        <v>المعملجي</v>
      </c>
      <c r="D31" s="56" t="str">
        <f ca="1">IFERROR(__xludf.DUMMYFUNCTION("""COMPUTED_VALUE"""),"سجاد تربية")</f>
        <v>سجاد تربية</v>
      </c>
      <c r="E31" s="26" t="str">
        <f ca="1">IFERROR(__xludf.DUMMYFUNCTION("""COMPUTED_VALUE"""),"قسم التربية والتعليم العالي")</f>
        <v>قسم التربية والتعليم العالي</v>
      </c>
      <c r="F31" s="26" t="str">
        <f ca="1">IFERROR(__xludf.DUMMYFUNCTION("""COMPUTED_VALUE"""),"I- ابتدائية الساقي للبنين (السادسة)")</f>
        <v>I- ابتدائية الساقي للبنين (السادسة)</v>
      </c>
      <c r="G31" s="26" t="str">
        <f ca="1">IFERROR(__xludf.DUMMYFUNCTION("""COMPUTED_VALUE"""),"الطابق الثاني")</f>
        <v>الطابق الثاني</v>
      </c>
      <c r="H31" s="26" t="str">
        <f ca="1">IFERROR(__xludf.DUMMYFUNCTION("""COMPUTED_VALUE"""),"صيانه ميز طعام")</f>
        <v>صيانه ميز طعام</v>
      </c>
      <c r="I31" s="26"/>
      <c r="J31" s="26" t="s">
        <v>16</v>
      </c>
      <c r="K31" s="26" t="s">
        <v>13</v>
      </c>
      <c r="L31" s="55">
        <v>46118.547294467593</v>
      </c>
      <c r="M31" s="26"/>
      <c r="N31" s="4"/>
    </row>
    <row r="32" spans="1:14" ht="75" customHeight="1" thickTop="1" thickBot="1">
      <c r="A32" s="26">
        <v>30</v>
      </c>
      <c r="B32" s="55">
        <f ca="1">IFERROR(__xludf.DUMMYFUNCTION("""COMPUTED_VALUE"""),46117.5517464814)</f>
        <v>46117.551746481397</v>
      </c>
      <c r="C32" s="56" t="str">
        <f ca="1">IFERROR(__xludf.DUMMYFUNCTION("""COMPUTED_VALUE"""),"المعملجي")</f>
        <v>المعملجي</v>
      </c>
      <c r="D32" s="56" t="str">
        <f ca="1">IFERROR(__xludf.DUMMYFUNCTION("""COMPUTED_VALUE"""),"سجاد تربية")</f>
        <v>سجاد تربية</v>
      </c>
      <c r="E32" s="26" t="str">
        <f ca="1">IFERROR(__xludf.DUMMYFUNCTION("""COMPUTED_VALUE"""),"قسم التربية والتعليم العالي")</f>
        <v>قسم التربية والتعليم العالي</v>
      </c>
      <c r="F32" s="26" t="str">
        <f ca="1">IFERROR(__xludf.DUMMYFUNCTION("""COMPUTED_VALUE"""),"I- ابتدائية الساقي للبنين (السادسة)")</f>
        <v>I- ابتدائية الساقي للبنين (السادسة)</v>
      </c>
      <c r="G32" s="26" t="str">
        <f ca="1">IFERROR(__xludf.DUMMYFUNCTION("""COMPUTED_VALUE"""),"الاول أ و الثالث د ")</f>
        <v xml:space="preserve">الاول أ و الثالث د </v>
      </c>
      <c r="H32" s="26" t="str">
        <f ca="1">IFERROR(__xludf.DUMMYFUNCTION("""COMPUTED_VALUE"""),"صيانة كرسي معلمات")</f>
        <v>صيانة كرسي معلمات</v>
      </c>
      <c r="I32" s="26"/>
      <c r="J32" s="26" t="s">
        <v>16</v>
      </c>
      <c r="K32" s="26" t="s">
        <v>13</v>
      </c>
      <c r="L32" s="55">
        <v>46117.642147974533</v>
      </c>
      <c r="M32" s="26"/>
      <c r="N32" s="4"/>
    </row>
    <row r="33" spans="1:14" ht="75" customHeight="1" thickTop="1" thickBot="1">
      <c r="A33" s="34">
        <v>31</v>
      </c>
      <c r="B33" s="55">
        <f ca="1">IFERROR(__xludf.DUMMYFUNCTION("""COMPUTED_VALUE"""),46117.5523819444)</f>
        <v>46117.552381944399</v>
      </c>
      <c r="C33" s="56" t="str">
        <f ca="1">IFERROR(__xludf.DUMMYFUNCTION("""COMPUTED_VALUE"""),"المعملجي")</f>
        <v>المعملجي</v>
      </c>
      <c r="D33" s="56" t="str">
        <f ca="1">IFERROR(__xludf.DUMMYFUNCTION("""COMPUTED_VALUE"""),"سجاد تربية")</f>
        <v>سجاد تربية</v>
      </c>
      <c r="E33" s="26" t="str">
        <f ca="1">IFERROR(__xludf.DUMMYFUNCTION("""COMPUTED_VALUE"""),"قسم التربية والتعليم العالي")</f>
        <v>قسم التربية والتعليم العالي</v>
      </c>
      <c r="F33" s="26" t="str">
        <f ca="1">IFERROR(__xludf.DUMMYFUNCTION("""COMPUTED_VALUE"""),"G- روضة الجود")</f>
        <v>G- روضة الجود</v>
      </c>
      <c r="G33" s="26"/>
      <c r="H33" s="26" t="str">
        <f ca="1">IFERROR(__xludf.DUMMYFUNCTION("""COMPUTED_VALUE"""),"صيانه بردات وتنظيف فلاتر")</f>
        <v>صيانه بردات وتنظيف فلاتر</v>
      </c>
      <c r="I33" s="26"/>
      <c r="J33" s="26" t="s">
        <v>14</v>
      </c>
      <c r="K33" s="26" t="s">
        <v>13</v>
      </c>
      <c r="L33" s="55">
        <v>46117.567750358794</v>
      </c>
      <c r="M33" s="26"/>
      <c r="N33" s="4"/>
    </row>
    <row r="34" spans="1:14" ht="75" customHeight="1" thickTop="1" thickBot="1">
      <c r="A34" s="26">
        <v>32</v>
      </c>
      <c r="B34" s="55">
        <f ca="1">IFERROR(__xludf.DUMMYFUNCTION("""COMPUTED_VALUE"""),46117.5529870138)</f>
        <v>46117.552987013798</v>
      </c>
      <c r="C34" s="56" t="str">
        <f ca="1">IFERROR(__xludf.DUMMYFUNCTION("""COMPUTED_VALUE"""),"المعملجي")</f>
        <v>المعملجي</v>
      </c>
      <c r="D34" s="56" t="str">
        <f ca="1">IFERROR(__xludf.DUMMYFUNCTION("""COMPUTED_VALUE"""),"سجاد تربية")</f>
        <v>سجاد تربية</v>
      </c>
      <c r="E34" s="26" t="str">
        <f ca="1">IFERROR(__xludf.DUMMYFUNCTION("""COMPUTED_VALUE"""),"قسم التربية والتعليم العالي")</f>
        <v>قسم التربية والتعليم العالي</v>
      </c>
      <c r="F34" s="26" t="str">
        <f ca="1">IFERROR(__xludf.DUMMYFUNCTION("""COMPUTED_VALUE"""),"E- ابتدائية العميد للبنات (الثالثة)")</f>
        <v>E- ابتدائية العميد للبنات (الثالثة)</v>
      </c>
      <c r="G34" s="26" t="str">
        <f ca="1">IFERROR(__xludf.DUMMYFUNCTION("""COMPUTED_VALUE"""),"الطابق الاول")</f>
        <v>الطابق الاول</v>
      </c>
      <c r="H34" s="26" t="str">
        <f ca="1">IFERROR(__xludf.DUMMYFUNCTION("""COMPUTED_VALUE"""),"صيانة شباك")</f>
        <v>صيانة شباك</v>
      </c>
      <c r="I34" s="26"/>
      <c r="J34" s="26" t="s">
        <v>16</v>
      </c>
      <c r="K34" s="26" t="s">
        <v>13</v>
      </c>
      <c r="L34" s="55">
        <v>46118.496676840281</v>
      </c>
      <c r="M34" s="26"/>
      <c r="N34" s="4"/>
    </row>
    <row r="35" spans="1:14" ht="75" customHeight="1" thickTop="1" thickBot="1">
      <c r="A35" s="34">
        <v>33</v>
      </c>
      <c r="B35" s="55">
        <f ca="1">IFERROR(__xludf.DUMMYFUNCTION("""COMPUTED_VALUE"""),46117.5537447106)</f>
        <v>46117.553744710603</v>
      </c>
      <c r="C35" s="56" t="str">
        <f ca="1">IFERROR(__xludf.DUMMYFUNCTION("""COMPUTED_VALUE"""),"المعملجي")</f>
        <v>المعملجي</v>
      </c>
      <c r="D35" s="56" t="str">
        <f ca="1">IFERROR(__xludf.DUMMYFUNCTION("""COMPUTED_VALUE"""),"سجاد تربية")</f>
        <v>سجاد تربية</v>
      </c>
      <c r="E35" s="26" t="str">
        <f ca="1">IFERROR(__xludf.DUMMYFUNCTION("""COMPUTED_VALUE"""),"قسم التربية والتعليم العالي")</f>
        <v>قسم التربية والتعليم العالي</v>
      </c>
      <c r="F35" s="26" t="str">
        <f ca="1">IFERROR(__xludf.DUMMYFUNCTION("""COMPUTED_VALUE"""),"F-  ابتدائية جود العميد للبنات (الرابعة)")</f>
        <v>F-  ابتدائية جود العميد للبنات (الرابعة)</v>
      </c>
      <c r="G35" s="26" t="str">
        <f ca="1">IFERROR(__xludf.DUMMYFUNCTION("""COMPUTED_VALUE"""),"الطابق الارضي, الطابق الاول, الطابق الثاني")</f>
        <v>الطابق الارضي, الطابق الاول, الطابق الثاني</v>
      </c>
      <c r="H35" s="26" t="str">
        <f ca="1">IFERROR(__xludf.DUMMYFUNCTION("""COMPUTED_VALUE"""),"صيانة ازارة سيراميك ")</f>
        <v xml:space="preserve">صيانة ازارة سيراميك </v>
      </c>
      <c r="I35" s="26"/>
      <c r="J35" s="26" t="s">
        <v>16</v>
      </c>
      <c r="K35" s="26" t="s">
        <v>13</v>
      </c>
      <c r="L35" s="55">
        <v>46118.496708946761</v>
      </c>
      <c r="M35" s="26"/>
      <c r="N35" s="4"/>
    </row>
    <row r="36" spans="1:14" ht="75" customHeight="1" thickTop="1" thickBot="1">
      <c r="A36" s="26">
        <v>34</v>
      </c>
      <c r="B36" s="55">
        <f ca="1">IFERROR(__xludf.DUMMYFUNCTION("""COMPUTED_VALUE"""),46118.3945224884)</f>
        <v>46118.394522488401</v>
      </c>
      <c r="C36" s="56" t="str">
        <f ca="1">IFERROR(__xludf.DUMMYFUNCTION("""COMPUTED_VALUE"""),"المعملجي")</f>
        <v>المعملجي</v>
      </c>
      <c r="D36" s="56" t="str">
        <f ca="1">IFERROR(__xludf.DUMMYFUNCTION("""COMPUTED_VALUE"""),"سجاد تربية")</f>
        <v>سجاد تربية</v>
      </c>
      <c r="E36" s="26" t="str">
        <f ca="1">IFERROR(__xludf.DUMMYFUNCTION("""COMPUTED_VALUE"""),"قسم التربية والتعليم العالي")</f>
        <v>قسم التربية والتعليم العالي</v>
      </c>
      <c r="F36" s="26" t="str">
        <f ca="1">IFERROR(__xludf.DUMMYFUNCTION("""COMPUTED_VALUE"""),"قرب مدرسه العميد الابتدايية")</f>
        <v>قرب مدرسه العميد الابتدايية</v>
      </c>
      <c r="G36" s="26" t="str">
        <f ca="1">IFERROR(__xludf.DUMMYFUNCTION("""COMPUTED_VALUE"""),"/")</f>
        <v>/</v>
      </c>
      <c r="H36" s="26" t="str">
        <f ca="1">IFERROR(__xludf.DUMMYFUNCTION("""COMPUTED_VALUE"""),"صيانه بوري تسريب ماء")</f>
        <v>صيانه بوري تسريب ماء</v>
      </c>
      <c r="I36" s="26"/>
      <c r="J36" s="26" t="s">
        <v>14</v>
      </c>
      <c r="K36" s="26" t="s">
        <v>13</v>
      </c>
      <c r="L36" s="55">
        <v>46118.408516342592</v>
      </c>
      <c r="M36" s="26"/>
      <c r="N36" s="4"/>
    </row>
    <row r="37" spans="1:14" ht="75" customHeight="1" thickTop="1" thickBot="1">
      <c r="A37" s="34">
        <v>35</v>
      </c>
      <c r="B37" s="55">
        <f ca="1">IFERROR(__xludf.DUMMYFUNCTION("""COMPUTED_VALUE"""),46118.4011912384)</f>
        <v>46118.401191238401</v>
      </c>
      <c r="C37" s="56" t="str">
        <f ca="1">IFERROR(__xludf.DUMMYFUNCTION("""COMPUTED_VALUE"""),"المعملجي")</f>
        <v>المعملجي</v>
      </c>
      <c r="D37" s="56" t="str">
        <f ca="1">IFERROR(__xludf.DUMMYFUNCTION("""COMPUTED_VALUE"""),"سجاد تربية")</f>
        <v>سجاد تربية</v>
      </c>
      <c r="E37" s="26" t="str">
        <f ca="1">IFERROR(__xludf.DUMMYFUNCTION("""COMPUTED_VALUE"""),"قسم التربية والتعليم العالي")</f>
        <v>قسم التربية والتعليم العالي</v>
      </c>
      <c r="F37" s="26" t="str">
        <f ca="1">IFERROR(__xludf.DUMMYFUNCTION("""COMPUTED_VALUE"""),"E- ابتدائية العميد للبنات (الثالثة)")</f>
        <v>E- ابتدائية العميد للبنات (الثالثة)</v>
      </c>
      <c r="G37" s="26" t="str">
        <f ca="1">IFERROR(__xludf.DUMMYFUNCTION("""COMPUTED_VALUE"""),"/")</f>
        <v>/</v>
      </c>
      <c r="H37" s="26" t="str">
        <f ca="1">IFERROR(__xludf.DUMMYFUNCTION("""COMPUTED_VALUE"""),"لايوجد ماء في البرادات ")</f>
        <v xml:space="preserve">لايوجد ماء في البرادات </v>
      </c>
      <c r="I37" s="26"/>
      <c r="J37" s="26" t="s">
        <v>14</v>
      </c>
      <c r="K37" s="26" t="s">
        <v>13</v>
      </c>
      <c r="L37" s="55">
        <v>46118.496809884258</v>
      </c>
      <c r="M37" s="26"/>
      <c r="N37" s="4"/>
    </row>
    <row r="38" spans="1:14" ht="75" customHeight="1" thickTop="1" thickBot="1">
      <c r="A38" s="26">
        <v>36</v>
      </c>
      <c r="B38" s="55">
        <f ca="1">IFERROR(__xludf.DUMMYFUNCTION("""COMPUTED_VALUE"""),46118.479746875)</f>
        <v>46118.479746874997</v>
      </c>
      <c r="C38" s="56" t="str">
        <f ca="1">IFERROR(__xludf.DUMMYFUNCTION("""COMPUTED_VALUE"""),"المعملجي")</f>
        <v>المعملجي</v>
      </c>
      <c r="D38" s="56" t="str">
        <f ca="1">IFERROR(__xludf.DUMMYFUNCTION("""COMPUTED_VALUE"""),"سجاد تربية")</f>
        <v>سجاد تربية</v>
      </c>
      <c r="E38" s="26" t="str">
        <f ca="1">IFERROR(__xludf.DUMMYFUNCTION("""COMPUTED_VALUE"""),"قسم التربية والتعليم العالي")</f>
        <v>قسم التربية والتعليم العالي</v>
      </c>
      <c r="F38" s="26" t="str">
        <f ca="1">IFERROR(__xludf.DUMMYFUNCTION("""COMPUTED_VALUE"""),"الاستعلامات الرئيسية")</f>
        <v>الاستعلامات الرئيسية</v>
      </c>
      <c r="G38" s="26" t="str">
        <f ca="1">IFERROR(__xludf.DUMMYFUNCTION("""COMPUTED_VALUE"""),"الطابق الارضي")</f>
        <v>الطابق الارضي</v>
      </c>
      <c r="H38" s="26" t="str">
        <f ca="1">IFERROR(__xludf.DUMMYFUNCTION("""COMPUTED_VALUE"""),"شد ساعة جدارية ")</f>
        <v xml:space="preserve">شد ساعة جدارية </v>
      </c>
      <c r="I38" s="26"/>
      <c r="J38" s="26" t="s">
        <v>16</v>
      </c>
      <c r="K38" s="26" t="s">
        <v>13</v>
      </c>
      <c r="L38" s="55">
        <v>46118.496783194445</v>
      </c>
      <c r="M38" s="26"/>
      <c r="N38" s="4"/>
    </row>
    <row r="39" spans="1:14" ht="75" customHeight="1" thickTop="1" thickBot="1">
      <c r="A39" s="34">
        <v>37</v>
      </c>
      <c r="B39" s="55">
        <f ca="1">IFERROR(__xludf.DUMMYFUNCTION("""COMPUTED_VALUE"""),46118.480999456)</f>
        <v>46118.480999455998</v>
      </c>
      <c r="C39" s="56" t="str">
        <f ca="1">IFERROR(__xludf.DUMMYFUNCTION("""COMPUTED_VALUE"""),"المعملجي")</f>
        <v>المعملجي</v>
      </c>
      <c r="D39" s="56" t="str">
        <f ca="1">IFERROR(__xludf.DUMMYFUNCTION("""COMPUTED_VALUE"""),"سجاد تربية")</f>
        <v>سجاد تربية</v>
      </c>
      <c r="E39" s="26" t="str">
        <f ca="1">IFERROR(__xludf.DUMMYFUNCTION("""COMPUTED_VALUE"""),"قسم التربية والتعليم العالي")</f>
        <v>قسم التربية والتعليم العالي</v>
      </c>
      <c r="F39" s="26" t="str">
        <f ca="1">IFERROR(__xludf.DUMMYFUNCTION("""COMPUTED_VALUE"""),"كرفان  ابو سجاد ")</f>
        <v xml:space="preserve">كرفان  ابو سجاد </v>
      </c>
      <c r="G39" s="26" t="str">
        <f ca="1">IFERROR(__xludf.DUMMYFUNCTION("""COMPUTED_VALUE"""),"/")</f>
        <v>/</v>
      </c>
      <c r="H39" s="26" t="str">
        <f ca="1">IFERROR(__xludf.DUMMYFUNCTION("""COMPUTED_VALUE"""),"تعليق بوكس الاسعافات الاولية في الكرفان ")</f>
        <v xml:space="preserve">تعليق بوكس الاسعافات الاولية في الكرفان </v>
      </c>
      <c r="I39" s="26"/>
      <c r="J39" s="26" t="s">
        <v>16</v>
      </c>
      <c r="K39" s="26" t="s">
        <v>13</v>
      </c>
      <c r="L39" s="55">
        <v>46118.5076916088</v>
      </c>
      <c r="M39" s="26"/>
      <c r="N39" s="4"/>
    </row>
    <row r="40" spans="1:14" ht="75" customHeight="1" thickTop="1" thickBot="1">
      <c r="A40" s="26">
        <v>38</v>
      </c>
      <c r="B40" s="55">
        <f ca="1">IFERROR(__xludf.DUMMYFUNCTION("""COMPUTED_VALUE"""),46118.5045864351)</f>
        <v>46118.504586435098</v>
      </c>
      <c r="C40" s="56" t="str">
        <f ca="1">IFERROR(__xludf.DUMMYFUNCTION("""COMPUTED_VALUE"""),"المعملجي")</f>
        <v>المعملجي</v>
      </c>
      <c r="D40" s="56" t="str">
        <f ca="1">IFERROR(__xludf.DUMMYFUNCTION("""COMPUTED_VALUE"""),"سجاد تربية")</f>
        <v>سجاد تربية</v>
      </c>
      <c r="E40" s="26" t="str">
        <f ca="1">IFERROR(__xludf.DUMMYFUNCTION("""COMPUTED_VALUE"""),"قسم التربية والتعليم العالي")</f>
        <v>قسم التربية والتعليم العالي</v>
      </c>
      <c r="F40" s="26" t="str">
        <f ca="1">IFERROR(__xludf.DUMMYFUNCTION("""COMPUTED_VALUE"""),"E- ابتدائية العميد للبنات (الثالثة)")</f>
        <v>E- ابتدائية العميد للبنات (الثالثة)</v>
      </c>
      <c r="G40" s="26" t="str">
        <f ca="1">IFERROR(__xludf.DUMMYFUNCTION("""COMPUTED_VALUE"""),"الطابق الارضي")</f>
        <v>الطابق الارضي</v>
      </c>
      <c r="H40" s="26" t="str">
        <f ca="1">IFERROR(__xludf.DUMMYFUNCTION("""COMPUTED_VALUE"""),"صيانة مغاسل ")</f>
        <v xml:space="preserve">صيانة مغاسل </v>
      </c>
      <c r="I40" s="26"/>
      <c r="J40" s="26" t="s">
        <v>14</v>
      </c>
      <c r="K40" s="26" t="s">
        <v>13</v>
      </c>
      <c r="L40" s="55">
        <v>46119.542107939815</v>
      </c>
      <c r="M40" s="26"/>
      <c r="N40" s="4"/>
    </row>
    <row r="41" spans="1:14" ht="75" customHeight="1" thickTop="1" thickBot="1">
      <c r="A41" s="34">
        <v>39</v>
      </c>
      <c r="B41" s="55">
        <f ca="1">IFERROR(__xludf.DUMMYFUNCTION("""COMPUTED_VALUE"""),46118.5608765509)</f>
        <v>46118.560876550902</v>
      </c>
      <c r="C41" s="56" t="str">
        <f ca="1">IFERROR(__xludf.DUMMYFUNCTION("""COMPUTED_VALUE"""),"المعملجي")</f>
        <v>المعملجي</v>
      </c>
      <c r="D41" s="56" t="str">
        <f ca="1">IFERROR(__xludf.DUMMYFUNCTION("""COMPUTED_VALUE"""),"سجاد تربية")</f>
        <v>سجاد تربية</v>
      </c>
      <c r="E41" s="26" t="str">
        <f ca="1">IFERROR(__xludf.DUMMYFUNCTION("""COMPUTED_VALUE"""),"قسم التربية والتعليم العالي")</f>
        <v>قسم التربية والتعليم العالي</v>
      </c>
      <c r="F41" s="26" t="str">
        <f ca="1">IFERROR(__xludf.DUMMYFUNCTION("""COMPUTED_VALUE"""),"E- ابتدائية العميد للبنات (الثالثة)")</f>
        <v>E- ابتدائية العميد للبنات (الثالثة)</v>
      </c>
      <c r="G41" s="26" t="str">
        <f ca="1">IFERROR(__xludf.DUMMYFUNCTION("""COMPUTED_VALUE"""),"الطابق الارضي, جناح الساحة ZONE B")</f>
        <v>الطابق الارضي, جناح الساحة ZONE B</v>
      </c>
      <c r="H41" s="26" t="str">
        <f ca="1">IFERROR(__xludf.DUMMYFUNCTION("""COMPUTED_VALUE"""),"صيانة باب خشب ")</f>
        <v xml:space="preserve">صيانة باب خشب </v>
      </c>
      <c r="I41" s="26"/>
      <c r="J41" s="26" t="s">
        <v>16</v>
      </c>
      <c r="K41" s="26" t="s">
        <v>13</v>
      </c>
      <c r="L41" s="55">
        <v>46118.560996550921</v>
      </c>
      <c r="M41" s="26"/>
      <c r="N41" s="4"/>
    </row>
    <row r="42" spans="1:14" ht="75" customHeight="1" thickTop="1" thickBot="1">
      <c r="A42" s="26">
        <v>40</v>
      </c>
      <c r="B42" s="55">
        <f ca="1">IFERROR(__xludf.DUMMYFUNCTION("""COMPUTED_VALUE"""),46118.5689975347)</f>
        <v>46118.568997534698</v>
      </c>
      <c r="C42" s="56" t="str">
        <f ca="1">IFERROR(__xludf.DUMMYFUNCTION("""COMPUTED_VALUE"""),"المعملجي")</f>
        <v>المعملجي</v>
      </c>
      <c r="D42" s="56" t="str">
        <f ca="1">IFERROR(__xludf.DUMMYFUNCTION("""COMPUTED_VALUE"""),"سجاد تربية")</f>
        <v>سجاد تربية</v>
      </c>
      <c r="E42" s="26" t="str">
        <f ca="1">IFERROR(__xludf.DUMMYFUNCTION("""COMPUTED_VALUE"""),"قسم التربية والتعليم العالي")</f>
        <v>قسم التربية والتعليم العالي</v>
      </c>
      <c r="F42" s="26" t="str">
        <f ca="1">IFERROR(__xludf.DUMMYFUNCTION("""COMPUTED_VALUE"""),"B- روضة القمر, E- ابتدائية العميد للبنات (الثالثة)")</f>
        <v>B- روضة القمر, E- ابتدائية العميد للبنات (الثالثة)</v>
      </c>
      <c r="G42" s="26" t="str">
        <f ca="1">IFERROR(__xludf.DUMMYFUNCTION("""COMPUTED_VALUE"""),"الطابق الارضي")</f>
        <v>الطابق الارضي</v>
      </c>
      <c r="H42" s="26" t="str">
        <f ca="1">IFERROR(__xludf.DUMMYFUNCTION("""COMPUTED_VALUE"""),"شد رفوف الحانوت")</f>
        <v>شد رفوف الحانوت</v>
      </c>
      <c r="I42" s="26"/>
      <c r="J42" s="26" t="s">
        <v>16</v>
      </c>
      <c r="K42" s="26" t="s">
        <v>13</v>
      </c>
      <c r="L42" s="55">
        <v>46119.527086412039</v>
      </c>
      <c r="M42" s="26"/>
      <c r="N42" s="4"/>
    </row>
    <row r="43" spans="1:14" ht="75" customHeight="1" thickTop="1" thickBot="1">
      <c r="A43" s="34">
        <v>41</v>
      </c>
      <c r="B43" s="55">
        <f ca="1">IFERROR(__xludf.DUMMYFUNCTION("""COMPUTED_VALUE"""),46119.385680706)</f>
        <v>46119.385680706</v>
      </c>
      <c r="C43" s="56" t="str">
        <f ca="1">IFERROR(__xludf.DUMMYFUNCTION("""COMPUTED_VALUE"""),"المعملجي")</f>
        <v>المعملجي</v>
      </c>
      <c r="D43" s="56" t="str">
        <f ca="1">IFERROR(__xludf.DUMMYFUNCTION("""COMPUTED_VALUE"""),"سجاد تربية")</f>
        <v>سجاد تربية</v>
      </c>
      <c r="E43" s="26" t="str">
        <f ca="1">IFERROR(__xludf.DUMMYFUNCTION("""COMPUTED_VALUE"""),"قسم التربية والتعليم العالي")</f>
        <v>قسم التربية والتعليم العالي</v>
      </c>
      <c r="F43" s="26" t="str">
        <f ca="1">IFERROR(__xludf.DUMMYFUNCTION("""COMPUTED_VALUE"""),"I- ابتدائية الساقي للبنين (السادسة)")</f>
        <v>I- ابتدائية الساقي للبنين (السادسة)</v>
      </c>
      <c r="G43" s="26" t="str">
        <f ca="1">IFERROR(__xludf.DUMMYFUNCTION("""COMPUTED_VALUE"""),"الطابق الارضي")</f>
        <v>الطابق الارضي</v>
      </c>
      <c r="H43" s="26" t="str">
        <f ca="1">IFERROR(__xludf.DUMMYFUNCTION("""COMPUTED_VALUE"""),"صيانة حنفية سنك ")</f>
        <v xml:space="preserve">صيانة حنفية سنك </v>
      </c>
      <c r="I43" s="26"/>
      <c r="J43" s="26" t="s">
        <v>14</v>
      </c>
      <c r="K43" s="26" t="s">
        <v>13</v>
      </c>
      <c r="L43" s="55">
        <v>46119.527142905092</v>
      </c>
      <c r="M43" s="26"/>
      <c r="N43" s="4"/>
    </row>
    <row r="44" spans="1:14" ht="75" customHeight="1" thickTop="1" thickBot="1">
      <c r="A44" s="26">
        <v>42</v>
      </c>
      <c r="B44" s="55">
        <f ca="1">IFERROR(__xludf.DUMMYFUNCTION("""COMPUTED_VALUE"""),46119.4090059375)</f>
        <v>46119.409005937501</v>
      </c>
      <c r="C44" s="56" t="str">
        <f ca="1">IFERROR(__xludf.DUMMYFUNCTION("""COMPUTED_VALUE"""),"المعملجي")</f>
        <v>المعملجي</v>
      </c>
      <c r="D44" s="56" t="str">
        <f ca="1">IFERROR(__xludf.DUMMYFUNCTION("""COMPUTED_VALUE"""),"سجاد تربية")</f>
        <v>سجاد تربية</v>
      </c>
      <c r="E44" s="26" t="str">
        <f ca="1">IFERROR(__xludf.DUMMYFUNCTION("""COMPUTED_VALUE"""),"قسم التربية والتعليم العالي")</f>
        <v>قسم التربية والتعليم العالي</v>
      </c>
      <c r="F44" s="26" t="str">
        <f ca="1">IFERROR(__xludf.DUMMYFUNCTION("""COMPUTED_VALUE"""),"D- ثانوية العميد بناية المتوسطة  (الثانية)")</f>
        <v>D- ثانوية العميد بناية المتوسطة  (الثانية)</v>
      </c>
      <c r="G44" s="26" t="str">
        <f ca="1">IFERROR(__xludf.DUMMYFUNCTION("""COMPUTED_VALUE"""),"الطابق الاول")</f>
        <v>الطابق الاول</v>
      </c>
      <c r="H44" s="26" t="str">
        <f ca="1">IFERROR(__xludf.DUMMYFUNCTION("""COMPUTED_VALUE"""),"صيانة يدات باب المنيوم ")</f>
        <v xml:space="preserve">صيانة يدات باب المنيوم </v>
      </c>
      <c r="I44" s="26"/>
      <c r="J44" s="26" t="s">
        <v>16</v>
      </c>
      <c r="K44" s="26" t="s">
        <v>13</v>
      </c>
      <c r="L44" s="55">
        <v>46119.570171597225</v>
      </c>
      <c r="M44" s="26"/>
      <c r="N44" s="4"/>
    </row>
    <row r="45" spans="1:14" ht="75" customHeight="1" thickTop="1" thickBot="1">
      <c r="A45" s="34">
        <v>43</v>
      </c>
      <c r="B45" s="55">
        <f ca="1">IFERROR(__xludf.DUMMYFUNCTION("""COMPUTED_VALUE"""),46119.4671203125)</f>
        <v>46119.467120312504</v>
      </c>
      <c r="C45" s="56" t="str">
        <f ca="1">IFERROR(__xludf.DUMMYFUNCTION("""COMPUTED_VALUE"""),"المعملجي")</f>
        <v>المعملجي</v>
      </c>
      <c r="D45" s="56" t="str">
        <f ca="1">IFERROR(__xludf.DUMMYFUNCTION("""COMPUTED_VALUE"""),"سجاد تربية")</f>
        <v>سجاد تربية</v>
      </c>
      <c r="E45" s="26" t="str">
        <f ca="1">IFERROR(__xludf.DUMMYFUNCTION("""COMPUTED_VALUE"""),"قسم التربية والتعليم العالي")</f>
        <v>قسم التربية والتعليم العالي</v>
      </c>
      <c r="F45" s="26" t="str">
        <f ca="1">IFERROR(__xludf.DUMMYFUNCTION("""COMPUTED_VALUE"""),"E- ابتدائية العميد للبنات (الثالثة)")</f>
        <v>E- ابتدائية العميد للبنات (الثالثة)</v>
      </c>
      <c r="G45" s="26" t="str">
        <f ca="1">IFERROR(__xludf.DUMMYFUNCTION("""COMPUTED_VALUE"""),"غرفة معلمات ")</f>
        <v xml:space="preserve">غرفة معلمات </v>
      </c>
      <c r="H45" s="26" t="str">
        <f ca="1">IFERROR(__xludf.DUMMYFUNCTION("""COMPUTED_VALUE"""),"صيانة بردة ")</f>
        <v xml:space="preserve">صيانة بردة </v>
      </c>
      <c r="I45" s="26"/>
      <c r="J45" s="26" t="s">
        <v>16</v>
      </c>
      <c r="K45" s="26" t="s">
        <v>13</v>
      </c>
      <c r="L45" s="55">
        <v>46119.570248958335</v>
      </c>
      <c r="M45" s="26"/>
      <c r="N45" s="4"/>
    </row>
    <row r="46" spans="1:14" ht="75" customHeight="1" thickTop="1" thickBot="1">
      <c r="A46" s="26">
        <v>44</v>
      </c>
      <c r="B46" s="55">
        <f ca="1">IFERROR(__xludf.DUMMYFUNCTION("""COMPUTED_VALUE"""),46119.5304418518)</f>
        <v>46119.530441851799</v>
      </c>
      <c r="C46" s="56" t="str">
        <f ca="1">IFERROR(__xludf.DUMMYFUNCTION("""COMPUTED_VALUE"""),"المعملجي")</f>
        <v>المعملجي</v>
      </c>
      <c r="D46" s="56" t="str">
        <f ca="1">IFERROR(__xludf.DUMMYFUNCTION("""COMPUTED_VALUE"""),"سجاد تربية")</f>
        <v>سجاد تربية</v>
      </c>
      <c r="E46" s="26" t="str">
        <f ca="1">IFERROR(__xludf.DUMMYFUNCTION("""COMPUTED_VALUE"""),"قسم التربية والتعليم العالي")</f>
        <v>قسم التربية والتعليم العالي</v>
      </c>
      <c r="F46" s="26" t="str">
        <f ca="1">IFERROR(__xludf.DUMMYFUNCTION("""COMPUTED_VALUE"""),"H- ابتدائية القمر للبنات (الخامسة)")</f>
        <v>H- ابتدائية القمر للبنات (الخامسة)</v>
      </c>
      <c r="G46" s="26" t="str">
        <f ca="1">IFERROR(__xludf.DUMMYFUNCTION("""COMPUTED_VALUE"""),"غرفة معلمات ")</f>
        <v xml:space="preserve">غرفة معلمات </v>
      </c>
      <c r="H46" s="26" t="str">
        <f ca="1">IFERROR(__xludf.DUMMYFUNCTION("""COMPUTED_VALUE"""),"صيانة بلك ")</f>
        <v xml:space="preserve">صيانة بلك </v>
      </c>
      <c r="I46" s="26"/>
      <c r="J46" s="26" t="s">
        <v>3910</v>
      </c>
      <c r="K46" s="26" t="s">
        <v>13</v>
      </c>
      <c r="L46" s="55">
        <v>46119.569738518519</v>
      </c>
      <c r="M46" s="26"/>
      <c r="N46" s="4"/>
    </row>
    <row r="47" spans="1:14" ht="75" customHeight="1" thickTop="1" thickBot="1">
      <c r="A47" s="34">
        <v>45</v>
      </c>
      <c r="B47" s="55">
        <f ca="1">IFERROR(__xludf.DUMMYFUNCTION("""COMPUTED_VALUE"""),46119.5365328009)</f>
        <v>46119.536532800899</v>
      </c>
      <c r="C47" s="56" t="str">
        <f ca="1">IFERROR(__xludf.DUMMYFUNCTION("""COMPUTED_VALUE"""),"المعملجي")</f>
        <v>المعملجي</v>
      </c>
      <c r="D47" s="56" t="str">
        <f ca="1">IFERROR(__xludf.DUMMYFUNCTION("""COMPUTED_VALUE"""),"سجاد تربية")</f>
        <v>سجاد تربية</v>
      </c>
      <c r="E47" s="26" t="str">
        <f ca="1">IFERROR(__xludf.DUMMYFUNCTION("""COMPUTED_VALUE"""),"قسم التربية والتعليم العالي")</f>
        <v>قسم التربية والتعليم العالي</v>
      </c>
      <c r="F47" s="26" t="str">
        <f ca="1">IFERROR(__xludf.DUMMYFUNCTION("""COMPUTED_VALUE"""),"J- ابتدائية الساقي للبنين الجانب الثاني (السابعة)")</f>
        <v>J- ابتدائية الساقي للبنين الجانب الثاني (السابعة)</v>
      </c>
      <c r="G47" s="26" t="str">
        <f ca="1">IFERROR(__xludf.DUMMYFUNCTION("""COMPUTED_VALUE"""),"الطابق الثاني")</f>
        <v>الطابق الثاني</v>
      </c>
      <c r="H47" s="26" t="str">
        <f ca="1">IFERROR(__xludf.DUMMYFUNCTION("""COMPUTED_VALUE"""),"صيانة بردة ")</f>
        <v xml:space="preserve">صيانة بردة </v>
      </c>
      <c r="I47" s="26"/>
      <c r="J47" s="26" t="s">
        <v>16</v>
      </c>
      <c r="K47" s="26" t="s">
        <v>13</v>
      </c>
      <c r="L47" s="55">
        <v>46123.331258333332</v>
      </c>
      <c r="M47" s="26"/>
      <c r="N47" s="4"/>
    </row>
    <row r="48" spans="1:14" ht="75" customHeight="1" thickTop="1" thickBot="1">
      <c r="A48" s="26">
        <v>46</v>
      </c>
      <c r="B48" s="55">
        <f ca="1">IFERROR(__xludf.DUMMYFUNCTION("""COMPUTED_VALUE"""),46119.5422333217)</f>
        <v>46119.542233321699</v>
      </c>
      <c r="C48" s="56" t="str">
        <f ca="1">IFERROR(__xludf.DUMMYFUNCTION("""COMPUTED_VALUE"""),"المعملجي")</f>
        <v>المعملجي</v>
      </c>
      <c r="D48" s="56" t="str">
        <f ca="1">IFERROR(__xludf.DUMMYFUNCTION("""COMPUTED_VALUE"""),"سجاد تربية")</f>
        <v>سجاد تربية</v>
      </c>
      <c r="E48" s="26" t="str">
        <f ca="1">IFERROR(__xludf.DUMMYFUNCTION("""COMPUTED_VALUE"""),"قسم التربية والتعليم العالي")</f>
        <v>قسم التربية والتعليم العالي</v>
      </c>
      <c r="F48" s="26" t="str">
        <f ca="1">IFERROR(__xludf.DUMMYFUNCTION("""COMPUTED_VALUE"""),"A- المركز الثقافي")</f>
        <v>A- المركز الثقافي</v>
      </c>
      <c r="G48" s="26" t="str">
        <f ca="1">IFERROR(__xludf.DUMMYFUNCTION("""COMPUTED_VALUE"""),"باب الاستعلامات ")</f>
        <v xml:space="preserve">باب الاستعلامات </v>
      </c>
      <c r="H48" s="26" t="str">
        <f ca="1">IFERROR(__xludf.DUMMYFUNCTION("""COMPUTED_VALUE"""),"صيانه باب ")</f>
        <v xml:space="preserve">صيانه باب </v>
      </c>
      <c r="I48" s="26"/>
      <c r="J48" s="26" t="s">
        <v>16</v>
      </c>
      <c r="K48" s="26" t="s">
        <v>13</v>
      </c>
      <c r="L48" s="55">
        <v>46119.554487766203</v>
      </c>
      <c r="M48" s="26"/>
      <c r="N48" s="4"/>
    </row>
    <row r="49" spans="1:14" ht="75" customHeight="1" thickTop="1" thickBot="1">
      <c r="A49" s="34">
        <v>47</v>
      </c>
      <c r="B49" s="55">
        <f ca="1">IFERROR(__xludf.DUMMYFUNCTION("""COMPUTED_VALUE"""),46119.5462915856)</f>
        <v>46119.546291585597</v>
      </c>
      <c r="C49" s="56" t="str">
        <f ca="1">IFERROR(__xludf.DUMMYFUNCTION("""COMPUTED_VALUE"""),"المعملجي")</f>
        <v>المعملجي</v>
      </c>
      <c r="D49" s="56" t="str">
        <f ca="1">IFERROR(__xludf.DUMMYFUNCTION("""COMPUTED_VALUE"""),"سجاد تربية")</f>
        <v>سجاد تربية</v>
      </c>
      <c r="E49" s="26" t="str">
        <f ca="1">IFERROR(__xludf.DUMMYFUNCTION("""COMPUTED_VALUE"""),"قسم التربية والتعليم العالي")</f>
        <v>قسم التربية والتعليم العالي</v>
      </c>
      <c r="F49" s="26" t="str">
        <f ca="1">IFERROR(__xludf.DUMMYFUNCTION("""COMPUTED_VALUE"""),"I- ابتدائية الساقي للبنين (السادسة)")</f>
        <v>I- ابتدائية الساقي للبنين (السادسة)</v>
      </c>
      <c r="G49" s="26" t="str">
        <f ca="1">IFERROR(__xludf.DUMMYFUNCTION("""COMPUTED_VALUE"""),"/")</f>
        <v>/</v>
      </c>
      <c r="H49" s="26" t="str">
        <f ca="1">IFERROR(__xludf.DUMMYFUNCTION("""COMPUTED_VALUE"""),"التبريد لايعمل ")</f>
        <v xml:space="preserve">التبريد لايعمل </v>
      </c>
      <c r="I49" s="26"/>
      <c r="J49" s="26" t="s">
        <v>15</v>
      </c>
      <c r="K49" s="26" t="s">
        <v>13</v>
      </c>
      <c r="L49" s="55">
        <v>46119.546652997684</v>
      </c>
      <c r="M49" s="26"/>
      <c r="N49" s="4"/>
    </row>
    <row r="50" spans="1:14" ht="75" customHeight="1" thickTop="1" thickBot="1">
      <c r="A50" s="26">
        <v>48</v>
      </c>
      <c r="B50" s="55">
        <f ca="1">IFERROR(__xludf.DUMMYFUNCTION("""COMPUTED_VALUE"""),46119.5705298611)</f>
        <v>46119.570529861099</v>
      </c>
      <c r="C50" s="56" t="str">
        <f ca="1">IFERROR(__xludf.DUMMYFUNCTION("""COMPUTED_VALUE"""),"المعملجي")</f>
        <v>المعملجي</v>
      </c>
      <c r="D50" s="56" t="str">
        <f ca="1">IFERROR(__xludf.DUMMYFUNCTION("""COMPUTED_VALUE"""),"سجاد تربية")</f>
        <v>سجاد تربية</v>
      </c>
      <c r="E50" s="26" t="str">
        <f ca="1">IFERROR(__xludf.DUMMYFUNCTION("""COMPUTED_VALUE"""),"قسم التربية والتعليم العالي")</f>
        <v>قسم التربية والتعليم العالي</v>
      </c>
      <c r="F50" s="26" t="str">
        <f ca="1">IFERROR(__xludf.DUMMYFUNCTION("""COMPUTED_VALUE"""),"D- ثانوية العميد بناية المتوسطة  (الثانية)")</f>
        <v>D- ثانوية العميد بناية المتوسطة  (الثانية)</v>
      </c>
      <c r="G50" s="26" t="str">
        <f ca="1">IFERROR(__xludf.DUMMYFUNCTION("""COMPUTED_VALUE"""),"الطابق الاول, جناح الادائرة ZONE A")</f>
        <v>الطابق الاول, جناح الادائرة ZONE A</v>
      </c>
      <c r="H50" s="26" t="str">
        <f ca="1">IFERROR(__xludf.DUMMYFUNCTION("""COMPUTED_VALUE"""),"صيانة باب صحيات ")</f>
        <v xml:space="preserve">صيانة باب صحيات </v>
      </c>
      <c r="I50" s="26"/>
      <c r="J50" s="26" t="s">
        <v>16</v>
      </c>
      <c r="K50" s="26" t="s">
        <v>13</v>
      </c>
      <c r="L50" s="55">
        <v>46119.571344641205</v>
      </c>
      <c r="M50" s="26"/>
      <c r="N50" s="4"/>
    </row>
    <row r="51" spans="1:14" ht="75" customHeight="1" thickTop="1" thickBot="1">
      <c r="A51" s="34">
        <v>49</v>
      </c>
      <c r="B51" s="55">
        <f ca="1">IFERROR(__xludf.DUMMYFUNCTION("""COMPUTED_VALUE"""),46119.5710156134)</f>
        <v>46119.571015613401</v>
      </c>
      <c r="C51" s="56" t="str">
        <f ca="1">IFERROR(__xludf.DUMMYFUNCTION("""COMPUTED_VALUE"""),"المعملجي")</f>
        <v>المعملجي</v>
      </c>
      <c r="D51" s="56" t="str">
        <f ca="1">IFERROR(__xludf.DUMMYFUNCTION("""COMPUTED_VALUE"""),"سجاد تربية")</f>
        <v>سجاد تربية</v>
      </c>
      <c r="E51" s="26" t="str">
        <f ca="1">IFERROR(__xludf.DUMMYFUNCTION("""COMPUTED_VALUE"""),"قسم التربية والتعليم العالي")</f>
        <v>قسم التربية والتعليم العالي</v>
      </c>
      <c r="F51" s="26" t="str">
        <f ca="1">IFERROR(__xludf.DUMMYFUNCTION("""COMPUTED_VALUE"""),"D- ثانوية العميد بناية المتوسطة  (الثانية)")</f>
        <v>D- ثانوية العميد بناية المتوسطة  (الثانية)</v>
      </c>
      <c r="G51" s="26" t="str">
        <f ca="1">IFERROR(__xludf.DUMMYFUNCTION("""COMPUTED_VALUE"""),"الطابق الاول, جناح الساحة ZONE B")</f>
        <v>الطابق الاول, جناح الساحة ZONE B</v>
      </c>
      <c r="H51" s="26" t="str">
        <f ca="1">IFERROR(__xludf.DUMMYFUNCTION("""COMPUTED_VALUE"""),"صيانة باب صحيات الرئسي ")</f>
        <v xml:space="preserve">صيانة باب صحيات الرئسي </v>
      </c>
      <c r="I51" s="26"/>
      <c r="J51" s="26" t="s">
        <v>16</v>
      </c>
      <c r="K51" s="26" t="s">
        <v>13</v>
      </c>
      <c r="L51" s="55">
        <v>46119.571359374997</v>
      </c>
      <c r="M51" s="26"/>
      <c r="N51" s="4"/>
    </row>
    <row r="52" spans="1:14" ht="75" customHeight="1" thickTop="1" thickBot="1">
      <c r="A52" s="26">
        <v>50</v>
      </c>
      <c r="B52" s="55">
        <f ca="1">IFERROR(__xludf.DUMMYFUNCTION("""COMPUTED_VALUE"""),46120.3077928356)</f>
        <v>46120.3077928356</v>
      </c>
      <c r="C52" s="56" t="str">
        <f ca="1">IFERROR(__xludf.DUMMYFUNCTION("""COMPUTED_VALUE"""),"المعملجي")</f>
        <v>المعملجي</v>
      </c>
      <c r="D52" s="56" t="str">
        <f ca="1">IFERROR(__xludf.DUMMYFUNCTION("""COMPUTED_VALUE"""),"سجاد تربية")</f>
        <v>سجاد تربية</v>
      </c>
      <c r="E52" s="26" t="str">
        <f ca="1">IFERROR(__xludf.DUMMYFUNCTION("""COMPUTED_VALUE"""),"قسم التربية والتعليم العالي")</f>
        <v>قسم التربية والتعليم العالي</v>
      </c>
      <c r="F52" s="26" t="str">
        <f ca="1">IFERROR(__xludf.DUMMYFUNCTION("""COMPUTED_VALUE"""),"H- ابتدائية القمر للبنات (الخامسة)")</f>
        <v>H- ابتدائية القمر للبنات (الخامسة)</v>
      </c>
      <c r="G52" s="26" t="str">
        <f ca="1">IFERROR(__xludf.DUMMYFUNCTION("""COMPUTED_VALUE"""),"الطابق الارضي")</f>
        <v>الطابق الارضي</v>
      </c>
      <c r="H52" s="26" t="str">
        <f ca="1">IFERROR(__xludf.DUMMYFUNCTION("""COMPUTED_VALUE"""),"لايوجد ماء اساله")</f>
        <v>لايوجد ماء اساله</v>
      </c>
      <c r="I52" s="26"/>
      <c r="J52" s="26" t="s">
        <v>14</v>
      </c>
      <c r="K52" s="26" t="s">
        <v>13</v>
      </c>
      <c r="L52" s="55">
        <v>46120.309331226847</v>
      </c>
      <c r="M52" s="26"/>
      <c r="N52" s="4"/>
    </row>
    <row r="53" spans="1:14" ht="75" customHeight="1" thickTop="1" thickBot="1">
      <c r="A53" s="34">
        <v>51</v>
      </c>
      <c r="B53" s="55">
        <f ca="1">IFERROR(__xludf.DUMMYFUNCTION("""COMPUTED_VALUE"""),46120.4181704513)</f>
        <v>46120.418170451303</v>
      </c>
      <c r="C53" s="56" t="str">
        <f ca="1">IFERROR(__xludf.DUMMYFUNCTION("""COMPUTED_VALUE"""),"المعملجي")</f>
        <v>المعملجي</v>
      </c>
      <c r="D53" s="56" t="str">
        <f ca="1">IFERROR(__xludf.DUMMYFUNCTION("""COMPUTED_VALUE"""),"سجاد تربية")</f>
        <v>سجاد تربية</v>
      </c>
      <c r="E53" s="26" t="str">
        <f ca="1">IFERROR(__xludf.DUMMYFUNCTION("""COMPUTED_VALUE"""),"قسم التربية والتعليم العالي")</f>
        <v>قسم التربية والتعليم العالي</v>
      </c>
      <c r="F53" s="26" t="str">
        <f ca="1">IFERROR(__xludf.DUMMYFUNCTION("""COMPUTED_VALUE"""),"A- المركز الثقافي")</f>
        <v>A- المركز الثقافي</v>
      </c>
      <c r="G53" s="26" t="str">
        <f ca="1">IFERROR(__xludf.DUMMYFUNCTION("""COMPUTED_VALUE"""),"الطابق الثاني")</f>
        <v>الطابق الثاني</v>
      </c>
      <c r="H53" s="26" t="str">
        <f ca="1">IFERROR(__xludf.DUMMYFUNCTION("""COMPUTED_VALUE"""),"صيانة سقف ثانوي ")</f>
        <v xml:space="preserve">صيانة سقف ثانوي </v>
      </c>
      <c r="I53" s="26"/>
      <c r="J53" s="26" t="s">
        <v>16</v>
      </c>
      <c r="K53" s="26" t="s">
        <v>13</v>
      </c>
      <c r="L53" s="55">
        <v>46120.529923726848</v>
      </c>
      <c r="M53" s="26"/>
      <c r="N53" s="4" t="s">
        <v>121</v>
      </c>
    </row>
    <row r="54" spans="1:14" ht="75" customHeight="1" thickTop="1" thickBot="1">
      <c r="A54" s="26">
        <v>52</v>
      </c>
      <c r="B54" s="55">
        <f ca="1">IFERROR(__xludf.DUMMYFUNCTION("""COMPUTED_VALUE"""),46120.4189191434)</f>
        <v>46120.4189191435</v>
      </c>
      <c r="C54" s="56" t="str">
        <f ca="1">IFERROR(__xludf.DUMMYFUNCTION("""COMPUTED_VALUE"""),"المعملجي")</f>
        <v>المعملجي</v>
      </c>
      <c r="D54" s="56" t="str">
        <f ca="1">IFERROR(__xludf.DUMMYFUNCTION("""COMPUTED_VALUE"""),"سجاد تربية")</f>
        <v>سجاد تربية</v>
      </c>
      <c r="E54" s="26" t="str">
        <f ca="1">IFERROR(__xludf.DUMMYFUNCTION("""COMPUTED_VALUE"""),"قسم التربية والتعليم العالي")</f>
        <v>قسم التربية والتعليم العالي</v>
      </c>
      <c r="F54" s="26" t="str">
        <f ca="1">IFERROR(__xludf.DUMMYFUNCTION("""COMPUTED_VALUE"""),"A- المركز الثقافي")</f>
        <v>A- المركز الثقافي</v>
      </c>
      <c r="G54" s="26" t="str">
        <f ca="1">IFERROR(__xludf.DUMMYFUNCTION("""COMPUTED_VALUE"""),"استفسر من الاستعلامات عن الموقع")</f>
        <v>استفسر من الاستعلامات عن الموقع</v>
      </c>
      <c r="H54" s="26" t="str">
        <f ca="1">IFERROR(__xludf.DUMMYFUNCTION("""COMPUTED_VALUE"""),"صيانة نقاط كهربائية")</f>
        <v>صيانة نقاط كهربائية</v>
      </c>
      <c r="I54" s="26"/>
      <c r="J54" s="26" t="s">
        <v>3910</v>
      </c>
      <c r="K54" s="26" t="s">
        <v>13</v>
      </c>
      <c r="L54" s="55">
        <v>46120.534866226852</v>
      </c>
      <c r="M54" s="26"/>
      <c r="N54" s="4" t="s">
        <v>121</v>
      </c>
    </row>
    <row r="55" spans="1:14" ht="75" customHeight="1" thickTop="1" thickBot="1">
      <c r="A55" s="34">
        <v>53</v>
      </c>
      <c r="B55" s="55">
        <f ca="1">IFERROR(__xludf.DUMMYFUNCTION("""COMPUTED_VALUE"""),46120.452748368)</f>
        <v>46120.452748367999</v>
      </c>
      <c r="C55" s="56" t="str">
        <f ca="1">IFERROR(__xludf.DUMMYFUNCTION("""COMPUTED_VALUE"""),"المعملجي")</f>
        <v>المعملجي</v>
      </c>
      <c r="D55" s="56" t="str">
        <f ca="1">IFERROR(__xludf.DUMMYFUNCTION("""COMPUTED_VALUE"""),"وحدة الميكانيك")</f>
        <v>وحدة الميكانيك</v>
      </c>
      <c r="E55" s="26" t="str">
        <f ca="1">IFERROR(__xludf.DUMMYFUNCTION("""COMPUTED_VALUE"""),"قسم المشاريع الهندسية")</f>
        <v>قسم المشاريع الهندسية</v>
      </c>
      <c r="F55" s="26" t="str">
        <f ca="1">IFERROR(__xludf.DUMMYFUNCTION("""COMPUTED_VALUE"""),"C- ثانوية العميد بناية الاعدادية  (الاولى)")</f>
        <v>C- ثانوية العميد بناية الاعدادية  (الاولى)</v>
      </c>
      <c r="G55" s="26" t="str">
        <f ca="1">IFERROR(__xludf.DUMMYFUNCTION("""COMPUTED_VALUE"""),"الطابق الارضي, جناح الساحة ZONE B")</f>
        <v>الطابق الارضي, جناح الساحة ZONE B</v>
      </c>
      <c r="H55" s="26" t="str">
        <f ca="1">IFERROR(__xludf.DUMMYFUNCTION("""COMPUTED_VALUE"""),"صيانة غطاء غربي ")</f>
        <v xml:space="preserve">صيانة غطاء غربي </v>
      </c>
      <c r="I55" s="26"/>
      <c r="J55" s="26" t="s">
        <v>14</v>
      </c>
      <c r="K55" s="26" t="s">
        <v>13</v>
      </c>
      <c r="L55" s="55">
        <v>46120.453636365739</v>
      </c>
      <c r="M55" s="26"/>
      <c r="N55" s="4" t="s">
        <v>121</v>
      </c>
    </row>
    <row r="56" spans="1:14" ht="75" customHeight="1" thickTop="1" thickBot="1">
      <c r="A56" s="26">
        <v>54</v>
      </c>
      <c r="B56" s="55">
        <f ca="1">IFERROR(__xludf.DUMMYFUNCTION("""COMPUTED_VALUE"""),46120.4897015625)</f>
        <v>46120.489701562503</v>
      </c>
      <c r="C56" s="56" t="str">
        <f ca="1">IFERROR(__xludf.DUMMYFUNCTION("""COMPUTED_VALUE"""),"المعملجي")</f>
        <v>المعملجي</v>
      </c>
      <c r="D56" s="56" t="str">
        <f ca="1">IFERROR(__xludf.DUMMYFUNCTION("""COMPUTED_VALUE"""),"سجاد تربية")</f>
        <v>سجاد تربية</v>
      </c>
      <c r="E56" s="26" t="str">
        <f ca="1">IFERROR(__xludf.DUMMYFUNCTION("""COMPUTED_VALUE"""),"قسم التربية والتعليم العالي")</f>
        <v>قسم التربية والتعليم العالي</v>
      </c>
      <c r="F56" s="26" t="str">
        <f ca="1">IFERROR(__xludf.DUMMYFUNCTION("""COMPUTED_VALUE"""),"E- ابتدائية العميد للبنات (الثالثة)")</f>
        <v>E- ابتدائية العميد للبنات (الثالثة)</v>
      </c>
      <c r="G56" s="26" t="str">
        <f ca="1">IFERROR(__xludf.DUMMYFUNCTION("""COMPUTED_VALUE"""),"الطابق الارضي")</f>
        <v>الطابق الارضي</v>
      </c>
      <c r="H56" s="26" t="str">
        <f ca="1">IFERROR(__xludf.DUMMYFUNCTION("""COMPUTED_VALUE"""),"صيانة صوندة الحمام ")</f>
        <v xml:space="preserve">صيانة صوندة الحمام </v>
      </c>
      <c r="I56" s="26"/>
      <c r="J56" s="26" t="s">
        <v>14</v>
      </c>
      <c r="K56" s="26" t="s">
        <v>13</v>
      </c>
      <c r="L56" s="55">
        <v>46120.528201770838</v>
      </c>
      <c r="M56" s="26"/>
      <c r="N56" s="4" t="s">
        <v>121</v>
      </c>
    </row>
    <row r="57" spans="1:14" ht="75" customHeight="1" thickTop="1" thickBot="1">
      <c r="A57" s="34">
        <v>55</v>
      </c>
      <c r="B57" s="55">
        <f ca="1">IFERROR(__xludf.DUMMYFUNCTION("""COMPUTED_VALUE"""),46120.53069228)</f>
        <v>46120.530692280001</v>
      </c>
      <c r="C57" s="56" t="str">
        <f ca="1">IFERROR(__xludf.DUMMYFUNCTION("""COMPUTED_VALUE"""),"المعملجي")</f>
        <v>المعملجي</v>
      </c>
      <c r="D57" s="56" t="str">
        <f ca="1">IFERROR(__xludf.DUMMYFUNCTION("""COMPUTED_VALUE"""),"سجاد تربية")</f>
        <v>سجاد تربية</v>
      </c>
      <c r="E57" s="26" t="str">
        <f ca="1">IFERROR(__xludf.DUMMYFUNCTION("""COMPUTED_VALUE"""),"قسم التربية والتعليم العالي")</f>
        <v>قسم التربية والتعليم العالي</v>
      </c>
      <c r="F57" s="26" t="str">
        <f ca="1">IFERROR(__xludf.DUMMYFUNCTION("""COMPUTED_VALUE"""),"الاستعلامات الرئيسية")</f>
        <v>الاستعلامات الرئيسية</v>
      </c>
      <c r="G57" s="26" t="str">
        <f ca="1">IFERROR(__xludf.DUMMYFUNCTION("""COMPUTED_VALUE"""),"الطابق الارضي")</f>
        <v>الطابق الارضي</v>
      </c>
      <c r="H57" s="26" t="str">
        <f ca="1">IFERROR(__xludf.DUMMYFUNCTION("""COMPUTED_VALUE"""),"شد مروحة سقفية ")</f>
        <v xml:space="preserve">شد مروحة سقفية </v>
      </c>
      <c r="I57" s="26"/>
      <c r="J57" s="26" t="s">
        <v>3910</v>
      </c>
      <c r="K57" s="26" t="s">
        <v>13</v>
      </c>
      <c r="L57" s="55">
        <v>46120.776257708334</v>
      </c>
      <c r="M57" s="26"/>
      <c r="N57" s="4" t="s">
        <v>121</v>
      </c>
    </row>
    <row r="58" spans="1:14" ht="75" customHeight="1" thickTop="1" thickBot="1">
      <c r="A58" s="26">
        <v>56</v>
      </c>
      <c r="B58" s="55">
        <f ca="1">IFERROR(__xludf.DUMMYFUNCTION("""COMPUTED_VALUE"""),46120.5317098263)</f>
        <v>46120.531709826297</v>
      </c>
      <c r="C58" s="56" t="str">
        <f ca="1">IFERROR(__xludf.DUMMYFUNCTION("""COMPUTED_VALUE"""),"المعملجي")</f>
        <v>المعملجي</v>
      </c>
      <c r="D58" s="56" t="str">
        <f ca="1">IFERROR(__xludf.DUMMYFUNCTION("""COMPUTED_VALUE"""),"سجاد تربية")</f>
        <v>سجاد تربية</v>
      </c>
      <c r="E58" s="26" t="str">
        <f ca="1">IFERROR(__xludf.DUMMYFUNCTION("""COMPUTED_VALUE"""),"قسم التربية والتعليم العالي")</f>
        <v>قسم التربية والتعليم العالي</v>
      </c>
      <c r="F58" s="26" t="str">
        <f ca="1">IFERROR(__xludf.DUMMYFUNCTION("""COMPUTED_VALUE"""),"E- ابتدائية العميد للبنات (الثالثة)")</f>
        <v>E- ابتدائية العميد للبنات (الثالثة)</v>
      </c>
      <c r="G58" s="26" t="str">
        <f ca="1">IFERROR(__xludf.DUMMYFUNCTION("""COMPUTED_VALUE"""),"في الاستعلامات ")</f>
        <v xml:space="preserve">في الاستعلامات </v>
      </c>
      <c r="H58" s="26" t="str">
        <f ca="1">IFERROR(__xludf.DUMMYFUNCTION("""COMPUTED_VALUE"""),"صيانة حاجز ")</f>
        <v xml:space="preserve">صيانة حاجز </v>
      </c>
      <c r="I58" s="26"/>
      <c r="J58" s="26" t="s">
        <v>16</v>
      </c>
      <c r="K58" s="26" t="s">
        <v>13</v>
      </c>
      <c r="L58" s="55">
        <v>46120.589937638884</v>
      </c>
      <c r="M58" s="26"/>
      <c r="N58" s="4" t="s">
        <v>121</v>
      </c>
    </row>
    <row r="59" spans="1:14" ht="75" customHeight="1" thickTop="1" thickBot="1">
      <c r="A59" s="34">
        <v>57</v>
      </c>
      <c r="B59" s="55">
        <f ca="1">IFERROR(__xludf.DUMMYFUNCTION("""COMPUTED_VALUE"""),46120.5478074189)</f>
        <v>46120.547807418901</v>
      </c>
      <c r="C59" s="56" t="str">
        <f ca="1">IFERROR(__xludf.DUMMYFUNCTION("""COMPUTED_VALUE"""),"المعملجي")</f>
        <v>المعملجي</v>
      </c>
      <c r="D59" s="56" t="str">
        <f ca="1">IFERROR(__xludf.DUMMYFUNCTION("""COMPUTED_VALUE"""),"سجاد تربية")</f>
        <v>سجاد تربية</v>
      </c>
      <c r="E59" s="26" t="str">
        <f ca="1">IFERROR(__xludf.DUMMYFUNCTION("""COMPUTED_VALUE"""),"قسم التربية والتعليم العالي")</f>
        <v>قسم التربية والتعليم العالي</v>
      </c>
      <c r="F59" s="26" t="str">
        <f ca="1">IFERROR(__xludf.DUMMYFUNCTION("""COMPUTED_VALUE"""),"J- ابتدائية الساقي للبنين الجانب الثاني (السابعة)")</f>
        <v>J- ابتدائية الساقي للبنين الجانب الثاني (السابعة)</v>
      </c>
      <c r="G59" s="26" t="str">
        <f ca="1">IFERROR(__xludf.DUMMYFUNCTION("""COMPUTED_VALUE"""),"صف الثاني ب ـ ز - ه ")</f>
        <v xml:space="preserve">صف الثاني ب ـ ز - ه </v>
      </c>
      <c r="H59" s="26" t="str">
        <f ca="1">IFERROR(__xludf.DUMMYFUNCTION("""COMPUTED_VALUE"""),"تشغيل تبريد ")</f>
        <v xml:space="preserve">تشغيل تبريد </v>
      </c>
      <c r="I59" s="26"/>
      <c r="J59" s="26" t="s">
        <v>15</v>
      </c>
      <c r="K59" s="26" t="s">
        <v>13</v>
      </c>
      <c r="L59" s="55">
        <v>46120.55736658565</v>
      </c>
      <c r="M59" s="26"/>
      <c r="N59" s="4" t="s">
        <v>121</v>
      </c>
    </row>
    <row r="60" spans="1:14" ht="75" customHeight="1" thickTop="1" thickBot="1">
      <c r="A60" s="26">
        <v>58</v>
      </c>
      <c r="B60" s="55">
        <f ca="1">IFERROR(__xludf.DUMMYFUNCTION("""COMPUTED_VALUE"""),46120.5508345717)</f>
        <v>46120.550834571703</v>
      </c>
      <c r="C60" s="56" t="str">
        <f ca="1">IFERROR(__xludf.DUMMYFUNCTION("""COMPUTED_VALUE"""),"المعملجي")</f>
        <v>المعملجي</v>
      </c>
      <c r="D60" s="56" t="str">
        <f ca="1">IFERROR(__xludf.DUMMYFUNCTION("""COMPUTED_VALUE"""),"سجاد تربية")</f>
        <v>سجاد تربية</v>
      </c>
      <c r="E60" s="26" t="str">
        <f ca="1">IFERROR(__xludf.DUMMYFUNCTION("""COMPUTED_VALUE"""),"قسم التربية والتعليم العالي")</f>
        <v>قسم التربية والتعليم العالي</v>
      </c>
      <c r="F60" s="26" t="str">
        <f ca="1">IFERROR(__xludf.DUMMYFUNCTION("""COMPUTED_VALUE"""),"E- ابتدائية العميد للبنات (الثالثة)")</f>
        <v>E- ابتدائية العميد للبنات (الثالثة)</v>
      </c>
      <c r="G60" s="26" t="str">
        <f ca="1">IFERROR(__xludf.DUMMYFUNCTION("""COMPUTED_VALUE"""),"الطابق الارضي")</f>
        <v>الطابق الارضي</v>
      </c>
      <c r="H60" s="26" t="str">
        <f ca="1">IFERROR(__xludf.DUMMYFUNCTION("""COMPUTED_VALUE"""),"صيانة برادات ")</f>
        <v xml:space="preserve">صيانة برادات </v>
      </c>
      <c r="I60" s="26"/>
      <c r="J60" s="26" t="s">
        <v>14</v>
      </c>
      <c r="K60" s="26" t="s">
        <v>13</v>
      </c>
      <c r="L60" s="55">
        <v>46120.569629965277</v>
      </c>
      <c r="M60" s="26"/>
      <c r="N60" s="4" t="s">
        <v>121</v>
      </c>
    </row>
    <row r="61" spans="1:14" ht="75" customHeight="1" thickTop="1" thickBot="1">
      <c r="A61" s="34">
        <v>59</v>
      </c>
      <c r="B61" s="55">
        <f ca="1">IFERROR(__xludf.DUMMYFUNCTION("""COMPUTED_VALUE"""),46120.588670868)</f>
        <v>46120.588670867997</v>
      </c>
      <c r="C61" s="56" t="str">
        <f ca="1">IFERROR(__xludf.DUMMYFUNCTION("""COMPUTED_VALUE"""),"المعملجي")</f>
        <v>المعملجي</v>
      </c>
      <c r="D61" s="56" t="str">
        <f ca="1">IFERROR(__xludf.DUMMYFUNCTION("""COMPUTED_VALUE"""),"سجاد تربية")</f>
        <v>سجاد تربية</v>
      </c>
      <c r="E61" s="26" t="str">
        <f ca="1">IFERROR(__xludf.DUMMYFUNCTION("""COMPUTED_VALUE"""),"قسم التربية والتعليم العالي")</f>
        <v>قسم التربية والتعليم العالي</v>
      </c>
      <c r="F61" s="26" t="str">
        <f ca="1">IFERROR(__xludf.DUMMYFUNCTION("""COMPUTED_VALUE"""),"D- ثانوية العميد بناية المتوسطة  (الثانية)")</f>
        <v>D- ثانوية العميد بناية المتوسطة  (الثانية)</v>
      </c>
      <c r="G61" s="26" t="str">
        <f ca="1">IFERROR(__xludf.DUMMYFUNCTION("""COMPUTED_VALUE"""),"الطابق الارضي")</f>
        <v>الطابق الارضي</v>
      </c>
      <c r="H61" s="26" t="str">
        <f ca="1">IFERROR(__xludf.DUMMYFUNCTION("""COMPUTED_VALUE"""),"صيانة سويج للكامرات لايطفى")</f>
        <v>صيانة سويج للكامرات لايطفى</v>
      </c>
      <c r="I61" s="26"/>
      <c r="J61" s="26" t="s">
        <v>3910</v>
      </c>
      <c r="K61" s="26" t="s">
        <v>13</v>
      </c>
      <c r="L61" s="55">
        <v>46121.36741363426</v>
      </c>
      <c r="M61" s="26"/>
      <c r="N61" s="4" t="s">
        <v>121</v>
      </c>
    </row>
    <row r="62" spans="1:14" ht="75" customHeight="1" thickTop="1" thickBot="1">
      <c r="A62" s="26">
        <v>60</v>
      </c>
      <c r="B62" s="55">
        <f ca="1">IFERROR(__xludf.DUMMYFUNCTION("""COMPUTED_VALUE"""),46121.3310812384)</f>
        <v>46121.331081238401</v>
      </c>
      <c r="C62" s="56" t="str">
        <f ca="1">IFERROR(__xludf.DUMMYFUNCTION("""COMPUTED_VALUE"""),"المعملجي")</f>
        <v>المعملجي</v>
      </c>
      <c r="D62" s="56" t="str">
        <f ca="1">IFERROR(__xludf.DUMMYFUNCTION("""COMPUTED_VALUE"""),"سجاد تربية")</f>
        <v>سجاد تربية</v>
      </c>
      <c r="E62" s="26" t="str">
        <f ca="1">IFERROR(__xludf.DUMMYFUNCTION("""COMPUTED_VALUE"""),"قسم التربية والتعليم العالي")</f>
        <v>قسم التربية والتعليم العالي</v>
      </c>
      <c r="F62" s="26" t="str">
        <f ca="1">IFERROR(__xludf.DUMMYFUNCTION("""COMPUTED_VALUE"""),"I- ابتدائية الساقي للبنين (السادسة)")</f>
        <v>I- ابتدائية الساقي للبنين (السادسة)</v>
      </c>
      <c r="G62" s="26" t="str">
        <f ca="1">IFERROR(__xludf.DUMMYFUNCTION("""COMPUTED_VALUE"""),"الطابق الارضي")</f>
        <v>الطابق الارضي</v>
      </c>
      <c r="H62" s="26" t="str">
        <f ca="1">IFERROR(__xludf.DUMMYFUNCTION("""COMPUTED_VALUE"""),"لايرجد ماء شرب")</f>
        <v>لايرجد ماء شرب</v>
      </c>
      <c r="I62" s="26"/>
      <c r="J62" s="26" t="s">
        <v>14</v>
      </c>
      <c r="K62" s="26" t="s">
        <v>13</v>
      </c>
      <c r="L62" s="55">
        <v>46121.359389108795</v>
      </c>
      <c r="M62" s="26"/>
      <c r="N62" s="4" t="s">
        <v>121</v>
      </c>
    </row>
    <row r="63" spans="1:14" ht="75" customHeight="1" thickTop="1" thickBot="1">
      <c r="A63" s="34">
        <v>61</v>
      </c>
      <c r="B63" s="55">
        <f ca="1">IFERROR(__xludf.DUMMYFUNCTION("""COMPUTED_VALUE"""),46121.3713247222)</f>
        <v>46121.371324722197</v>
      </c>
      <c r="C63" s="56" t="str">
        <f ca="1">IFERROR(__xludf.DUMMYFUNCTION("""COMPUTED_VALUE"""),"المعملجي")</f>
        <v>المعملجي</v>
      </c>
      <c r="D63" s="56" t="str">
        <f ca="1">IFERROR(__xludf.DUMMYFUNCTION("""COMPUTED_VALUE"""),"سجاد تربية")</f>
        <v>سجاد تربية</v>
      </c>
      <c r="E63" s="26" t="str">
        <f ca="1">IFERROR(__xludf.DUMMYFUNCTION("""COMPUTED_VALUE"""),"قسم التربية والتعليم العالي")</f>
        <v>قسم التربية والتعليم العالي</v>
      </c>
      <c r="F63" s="26" t="str">
        <f ca="1">IFERROR(__xludf.DUMMYFUNCTION("""COMPUTED_VALUE"""),"G- روضة الجود")</f>
        <v>G- روضة الجود</v>
      </c>
      <c r="G63" s="26" t="str">
        <f ca="1">IFERROR(__xludf.DUMMYFUNCTION("""COMPUTED_VALUE"""),"الطابق الارضي")</f>
        <v>الطابق الارضي</v>
      </c>
      <c r="H63" s="26" t="str">
        <f ca="1">IFERROR(__xludf.DUMMYFUNCTION("""COMPUTED_VALUE"""),"لايوجد ماء في المنظومة ")</f>
        <v xml:space="preserve">لايوجد ماء في المنظومة </v>
      </c>
      <c r="I63" s="26"/>
      <c r="J63" s="26" t="s">
        <v>14</v>
      </c>
      <c r="K63" s="26" t="s">
        <v>13</v>
      </c>
      <c r="L63" s="55">
        <v>46121.384881134261</v>
      </c>
      <c r="M63" s="26"/>
      <c r="N63" s="4" t="s">
        <v>121</v>
      </c>
    </row>
    <row r="64" spans="1:14" ht="75" customHeight="1" thickTop="1" thickBot="1">
      <c r="A64" s="26">
        <v>62</v>
      </c>
      <c r="B64" s="55">
        <f ca="1">IFERROR(__xludf.DUMMYFUNCTION("""COMPUTED_VALUE"""),46121.3726308564)</f>
        <v>46121.3726308564</v>
      </c>
      <c r="C64" s="56" t="str">
        <f ca="1">IFERROR(__xludf.DUMMYFUNCTION("""COMPUTED_VALUE"""),"المعملجي")</f>
        <v>المعملجي</v>
      </c>
      <c r="D64" s="56" t="str">
        <f ca="1">IFERROR(__xludf.DUMMYFUNCTION("""COMPUTED_VALUE"""),"سجاد تربية")</f>
        <v>سجاد تربية</v>
      </c>
      <c r="E64" s="26" t="str">
        <f ca="1">IFERROR(__xludf.DUMMYFUNCTION("""COMPUTED_VALUE"""),"قسم التربية والتعليم العالي")</f>
        <v>قسم التربية والتعليم العالي</v>
      </c>
      <c r="F64" s="26" t="str">
        <f ca="1">IFERROR(__xludf.DUMMYFUNCTION("""COMPUTED_VALUE"""),"G- روضة الجود")</f>
        <v>G- روضة الجود</v>
      </c>
      <c r="G64" s="26" t="str">
        <f ca="1">IFERROR(__xludf.DUMMYFUNCTION("""COMPUTED_VALUE"""),"الطابق الارضي, المخزن")</f>
        <v>الطابق الارضي, المخزن</v>
      </c>
      <c r="H64" s="26" t="str">
        <f ca="1">IFERROR(__xludf.DUMMYFUNCTION("""COMPUTED_VALUE""")," اضافة مصباح كهربائي ")</f>
        <v xml:space="preserve"> اضافة مصباح كهربائي </v>
      </c>
      <c r="I64" s="26"/>
      <c r="J64" s="26" t="s">
        <v>3910</v>
      </c>
      <c r="K64" s="26" t="s">
        <v>13</v>
      </c>
      <c r="L64" s="55">
        <v>46121.428939305551</v>
      </c>
      <c r="M64" s="26"/>
      <c r="N64" s="4" t="s">
        <v>121</v>
      </c>
    </row>
    <row r="65" spans="1:14" ht="75" customHeight="1" thickTop="1" thickBot="1">
      <c r="A65" s="34">
        <v>63</v>
      </c>
      <c r="B65" s="55">
        <f ca="1">IFERROR(__xludf.DUMMYFUNCTION("""COMPUTED_VALUE"""),46121.3747202199)</f>
        <v>46121.374720219901</v>
      </c>
      <c r="C65" s="56" t="str">
        <f ca="1">IFERROR(__xludf.DUMMYFUNCTION("""COMPUTED_VALUE"""),"المعملجي")</f>
        <v>المعملجي</v>
      </c>
      <c r="D65" s="56" t="str">
        <f ca="1">IFERROR(__xludf.DUMMYFUNCTION("""COMPUTED_VALUE"""),"سجاد تربية")</f>
        <v>سجاد تربية</v>
      </c>
      <c r="E65" s="26" t="str">
        <f ca="1">IFERROR(__xludf.DUMMYFUNCTION("""COMPUTED_VALUE"""),"قسم التربية والتعليم العالي")</f>
        <v>قسم التربية والتعليم العالي</v>
      </c>
      <c r="F65" s="26" t="str">
        <f ca="1">IFERROR(__xludf.DUMMYFUNCTION("""COMPUTED_VALUE"""),"G- روضة الجود")</f>
        <v>G- روضة الجود</v>
      </c>
      <c r="G65" s="26" t="str">
        <f ca="1">IFERROR(__xludf.DUMMYFUNCTION("""COMPUTED_VALUE"""),"الطابق الثاني")</f>
        <v>الطابق الثاني</v>
      </c>
      <c r="H65" s="26" t="str">
        <f ca="1">IFERROR(__xludf.DUMMYFUNCTION("""COMPUTED_VALUE"""),"سيفونة حمام ")</f>
        <v xml:space="preserve">سيفونة حمام </v>
      </c>
      <c r="I65" s="26"/>
      <c r="J65" s="26" t="s">
        <v>14</v>
      </c>
      <c r="K65" s="26" t="s">
        <v>13</v>
      </c>
      <c r="L65" s="55">
        <v>46121.385023078707</v>
      </c>
      <c r="M65" s="26"/>
      <c r="N65" s="4" t="s">
        <v>121</v>
      </c>
    </row>
    <row r="66" spans="1:14" ht="75" customHeight="1" thickTop="1" thickBot="1">
      <c r="A66" s="26">
        <v>64</v>
      </c>
      <c r="B66" s="55">
        <f ca="1">IFERROR(__xludf.DUMMYFUNCTION("""COMPUTED_VALUE"""),46121.3752025231)</f>
        <v>46121.375202523101</v>
      </c>
      <c r="C66" s="56" t="str">
        <f ca="1">IFERROR(__xludf.DUMMYFUNCTION("""COMPUTED_VALUE"""),"المعملجي")</f>
        <v>المعملجي</v>
      </c>
      <c r="D66" s="56" t="str">
        <f ca="1">IFERROR(__xludf.DUMMYFUNCTION("""COMPUTED_VALUE"""),"سجاد تربية")</f>
        <v>سجاد تربية</v>
      </c>
      <c r="E66" s="26" t="str">
        <f ca="1">IFERROR(__xludf.DUMMYFUNCTION("""COMPUTED_VALUE"""),"قسم التربية والتعليم العالي")</f>
        <v>قسم التربية والتعليم العالي</v>
      </c>
      <c r="F66" s="26" t="str">
        <f ca="1">IFERROR(__xludf.DUMMYFUNCTION("""COMPUTED_VALUE"""),"G- روضة الجود")</f>
        <v>G- روضة الجود</v>
      </c>
      <c r="G66" s="26" t="str">
        <f ca="1">IFERROR(__xludf.DUMMYFUNCTION("""COMPUTED_VALUE"""),"صف السكر ")</f>
        <v xml:space="preserve">صف السكر </v>
      </c>
      <c r="H66" s="26" t="str">
        <f ca="1">IFERROR(__xludf.DUMMYFUNCTION("""COMPUTED_VALUE"""),"صيانة يدة شباك ")</f>
        <v xml:space="preserve">صيانة يدة شباك </v>
      </c>
      <c r="I66" s="26"/>
      <c r="J66" s="26" t="s">
        <v>16</v>
      </c>
      <c r="K66" s="26" t="s">
        <v>13</v>
      </c>
      <c r="L66" s="55">
        <v>46121.427462164356</v>
      </c>
      <c r="M66" s="26"/>
      <c r="N66" s="4" t="s">
        <v>121</v>
      </c>
    </row>
    <row r="67" spans="1:14" ht="75" customHeight="1" thickTop="1" thickBot="1">
      <c r="A67" s="34">
        <v>65</v>
      </c>
      <c r="B67" s="55">
        <f ca="1">IFERROR(__xludf.DUMMYFUNCTION("""COMPUTED_VALUE"""),46121.3755493865)</f>
        <v>46121.375549386503</v>
      </c>
      <c r="C67" s="56" t="str">
        <f ca="1">IFERROR(__xludf.DUMMYFUNCTION("""COMPUTED_VALUE"""),"المعملجي")</f>
        <v>المعملجي</v>
      </c>
      <c r="D67" s="56" t="str">
        <f ca="1">IFERROR(__xludf.DUMMYFUNCTION("""COMPUTED_VALUE"""),"سجاد تربية")</f>
        <v>سجاد تربية</v>
      </c>
      <c r="E67" s="26" t="str">
        <f ca="1">IFERROR(__xludf.DUMMYFUNCTION("""COMPUTED_VALUE"""),"قسم التربية والتعليم العالي")</f>
        <v>قسم التربية والتعليم العالي</v>
      </c>
      <c r="F67" s="26" t="str">
        <f ca="1">IFERROR(__xludf.DUMMYFUNCTION("""COMPUTED_VALUE"""),"G- روضة الجود")</f>
        <v>G- روضة الجود</v>
      </c>
      <c r="G67" s="26" t="str">
        <f ca="1">IFERROR(__xludf.DUMMYFUNCTION("""COMPUTED_VALUE"""),"الطابق الارضي")</f>
        <v>الطابق الارضي</v>
      </c>
      <c r="H67" s="26" t="str">
        <f ca="1">IFERROR(__xludf.DUMMYFUNCTION("""COMPUTED_VALUE"""),"صيانة سيفونة ")</f>
        <v xml:space="preserve">صيانة سيفونة </v>
      </c>
      <c r="I67" s="26"/>
      <c r="J67" s="26" t="s">
        <v>14</v>
      </c>
      <c r="K67" s="26" t="s">
        <v>13</v>
      </c>
      <c r="L67" s="55">
        <v>46123.331366921295</v>
      </c>
      <c r="M67" s="26"/>
      <c r="N67" s="4" t="s">
        <v>121</v>
      </c>
    </row>
    <row r="68" spans="1:14" ht="75" customHeight="1" thickTop="1" thickBot="1">
      <c r="A68" s="26">
        <v>66</v>
      </c>
      <c r="B68" s="55">
        <f ca="1">IFERROR(__xludf.DUMMYFUNCTION("""COMPUTED_VALUE"""),46121.376157743)</f>
        <v>46121.376157742998</v>
      </c>
      <c r="C68" s="56" t="str">
        <f ca="1">IFERROR(__xludf.DUMMYFUNCTION("""COMPUTED_VALUE"""),"المعملجي")</f>
        <v>المعملجي</v>
      </c>
      <c r="D68" s="56" t="str">
        <f ca="1">IFERROR(__xludf.DUMMYFUNCTION("""COMPUTED_VALUE"""),"سجاد تربية")</f>
        <v>سجاد تربية</v>
      </c>
      <c r="E68" s="26" t="str">
        <f ca="1">IFERROR(__xludf.DUMMYFUNCTION("""COMPUTED_VALUE"""),"قسم التربية والتعليم العالي")</f>
        <v>قسم التربية والتعليم العالي</v>
      </c>
      <c r="F68" s="26"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68" s="26" t="str">
        <f ca="1">IFERROR(__xludf.DUMMYFUNCTION("""COMPUTED_VALUE"""),"/")</f>
        <v>/</v>
      </c>
      <c r="H68" s="26" t="str">
        <f ca="1">IFERROR(__xludf.DUMMYFUNCTION("""COMPUTED_VALUE"""),"التبريد لا يعمل ")</f>
        <v xml:space="preserve">التبريد لا يعمل </v>
      </c>
      <c r="I68" s="26"/>
      <c r="J68" s="26" t="s">
        <v>15</v>
      </c>
      <c r="K68" s="26" t="s">
        <v>13</v>
      </c>
      <c r="L68" s="55">
        <v>46121.427024618053</v>
      </c>
      <c r="M68" s="26"/>
      <c r="N68" s="4" t="s">
        <v>121</v>
      </c>
    </row>
    <row r="69" spans="1:14" ht="75" customHeight="1" thickTop="1" thickBot="1">
      <c r="A69" s="34">
        <v>67</v>
      </c>
      <c r="B69" s="55">
        <f ca="1">IFERROR(__xludf.DUMMYFUNCTION("""COMPUTED_VALUE"""),46123.3386546875)</f>
        <v>46123.338654687497</v>
      </c>
      <c r="C69" s="56" t="str">
        <f ca="1">IFERROR(__xludf.DUMMYFUNCTION("""COMPUTED_VALUE"""),"المعملجي")</f>
        <v>المعملجي</v>
      </c>
      <c r="D69" s="56" t="str">
        <f ca="1">IFERROR(__xludf.DUMMYFUNCTION("""COMPUTED_VALUE"""),"سجاد تربية")</f>
        <v>سجاد تربية</v>
      </c>
      <c r="E69" s="26" t="str">
        <f ca="1">IFERROR(__xludf.DUMMYFUNCTION("""COMPUTED_VALUE"""),"قسم التربية والتعليم العالي")</f>
        <v>قسم التربية والتعليم العالي</v>
      </c>
      <c r="F69" s="26" t="str">
        <f ca="1">IFERROR(__xludf.DUMMYFUNCTION("""COMPUTED_VALUE"""),"J- جامعة العميد (السابعة)")</f>
        <v>J- جامعة العميد (السابعة)</v>
      </c>
      <c r="G69" s="26" t="str">
        <f ca="1">IFERROR(__xludf.DUMMYFUNCTION("""COMPUTED_VALUE"""),"/")</f>
        <v>/</v>
      </c>
      <c r="H69" s="26" t="str">
        <f ca="1">IFERROR(__xludf.DUMMYFUNCTION("""COMPUTED_VALUE"""),"تشغيل السبالات كل يوم الساعة 8 صباحاً")</f>
        <v>تشغيل السبالات كل يوم الساعة 8 صباحاً</v>
      </c>
      <c r="I69" s="26"/>
      <c r="J69" s="26" t="s">
        <v>15</v>
      </c>
      <c r="K69" s="26" t="s">
        <v>13</v>
      </c>
      <c r="L69" s="55">
        <v>46123.431737326391</v>
      </c>
      <c r="M69" s="26"/>
      <c r="N69" s="4" t="s">
        <v>121</v>
      </c>
    </row>
    <row r="70" spans="1:14" ht="75" customHeight="1" thickTop="1" thickBot="1">
      <c r="A70" s="26">
        <v>68</v>
      </c>
      <c r="B70" s="55">
        <f ca="1">IFERROR(__xludf.DUMMYFUNCTION("""COMPUTED_VALUE"""),46123.4111344212)</f>
        <v>46123.4111344212</v>
      </c>
      <c r="C70" s="56" t="str">
        <f ca="1">IFERROR(__xludf.DUMMYFUNCTION("""COMPUTED_VALUE"""),"المعملجي")</f>
        <v>المعملجي</v>
      </c>
      <c r="D70" s="56" t="str">
        <f ca="1">IFERROR(__xludf.DUMMYFUNCTION("""COMPUTED_VALUE"""),"سجاد تربية")</f>
        <v>سجاد تربية</v>
      </c>
      <c r="E70" s="26" t="str">
        <f ca="1">IFERROR(__xludf.DUMMYFUNCTION("""COMPUTED_VALUE"""),"قسم التربية والتعليم العالي")</f>
        <v>قسم التربية والتعليم العالي</v>
      </c>
      <c r="F70" s="26"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70" s="26" t="str">
        <f ca="1">IFERROR(__xludf.DUMMYFUNCTION("""COMPUTED_VALUE"""),"/")</f>
        <v>/</v>
      </c>
      <c r="H70" s="26" t="str">
        <f ca="1">IFERROR(__xludf.DUMMYFUNCTION("""COMPUTED_VALUE"""),"تشغيل تبريد")</f>
        <v>تشغيل تبريد</v>
      </c>
      <c r="I70" s="26"/>
      <c r="J70" s="26" t="s">
        <v>15</v>
      </c>
      <c r="K70" s="26" t="s">
        <v>13</v>
      </c>
      <c r="L70" s="55">
        <v>46123.431782615742</v>
      </c>
      <c r="M70" s="26"/>
      <c r="N70" s="4" t="s">
        <v>121</v>
      </c>
    </row>
    <row r="71" spans="1:14" ht="75" customHeight="1" thickTop="1" thickBot="1">
      <c r="A71" s="34">
        <v>69</v>
      </c>
      <c r="B71" s="55">
        <f ca="1">IFERROR(__xludf.DUMMYFUNCTION("""COMPUTED_VALUE"""),46123.4116607291)</f>
        <v>46123.4116607291</v>
      </c>
      <c r="C71" s="56" t="str">
        <f ca="1">IFERROR(__xludf.DUMMYFUNCTION("""COMPUTED_VALUE"""),"المعملجي")</f>
        <v>المعملجي</v>
      </c>
      <c r="D71" s="56" t="str">
        <f ca="1">IFERROR(__xludf.DUMMYFUNCTION("""COMPUTED_VALUE"""),"سجاد تربية")</f>
        <v>سجاد تربية</v>
      </c>
      <c r="E71" s="26" t="str">
        <f ca="1">IFERROR(__xludf.DUMMYFUNCTION("""COMPUTED_VALUE"""),"قسم التربية والتعليم العالي")</f>
        <v>قسم التربية والتعليم العالي</v>
      </c>
      <c r="F71" s="26" t="str">
        <f ca="1">IFERROR(__xludf.DUMMYFUNCTION("""COMPUTED_VALUE"""),"الذاتية الرئيسية ")</f>
        <v xml:space="preserve">الذاتية الرئيسية </v>
      </c>
      <c r="G71" s="26" t="str">
        <f ca="1">IFERROR(__xludf.DUMMYFUNCTION("""COMPUTED_VALUE"""),"الطابق الارضي")</f>
        <v>الطابق الارضي</v>
      </c>
      <c r="H71" s="26" t="str">
        <f ca="1">IFERROR(__xludf.DUMMYFUNCTION("""COMPUTED_VALUE"""),"شد مروحة ")</f>
        <v xml:space="preserve">شد مروحة </v>
      </c>
      <c r="I71" s="26"/>
      <c r="J71" s="26" t="s">
        <v>3910</v>
      </c>
      <c r="K71" s="26" t="s">
        <v>3911</v>
      </c>
      <c r="L71" s="55">
        <v>46123.43385587963</v>
      </c>
      <c r="M71" s="26"/>
      <c r="N71" s="4" t="s">
        <v>121</v>
      </c>
    </row>
    <row r="72" spans="1:14" ht="75" customHeight="1" thickTop="1" thickBot="1">
      <c r="A72" s="26">
        <v>70</v>
      </c>
      <c r="B72" s="55">
        <f ca="1">IFERROR(__xludf.DUMMYFUNCTION("""COMPUTED_VALUE"""),46123.4122050231)</f>
        <v>46123.412205023102</v>
      </c>
      <c r="C72" s="56" t="str">
        <f ca="1">IFERROR(__xludf.DUMMYFUNCTION("""COMPUTED_VALUE"""),"المعملجي")</f>
        <v>المعملجي</v>
      </c>
      <c r="D72" s="56" t="str">
        <f ca="1">IFERROR(__xludf.DUMMYFUNCTION("""COMPUTED_VALUE"""),"سجاد تربية")</f>
        <v>سجاد تربية</v>
      </c>
      <c r="E72" s="26" t="str">
        <f ca="1">IFERROR(__xludf.DUMMYFUNCTION("""COMPUTED_VALUE"""),"قسم التربية والتعليم العالي")</f>
        <v>قسم التربية والتعليم العالي</v>
      </c>
      <c r="F72" s="26" t="str">
        <f ca="1">IFERROR(__xludf.DUMMYFUNCTION("""COMPUTED_VALUE"""),"صحيات مقابيل الالعاب ")</f>
        <v xml:space="preserve">صحيات مقابيل الالعاب </v>
      </c>
      <c r="G72" s="26" t="str">
        <f ca="1">IFERROR(__xludf.DUMMYFUNCTION("""COMPUTED_VALUE"""),"/")</f>
        <v>/</v>
      </c>
      <c r="H72" s="26" t="str">
        <f ca="1">IFERROR(__xludf.DUMMYFUNCTION("""COMPUTED_VALUE"""),"لايوجد فيها ماء ")</f>
        <v xml:space="preserve">لايوجد فيها ماء </v>
      </c>
      <c r="I72" s="26"/>
      <c r="J72" s="26" t="s">
        <v>14</v>
      </c>
      <c r="K72" s="26" t="s">
        <v>13</v>
      </c>
      <c r="L72" s="55">
        <v>46123.433006678242</v>
      </c>
      <c r="M72" s="26"/>
      <c r="N72" s="4" t="s">
        <v>121</v>
      </c>
    </row>
    <row r="73" spans="1:14" ht="75" customHeight="1" thickTop="1" thickBot="1">
      <c r="A73" s="34">
        <v>71</v>
      </c>
      <c r="B73" s="55">
        <f ca="1">IFERROR(__xludf.DUMMYFUNCTION("""COMPUTED_VALUE"""),46123.4321734375)</f>
        <v>46123.432173437497</v>
      </c>
      <c r="C73" s="56" t="str">
        <f ca="1">IFERROR(__xludf.DUMMYFUNCTION("""COMPUTED_VALUE"""),"المعملجي")</f>
        <v>المعملجي</v>
      </c>
      <c r="D73" s="56" t="str">
        <f ca="1">IFERROR(__xludf.DUMMYFUNCTION("""COMPUTED_VALUE"""),"سجاد تربية")</f>
        <v>سجاد تربية</v>
      </c>
      <c r="E73" s="26" t="str">
        <f ca="1">IFERROR(__xludf.DUMMYFUNCTION("""COMPUTED_VALUE"""),"قسم التربية والتعليم العالي")</f>
        <v>قسم التربية والتعليم العالي</v>
      </c>
      <c r="F73" s="26" t="str">
        <f ca="1">IFERROR(__xludf.DUMMYFUNCTION("""COMPUTED_VALUE"""),"A- المركز الثقافي")</f>
        <v>A- المركز الثقافي</v>
      </c>
      <c r="G73" s="26" t="str">
        <f ca="1">IFERROR(__xludf.DUMMYFUNCTION("""COMPUTED_VALUE"""),"الطابق الثالث")</f>
        <v>الطابق الثالث</v>
      </c>
      <c r="H73" s="26" t="str">
        <f ca="1">IFERROR(__xludf.DUMMYFUNCTION("""COMPUTED_VALUE"""),"احتياج كهربائي صيانة سويج ")</f>
        <v xml:space="preserve">احتياج كهربائي صيانة سويج </v>
      </c>
      <c r="I73" s="26"/>
      <c r="J73" s="26" t="s">
        <v>3910</v>
      </c>
      <c r="K73" s="26" t="s">
        <v>13</v>
      </c>
      <c r="L73" s="55">
        <v>46123.47494803241</v>
      </c>
      <c r="M73" s="26"/>
      <c r="N73" s="4" t="s">
        <v>121</v>
      </c>
    </row>
    <row r="74" spans="1:14" ht="75" customHeight="1" thickTop="1" thickBot="1">
      <c r="A74" s="26">
        <v>72</v>
      </c>
      <c r="B74" s="55">
        <f ca="1">IFERROR(__xludf.DUMMYFUNCTION("""COMPUTED_VALUE"""),46123.4573922569)</f>
        <v>46123.457392256903</v>
      </c>
      <c r="C74" s="56" t="str">
        <f ca="1">IFERROR(__xludf.DUMMYFUNCTION("""COMPUTED_VALUE"""),"المعملجي")</f>
        <v>المعملجي</v>
      </c>
      <c r="D74" s="56" t="str">
        <f ca="1">IFERROR(__xludf.DUMMYFUNCTION("""COMPUTED_VALUE"""),"سجاد تربية")</f>
        <v>سجاد تربية</v>
      </c>
      <c r="E74" s="26" t="str">
        <f ca="1">IFERROR(__xludf.DUMMYFUNCTION("""COMPUTED_VALUE"""),"قسم التربية والتعليم العالي")</f>
        <v>قسم التربية والتعليم العالي</v>
      </c>
      <c r="F74" s="26" t="str">
        <f ca="1">IFERROR(__xludf.DUMMYFUNCTION("""COMPUTED_VALUE"""),"العاب الخارجية ")</f>
        <v xml:space="preserve">العاب الخارجية </v>
      </c>
      <c r="G74" s="26" t="str">
        <f ca="1">IFERROR(__xludf.DUMMYFUNCTION("""COMPUTED_VALUE"""),"/")</f>
        <v>/</v>
      </c>
      <c r="H74" s="26" t="str">
        <f ca="1">IFERROR(__xludf.DUMMYFUNCTION("""COMPUTED_VALUE"""),"صيانة الالعاب ")</f>
        <v xml:space="preserve">صيانة الالعاب </v>
      </c>
      <c r="I74" s="26"/>
      <c r="J74" s="26" t="s">
        <v>16</v>
      </c>
      <c r="K74" s="26" t="s">
        <v>13</v>
      </c>
      <c r="L74" s="55">
        <v>46123.528886898144</v>
      </c>
      <c r="M74" s="26"/>
      <c r="N74" s="4" t="s">
        <v>121</v>
      </c>
    </row>
    <row r="75" spans="1:14" ht="75" customHeight="1" thickTop="1" thickBot="1">
      <c r="A75" s="34">
        <v>73</v>
      </c>
      <c r="B75" s="55">
        <f ca="1">IFERROR(__xludf.DUMMYFUNCTION("""COMPUTED_VALUE"""),46123.4972707986)</f>
        <v>46123.497270798602</v>
      </c>
      <c r="C75" s="56" t="str">
        <f ca="1">IFERROR(__xludf.DUMMYFUNCTION("""COMPUTED_VALUE"""),"المعملجي")</f>
        <v>المعملجي</v>
      </c>
      <c r="D75" s="56" t="str">
        <f ca="1">IFERROR(__xludf.DUMMYFUNCTION("""COMPUTED_VALUE"""),"سجاد تربية")</f>
        <v>سجاد تربية</v>
      </c>
      <c r="E75" s="26" t="str">
        <f ca="1">IFERROR(__xludf.DUMMYFUNCTION("""COMPUTED_VALUE"""),"قسم التربية والتعليم العالي")</f>
        <v>قسم التربية والتعليم العالي</v>
      </c>
      <c r="F75" s="26" t="str">
        <f ca="1">IFERROR(__xludf.DUMMYFUNCTION("""COMPUTED_VALUE"""),"F-  ابتدائية جود العميد للبنات (الرابعة)")</f>
        <v>F-  ابتدائية جود العميد للبنات (الرابعة)</v>
      </c>
      <c r="G75" s="26" t="str">
        <f ca="1">IFERROR(__xludf.DUMMYFUNCTION("""COMPUTED_VALUE"""),"الطابق الارضي, الطابق الاول, جناح الادائرة ZONE A")</f>
        <v>الطابق الارضي, الطابق الاول, جناح الادائرة ZONE A</v>
      </c>
      <c r="H75" s="26" t="str">
        <f ca="1">IFERROR(__xludf.DUMMYFUNCTION("""COMPUTED_VALUE"""),"صيانة الغربي وشطاف عدد 6 و خلاط مغسلة وغطاء سيفونة عدد3 ")</f>
        <v xml:space="preserve">صيانة الغربي وشطاف عدد 6 و خلاط مغسلة وغطاء سيفونة عدد3 </v>
      </c>
      <c r="I75" s="26"/>
      <c r="J75" s="26" t="s">
        <v>14</v>
      </c>
      <c r="K75" s="26" t="s">
        <v>13</v>
      </c>
      <c r="L75" s="55">
        <v>46123.779112789351</v>
      </c>
      <c r="M75" s="26"/>
      <c r="N75" s="4" t="s">
        <v>121</v>
      </c>
    </row>
    <row r="76" spans="1:14" ht="75" customHeight="1" thickTop="1" thickBot="1">
      <c r="A76" s="26">
        <v>74</v>
      </c>
      <c r="B76" s="55">
        <f ca="1">IFERROR(__xludf.DUMMYFUNCTION("""COMPUTED_VALUE"""),46123.4982626851)</f>
        <v>46123.498262685098</v>
      </c>
      <c r="C76" s="56" t="str">
        <f ca="1">IFERROR(__xludf.DUMMYFUNCTION("""COMPUTED_VALUE"""),"المعملجي")</f>
        <v>المعملجي</v>
      </c>
      <c r="D76" s="56" t="str">
        <f ca="1">IFERROR(__xludf.DUMMYFUNCTION("""COMPUTED_VALUE"""),"سجاد تربية")</f>
        <v>سجاد تربية</v>
      </c>
      <c r="E76" s="26" t="str">
        <f ca="1">IFERROR(__xludf.DUMMYFUNCTION("""COMPUTED_VALUE"""),"قسم التربية والتعليم العالي")</f>
        <v>قسم التربية والتعليم العالي</v>
      </c>
      <c r="F76" s="26" t="str">
        <f ca="1">IFERROR(__xludf.DUMMYFUNCTION("""COMPUTED_VALUE"""),"F-  ابتدائية جود العميد للبنات (الرابعة)")</f>
        <v>F-  ابتدائية جود العميد للبنات (الرابعة)</v>
      </c>
      <c r="G76" s="26" t="str">
        <f ca="1">IFERROR(__xludf.DUMMYFUNCTION("""COMPUTED_VALUE"""),"الطابق الارضي, الاول د + الاول ب + الثالث ب ")</f>
        <v xml:space="preserve">الطابق الارضي, الاول د + الاول ب + الثالث ب </v>
      </c>
      <c r="H76" s="26" t="str">
        <f ca="1">IFERROR(__xludf.DUMMYFUNCTION("""COMPUTED_VALUE"""),"صيانة شباك ")</f>
        <v xml:space="preserve">صيانة شباك </v>
      </c>
      <c r="I76" s="26"/>
      <c r="J76" s="26" t="s">
        <v>16</v>
      </c>
      <c r="K76" s="26" t="s">
        <v>13</v>
      </c>
      <c r="L76" s="55">
        <v>46123.567551759261</v>
      </c>
      <c r="M76" s="26"/>
      <c r="N76" s="4" t="s">
        <v>121</v>
      </c>
    </row>
    <row r="77" spans="1:14" ht="75" customHeight="1" thickTop="1" thickBot="1">
      <c r="A77" s="34">
        <v>75</v>
      </c>
      <c r="B77" s="55">
        <f ca="1">IFERROR(__xludf.DUMMYFUNCTION("""COMPUTED_VALUE"""),46123.4989748032)</f>
        <v>46123.498974803202</v>
      </c>
      <c r="C77" s="56" t="str">
        <f ca="1">IFERROR(__xludf.DUMMYFUNCTION("""COMPUTED_VALUE"""),"المعملجي")</f>
        <v>المعملجي</v>
      </c>
      <c r="D77" s="56" t="str">
        <f ca="1">IFERROR(__xludf.DUMMYFUNCTION("""COMPUTED_VALUE"""),"سجاد تربية")</f>
        <v>سجاد تربية</v>
      </c>
      <c r="E77" s="26" t="str">
        <f ca="1">IFERROR(__xludf.DUMMYFUNCTION("""COMPUTED_VALUE"""),"قسم التربية والتعليم العالي")</f>
        <v>قسم التربية والتعليم العالي</v>
      </c>
      <c r="F77" s="26" t="str">
        <f ca="1">IFERROR(__xludf.DUMMYFUNCTION("""COMPUTED_VALUE"""),"F-  ابتدائية جود العميد للبنات (الرابعة)")</f>
        <v>F-  ابتدائية جود العميد للبنات (الرابعة)</v>
      </c>
      <c r="G77" s="26" t="str">
        <f ca="1">IFERROR(__xludf.DUMMYFUNCTION("""COMPUTED_VALUE"""),"الصف اللرابع ج")</f>
        <v>الصف اللرابع ج</v>
      </c>
      <c r="H77" s="26" t="str">
        <f ca="1">IFERROR(__xludf.DUMMYFUNCTION("""COMPUTED_VALUE"""),"هزار خشبي ")</f>
        <v xml:space="preserve">هزار خشبي </v>
      </c>
      <c r="I77" s="26"/>
      <c r="J77" s="26" t="s">
        <v>16</v>
      </c>
      <c r="K77" s="26" t="s">
        <v>13</v>
      </c>
      <c r="L77" s="55">
        <v>46123.567581307871</v>
      </c>
      <c r="M77" s="26"/>
      <c r="N77" s="4" t="s">
        <v>121</v>
      </c>
    </row>
    <row r="78" spans="1:14" ht="75" customHeight="1" thickTop="1" thickBot="1">
      <c r="A78" s="26">
        <v>76</v>
      </c>
      <c r="B78" s="55">
        <f ca="1">IFERROR(__xludf.DUMMYFUNCTION("""COMPUTED_VALUE"""),46123.4995435532)</f>
        <v>46123.499543553196</v>
      </c>
      <c r="C78" s="56" t="str">
        <f ca="1">IFERROR(__xludf.DUMMYFUNCTION("""COMPUTED_VALUE"""),"المعملجي")</f>
        <v>المعملجي</v>
      </c>
      <c r="D78" s="56" t="str">
        <f ca="1">IFERROR(__xludf.DUMMYFUNCTION("""COMPUTED_VALUE"""),"سجاد تربية")</f>
        <v>سجاد تربية</v>
      </c>
      <c r="E78" s="26" t="str">
        <f ca="1">IFERROR(__xludf.DUMMYFUNCTION("""COMPUTED_VALUE"""),"قسم التربية والتعليم العالي")</f>
        <v>قسم التربية والتعليم العالي</v>
      </c>
      <c r="F78" s="26" t="str">
        <f ca="1">IFERROR(__xludf.DUMMYFUNCTION("""COMPUTED_VALUE"""),"F-  ابتدائية جود العميد للبنات (الرابعة)")</f>
        <v>F-  ابتدائية جود العميد للبنات (الرابعة)</v>
      </c>
      <c r="G78" s="26" t="str">
        <f ca="1">IFERROR(__xludf.DUMMYFUNCTION("""COMPUTED_VALUE"""),"جناح الساحة ZONE B")</f>
        <v>جناح الساحة ZONE B</v>
      </c>
      <c r="H78" s="26" t="str">
        <f ca="1">IFERROR(__xludf.DUMMYFUNCTION("""COMPUTED_VALUE"""),"هزار سيرااميك ")</f>
        <v xml:space="preserve">هزار سيرااميك </v>
      </c>
      <c r="I78" s="26"/>
      <c r="J78" s="26" t="s">
        <v>16</v>
      </c>
      <c r="K78" s="26" t="s">
        <v>13</v>
      </c>
      <c r="L78" s="55">
        <v>46123.779451967595</v>
      </c>
      <c r="M78" s="26"/>
      <c r="N78" s="4" t="s">
        <v>121</v>
      </c>
    </row>
    <row r="79" spans="1:14" ht="75" customHeight="1" thickTop="1" thickBot="1">
      <c r="A79" s="34">
        <v>77</v>
      </c>
      <c r="B79" s="55">
        <f ca="1">IFERROR(__xludf.DUMMYFUNCTION("""COMPUTED_VALUE"""),46123.5000806828)</f>
        <v>46123.500080682803</v>
      </c>
      <c r="C79" s="56" t="str">
        <f ca="1">IFERROR(__xludf.DUMMYFUNCTION("""COMPUTED_VALUE"""),"المعملجي")</f>
        <v>المعملجي</v>
      </c>
      <c r="D79" s="56" t="str">
        <f ca="1">IFERROR(__xludf.DUMMYFUNCTION("""COMPUTED_VALUE"""),"سجاد تربية")</f>
        <v>سجاد تربية</v>
      </c>
      <c r="E79" s="26" t="str">
        <f ca="1">IFERROR(__xludf.DUMMYFUNCTION("""COMPUTED_VALUE"""),"قسم التربية والتعليم العالي")</f>
        <v>قسم التربية والتعليم العالي</v>
      </c>
      <c r="F79" s="26" t="str">
        <f ca="1">IFERROR(__xludf.DUMMYFUNCTION("""COMPUTED_VALUE"""),"F-  ابتدائية جود العميد للبنات (الرابعة)")</f>
        <v>F-  ابتدائية جود العميد للبنات (الرابعة)</v>
      </c>
      <c r="G79" s="26" t="str">
        <f ca="1">IFERROR(__xludf.DUMMYFUNCTION("""COMPUTED_VALUE"""),"الطابق الاول")</f>
        <v>الطابق الاول</v>
      </c>
      <c r="H79" s="26" t="str">
        <f ca="1">IFERROR(__xludf.DUMMYFUNCTION("""COMPUTED_VALUE"""),"صيانة خلاط في صحيات الخارجية ")</f>
        <v xml:space="preserve">صيانة خلاط في صحيات الخارجية </v>
      </c>
      <c r="I79" s="26"/>
      <c r="J79" s="26" t="s">
        <v>14</v>
      </c>
      <c r="K79" s="26" t="s">
        <v>13</v>
      </c>
      <c r="L79" s="55">
        <v>46123.779210127315</v>
      </c>
      <c r="M79" s="26"/>
      <c r="N79" s="4" t="s">
        <v>121</v>
      </c>
    </row>
    <row r="80" spans="1:14" ht="75" customHeight="1" thickTop="1" thickBot="1">
      <c r="A80" s="26">
        <v>78</v>
      </c>
      <c r="B80" s="55">
        <f ca="1">IFERROR(__xludf.DUMMYFUNCTION("""COMPUTED_VALUE"""),46123.5008429282)</f>
        <v>46123.500842928202</v>
      </c>
      <c r="C80" s="56" t="str">
        <f ca="1">IFERROR(__xludf.DUMMYFUNCTION("""COMPUTED_VALUE"""),"المعملجي")</f>
        <v>المعملجي</v>
      </c>
      <c r="D80" s="56" t="str">
        <f ca="1">IFERROR(__xludf.DUMMYFUNCTION("""COMPUTED_VALUE"""),"سجاد تربية")</f>
        <v>سجاد تربية</v>
      </c>
      <c r="E80" s="26" t="str">
        <f ca="1">IFERROR(__xludf.DUMMYFUNCTION("""COMPUTED_VALUE"""),"قسم التربية والتعليم العالي")</f>
        <v>قسم التربية والتعليم العالي</v>
      </c>
      <c r="F80" s="26" t="str">
        <f ca="1">IFERROR(__xludf.DUMMYFUNCTION("""COMPUTED_VALUE"""),"F-  ابتدائية جود العميد للبنات (الرابعة)")</f>
        <v>F-  ابتدائية جود العميد للبنات (الرابعة)</v>
      </c>
      <c r="G80" s="26" t="str">
        <f ca="1">IFERROR(__xludf.DUMMYFUNCTION("""COMPUTED_VALUE"""),"الطابق الثاني, الزوم الخارجي ")</f>
        <v xml:space="preserve">الطابق الثاني, الزوم الخارجي </v>
      </c>
      <c r="H80" s="26" t="str">
        <f ca="1">IFERROR(__xludf.DUMMYFUNCTION("""COMPUTED_VALUE"""),"صيانة سقف ثانوي ")</f>
        <v xml:space="preserve">صيانة سقف ثانوي </v>
      </c>
      <c r="I80" s="26"/>
      <c r="J80" s="26" t="s">
        <v>16</v>
      </c>
      <c r="K80" s="26" t="s">
        <v>13</v>
      </c>
      <c r="L80" s="55">
        <v>46124.314848564813</v>
      </c>
      <c r="M80" s="26"/>
      <c r="N80" s="4" t="s">
        <v>121</v>
      </c>
    </row>
    <row r="81" spans="1:14" ht="75" customHeight="1" thickTop="1" thickBot="1">
      <c r="A81" s="34">
        <v>79</v>
      </c>
      <c r="B81" s="55">
        <f ca="1">IFERROR(__xludf.DUMMYFUNCTION("""COMPUTED_VALUE"""),46123.5012690277)</f>
        <v>46123.5012690277</v>
      </c>
      <c r="C81" s="56" t="str">
        <f ca="1">IFERROR(__xludf.DUMMYFUNCTION("""COMPUTED_VALUE"""),"المعملجي")</f>
        <v>المعملجي</v>
      </c>
      <c r="D81" s="56" t="str">
        <f ca="1">IFERROR(__xludf.DUMMYFUNCTION("""COMPUTED_VALUE"""),"سجاد تربية")</f>
        <v>سجاد تربية</v>
      </c>
      <c r="E81" s="26" t="str">
        <f ca="1">IFERROR(__xludf.DUMMYFUNCTION("""COMPUTED_VALUE"""),"قسم التربية والتعليم العالي")</f>
        <v>قسم التربية والتعليم العالي</v>
      </c>
      <c r="F81" s="26" t="str">
        <f ca="1">IFERROR(__xludf.DUMMYFUNCTION("""COMPUTED_VALUE"""),"F-  ابتدائية جود العميد للبنات (الرابعة)")</f>
        <v>F-  ابتدائية جود العميد للبنات (الرابعة)</v>
      </c>
      <c r="G81" s="26" t="str">
        <f ca="1">IFERROR(__xludf.DUMMYFUNCTION("""COMPUTED_VALUE"""),"المصلى ")</f>
        <v xml:space="preserve">المصلى </v>
      </c>
      <c r="H81" s="26" t="str">
        <f ca="1">IFERROR(__xludf.DUMMYFUNCTION("""COMPUTED_VALUE"""),"انسداد منهولة ")</f>
        <v xml:space="preserve">انسداد منهولة </v>
      </c>
      <c r="I81" s="26"/>
      <c r="J81" s="26" t="s">
        <v>14</v>
      </c>
      <c r="K81" s="26" t="s">
        <v>13</v>
      </c>
      <c r="L81" s="55">
        <v>46123.779259340277</v>
      </c>
      <c r="M81" s="26"/>
      <c r="N81" s="4" t="s">
        <v>121</v>
      </c>
    </row>
    <row r="82" spans="1:14" ht="75" customHeight="1" thickTop="1" thickBot="1">
      <c r="A82" s="26">
        <v>80</v>
      </c>
      <c r="B82" s="55">
        <f ca="1">IFERROR(__xludf.DUMMYFUNCTION("""COMPUTED_VALUE"""),46123.5042908217)</f>
        <v>46123.5042908217</v>
      </c>
      <c r="C82" s="56" t="str">
        <f ca="1">IFERROR(__xludf.DUMMYFUNCTION("""COMPUTED_VALUE"""),"المعملجي")</f>
        <v>المعملجي</v>
      </c>
      <c r="D82" s="56" t="str">
        <f ca="1">IFERROR(__xludf.DUMMYFUNCTION("""COMPUTED_VALUE"""),"سجاد تربية")</f>
        <v>سجاد تربية</v>
      </c>
      <c r="E82" s="26" t="str">
        <f ca="1">IFERROR(__xludf.DUMMYFUNCTION("""COMPUTED_VALUE"""),"قسم التربية والتعليم العالي")</f>
        <v>قسم التربية والتعليم العالي</v>
      </c>
      <c r="F82" s="26" t="str">
        <f ca="1">IFERROR(__xludf.DUMMYFUNCTION("""COMPUTED_VALUE"""),"الاستعلامات الرئيسية")</f>
        <v>الاستعلامات الرئيسية</v>
      </c>
      <c r="G82" s="26" t="str">
        <f ca="1">IFERROR(__xludf.DUMMYFUNCTION("""COMPUTED_VALUE"""),"الطابق الارضي, صحيات")</f>
        <v>الطابق الارضي, صحيات</v>
      </c>
      <c r="H82" s="26" t="str">
        <f ca="1">IFERROR(__xludf.DUMMYFUNCTION("""COMPUTED_VALUE"""),"تبديل لبة باب الصحيات  ")</f>
        <v xml:space="preserve">تبديل لبة باب الصحيات  </v>
      </c>
      <c r="I82" s="26"/>
      <c r="J82" s="26" t="s">
        <v>16</v>
      </c>
      <c r="K82" s="26" t="s">
        <v>13</v>
      </c>
      <c r="L82" s="55">
        <v>46123.58619887731</v>
      </c>
      <c r="M82" s="26"/>
      <c r="N82" s="4" t="s">
        <v>121</v>
      </c>
    </row>
    <row r="83" spans="1:14" ht="75" customHeight="1" thickTop="1" thickBot="1">
      <c r="A83" s="34">
        <v>81</v>
      </c>
      <c r="B83" s="55">
        <f ca="1">IFERROR(__xludf.DUMMYFUNCTION("""COMPUTED_VALUE"""),46123.7804137037)</f>
        <v>46123.780413703702</v>
      </c>
      <c r="C83" s="56" t="str">
        <f ca="1">IFERROR(__xludf.DUMMYFUNCTION("""COMPUTED_VALUE"""),"المعملجي")</f>
        <v>المعملجي</v>
      </c>
      <c r="D83" s="56" t="str">
        <f ca="1">IFERROR(__xludf.DUMMYFUNCTION("""COMPUTED_VALUE"""),"سجاد تربية")</f>
        <v>سجاد تربية</v>
      </c>
      <c r="E83" s="26" t="str">
        <f ca="1">IFERROR(__xludf.DUMMYFUNCTION("""COMPUTED_VALUE"""),"قسم التربية والتعليم العالي")</f>
        <v>قسم التربية والتعليم العالي</v>
      </c>
      <c r="F83" s="26" t="str">
        <f ca="1">IFERROR(__xludf.DUMMYFUNCTION("""COMPUTED_VALUE"""),"D- ثانوية العميد بناية المتوسطة  (الثانية)")</f>
        <v>D- ثانوية العميد بناية المتوسطة  (الثانية)</v>
      </c>
      <c r="G83" s="26" t="str">
        <f ca="1">IFERROR(__xludf.DUMMYFUNCTION("""COMPUTED_VALUE"""),"السطح")</f>
        <v>السطح</v>
      </c>
      <c r="H83" s="26" t="str">
        <f ca="1">IFERROR(__xludf.DUMMYFUNCTION("""COMPUTED_VALUE"""),"صيانة طوافه تانكي ")</f>
        <v xml:space="preserve">صيانة طوافه تانكي </v>
      </c>
      <c r="I83" s="26"/>
      <c r="J83" s="26" t="s">
        <v>14</v>
      </c>
      <c r="K83" s="26" t="s">
        <v>13</v>
      </c>
      <c r="L83" s="55">
        <v>46123.780542974535</v>
      </c>
      <c r="M83" s="26"/>
      <c r="N83" s="4" t="s">
        <v>121</v>
      </c>
    </row>
    <row r="84" spans="1:14" ht="75" customHeight="1" thickTop="1" thickBot="1">
      <c r="A84" s="26">
        <v>82</v>
      </c>
      <c r="B84" s="55">
        <f ca="1">IFERROR(__xludf.DUMMYFUNCTION("""COMPUTED_VALUE"""),46124.3517590856)</f>
        <v>46124.351759085599</v>
      </c>
      <c r="C84" s="56" t="str">
        <f ca="1">IFERROR(__xludf.DUMMYFUNCTION("""COMPUTED_VALUE"""),"المعملجي")</f>
        <v>المعملجي</v>
      </c>
      <c r="D84" s="56" t="str">
        <f ca="1">IFERROR(__xludf.DUMMYFUNCTION("""COMPUTED_VALUE"""),"سجاد تربية")</f>
        <v>سجاد تربية</v>
      </c>
      <c r="E84" s="26" t="str">
        <f ca="1">IFERROR(__xludf.DUMMYFUNCTION("""COMPUTED_VALUE"""),"قسم التربية والتعليم العالي")</f>
        <v>قسم التربية والتعليم العالي</v>
      </c>
      <c r="F84" s="26" t="str">
        <f ca="1">IFERROR(__xludf.DUMMYFUNCTION("""COMPUTED_VALUE"""),"E- ابتدائية العميد للبنات (الثالثة)")</f>
        <v>E- ابتدائية العميد للبنات (الثالثة)</v>
      </c>
      <c r="G84" s="26" t="str">
        <f ca="1">IFERROR(__xludf.DUMMYFUNCTION("""COMPUTED_VALUE"""),"الطابق الارضي")</f>
        <v>الطابق الارضي</v>
      </c>
      <c r="H84" s="26" t="str">
        <f ca="1">IFERROR(__xludf.DUMMYFUNCTION("""COMPUTED_VALUE"""),"صيانة الحمامات ")</f>
        <v xml:space="preserve">صيانة الحمامات </v>
      </c>
      <c r="I84" s="26"/>
      <c r="J84" s="26" t="s">
        <v>16</v>
      </c>
      <c r="K84" s="26" t="s">
        <v>13</v>
      </c>
      <c r="L84" s="55">
        <v>46124.521349641203</v>
      </c>
      <c r="M84" s="26"/>
      <c r="N84" s="4" t="s">
        <v>121</v>
      </c>
    </row>
    <row r="85" spans="1:14" ht="75" customHeight="1" thickTop="1" thickBot="1">
      <c r="A85" s="34">
        <v>83</v>
      </c>
      <c r="B85" s="55">
        <f ca="1">IFERROR(__xludf.DUMMYFUNCTION("""COMPUTED_VALUE"""),46124.4276648842)</f>
        <v>46124.427664884199</v>
      </c>
      <c r="C85" s="56" t="str">
        <f ca="1">IFERROR(__xludf.DUMMYFUNCTION("""COMPUTED_VALUE"""),"المعملجي")</f>
        <v>المعملجي</v>
      </c>
      <c r="D85" s="56" t="str">
        <f ca="1">IFERROR(__xludf.DUMMYFUNCTION("""COMPUTED_VALUE"""),"سجاد تربية")</f>
        <v>سجاد تربية</v>
      </c>
      <c r="E85" s="26" t="str">
        <f ca="1">IFERROR(__xludf.DUMMYFUNCTION("""COMPUTED_VALUE"""),"قسم التربية والتعليم العالي")</f>
        <v>قسم التربية والتعليم العالي</v>
      </c>
      <c r="F85" s="26" t="str">
        <f ca="1">IFERROR(__xludf.DUMMYFUNCTION("""COMPUTED_VALUE"""),"E- ابتدائية العميد للبنات (الثالثة)")</f>
        <v>E- ابتدائية العميد للبنات (الثالثة)</v>
      </c>
      <c r="G85" s="26" t="str">
        <f ca="1">IFERROR(__xludf.DUMMYFUNCTION("""COMPUTED_VALUE"""),"الطابق الاول")</f>
        <v>الطابق الاول</v>
      </c>
      <c r="H85" s="26" t="str">
        <f ca="1">IFERROR(__xludf.DUMMYFUNCTION("""COMPUTED_VALUE"""),"صيانة باب المنيوم ")</f>
        <v xml:space="preserve">صيانة باب المنيوم </v>
      </c>
      <c r="I85" s="26"/>
      <c r="J85" s="26" t="s">
        <v>16</v>
      </c>
      <c r="K85" s="26" t="s">
        <v>13</v>
      </c>
      <c r="L85" s="55">
        <v>46124.521280995366</v>
      </c>
      <c r="M85" s="26"/>
      <c r="N85" s="4" t="s">
        <v>121</v>
      </c>
    </row>
    <row r="86" spans="1:14" ht="75" customHeight="1" thickTop="1" thickBot="1">
      <c r="A86" s="26">
        <v>84</v>
      </c>
      <c r="B86" s="55">
        <f ca="1">IFERROR(__xludf.DUMMYFUNCTION("""COMPUTED_VALUE"""),46124.5772410416)</f>
        <v>46124.577241041603</v>
      </c>
      <c r="C86" s="56" t="str">
        <f ca="1">IFERROR(__xludf.DUMMYFUNCTION("""COMPUTED_VALUE"""),"المعملجي")</f>
        <v>المعملجي</v>
      </c>
      <c r="D86" s="56" t="str">
        <f ca="1">IFERROR(__xludf.DUMMYFUNCTION("""COMPUTED_VALUE"""),"سجاد تربية")</f>
        <v>سجاد تربية</v>
      </c>
      <c r="E86" s="26" t="str">
        <f ca="1">IFERROR(__xludf.DUMMYFUNCTION("""COMPUTED_VALUE"""),"قسم التربية والتعليم العالي")</f>
        <v>قسم التربية والتعليم العالي</v>
      </c>
      <c r="F86" s="26" t="str">
        <f ca="1">IFERROR(__xludf.DUMMYFUNCTION("""COMPUTED_VALUE"""),"رئاسة القسم ")</f>
        <v xml:space="preserve">رئاسة القسم </v>
      </c>
      <c r="G86" s="26" t="str">
        <f ca="1">IFERROR(__xludf.DUMMYFUNCTION("""COMPUTED_VALUE"""),"التشريفات ")</f>
        <v xml:space="preserve">التشريفات </v>
      </c>
      <c r="H86" s="26" t="str">
        <f ca="1">IFERROR(__xludf.DUMMYFUNCTION("""COMPUTED_VALUE"""),"صيانة سبلت ")</f>
        <v xml:space="preserve">صيانة سبلت </v>
      </c>
      <c r="I86" s="26"/>
      <c r="J86" s="26" t="s">
        <v>15</v>
      </c>
      <c r="K86" s="26" t="s">
        <v>13</v>
      </c>
      <c r="L86" s="55">
        <v>46124.58052103009</v>
      </c>
      <c r="M86" s="26"/>
      <c r="N86" s="4" t="s">
        <v>121</v>
      </c>
    </row>
    <row r="87" spans="1:14" ht="75" customHeight="1" thickTop="1" thickBot="1">
      <c r="A87" s="34">
        <v>85</v>
      </c>
      <c r="B87" s="55">
        <f ca="1">IFERROR(__xludf.DUMMYFUNCTION("""COMPUTED_VALUE"""),46124.5778354166)</f>
        <v>46124.577835416603</v>
      </c>
      <c r="C87" s="56" t="str">
        <f ca="1">IFERROR(__xludf.DUMMYFUNCTION("""COMPUTED_VALUE"""),"المعملجي")</f>
        <v>المعملجي</v>
      </c>
      <c r="D87" s="56" t="str">
        <f ca="1">IFERROR(__xludf.DUMMYFUNCTION("""COMPUTED_VALUE"""),"سجاد تربية")</f>
        <v>سجاد تربية</v>
      </c>
      <c r="E87" s="26" t="str">
        <f ca="1">IFERROR(__xludf.DUMMYFUNCTION("""COMPUTED_VALUE"""),"قسم التربية والتعليم العالي")</f>
        <v>قسم التربية والتعليم العالي</v>
      </c>
      <c r="F87" s="26" t="str">
        <f ca="1">IFERROR(__xludf.DUMMYFUNCTION("""COMPUTED_VALUE"""),"رئاسة القسم ")</f>
        <v xml:space="preserve">رئاسة القسم </v>
      </c>
      <c r="G87" s="26" t="str">
        <f ca="1">IFERROR(__xludf.DUMMYFUNCTION("""COMPUTED_VALUE"""),"الطابق الارضي")</f>
        <v>الطابق الارضي</v>
      </c>
      <c r="H87" s="26" t="str">
        <f ca="1">IFERROR(__xludf.DUMMYFUNCTION("""COMPUTED_VALUE"""),"عمل قفل للثلاجة ")</f>
        <v xml:space="preserve">عمل قفل للثلاجة </v>
      </c>
      <c r="I87" s="26"/>
      <c r="J87" s="26" t="s">
        <v>16</v>
      </c>
      <c r="K87" s="26" t="s">
        <v>13</v>
      </c>
      <c r="L87" s="55">
        <v>46151.359502118052</v>
      </c>
      <c r="M87" s="26"/>
      <c r="N87" s="4" t="s">
        <v>121</v>
      </c>
    </row>
    <row r="88" spans="1:14" ht="75" customHeight="1" thickTop="1" thickBot="1">
      <c r="A88" s="26">
        <v>86</v>
      </c>
      <c r="B88" s="55">
        <f ca="1">IFERROR(__xludf.DUMMYFUNCTION("""COMPUTED_VALUE"""),46124.5791925925)</f>
        <v>46124.5791925925</v>
      </c>
      <c r="C88" s="56" t="str">
        <f ca="1">IFERROR(__xludf.DUMMYFUNCTION("""COMPUTED_VALUE"""),"المعملجي")</f>
        <v>المعملجي</v>
      </c>
      <c r="D88" s="56" t="str">
        <f ca="1">IFERROR(__xludf.DUMMYFUNCTION("""COMPUTED_VALUE"""),"سجاد تربية")</f>
        <v>سجاد تربية</v>
      </c>
      <c r="E88" s="26" t="str">
        <f ca="1">IFERROR(__xludf.DUMMYFUNCTION("""COMPUTED_VALUE"""),"قسم التربية والتعليم العالي")</f>
        <v>قسم التربية والتعليم العالي</v>
      </c>
      <c r="F88" s="26" t="str">
        <f ca="1">IFERROR(__xludf.DUMMYFUNCTION("""COMPUTED_VALUE"""),"الاستعلامات الرئيسية, استعلامات كرار  هلول ")</f>
        <v xml:space="preserve">الاستعلامات الرئيسية, استعلامات كرار  هلول </v>
      </c>
      <c r="G88" s="26" t="str">
        <f ca="1">IFERROR(__xludf.DUMMYFUNCTION("""COMPUTED_VALUE"""),"كرفان ")</f>
        <v xml:space="preserve">كرفان </v>
      </c>
      <c r="H88" s="26" t="str">
        <f ca="1">IFERROR(__xludf.DUMMYFUNCTION("""COMPUTED_VALUE"""),"صيانة سبلت ")</f>
        <v xml:space="preserve">صيانة سبلت </v>
      </c>
      <c r="I88" s="26"/>
      <c r="J88" s="26" t="s">
        <v>15</v>
      </c>
      <c r="K88" s="26" t="s">
        <v>13</v>
      </c>
      <c r="L88" s="55">
        <v>46124.782902719904</v>
      </c>
      <c r="M88" s="26"/>
      <c r="N88" s="4" t="s">
        <v>121</v>
      </c>
    </row>
    <row r="89" spans="1:14" ht="75" customHeight="1" thickTop="1" thickBot="1">
      <c r="A89" s="34">
        <v>87</v>
      </c>
      <c r="B89" s="55">
        <f ca="1">IFERROR(__xludf.DUMMYFUNCTION("""COMPUTED_VALUE"""),46124.5795700347)</f>
        <v>46124.579570034701</v>
      </c>
      <c r="C89" s="56" t="str">
        <f ca="1">IFERROR(__xludf.DUMMYFUNCTION("""COMPUTED_VALUE"""),"المعملجي")</f>
        <v>المعملجي</v>
      </c>
      <c r="D89" s="56" t="str">
        <f ca="1">IFERROR(__xludf.DUMMYFUNCTION("""COMPUTED_VALUE"""),"سجاد تربية")</f>
        <v>سجاد تربية</v>
      </c>
      <c r="E89" s="26" t="str">
        <f ca="1">IFERROR(__xludf.DUMMYFUNCTION("""COMPUTED_VALUE"""),"قسم التربية والتعليم العالي")</f>
        <v>قسم التربية والتعليم العالي</v>
      </c>
      <c r="F89" s="26" t="str">
        <f ca="1">IFERROR(__xludf.DUMMYFUNCTION("""COMPUTED_VALUE"""),"B- روضة القمر")</f>
        <v>B- روضة القمر</v>
      </c>
      <c r="G89" s="26" t="str">
        <f ca="1">IFERROR(__xludf.DUMMYFUNCTION("""COMPUTED_VALUE"""),"الطابق الارضي")</f>
        <v>الطابق الارضي</v>
      </c>
      <c r="H89" s="26" t="str">
        <f ca="1">IFERROR(__xludf.DUMMYFUNCTION("""COMPUTED_VALUE"""),"صيانة كهرباء ")</f>
        <v xml:space="preserve">صيانة كهرباء </v>
      </c>
      <c r="I89" s="26"/>
      <c r="J89" s="26" t="s">
        <v>3910</v>
      </c>
      <c r="K89" s="26" t="s">
        <v>13</v>
      </c>
      <c r="L89" s="55">
        <v>46124.783427951392</v>
      </c>
      <c r="M89" s="26"/>
      <c r="N89" s="4" t="s">
        <v>121</v>
      </c>
    </row>
    <row r="90" spans="1:14" ht="75" customHeight="1" thickTop="1" thickBot="1">
      <c r="A90" s="26">
        <v>88</v>
      </c>
      <c r="B90" s="55">
        <f ca="1">IFERROR(__xludf.DUMMYFUNCTION("""COMPUTED_VALUE"""),46124.5800399537)</f>
        <v>46124.580039953697</v>
      </c>
      <c r="C90" s="56" t="str">
        <f ca="1">IFERROR(__xludf.DUMMYFUNCTION("""COMPUTED_VALUE"""),"المعملجي")</f>
        <v>المعملجي</v>
      </c>
      <c r="D90" s="56" t="str">
        <f ca="1">IFERROR(__xludf.DUMMYFUNCTION("""COMPUTED_VALUE"""),"سجاد تربية")</f>
        <v>سجاد تربية</v>
      </c>
      <c r="E90" s="26" t="str">
        <f ca="1">IFERROR(__xludf.DUMMYFUNCTION("""COMPUTED_VALUE"""),"قسم التربية والتعليم العالي")</f>
        <v>قسم التربية والتعليم العالي</v>
      </c>
      <c r="F90" s="26" t="str">
        <f ca="1">IFERROR(__xludf.DUMMYFUNCTION("""COMPUTED_VALUE"""),"F-  ابتدائية جود العميد للبنات (الرابعة)")</f>
        <v>F-  ابتدائية جود العميد للبنات (الرابعة)</v>
      </c>
      <c r="G90" s="26" t="str">
        <f ca="1">IFERROR(__xludf.DUMMYFUNCTION("""COMPUTED_VALUE"""),"الطابق الارضي")</f>
        <v>الطابق الارضي</v>
      </c>
      <c r="H90" s="26" t="str">
        <f ca="1">IFERROR(__xludf.DUMMYFUNCTION("""COMPUTED_VALUE"""),"صيانة برادات الماء الخاص بالتلميذات ")</f>
        <v xml:space="preserve">صيانة برادات الماء الخاص بالتلميذات </v>
      </c>
      <c r="I90" s="26"/>
      <c r="J90" s="26" t="s">
        <v>14</v>
      </c>
      <c r="K90" s="26" t="s">
        <v>13</v>
      </c>
      <c r="L90" s="55">
        <v>46124.783034918983</v>
      </c>
      <c r="M90" s="26"/>
      <c r="N90" s="4" t="s">
        <v>121</v>
      </c>
    </row>
    <row r="91" spans="1:14" ht="75" customHeight="1" thickTop="1" thickBot="1">
      <c r="A91" s="34">
        <v>89</v>
      </c>
      <c r="B91" s="55">
        <f ca="1">IFERROR(__xludf.DUMMYFUNCTION("""COMPUTED_VALUE"""),46124.5803246296)</f>
        <v>46124.580324629598</v>
      </c>
      <c r="C91" s="56" t="str">
        <f ca="1">IFERROR(__xludf.DUMMYFUNCTION("""COMPUTED_VALUE"""),"المعملجي")</f>
        <v>المعملجي</v>
      </c>
      <c r="D91" s="56" t="str">
        <f ca="1">IFERROR(__xludf.DUMMYFUNCTION("""COMPUTED_VALUE"""),"سجاد تربية")</f>
        <v>سجاد تربية</v>
      </c>
      <c r="E91" s="26" t="str">
        <f ca="1">IFERROR(__xludf.DUMMYFUNCTION("""COMPUTED_VALUE"""),"قسم التربية والتعليم العالي")</f>
        <v>قسم التربية والتعليم العالي</v>
      </c>
      <c r="F91" s="26" t="str">
        <f ca="1">IFERROR(__xludf.DUMMYFUNCTION("""COMPUTED_VALUE"""),"F-  ابتدائية جود العميد للبنات (الرابعة)")</f>
        <v>F-  ابتدائية جود العميد للبنات (الرابعة)</v>
      </c>
      <c r="G91" s="26" t="str">
        <f ca="1">IFERROR(__xludf.DUMMYFUNCTION("""COMPUTED_VALUE"""),"الطابق الارضي")</f>
        <v>الطابق الارضي</v>
      </c>
      <c r="H91" s="26" t="str">
        <f ca="1">IFERROR(__xludf.DUMMYFUNCTION("""COMPUTED_VALUE"""),"صيانة سبالات ")</f>
        <v xml:space="preserve">صيانة سبالات </v>
      </c>
      <c r="I91" s="26"/>
      <c r="J91" s="26" t="s">
        <v>15</v>
      </c>
      <c r="K91" s="26" t="s">
        <v>13</v>
      </c>
      <c r="L91" s="55">
        <v>46124.783074143517</v>
      </c>
      <c r="M91" s="26"/>
      <c r="N91" s="4" t="s">
        <v>121</v>
      </c>
    </row>
    <row r="92" spans="1:14" ht="75" customHeight="1" thickTop="1" thickBot="1">
      <c r="A92" s="26">
        <v>90</v>
      </c>
      <c r="B92" s="55">
        <f ca="1">IFERROR(__xludf.DUMMYFUNCTION("""COMPUTED_VALUE"""),46125.3397798263)</f>
        <v>46125.339779826303</v>
      </c>
      <c r="C92" s="56" t="str">
        <f ca="1">IFERROR(__xludf.DUMMYFUNCTION("""COMPUTED_VALUE"""),"المعملجي")</f>
        <v>المعملجي</v>
      </c>
      <c r="D92" s="56" t="str">
        <f ca="1">IFERROR(__xludf.DUMMYFUNCTION("""COMPUTED_VALUE"""),"سجاد تربية")</f>
        <v>سجاد تربية</v>
      </c>
      <c r="E92" s="26" t="str">
        <f ca="1">IFERROR(__xludf.DUMMYFUNCTION("""COMPUTED_VALUE"""),"قسم التربية والتعليم العالي")</f>
        <v>قسم التربية والتعليم العالي</v>
      </c>
      <c r="F92" s="26" t="str">
        <f ca="1">IFERROR(__xludf.DUMMYFUNCTION("""COMPUTED_VALUE"""),"B- روضة القمر")</f>
        <v>B- روضة القمر</v>
      </c>
      <c r="G92" s="26" t="str">
        <f ca="1">IFERROR(__xludf.DUMMYFUNCTION("""COMPUTED_VALUE"""),"/")</f>
        <v>/</v>
      </c>
      <c r="H92" s="26" t="str">
        <f ca="1">IFERROR(__xludf.DUMMYFUNCTION("""COMPUTED_VALUE"""),"لايوجد ماء اساله")</f>
        <v>لايوجد ماء اساله</v>
      </c>
      <c r="I92" s="26"/>
      <c r="J92" s="26" t="s">
        <v>14</v>
      </c>
      <c r="K92" s="26" t="s">
        <v>13</v>
      </c>
      <c r="L92" s="55">
        <v>46125.374096041662</v>
      </c>
      <c r="M92" s="26"/>
      <c r="N92" s="4" t="s">
        <v>121</v>
      </c>
    </row>
    <row r="93" spans="1:14" ht="75" customHeight="1" thickTop="1" thickBot="1">
      <c r="A93" s="34">
        <v>91</v>
      </c>
      <c r="B93" s="55">
        <f ca="1">IFERROR(__xludf.DUMMYFUNCTION("""COMPUTED_VALUE"""),46125.4645188425)</f>
        <v>46125.464518842498</v>
      </c>
      <c r="C93" s="56" t="str">
        <f ca="1">IFERROR(__xludf.DUMMYFUNCTION("""COMPUTED_VALUE"""),"المعملجي")</f>
        <v>المعملجي</v>
      </c>
      <c r="D93" s="56" t="str">
        <f ca="1">IFERROR(__xludf.DUMMYFUNCTION("""COMPUTED_VALUE"""),"وحدة الميكانيك")</f>
        <v>وحدة الميكانيك</v>
      </c>
      <c r="E93" s="26" t="str">
        <f ca="1">IFERROR(__xludf.DUMMYFUNCTION("""COMPUTED_VALUE"""),"قسم المشاريع الهندسية")</f>
        <v>قسم المشاريع الهندسية</v>
      </c>
      <c r="F93" s="26" t="str">
        <f ca="1">IFERROR(__xludf.DUMMYFUNCTION("""COMPUTED_VALUE"""),"H- ابتدائية القمر للبنات (الخامسة)")</f>
        <v>H- ابتدائية القمر للبنات (الخامسة)</v>
      </c>
      <c r="G93" s="26" t="str">
        <f ca="1">IFERROR(__xludf.DUMMYFUNCTION("""COMPUTED_VALUE"""),"الطابق الارضي, جناح الساحة ZONE B")</f>
        <v>الطابق الارضي, جناح الساحة ZONE B</v>
      </c>
      <c r="H93" s="26" t="str">
        <f ca="1">IFERROR(__xludf.DUMMYFUNCTION("""COMPUTED_VALUE"""),"تبديل كاك براد عدد ٥")</f>
        <v>تبديل كاك براد عدد ٥</v>
      </c>
      <c r="I93" s="26"/>
      <c r="J93" s="26" t="s">
        <v>14</v>
      </c>
      <c r="K93" s="26" t="s">
        <v>13</v>
      </c>
      <c r="L93" s="55"/>
      <c r="M93" s="26"/>
      <c r="N93" s="4" t="s">
        <v>121</v>
      </c>
    </row>
    <row r="94" spans="1:14" ht="75" customHeight="1" thickTop="1" thickBot="1">
      <c r="A94" s="26">
        <v>92</v>
      </c>
      <c r="B94" s="55">
        <f ca="1">IFERROR(__xludf.DUMMYFUNCTION("""COMPUTED_VALUE"""),46125.4650336921)</f>
        <v>46125.465033692097</v>
      </c>
      <c r="C94" s="56" t="str">
        <f ca="1">IFERROR(__xludf.DUMMYFUNCTION("""COMPUTED_VALUE"""),"المعملجي")</f>
        <v>المعملجي</v>
      </c>
      <c r="D94" s="56" t="str">
        <f ca="1">IFERROR(__xludf.DUMMYFUNCTION("""COMPUTED_VALUE"""),"وحدة الميكانيك")</f>
        <v>وحدة الميكانيك</v>
      </c>
      <c r="E94" s="26" t="str">
        <f ca="1">IFERROR(__xludf.DUMMYFUNCTION("""COMPUTED_VALUE"""),"قسم التربية والتعليم العالي")</f>
        <v>قسم التربية والتعليم العالي</v>
      </c>
      <c r="F94" s="26" t="str">
        <f ca="1">IFERROR(__xludf.DUMMYFUNCTION("""COMPUTED_VALUE"""),"H- ابتدائية القمر للبنات (الخامسة)")</f>
        <v>H- ابتدائية القمر للبنات (الخامسة)</v>
      </c>
      <c r="G94" s="26" t="str">
        <f ca="1">IFERROR(__xludf.DUMMYFUNCTION("""COMPUTED_VALUE"""),"الطابق الارضي, جناح الساحة ZONE B")</f>
        <v>الطابق الارضي, جناح الساحة ZONE B</v>
      </c>
      <c r="H94" s="26" t="str">
        <f ca="1">IFERROR(__xludf.DUMMYFUNCTION("""COMPUTED_VALUE"""),"تبديل صندوق فلاش ")</f>
        <v xml:space="preserve">تبديل صندوق فلاش </v>
      </c>
      <c r="I94" s="26"/>
      <c r="J94" s="26" t="s">
        <v>14</v>
      </c>
      <c r="K94" s="26" t="s">
        <v>13</v>
      </c>
      <c r="L94" s="55"/>
      <c r="M94" s="26"/>
      <c r="N94" s="4" t="s">
        <v>121</v>
      </c>
    </row>
    <row r="95" spans="1:14" ht="75" customHeight="1" thickTop="1" thickBot="1">
      <c r="A95" s="34">
        <v>93</v>
      </c>
      <c r="B95" s="55">
        <f ca="1">IFERROR(__xludf.DUMMYFUNCTION("""COMPUTED_VALUE"""),46125.4658938657)</f>
        <v>46125.465893865701</v>
      </c>
      <c r="C95" s="56" t="str">
        <f ca="1">IFERROR(__xludf.DUMMYFUNCTION("""COMPUTED_VALUE"""),"المعملجي")</f>
        <v>المعملجي</v>
      </c>
      <c r="D95" s="56" t="str">
        <f ca="1">IFERROR(__xludf.DUMMYFUNCTION("""COMPUTED_VALUE"""),"وحدة الميكانيك")</f>
        <v>وحدة الميكانيك</v>
      </c>
      <c r="E95" s="26" t="str">
        <f ca="1">IFERROR(__xludf.DUMMYFUNCTION("""COMPUTED_VALUE"""),"قسم المشاريع الهندسية")</f>
        <v>قسم المشاريع الهندسية</v>
      </c>
      <c r="F95" s="26" t="str">
        <f ca="1">IFERROR(__xludf.DUMMYFUNCTION("""COMPUTED_VALUE"""),"H- ابتدائية القمر للبنات (الخامسة)")</f>
        <v>H- ابتدائية القمر للبنات (الخامسة)</v>
      </c>
      <c r="G95" s="26" t="str">
        <f ca="1">IFERROR(__xludf.DUMMYFUNCTION("""COMPUTED_VALUE"""),"الطابق الارضي, جناح الساحة ZONE B")</f>
        <v>الطابق الارضي, جناح الساحة ZONE B</v>
      </c>
      <c r="H95" s="26" t="str">
        <f ca="1">IFERROR(__xludf.DUMMYFUNCTION("""COMPUTED_VALUE"""),"تبديل صوندة فلاش ")</f>
        <v xml:space="preserve">تبديل صوندة فلاش </v>
      </c>
      <c r="I95" s="26"/>
      <c r="J95" s="26" t="s">
        <v>14</v>
      </c>
      <c r="K95" s="26" t="s">
        <v>13</v>
      </c>
      <c r="L95" s="55"/>
      <c r="M95" s="26"/>
      <c r="N95" s="4" t="s">
        <v>121</v>
      </c>
    </row>
    <row r="96" spans="1:14" ht="75" customHeight="1" thickTop="1" thickBot="1">
      <c r="A96" s="26">
        <v>94</v>
      </c>
      <c r="B96" s="55">
        <f ca="1">IFERROR(__xludf.DUMMYFUNCTION("""COMPUTED_VALUE"""),46125.4662743171)</f>
        <v>46125.466274317099</v>
      </c>
      <c r="C96" s="56" t="str">
        <f ca="1">IFERROR(__xludf.DUMMYFUNCTION("""COMPUTED_VALUE"""),"المعملجي")</f>
        <v>المعملجي</v>
      </c>
      <c r="D96" s="56" t="str">
        <f ca="1">IFERROR(__xludf.DUMMYFUNCTION("""COMPUTED_VALUE"""),"وحدة الميكانيك")</f>
        <v>وحدة الميكانيك</v>
      </c>
      <c r="E96" s="26" t="str">
        <f ca="1">IFERROR(__xludf.DUMMYFUNCTION("""COMPUTED_VALUE"""),"قسم المشاريع الهندسية")</f>
        <v>قسم المشاريع الهندسية</v>
      </c>
      <c r="F96" s="26" t="str">
        <f ca="1">IFERROR(__xludf.DUMMYFUNCTION("""COMPUTED_VALUE"""),"H- ابتدائية القمر للبنات (الخامسة)")</f>
        <v>H- ابتدائية القمر للبنات (الخامسة)</v>
      </c>
      <c r="G96" s="26" t="str">
        <f ca="1">IFERROR(__xludf.DUMMYFUNCTION("""COMPUTED_VALUE"""),"الطابق الارضي, جناح الساحة ZONE B")</f>
        <v>الطابق الارضي, جناح الساحة ZONE B</v>
      </c>
      <c r="H96" s="26" t="str">
        <f ca="1">IFERROR(__xludf.DUMMYFUNCTION("""COMPUTED_VALUE"""),"تبديل كاك براد عدد ٤")</f>
        <v>تبديل كاك براد عدد ٤</v>
      </c>
      <c r="I96" s="26"/>
      <c r="J96" s="26" t="s">
        <v>14</v>
      </c>
      <c r="K96" s="26" t="s">
        <v>13</v>
      </c>
      <c r="L96" s="55"/>
      <c r="M96" s="26"/>
      <c r="N96" s="4" t="s">
        <v>121</v>
      </c>
    </row>
    <row r="97" spans="1:14" ht="75" customHeight="1" thickTop="1" thickBot="1">
      <c r="A97" s="34">
        <v>95</v>
      </c>
      <c r="B97" s="55">
        <f ca="1">IFERROR(__xludf.DUMMYFUNCTION("""COMPUTED_VALUE"""),46125.4667406712)</f>
        <v>46125.466740671203</v>
      </c>
      <c r="C97" s="56" t="str">
        <f ca="1">IFERROR(__xludf.DUMMYFUNCTION("""COMPUTED_VALUE"""),"المعملجي")</f>
        <v>المعملجي</v>
      </c>
      <c r="D97" s="56" t="str">
        <f ca="1">IFERROR(__xludf.DUMMYFUNCTION("""COMPUTED_VALUE"""),"وحدة الميكانيك")</f>
        <v>وحدة الميكانيك</v>
      </c>
      <c r="E97" s="26" t="str">
        <f ca="1">IFERROR(__xludf.DUMMYFUNCTION("""COMPUTED_VALUE"""),"قسم المشاريع الهندسية")</f>
        <v>قسم المشاريع الهندسية</v>
      </c>
      <c r="F97" s="26" t="str">
        <f ca="1">IFERROR(__xludf.DUMMYFUNCTION("""COMPUTED_VALUE"""),"I- ابتدائية الساقي للبنين (السادسة)")</f>
        <v>I- ابتدائية الساقي للبنين (السادسة)</v>
      </c>
      <c r="G97" s="26" t="str">
        <f ca="1">IFERROR(__xludf.DUMMYFUNCTION("""COMPUTED_VALUE"""),"الطابق الاول")</f>
        <v>الطابق الاول</v>
      </c>
      <c r="H97" s="26" t="str">
        <f ca="1">IFERROR(__xludf.DUMMYFUNCTION("""COMPUTED_VALUE"""),"تبديل قبق مقعد غربي")</f>
        <v>تبديل قبق مقعد غربي</v>
      </c>
      <c r="I97" s="26"/>
      <c r="J97" s="26" t="s">
        <v>14</v>
      </c>
      <c r="K97" s="26" t="s">
        <v>13</v>
      </c>
      <c r="L97" s="55"/>
      <c r="M97" s="26"/>
      <c r="N97" s="4" t="s">
        <v>121</v>
      </c>
    </row>
    <row r="98" spans="1:14" ht="75" customHeight="1" thickTop="1" thickBot="1">
      <c r="A98" s="26">
        <v>96</v>
      </c>
      <c r="B98" s="55">
        <f ca="1">IFERROR(__xludf.DUMMYFUNCTION("""COMPUTED_VALUE"""),46125.4672333217)</f>
        <v>46125.467233321702</v>
      </c>
      <c r="C98" s="56" t="str">
        <f ca="1">IFERROR(__xludf.DUMMYFUNCTION("""COMPUTED_VALUE"""),"المعملجي")</f>
        <v>المعملجي</v>
      </c>
      <c r="D98" s="56" t="str">
        <f ca="1">IFERROR(__xludf.DUMMYFUNCTION("""COMPUTED_VALUE"""),"وحدة الميكانيك")</f>
        <v>وحدة الميكانيك</v>
      </c>
      <c r="E98" s="26" t="str">
        <f ca="1">IFERROR(__xludf.DUMMYFUNCTION("""COMPUTED_VALUE"""),"قسم المشاريع الهندسية")</f>
        <v>قسم المشاريع الهندسية</v>
      </c>
      <c r="F98" s="26" t="str">
        <f ca="1">IFERROR(__xludf.DUMMYFUNCTION("""COMPUTED_VALUE"""),"H- ابتدائية القمر للبنات (الخامسة)")</f>
        <v>H- ابتدائية القمر للبنات (الخامسة)</v>
      </c>
      <c r="G98" s="26" t="str">
        <f ca="1">IFERROR(__xludf.DUMMYFUNCTION("""COMPUTED_VALUE"""),"الطابق الارضي, جناح الساحة ZONE B")</f>
        <v>الطابق الارضي, جناح الساحة ZONE B</v>
      </c>
      <c r="H98" s="26" t="str">
        <f ca="1">IFERROR(__xludf.DUMMYFUNCTION("""COMPUTED_VALUE"""),"فتح انسداد في مغاسل حمامات ")</f>
        <v xml:space="preserve">فتح انسداد في مغاسل حمامات </v>
      </c>
      <c r="I98" s="26"/>
      <c r="J98" s="26" t="s">
        <v>14</v>
      </c>
      <c r="K98" s="26" t="s">
        <v>13</v>
      </c>
      <c r="L98" s="55"/>
      <c r="M98" s="26"/>
      <c r="N98" s="4" t="s">
        <v>121</v>
      </c>
    </row>
    <row r="99" spans="1:14" ht="75" customHeight="1" thickTop="1" thickBot="1">
      <c r="A99" s="34">
        <v>97</v>
      </c>
      <c r="B99" s="55">
        <f ca="1">IFERROR(__xludf.DUMMYFUNCTION("""COMPUTED_VALUE"""),46125.4677331134)</f>
        <v>46125.467733113401</v>
      </c>
      <c r="C99" s="56" t="str">
        <f ca="1">IFERROR(__xludf.DUMMYFUNCTION("""COMPUTED_VALUE"""),"المعملجي")</f>
        <v>المعملجي</v>
      </c>
      <c r="D99" s="56" t="str">
        <f ca="1">IFERROR(__xludf.DUMMYFUNCTION("""COMPUTED_VALUE"""),"وحدة الميكانيك")</f>
        <v>وحدة الميكانيك</v>
      </c>
      <c r="E99" s="26" t="str">
        <f ca="1">IFERROR(__xludf.DUMMYFUNCTION("""COMPUTED_VALUE"""),"قسم المشاريع الهندسية")</f>
        <v>قسم المشاريع الهندسية</v>
      </c>
      <c r="F99" s="26" t="str">
        <f ca="1">IFERROR(__xludf.DUMMYFUNCTION("""COMPUTED_VALUE"""),"G- روضة الجود")</f>
        <v>G- روضة الجود</v>
      </c>
      <c r="G99" s="26" t="str">
        <f ca="1">IFERROR(__xludf.DUMMYFUNCTION("""COMPUTED_VALUE"""),"الطابق الثاني")</f>
        <v>الطابق الثاني</v>
      </c>
      <c r="H99" s="26" t="str">
        <f ca="1">IFERROR(__xludf.DUMMYFUNCTION("""COMPUTED_VALUE"""),"تبديل كاك زاوية ")</f>
        <v xml:space="preserve">تبديل كاك زاوية </v>
      </c>
      <c r="I99" s="26"/>
      <c r="J99" s="26" t="s">
        <v>14</v>
      </c>
      <c r="K99" s="26" t="s">
        <v>13</v>
      </c>
      <c r="L99" s="55"/>
      <c r="M99" s="26"/>
      <c r="N99" s="4" t="s">
        <v>121</v>
      </c>
    </row>
    <row r="100" spans="1:14" ht="75" customHeight="1" thickTop="1" thickBot="1">
      <c r="A100" s="26">
        <v>98</v>
      </c>
      <c r="B100" s="55">
        <f ca="1">IFERROR(__xludf.DUMMYFUNCTION("""COMPUTED_VALUE"""),46125.4684276851)</f>
        <v>46125.468427685097</v>
      </c>
      <c r="C100" s="56" t="str">
        <f ca="1">IFERROR(__xludf.DUMMYFUNCTION("""COMPUTED_VALUE"""),"المعملجي")</f>
        <v>المعملجي</v>
      </c>
      <c r="D100" s="56" t="str">
        <f ca="1">IFERROR(__xludf.DUMMYFUNCTION("""COMPUTED_VALUE"""),"وحدة الميكانيك")</f>
        <v>وحدة الميكانيك</v>
      </c>
      <c r="E100" s="26" t="str">
        <f ca="1">IFERROR(__xludf.DUMMYFUNCTION("""COMPUTED_VALUE"""),"قسم المشاريع الهندسية")</f>
        <v>قسم المشاريع الهندسية</v>
      </c>
      <c r="F100" s="26" t="str">
        <f ca="1">IFERROR(__xludf.DUMMYFUNCTION("""COMPUTED_VALUE"""),"G- روضة الجود")</f>
        <v>G- روضة الجود</v>
      </c>
      <c r="G100" s="26" t="str">
        <f ca="1">IFERROR(__xludf.DUMMYFUNCTION("""COMPUTED_VALUE"""),"الطابق الثاني")</f>
        <v>الطابق الثاني</v>
      </c>
      <c r="H100" s="26" t="str">
        <f ca="1">IFERROR(__xludf.DUMMYFUNCTION("""COMPUTED_VALUE"""),"فتح انسداد في صوندة شطاف عدد ٣")</f>
        <v>فتح انسداد في صوندة شطاف عدد ٣</v>
      </c>
      <c r="I100" s="26"/>
      <c r="J100" s="26" t="s">
        <v>14</v>
      </c>
      <c r="K100" s="26" t="s">
        <v>13</v>
      </c>
      <c r="L100" s="55"/>
      <c r="M100" s="26"/>
      <c r="N100" s="4" t="s">
        <v>121</v>
      </c>
    </row>
    <row r="101" spans="1:14" ht="75" customHeight="1" thickTop="1" thickBot="1">
      <c r="A101" s="34">
        <v>99</v>
      </c>
      <c r="B101" s="55">
        <f ca="1">IFERROR(__xludf.DUMMYFUNCTION("""COMPUTED_VALUE"""),46125.4695737499)</f>
        <v>46125.469573749899</v>
      </c>
      <c r="C101" s="56" t="str">
        <f ca="1">IFERROR(__xludf.DUMMYFUNCTION("""COMPUTED_VALUE"""),"المعملجي")</f>
        <v>المعملجي</v>
      </c>
      <c r="D101" s="56" t="str">
        <f ca="1">IFERROR(__xludf.DUMMYFUNCTION("""COMPUTED_VALUE"""),"وحدة المدني")</f>
        <v>وحدة المدني</v>
      </c>
      <c r="E101" s="26" t="str">
        <f ca="1">IFERROR(__xludf.DUMMYFUNCTION("""COMPUTED_VALUE"""),"قسم المشاريع الهندسية")</f>
        <v>قسم المشاريع الهندسية</v>
      </c>
      <c r="F101" s="26" t="str">
        <f ca="1">IFERROR(__xludf.DUMMYFUNCTION("""COMPUTED_VALUE"""),"G- روضة الجود")</f>
        <v>G- روضة الجود</v>
      </c>
      <c r="G101" s="26" t="str">
        <f ca="1">IFERROR(__xludf.DUMMYFUNCTION("""COMPUTED_VALUE"""),"الطابق الثاني")</f>
        <v>الطابق الثاني</v>
      </c>
      <c r="H101" s="26" t="str">
        <f ca="1">IFERROR(__xludf.DUMMYFUNCTION("""COMPUTED_VALUE"""),"تفليش قطع سيراميك في الصحيات وصانة بوري فلاش")</f>
        <v>تفليش قطع سيراميك في الصحيات وصانة بوري فلاش</v>
      </c>
      <c r="I101" s="26"/>
      <c r="J101" s="26" t="s">
        <v>16</v>
      </c>
      <c r="K101" s="26" t="s">
        <v>13</v>
      </c>
      <c r="L101" s="55">
        <v>46125.469915000001</v>
      </c>
      <c r="M101" s="26"/>
      <c r="N101" s="4" t="s">
        <v>121</v>
      </c>
    </row>
    <row r="102" spans="1:14" ht="75" customHeight="1" thickTop="1" thickBot="1">
      <c r="A102" s="26">
        <v>100</v>
      </c>
      <c r="B102" s="55">
        <f ca="1">IFERROR(__xludf.DUMMYFUNCTION("""COMPUTED_VALUE"""),46125.753750162)</f>
        <v>46125.753750162003</v>
      </c>
      <c r="C102" s="56" t="str">
        <f ca="1">IFERROR(__xludf.DUMMYFUNCTION("""COMPUTED_VALUE"""),"المعملجي")</f>
        <v>المعملجي</v>
      </c>
      <c r="D102" s="56" t="str">
        <f ca="1">IFERROR(__xludf.DUMMYFUNCTION("""COMPUTED_VALUE"""),"سجاد تربية")</f>
        <v>سجاد تربية</v>
      </c>
      <c r="E102" s="26" t="str">
        <f ca="1">IFERROR(__xludf.DUMMYFUNCTION("""COMPUTED_VALUE"""),"قسم التربية والتعليم العالي")</f>
        <v>قسم التربية والتعليم العالي</v>
      </c>
      <c r="F102" s="26" t="str">
        <f ca="1">IFERROR(__xludf.DUMMYFUNCTION("""COMPUTED_VALUE"""),"D- ثانوية العميد بناية المتوسطة  (الثانية)")</f>
        <v>D- ثانوية العميد بناية المتوسطة  (الثانية)</v>
      </c>
      <c r="G102" s="26" t="str">
        <f ca="1">IFERROR(__xludf.DUMMYFUNCTION("""COMPUTED_VALUE"""),"الطابق الارضي, صف الثالث أ + الحانوت +غرفة معلمات ")</f>
        <v xml:space="preserve">الطابق الارضي, صف الثالث أ + الحانوت +غرفة معلمات </v>
      </c>
      <c r="H102" s="26" t="str">
        <f ca="1">IFERROR(__xludf.DUMMYFUNCTION("""COMPUTED_VALUE"""),"صيانة يدة شبابيك وابواب و صيانه باب الخشب ")</f>
        <v xml:space="preserve">صيانة يدة شبابيك وابواب و صيانه باب الخشب </v>
      </c>
      <c r="I102" s="26"/>
      <c r="J102" s="26" t="s">
        <v>16</v>
      </c>
      <c r="K102" s="26" t="s">
        <v>13</v>
      </c>
      <c r="L102" s="55">
        <v>46126.448096249995</v>
      </c>
      <c r="M102" s="26"/>
      <c r="N102" s="4" t="s">
        <v>121</v>
      </c>
    </row>
    <row r="103" spans="1:14" ht="75" customHeight="1" thickTop="1" thickBot="1">
      <c r="A103" s="34">
        <v>101</v>
      </c>
      <c r="B103" s="55">
        <f ca="1">IFERROR(__xludf.DUMMYFUNCTION("""COMPUTED_VALUE"""),46125.754330324)</f>
        <v>46125.754330324002</v>
      </c>
      <c r="C103" s="56" t="str">
        <f ca="1">IFERROR(__xludf.DUMMYFUNCTION("""COMPUTED_VALUE"""),"المعملجي")</f>
        <v>المعملجي</v>
      </c>
      <c r="D103" s="56" t="str">
        <f ca="1">IFERROR(__xludf.DUMMYFUNCTION("""COMPUTED_VALUE"""),"سجاد تربية")</f>
        <v>سجاد تربية</v>
      </c>
      <c r="E103" s="26" t="str">
        <f ca="1">IFERROR(__xludf.DUMMYFUNCTION("""COMPUTED_VALUE"""),"قسم التربية والتعليم العالي")</f>
        <v>قسم التربية والتعليم العالي</v>
      </c>
      <c r="F103" s="26" t="str">
        <f ca="1">IFERROR(__xludf.DUMMYFUNCTION("""COMPUTED_VALUE"""),"E- ابتدائية العميد للبنات (الثالثة)")</f>
        <v>E- ابتدائية العميد للبنات (الثالثة)</v>
      </c>
      <c r="G103" s="26" t="str">
        <f ca="1">IFERROR(__xludf.DUMMYFUNCTION("""COMPUTED_VALUE"""),"المصلى")</f>
        <v>المصلى</v>
      </c>
      <c r="H103" s="26" t="str">
        <f ca="1">IFERROR(__xludf.DUMMYFUNCTION("""COMPUTED_VALUE"""),"صيانة سبلت")</f>
        <v>صيانة سبلت</v>
      </c>
      <c r="I103" s="26"/>
      <c r="J103" s="26" t="s">
        <v>15</v>
      </c>
      <c r="K103" s="26" t="s">
        <v>13</v>
      </c>
      <c r="L103" s="55">
        <v>46126.432706608801</v>
      </c>
      <c r="M103" s="26"/>
      <c r="N103" s="4" t="s">
        <v>121</v>
      </c>
    </row>
    <row r="104" spans="1:14" ht="75" customHeight="1" thickTop="1" thickBot="1">
      <c r="A104" s="26">
        <v>102</v>
      </c>
      <c r="B104" s="55">
        <f ca="1">IFERROR(__xludf.DUMMYFUNCTION("""COMPUTED_VALUE"""),46126.4299426388)</f>
        <v>46126.429942638802</v>
      </c>
      <c r="C104" s="56" t="str">
        <f ca="1">IFERROR(__xludf.DUMMYFUNCTION("""COMPUTED_VALUE"""),"المعملجي")</f>
        <v>المعملجي</v>
      </c>
      <c r="D104" s="56" t="str">
        <f ca="1">IFERROR(__xludf.DUMMYFUNCTION("""COMPUTED_VALUE"""),"سجاد تربية")</f>
        <v>سجاد تربية</v>
      </c>
      <c r="E104" s="26" t="str">
        <f ca="1">IFERROR(__xludf.DUMMYFUNCTION("""COMPUTED_VALUE"""),"قسم التربية والتعليم العالي")</f>
        <v>قسم التربية والتعليم العالي</v>
      </c>
      <c r="F104" s="26" t="str">
        <f ca="1">IFERROR(__xludf.DUMMYFUNCTION("""COMPUTED_VALUE"""),"G- روضة الجود")</f>
        <v>G- روضة الجود</v>
      </c>
      <c r="G104" s="26" t="str">
        <f ca="1">IFERROR(__xludf.DUMMYFUNCTION("""COMPUTED_VALUE"""),"/")</f>
        <v>/</v>
      </c>
      <c r="H104" s="26" t="str">
        <f ca="1">IFERROR(__xludf.DUMMYFUNCTION("""COMPUTED_VALUE"""),"اطفاء ساحبات الهواء ")</f>
        <v xml:space="preserve">اطفاء ساحبات الهواء </v>
      </c>
      <c r="I104" s="26"/>
      <c r="J104" s="26" t="s">
        <v>3910</v>
      </c>
      <c r="K104" s="26" t="s">
        <v>13</v>
      </c>
      <c r="L104" s="55">
        <v>46126.43123425926</v>
      </c>
      <c r="M104" s="26"/>
      <c r="N104" s="4" t="s">
        <v>121</v>
      </c>
    </row>
    <row r="105" spans="1:14" ht="75" customHeight="1" thickTop="1" thickBot="1">
      <c r="A105" s="34">
        <v>103</v>
      </c>
      <c r="B105" s="55">
        <f ca="1">IFERROR(__xludf.DUMMYFUNCTION("""COMPUTED_VALUE"""),46126.4308545138)</f>
        <v>46126.430854513797</v>
      </c>
      <c r="C105" s="56" t="str">
        <f ca="1">IFERROR(__xludf.DUMMYFUNCTION("""COMPUTED_VALUE"""),"المعملجي")</f>
        <v>المعملجي</v>
      </c>
      <c r="D105" s="56" t="str">
        <f ca="1">IFERROR(__xludf.DUMMYFUNCTION("""COMPUTED_VALUE"""),"سجاد تربية")</f>
        <v>سجاد تربية</v>
      </c>
      <c r="E105" s="26" t="str">
        <f ca="1">IFERROR(__xludf.DUMMYFUNCTION("""COMPUTED_VALUE"""),"قسم التربية والتعليم العالي")</f>
        <v>قسم التربية والتعليم العالي</v>
      </c>
      <c r="F105" s="26" t="str">
        <f ca="1">IFERROR(__xludf.DUMMYFUNCTION("""COMPUTED_VALUE"""),"I- ابتدائية الساقي للبنين (السادسة)")</f>
        <v>I- ابتدائية الساقي للبنين (السادسة)</v>
      </c>
      <c r="G105" s="26" t="str">
        <f ca="1">IFERROR(__xludf.DUMMYFUNCTION("""COMPUTED_VALUE"""),"الطابق الارضي, /")</f>
        <v>الطابق الارضي, /</v>
      </c>
      <c r="H105" s="26" t="str">
        <f ca="1">IFERROR(__xludf.DUMMYFUNCTION("""COMPUTED_VALUE"""),"تشغيل تبريد ")</f>
        <v xml:space="preserve">تشغيل تبريد </v>
      </c>
      <c r="I105" s="26"/>
      <c r="J105" s="26" t="s">
        <v>15</v>
      </c>
      <c r="K105" s="26" t="s">
        <v>13</v>
      </c>
      <c r="L105" s="55">
        <v>46126.457795555558</v>
      </c>
      <c r="M105" s="26"/>
      <c r="N105" s="4" t="s">
        <v>121</v>
      </c>
    </row>
    <row r="106" spans="1:14" ht="75" customHeight="1" thickTop="1" thickBot="1">
      <c r="A106" s="26">
        <v>104</v>
      </c>
      <c r="B106" s="55">
        <f ca="1">IFERROR(__xludf.DUMMYFUNCTION("""COMPUTED_VALUE"""),46126.4436817129)</f>
        <v>46126.443681712903</v>
      </c>
      <c r="C106" s="56" t="str">
        <f ca="1">IFERROR(__xludf.DUMMYFUNCTION("""COMPUTED_VALUE"""),"المعملجي")</f>
        <v>المعملجي</v>
      </c>
      <c r="D106" s="56" t="str">
        <f ca="1">IFERROR(__xludf.DUMMYFUNCTION("""COMPUTED_VALUE"""),"وحدة المدني")</f>
        <v>وحدة المدني</v>
      </c>
      <c r="E106" s="26" t="str">
        <f ca="1">IFERROR(__xludf.DUMMYFUNCTION("""COMPUTED_VALUE"""),"قسم المشاريع الهندسية")</f>
        <v>قسم المشاريع الهندسية</v>
      </c>
      <c r="F106" s="26" t="str">
        <f ca="1">IFERROR(__xludf.DUMMYFUNCTION("""COMPUTED_VALUE"""),"D- ثانوية العميد بناية المتوسطة  (الثانية)")</f>
        <v>D- ثانوية العميد بناية المتوسطة  (الثانية)</v>
      </c>
      <c r="G106" s="26" t="str">
        <f ca="1">IFERROR(__xludf.DUMMYFUNCTION("""COMPUTED_VALUE"""),"الطابق الارضي, جناح الادائرة ZONE A")</f>
        <v>الطابق الارضي, جناح الادائرة ZONE A</v>
      </c>
      <c r="H106" s="26" t="str">
        <f ca="1">IFERROR(__xludf.DUMMYFUNCTION("""COMPUTED_VALUE"""),"شباك ")</f>
        <v xml:space="preserve">شباك </v>
      </c>
      <c r="I106" s="26"/>
      <c r="J106" s="26" t="s">
        <v>16</v>
      </c>
      <c r="K106" s="26" t="s">
        <v>13</v>
      </c>
      <c r="L106" s="55">
        <v>46126.448330798608</v>
      </c>
      <c r="M106" s="26"/>
      <c r="N106" s="4" t="s">
        <v>121</v>
      </c>
    </row>
    <row r="107" spans="1:14" ht="75" customHeight="1" thickTop="1" thickBot="1">
      <c r="A107" s="34">
        <v>105</v>
      </c>
      <c r="B107" s="55">
        <f ca="1">IFERROR(__xludf.DUMMYFUNCTION("""COMPUTED_VALUE"""),46126.4446233796)</f>
        <v>46126.444623379597</v>
      </c>
      <c r="C107" s="56" t="str">
        <f ca="1">IFERROR(__xludf.DUMMYFUNCTION("""COMPUTED_VALUE"""),"المعملجي")</f>
        <v>المعملجي</v>
      </c>
      <c r="D107" s="56" t="str">
        <f ca="1">IFERROR(__xludf.DUMMYFUNCTION("""COMPUTED_VALUE"""),"وحدة المدني")</f>
        <v>وحدة المدني</v>
      </c>
      <c r="E107" s="26" t="str">
        <f ca="1">IFERROR(__xludf.DUMMYFUNCTION("""COMPUTED_VALUE"""),"قسم المشاريع الهندسية")</f>
        <v>قسم المشاريع الهندسية</v>
      </c>
      <c r="F107" s="26" t="str">
        <f ca="1">IFERROR(__xludf.DUMMYFUNCTION("""COMPUTED_VALUE"""),"D- ثانوية العميد بناية المتوسطة  (الثانية)")</f>
        <v>D- ثانوية العميد بناية المتوسطة  (الثانية)</v>
      </c>
      <c r="G107" s="26" t="str">
        <f ca="1">IFERROR(__xludf.DUMMYFUNCTION("""COMPUTED_VALUE"""),"الطابق الاول")</f>
        <v>الطابق الاول</v>
      </c>
      <c r="H107" s="26" t="str">
        <f ca="1">IFERROR(__xludf.DUMMYFUNCTION("""COMPUTED_VALUE"""),"باب خشب")</f>
        <v>باب خشب</v>
      </c>
      <c r="I107" s="26"/>
      <c r="J107" s="26" t="s">
        <v>16</v>
      </c>
      <c r="K107" s="26" t="s">
        <v>13</v>
      </c>
      <c r="L107" s="55">
        <v>46126.448496435187</v>
      </c>
      <c r="M107" s="26"/>
      <c r="N107" s="4" t="s">
        <v>121</v>
      </c>
    </row>
    <row r="108" spans="1:14" ht="75" customHeight="1" thickTop="1" thickBot="1">
      <c r="A108" s="26">
        <v>106</v>
      </c>
      <c r="B108" s="55">
        <f ca="1">IFERROR(__xludf.DUMMYFUNCTION("""COMPUTED_VALUE"""),46126.4455801388)</f>
        <v>46126.445580138803</v>
      </c>
      <c r="C108" s="56" t="str">
        <f ca="1">IFERROR(__xludf.DUMMYFUNCTION("""COMPUTED_VALUE"""),"المعملجي")</f>
        <v>المعملجي</v>
      </c>
      <c r="D108" s="56" t="str">
        <f ca="1">IFERROR(__xludf.DUMMYFUNCTION("""COMPUTED_VALUE"""),"وحدة المدني")</f>
        <v>وحدة المدني</v>
      </c>
      <c r="E108" s="26" t="str">
        <f ca="1">IFERROR(__xludf.DUMMYFUNCTION("""COMPUTED_VALUE"""),"قسم المشاريع الهندسية")</f>
        <v>قسم المشاريع الهندسية</v>
      </c>
      <c r="F108" s="26" t="str">
        <f ca="1">IFERROR(__xludf.DUMMYFUNCTION("""COMPUTED_VALUE"""),"D- ثانوية العميد بناية المتوسطة  (الثانية)")</f>
        <v>D- ثانوية العميد بناية المتوسطة  (الثانية)</v>
      </c>
      <c r="G108" s="26" t="str">
        <f ca="1">IFERROR(__xludf.DUMMYFUNCTION("""COMPUTED_VALUE"""),"الطابق الاول, جناح الساحة ZONE B")</f>
        <v>الطابق الاول, جناح الساحة ZONE B</v>
      </c>
      <c r="H108" s="26" t="str">
        <f ca="1">IFERROR(__xludf.DUMMYFUNCTION("""COMPUTED_VALUE"""),"باب المنيوم ")</f>
        <v xml:space="preserve">باب المنيوم </v>
      </c>
      <c r="I108" s="26"/>
      <c r="J108" s="26" t="s">
        <v>16</v>
      </c>
      <c r="K108" s="26" t="s">
        <v>13</v>
      </c>
      <c r="L108" s="55">
        <v>46126.44868799769</v>
      </c>
      <c r="M108" s="26"/>
      <c r="N108" s="4" t="s">
        <v>121</v>
      </c>
    </row>
    <row r="109" spans="1:14" ht="75" customHeight="1" thickTop="1" thickBot="1">
      <c r="A109" s="34">
        <v>107</v>
      </c>
      <c r="B109" s="55">
        <f ca="1">IFERROR(__xludf.DUMMYFUNCTION("""COMPUTED_VALUE"""),46126.4465173263)</f>
        <v>46126.446517326302</v>
      </c>
      <c r="C109" s="56" t="str">
        <f ca="1">IFERROR(__xludf.DUMMYFUNCTION("""COMPUTED_VALUE"""),"المعملجي")</f>
        <v>المعملجي</v>
      </c>
      <c r="D109" s="56" t="str">
        <f ca="1">IFERROR(__xludf.DUMMYFUNCTION("""COMPUTED_VALUE"""),"وحدة المدني")</f>
        <v>وحدة المدني</v>
      </c>
      <c r="E109" s="26" t="str">
        <f ca="1">IFERROR(__xludf.DUMMYFUNCTION("""COMPUTED_VALUE"""),"قسم المشاريع الهندسية")</f>
        <v>قسم المشاريع الهندسية</v>
      </c>
      <c r="F109" s="26" t="str">
        <f ca="1">IFERROR(__xludf.DUMMYFUNCTION("""COMPUTED_VALUE"""),"D- ثانوية العميد بناية المتوسطة  (الثانية)")</f>
        <v>D- ثانوية العميد بناية المتوسطة  (الثانية)</v>
      </c>
      <c r="G109" s="26" t="str">
        <f ca="1">IFERROR(__xludf.DUMMYFUNCTION("""COMPUTED_VALUE"""),"الطابق الاول, جناح الادائرة ZONE A")</f>
        <v>الطابق الاول, جناح الادائرة ZONE A</v>
      </c>
      <c r="H109" s="26" t="str">
        <f ca="1">IFERROR(__xludf.DUMMYFUNCTION("""COMPUTED_VALUE"""),"باب المنيوم ")</f>
        <v xml:space="preserve">باب المنيوم </v>
      </c>
      <c r="I109" s="26"/>
      <c r="J109" s="26" t="s">
        <v>16</v>
      </c>
      <c r="K109" s="26" t="s">
        <v>13</v>
      </c>
      <c r="L109" s="55">
        <v>46126.44870144676</v>
      </c>
      <c r="M109" s="26"/>
      <c r="N109" s="4" t="s">
        <v>121</v>
      </c>
    </row>
    <row r="110" spans="1:14" ht="75" customHeight="1" thickTop="1" thickBot="1">
      <c r="A110" s="26">
        <v>108</v>
      </c>
      <c r="B110" s="55">
        <f ca="1">IFERROR(__xludf.DUMMYFUNCTION("""COMPUTED_VALUE"""),46126.4473178819)</f>
        <v>46126.447317881903</v>
      </c>
      <c r="C110" s="56" t="str">
        <f ca="1">IFERROR(__xludf.DUMMYFUNCTION("""COMPUTED_VALUE"""),"المعملجي")</f>
        <v>المعملجي</v>
      </c>
      <c r="D110" s="56" t="str">
        <f ca="1">IFERROR(__xludf.DUMMYFUNCTION("""COMPUTED_VALUE"""),"وحدة المدني")</f>
        <v>وحدة المدني</v>
      </c>
      <c r="E110" s="26" t="str">
        <f ca="1">IFERROR(__xludf.DUMMYFUNCTION("""COMPUTED_VALUE"""),"قسم المشاريع الهندسية")</f>
        <v>قسم المشاريع الهندسية</v>
      </c>
      <c r="F110" s="26" t="str">
        <f ca="1">IFERROR(__xludf.DUMMYFUNCTION("""COMPUTED_VALUE"""),"D- ثانوية العميد بناية المتوسطة  (الثانية)")</f>
        <v>D- ثانوية العميد بناية المتوسطة  (الثانية)</v>
      </c>
      <c r="G110" s="26" t="str">
        <f ca="1">IFERROR(__xludf.DUMMYFUNCTION("""COMPUTED_VALUE"""),"الطابق الارضي, جناح الادائرة ZONE A")</f>
        <v>الطابق الارضي, جناح الادائرة ZONE A</v>
      </c>
      <c r="H110" s="26" t="str">
        <f ca="1">IFERROR(__xludf.DUMMYFUNCTION("""COMPUTED_VALUE"""),"تعلاكة ملابس")</f>
        <v>تعلاكة ملابس</v>
      </c>
      <c r="I110" s="26"/>
      <c r="J110" s="26" t="s">
        <v>16</v>
      </c>
      <c r="K110" s="26" t="s">
        <v>13</v>
      </c>
      <c r="L110" s="55">
        <v>46126.44875166667</v>
      </c>
      <c r="M110" s="26"/>
      <c r="N110" s="4" t="s">
        <v>121</v>
      </c>
    </row>
    <row r="111" spans="1:14" ht="75" customHeight="1" thickTop="1" thickBot="1">
      <c r="A111" s="34">
        <v>109</v>
      </c>
      <c r="B111" s="55">
        <f ca="1">IFERROR(__xludf.DUMMYFUNCTION("""COMPUTED_VALUE"""),46126.4952353009)</f>
        <v>46126.495235300899</v>
      </c>
      <c r="C111" s="56" t="str">
        <f ca="1">IFERROR(__xludf.DUMMYFUNCTION("""COMPUTED_VALUE"""),"المعملجي")</f>
        <v>المعملجي</v>
      </c>
      <c r="D111" s="56" t="str">
        <f ca="1">IFERROR(__xludf.DUMMYFUNCTION("""COMPUTED_VALUE"""),"سجاد تربية")</f>
        <v>سجاد تربية</v>
      </c>
      <c r="E111" s="26" t="str">
        <f ca="1">IFERROR(__xludf.DUMMYFUNCTION("""COMPUTED_VALUE"""),"قسم التربية والتعليم العالي")</f>
        <v>قسم التربية والتعليم العالي</v>
      </c>
      <c r="F111" s="26" t="str">
        <f ca="1">IFERROR(__xludf.DUMMYFUNCTION("""COMPUTED_VALUE"""),"A- المركز الثقافي")</f>
        <v>A- المركز الثقافي</v>
      </c>
      <c r="G111" s="26" t="str">
        <f ca="1">IFERROR(__xludf.DUMMYFUNCTION("""COMPUTED_VALUE"""),"قاعة السراج")</f>
        <v>قاعة السراج</v>
      </c>
      <c r="H111" s="26" t="str">
        <f ca="1">IFERROR(__xludf.DUMMYFUNCTION("""COMPUTED_VALUE"""),"صيانة تبريد ")</f>
        <v xml:space="preserve">صيانة تبريد </v>
      </c>
      <c r="I111" s="26"/>
      <c r="J111" s="26" t="s">
        <v>15</v>
      </c>
      <c r="K111" s="26" t="s">
        <v>13</v>
      </c>
      <c r="L111" s="55">
        <v>46126.551280752319</v>
      </c>
      <c r="M111" s="26"/>
      <c r="N111" s="4" t="s">
        <v>121</v>
      </c>
    </row>
    <row r="112" spans="1:14" ht="75" customHeight="1" thickTop="1" thickBot="1">
      <c r="A112" s="26">
        <v>110</v>
      </c>
      <c r="B112" s="55">
        <f ca="1">IFERROR(__xludf.DUMMYFUNCTION("""COMPUTED_VALUE"""),46126.5125909143)</f>
        <v>46126.512590914303</v>
      </c>
      <c r="C112" s="56" t="str">
        <f ca="1">IFERROR(__xludf.DUMMYFUNCTION("""COMPUTED_VALUE"""),"المعملجي")</f>
        <v>المعملجي</v>
      </c>
      <c r="D112" s="56" t="str">
        <f ca="1">IFERROR(__xludf.DUMMYFUNCTION("""COMPUTED_VALUE"""),"سجاد تربية")</f>
        <v>سجاد تربية</v>
      </c>
      <c r="E112" s="26" t="str">
        <f ca="1">IFERROR(__xludf.DUMMYFUNCTION("""COMPUTED_VALUE"""),"قسم التربية والتعليم العالي")</f>
        <v>قسم التربية والتعليم العالي</v>
      </c>
      <c r="F112" s="26" t="str">
        <f ca="1">IFERROR(__xludf.DUMMYFUNCTION("""COMPUTED_VALUE"""),"I- ابتدائية الساقي للبنين (السادسة)")</f>
        <v>I- ابتدائية الساقي للبنين (السادسة)</v>
      </c>
      <c r="G112" s="26" t="str">
        <f ca="1">IFERROR(__xludf.DUMMYFUNCTION("""COMPUTED_VALUE"""),"الطابق الارضي")</f>
        <v>الطابق الارضي</v>
      </c>
      <c r="H112" s="26" t="str">
        <f ca="1">IFERROR(__xludf.DUMMYFUNCTION("""COMPUTED_VALUE"""),"لصق تارتان ")</f>
        <v xml:space="preserve">لصق تارتان </v>
      </c>
      <c r="I112" s="26"/>
      <c r="J112" s="26" t="s">
        <v>16</v>
      </c>
      <c r="K112" s="26" t="s">
        <v>13</v>
      </c>
      <c r="L112" s="55">
        <v>46126.552103518523</v>
      </c>
      <c r="M112" s="26"/>
      <c r="N112" s="4" t="s">
        <v>121</v>
      </c>
    </row>
    <row r="113" spans="1:14" ht="75" customHeight="1" thickTop="1" thickBot="1">
      <c r="A113" s="34">
        <v>111</v>
      </c>
      <c r="B113" s="55">
        <f ca="1">IFERROR(__xludf.DUMMYFUNCTION("""COMPUTED_VALUE"""),46126.5133385995)</f>
        <v>46126.5133385995</v>
      </c>
      <c r="C113" s="56" t="str">
        <f ca="1">IFERROR(__xludf.DUMMYFUNCTION("""COMPUTED_VALUE"""),"المعملجي")</f>
        <v>المعملجي</v>
      </c>
      <c r="D113" s="56" t="str">
        <f ca="1">IFERROR(__xludf.DUMMYFUNCTION("""COMPUTED_VALUE"""),"سجاد تربية")</f>
        <v>سجاد تربية</v>
      </c>
      <c r="E113" s="26" t="str">
        <f ca="1">IFERROR(__xludf.DUMMYFUNCTION("""COMPUTED_VALUE"""),"قسم التربية والتعليم العالي")</f>
        <v>قسم التربية والتعليم العالي</v>
      </c>
      <c r="F113" s="26" t="str">
        <f ca="1">IFERROR(__xludf.DUMMYFUNCTION("""COMPUTED_VALUE"""),"I- ابتدائية الساقي للبنين (السادسة)")</f>
        <v>I- ابتدائية الساقي للبنين (السادسة)</v>
      </c>
      <c r="G113" s="26" t="str">
        <f ca="1">IFERROR(__xludf.DUMMYFUNCTION("""COMPUTED_VALUE"""),"الطابق الارضي")</f>
        <v>الطابق الارضي</v>
      </c>
      <c r="H113" s="26" t="str">
        <f ca="1">IFERROR(__xludf.DUMMYFUNCTION("""COMPUTED_VALUE"""),"صيانات حمامات ")</f>
        <v xml:space="preserve">صيانات حمامات </v>
      </c>
      <c r="I113" s="26"/>
      <c r="J113" s="26" t="s">
        <v>14</v>
      </c>
      <c r="K113" s="26" t="s">
        <v>13</v>
      </c>
      <c r="L113" s="55">
        <v>46126.551259699074</v>
      </c>
      <c r="M113" s="26"/>
      <c r="N113" s="4" t="s">
        <v>121</v>
      </c>
    </row>
    <row r="114" spans="1:14" ht="75" customHeight="1" thickTop="1" thickBot="1">
      <c r="A114" s="26">
        <v>112</v>
      </c>
      <c r="B114" s="55">
        <f ca="1">IFERROR(__xludf.DUMMYFUNCTION("""COMPUTED_VALUE"""),46127.3282451967)</f>
        <v>46127.328245196702</v>
      </c>
      <c r="C114" s="56" t="str">
        <f ca="1">IFERROR(__xludf.DUMMYFUNCTION("""COMPUTED_VALUE"""),"المعملجي")</f>
        <v>المعملجي</v>
      </c>
      <c r="D114" s="56" t="str">
        <f ca="1">IFERROR(__xludf.DUMMYFUNCTION("""COMPUTED_VALUE"""),"سجاد تربية")</f>
        <v>سجاد تربية</v>
      </c>
      <c r="E114" s="26" t="str">
        <f ca="1">IFERROR(__xludf.DUMMYFUNCTION("""COMPUTED_VALUE"""),"قسم التربية والتعليم العالي")</f>
        <v>قسم التربية والتعليم العالي</v>
      </c>
      <c r="F114" s="26"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114" s="26" t="str">
        <f ca="1">IFERROR(__xludf.DUMMYFUNCTION("""COMPUTED_VALUE"""),"/")</f>
        <v>/</v>
      </c>
      <c r="H114" s="26" t="str">
        <f ca="1">IFERROR(__xludf.DUMMYFUNCTION("""COMPUTED_VALUE"""),"لايوجد ماء ارو ")</f>
        <v xml:space="preserve">لايوجد ماء ارو </v>
      </c>
      <c r="I114" s="26"/>
      <c r="J114" s="26" t="s">
        <v>16</v>
      </c>
      <c r="K114" s="26" t="s">
        <v>13</v>
      </c>
      <c r="L114" s="55"/>
      <c r="M114" s="26"/>
      <c r="N114" s="4" t="s">
        <v>121</v>
      </c>
    </row>
    <row r="115" spans="1:14" ht="75" customHeight="1" thickTop="1" thickBot="1">
      <c r="A115" s="34">
        <v>113</v>
      </c>
      <c r="B115" s="55">
        <f ca="1">IFERROR(__xludf.DUMMYFUNCTION("""COMPUTED_VALUE"""),46127.3623418402)</f>
        <v>46127.362341840198</v>
      </c>
      <c r="C115" s="56" t="str">
        <f ca="1">IFERROR(__xludf.DUMMYFUNCTION("""COMPUTED_VALUE"""),"المعملجي")</f>
        <v>المعملجي</v>
      </c>
      <c r="D115" s="56" t="str">
        <f ca="1">IFERROR(__xludf.DUMMYFUNCTION("""COMPUTED_VALUE"""),"وحدة المدني")</f>
        <v>وحدة المدني</v>
      </c>
      <c r="E115" s="26" t="str">
        <f ca="1">IFERROR(__xludf.DUMMYFUNCTION("""COMPUTED_VALUE"""),"قسم المشاريع الهندسية")</f>
        <v>قسم المشاريع الهندسية</v>
      </c>
      <c r="F115" s="26" t="str">
        <f ca="1">IFERROR(__xludf.DUMMYFUNCTION("""COMPUTED_VALUE"""),"J- ابتدائية الساقي للبنين الجانب الثاني (السابعة)")</f>
        <v>J- ابتدائية الساقي للبنين الجانب الثاني (السابعة)</v>
      </c>
      <c r="G115" s="26" t="str">
        <f ca="1">IFERROR(__xludf.DUMMYFUNCTION("""COMPUTED_VALUE"""),"الطابق الارضي, الساحة ZONE B")</f>
        <v>الطابق الارضي, الساحة ZONE B</v>
      </c>
      <c r="H115" s="26" t="str">
        <f ca="1">IFERROR(__xludf.DUMMYFUNCTION("""COMPUTED_VALUE"""),"حفر ومعجنة بلك كهرباء ")</f>
        <v xml:space="preserve">حفر ومعجنة بلك كهرباء </v>
      </c>
      <c r="I115" s="26"/>
      <c r="J115" s="26" t="s">
        <v>16</v>
      </c>
      <c r="K115" s="26" t="s">
        <v>13</v>
      </c>
      <c r="L115" s="55"/>
      <c r="M115" s="26"/>
      <c r="N115" s="4" t="s">
        <v>121</v>
      </c>
    </row>
    <row r="116" spans="1:14" ht="75" customHeight="1" thickTop="1" thickBot="1">
      <c r="A116" s="26">
        <v>114</v>
      </c>
      <c r="B116" s="55">
        <f ca="1">IFERROR(__xludf.DUMMYFUNCTION("""COMPUTED_VALUE"""),46127.3631312731)</f>
        <v>46127.363131273101</v>
      </c>
      <c r="C116" s="56" t="str">
        <f ca="1">IFERROR(__xludf.DUMMYFUNCTION("""COMPUTED_VALUE"""),"المعملجي")</f>
        <v>المعملجي</v>
      </c>
      <c r="D116" s="56" t="str">
        <f ca="1">IFERROR(__xludf.DUMMYFUNCTION("""COMPUTED_VALUE"""),"وحدة المدني")</f>
        <v>وحدة المدني</v>
      </c>
      <c r="E116" s="26" t="str">
        <f ca="1">IFERROR(__xludf.DUMMYFUNCTION("""COMPUTED_VALUE"""),"قسم المشاريع الهندسية")</f>
        <v>قسم المشاريع الهندسية</v>
      </c>
      <c r="F116" s="26" t="str">
        <f ca="1">IFERROR(__xludf.DUMMYFUNCTION("""COMPUTED_VALUE"""),"F-  ابتدائية جود العميد للبنات (الرابعة)")</f>
        <v>F-  ابتدائية جود العميد للبنات (الرابعة)</v>
      </c>
      <c r="G116" s="26" t="str">
        <f ca="1">IFERROR(__xludf.DUMMYFUNCTION("""COMPUTED_VALUE"""),"الطابق الارضي")</f>
        <v>الطابق الارضي</v>
      </c>
      <c r="H116" s="26" t="str">
        <f ca="1">IFERROR(__xludf.DUMMYFUNCTION("""COMPUTED_VALUE"""),"صيانة خشبة مصدر حائط")</f>
        <v>صيانة خشبة مصدر حائط</v>
      </c>
      <c r="I116" s="26"/>
      <c r="J116" s="26" t="s">
        <v>16</v>
      </c>
      <c r="K116" s="26" t="s">
        <v>13</v>
      </c>
      <c r="L116" s="55"/>
      <c r="M116" s="26"/>
      <c r="N116" s="4" t="s">
        <v>121</v>
      </c>
    </row>
    <row r="117" spans="1:14" ht="75" customHeight="1" thickTop="1" thickBot="1">
      <c r="A117" s="34">
        <v>115</v>
      </c>
      <c r="B117" s="55">
        <f ca="1">IFERROR(__xludf.DUMMYFUNCTION("""COMPUTED_VALUE"""),46127.3640122569)</f>
        <v>46127.364012256898</v>
      </c>
      <c r="C117" s="56" t="str">
        <f ca="1">IFERROR(__xludf.DUMMYFUNCTION("""COMPUTED_VALUE"""),"المعملجي")</f>
        <v>المعملجي</v>
      </c>
      <c r="D117" s="56" t="str">
        <f ca="1">IFERROR(__xludf.DUMMYFUNCTION("""COMPUTED_VALUE"""),"وحدة المدني")</f>
        <v>وحدة المدني</v>
      </c>
      <c r="E117" s="26" t="str">
        <f ca="1">IFERROR(__xludf.DUMMYFUNCTION("""COMPUTED_VALUE"""),"قسم المشاريع الهندسية")</f>
        <v>قسم المشاريع الهندسية</v>
      </c>
      <c r="F117" s="26" t="str">
        <f ca="1">IFERROR(__xludf.DUMMYFUNCTION("""COMPUTED_VALUE"""),"F-  ابتدائية جود العميد للبنات (الرابعة)")</f>
        <v>F-  ابتدائية جود العميد للبنات (الرابعة)</v>
      </c>
      <c r="G117" s="26" t="str">
        <f ca="1">IFERROR(__xludf.DUMMYFUNCTION("""COMPUTED_VALUE"""),"الطابق الاول, الساحة ZONE B")</f>
        <v>الطابق الاول, الساحة ZONE B</v>
      </c>
      <c r="H117" s="26" t="str">
        <f ca="1">IFERROR(__xludf.DUMMYFUNCTION("""COMPUTED_VALUE"""),"تبديل لبة باب المنيوم ")</f>
        <v xml:space="preserve">تبديل لبة باب المنيوم </v>
      </c>
      <c r="I117" s="26"/>
      <c r="J117" s="26" t="s">
        <v>16</v>
      </c>
      <c r="K117" s="26" t="s">
        <v>13</v>
      </c>
      <c r="L117" s="55"/>
      <c r="M117" s="26"/>
      <c r="N117" s="4" t="s">
        <v>121</v>
      </c>
    </row>
    <row r="118" spans="1:14" ht="75" customHeight="1" thickTop="1" thickBot="1">
      <c r="A118" s="26">
        <v>116</v>
      </c>
      <c r="B118" s="55">
        <f ca="1">IFERROR(__xludf.DUMMYFUNCTION("""COMPUTED_VALUE"""),46127.3756549652)</f>
        <v>46127.375654965203</v>
      </c>
      <c r="C118" s="56" t="str">
        <f ca="1">IFERROR(__xludf.DUMMYFUNCTION("""COMPUTED_VALUE"""),"المعملجي")</f>
        <v>المعملجي</v>
      </c>
      <c r="D118" s="56" t="str">
        <f ca="1">IFERROR(__xludf.DUMMYFUNCTION("""COMPUTED_VALUE"""),"وحدة الكهرباء")</f>
        <v>وحدة الكهرباء</v>
      </c>
      <c r="E118" s="26" t="str">
        <f ca="1">IFERROR(__xludf.DUMMYFUNCTION("""COMPUTED_VALUE"""),"قسم المشاريع الهندسية")</f>
        <v>قسم المشاريع الهندسية</v>
      </c>
      <c r="F118" s="26" t="str">
        <f ca="1">IFERROR(__xludf.DUMMYFUNCTION("""COMPUTED_VALUE"""),"F-  ابتدائية جود العميد للبنات (الرابعة)")</f>
        <v>F-  ابتدائية جود العميد للبنات (الرابعة)</v>
      </c>
      <c r="G118" s="26" t="str">
        <f ca="1">IFERROR(__xludf.DUMMYFUNCTION("""COMPUTED_VALUE"""),"الادائرة ZONE A, غرفة الكهرباء")</f>
        <v>الادائرة ZONE A, غرفة الكهرباء</v>
      </c>
      <c r="H118" s="26" t="str">
        <f ca="1">IFERROR(__xludf.DUMMYFUNCTION("""COMPUTED_VALUE"""),"إكمال دائرة ال power للمنظومة الجديدة ( تشغيل المدراس الأربعة من مولدات محطة الرفع)")</f>
        <v>إكمال دائرة ال power للمنظومة الجديدة ( تشغيل المدراس الأربعة من مولدات محطة الرفع)</v>
      </c>
      <c r="I118" s="26"/>
      <c r="J118" s="26" t="s">
        <v>3910</v>
      </c>
      <c r="K118" s="26" t="s">
        <v>13</v>
      </c>
      <c r="L118" s="55">
        <v>46128.296402233798</v>
      </c>
      <c r="M118" s="26"/>
      <c r="N118" s="4" t="s">
        <v>121</v>
      </c>
    </row>
    <row r="119" spans="1:14" ht="75" customHeight="1" thickTop="1" thickBot="1">
      <c r="A119" s="34">
        <v>117</v>
      </c>
      <c r="B119" s="55">
        <f ca="1">IFERROR(__xludf.DUMMYFUNCTION("""COMPUTED_VALUE"""),46127.3876040046)</f>
        <v>46127.387604004602</v>
      </c>
      <c r="C119" s="56" t="str">
        <f ca="1">IFERROR(__xludf.DUMMYFUNCTION("""COMPUTED_VALUE"""),"المعملجي")</f>
        <v>المعملجي</v>
      </c>
      <c r="D119" s="56" t="str">
        <f ca="1">IFERROR(__xludf.DUMMYFUNCTION("""COMPUTED_VALUE"""),"وحدة الكهرباء")</f>
        <v>وحدة الكهرباء</v>
      </c>
      <c r="E119" s="26" t="str">
        <f ca="1">IFERROR(__xludf.DUMMYFUNCTION("""COMPUTED_VALUE"""),"قسم المشاريع الهندسية")</f>
        <v>قسم المشاريع الهندسية</v>
      </c>
      <c r="F119" s="26" t="str">
        <f ca="1">IFERROR(__xludf.DUMMYFUNCTION("""COMPUTED_VALUE"""),"D- ثانوية العميد بناية المتوسطة  (الثانية)")</f>
        <v>D- ثانوية العميد بناية المتوسطة  (الثانية)</v>
      </c>
      <c r="G119" s="26" t="str">
        <f ca="1">IFERROR(__xludf.DUMMYFUNCTION("""COMPUTED_VALUE"""),"المصعد")</f>
        <v>المصعد</v>
      </c>
      <c r="H119" s="26" t="str">
        <f ca="1">IFERROR(__xludf.DUMMYFUNCTION("""COMPUTED_VALUE"""),"تنظيف جميع البوابات")</f>
        <v>تنظيف جميع البوابات</v>
      </c>
      <c r="I119" s="26"/>
      <c r="J119" s="26" t="s">
        <v>3910</v>
      </c>
      <c r="K119" s="26" t="s">
        <v>13</v>
      </c>
      <c r="L119" s="55">
        <v>46128.296417245372</v>
      </c>
      <c r="M119" s="26"/>
      <c r="N119" s="4" t="s">
        <v>121</v>
      </c>
    </row>
    <row r="120" spans="1:14" ht="75" customHeight="1" thickTop="1" thickBot="1">
      <c r="A120" s="26">
        <v>118</v>
      </c>
      <c r="B120" s="55">
        <f ca="1">IFERROR(__xludf.DUMMYFUNCTION("""COMPUTED_VALUE"""),46127.3885437962)</f>
        <v>46127.388543796202</v>
      </c>
      <c r="C120" s="56" t="str">
        <f ca="1">IFERROR(__xludf.DUMMYFUNCTION("""COMPUTED_VALUE"""),"المعملجي")</f>
        <v>المعملجي</v>
      </c>
      <c r="D120" s="56" t="str">
        <f ca="1">IFERROR(__xludf.DUMMYFUNCTION("""COMPUTED_VALUE"""),"وحدة الكهرباء")</f>
        <v>وحدة الكهرباء</v>
      </c>
      <c r="E120" s="26" t="str">
        <f ca="1">IFERROR(__xludf.DUMMYFUNCTION("""COMPUTED_VALUE"""),"قسم المشاريع الهندسية")</f>
        <v>قسم المشاريع الهندسية</v>
      </c>
      <c r="F120" s="26" t="str">
        <f ca="1">IFERROR(__xludf.DUMMYFUNCTION("""COMPUTED_VALUE"""),"C- ثانوية العميد بناية الاعدادية  (الاولى)")</f>
        <v>C- ثانوية العميد بناية الاعدادية  (الاولى)</v>
      </c>
      <c r="G120" s="26" t="str">
        <f ca="1">IFERROR(__xludf.DUMMYFUNCTION("""COMPUTED_VALUE"""),"كل البناية")</f>
        <v>كل البناية</v>
      </c>
      <c r="H120" s="26" t="str">
        <f ca="1">IFERROR(__xludf.DUMMYFUNCTION("""COMPUTED_VALUE"""),"تنظيف بوردات الكهرباء")</f>
        <v>تنظيف بوردات الكهرباء</v>
      </c>
      <c r="I120" s="26"/>
      <c r="J120" s="26" t="s">
        <v>3910</v>
      </c>
      <c r="K120" s="26" t="s">
        <v>13</v>
      </c>
      <c r="L120" s="55">
        <v>46128.296421053237</v>
      </c>
      <c r="M120" s="26"/>
      <c r="N120" s="4" t="s">
        <v>121</v>
      </c>
    </row>
    <row r="121" spans="1:14" ht="75" customHeight="1" thickTop="1" thickBot="1">
      <c r="A121" s="34">
        <v>119</v>
      </c>
      <c r="B121" s="55">
        <f ca="1">IFERROR(__xludf.DUMMYFUNCTION("""COMPUTED_VALUE"""),46127.3889491088)</f>
        <v>46127.388949108798</v>
      </c>
      <c r="C121" s="56" t="str">
        <f ca="1">IFERROR(__xludf.DUMMYFUNCTION("""COMPUTED_VALUE"""),"المعملجي")</f>
        <v>المعملجي</v>
      </c>
      <c r="D121" s="56" t="str">
        <f ca="1">IFERROR(__xludf.DUMMYFUNCTION("""COMPUTED_VALUE"""),"وحدة الكهرباء")</f>
        <v>وحدة الكهرباء</v>
      </c>
      <c r="E121" s="26" t="str">
        <f ca="1">IFERROR(__xludf.DUMMYFUNCTION("""COMPUTED_VALUE"""),"قسم المشاريع الهندسية")</f>
        <v>قسم المشاريع الهندسية</v>
      </c>
      <c r="F121" s="26" t="str">
        <f ca="1">IFERROR(__xludf.DUMMYFUNCTION("""COMPUTED_VALUE"""),"F-  ابتدائية جود العميد للبنات (الرابعة)")</f>
        <v>F-  ابتدائية جود العميد للبنات (الرابعة)</v>
      </c>
      <c r="G121" s="26" t="str">
        <f ca="1">IFERROR(__xludf.DUMMYFUNCTION("""COMPUTED_VALUE"""),"الساحة ZONE B, غرفة الكهرباء")</f>
        <v>الساحة ZONE B, غرفة الكهرباء</v>
      </c>
      <c r="H121" s="26" t="str">
        <f ca="1">IFERROR(__xludf.DUMMYFUNCTION("""COMPUTED_VALUE"""),"فحص  كفاءة بطاريات UPS المدرسة (أثناء تشغيل الشاشات) بعد إطفاء الكهرباء عنهُ.")</f>
        <v>فحص  كفاءة بطاريات UPS المدرسة (أثناء تشغيل الشاشات) بعد إطفاء الكهرباء عنهُ.</v>
      </c>
      <c r="I121" s="26"/>
      <c r="J121" s="26" t="s">
        <v>3910</v>
      </c>
      <c r="K121" s="26" t="s">
        <v>13</v>
      </c>
      <c r="L121" s="55">
        <v>46128.296428842594</v>
      </c>
      <c r="M121" s="26"/>
      <c r="N121" s="4" t="s">
        <v>121</v>
      </c>
    </row>
    <row r="122" spans="1:14" ht="75" customHeight="1" thickTop="1" thickBot="1">
      <c r="A122" s="26">
        <v>120</v>
      </c>
      <c r="B122" s="55">
        <f ca="1">IFERROR(__xludf.DUMMYFUNCTION("""COMPUTED_VALUE"""),46127.3896086111)</f>
        <v>46127.389608611098</v>
      </c>
      <c r="C122" s="56" t="str">
        <f ca="1">IFERROR(__xludf.DUMMYFUNCTION("""COMPUTED_VALUE"""),"المعملجي")</f>
        <v>المعملجي</v>
      </c>
      <c r="D122" s="56" t="str">
        <f ca="1">IFERROR(__xludf.DUMMYFUNCTION("""COMPUTED_VALUE"""),"وحدة الكهرباء")</f>
        <v>وحدة الكهرباء</v>
      </c>
      <c r="E122" s="26" t="str">
        <f ca="1">IFERROR(__xludf.DUMMYFUNCTION("""COMPUTED_VALUE"""),"قسم المشاريع الهندسية")</f>
        <v>قسم المشاريع الهندسية</v>
      </c>
      <c r="F122" s="26" t="str">
        <f ca="1">IFERROR(__xludf.DUMMYFUNCTION("""COMPUTED_VALUE"""),"شعبة الصيانة")</f>
        <v>شعبة الصيانة</v>
      </c>
      <c r="G122" s="26" t="str">
        <f ca="1">IFERROR(__xludf.DUMMYFUNCTION("""COMPUTED_VALUE"""),"وحدة المدني")</f>
        <v>وحدة المدني</v>
      </c>
      <c r="H122" s="26" t="str">
        <f ca="1">IFERROR(__xludf.DUMMYFUNCTION("""COMPUTED_VALUE"""),"إصلاح الخلل في كيبل الكاميرا واستبدال قطعة COUPLER الواصلة بين السلكين")</f>
        <v>إصلاح الخلل في كيبل الكاميرا واستبدال قطعة COUPLER الواصلة بين السلكين</v>
      </c>
      <c r="I122" s="26"/>
      <c r="J122" s="26" t="s">
        <v>3910</v>
      </c>
      <c r="K122" s="26" t="s">
        <v>13</v>
      </c>
      <c r="L122" s="55">
        <v>46128.296440358798</v>
      </c>
      <c r="M122" s="26"/>
      <c r="N122" s="4" t="s">
        <v>121</v>
      </c>
    </row>
    <row r="123" spans="1:14" ht="75" customHeight="1" thickTop="1" thickBot="1">
      <c r="A123" s="34">
        <v>121</v>
      </c>
      <c r="B123" s="55">
        <f ca="1">IFERROR(__xludf.DUMMYFUNCTION("""COMPUTED_VALUE"""),46127.3903932754)</f>
        <v>46127.390393275396</v>
      </c>
      <c r="C123" s="56" t="str">
        <f ca="1">IFERROR(__xludf.DUMMYFUNCTION("""COMPUTED_VALUE"""),"المعملجي")</f>
        <v>المعملجي</v>
      </c>
      <c r="D123" s="56" t="str">
        <f ca="1">IFERROR(__xludf.DUMMYFUNCTION("""COMPUTED_VALUE"""),"وحدة الكهرباء")</f>
        <v>وحدة الكهرباء</v>
      </c>
      <c r="E123" s="26" t="str">
        <f ca="1">IFERROR(__xludf.DUMMYFUNCTION("""COMPUTED_VALUE"""),"قسم المشاريع الهندسية")</f>
        <v>قسم المشاريع الهندسية</v>
      </c>
      <c r="F123" s="26" t="str">
        <f ca="1">IFERROR(__xludf.DUMMYFUNCTION("""COMPUTED_VALUE"""),"A- المركز الثقافي")</f>
        <v>A- المركز الثقافي</v>
      </c>
      <c r="G123" s="26" t="str">
        <f ca="1">IFERROR(__xludf.DUMMYFUNCTION("""COMPUTED_VALUE"""),"الطابق الاول, غرفة الكهرباء")</f>
        <v>الطابق الاول, غرفة الكهرباء</v>
      </c>
      <c r="H123" s="26" t="str">
        <f ca="1">IFERROR(__xludf.DUMMYFUNCTION("""COMPUTED_VALUE"""),"عمل تأريض الى UPS كحل اولي تجريبي بسبب الانفصال المتكرر وتحوله الى وضع bypass ")</f>
        <v xml:space="preserve">عمل تأريض الى UPS كحل اولي تجريبي بسبب الانفصال المتكرر وتحوله الى وضع bypass </v>
      </c>
      <c r="I123" s="26"/>
      <c r="J123" s="26" t="s">
        <v>3910</v>
      </c>
      <c r="K123" s="26" t="s">
        <v>13</v>
      </c>
      <c r="L123" s="55">
        <v>46128.296447673609</v>
      </c>
      <c r="M123" s="26"/>
      <c r="N123" s="4" t="s">
        <v>121</v>
      </c>
    </row>
    <row r="124" spans="1:14" ht="75" customHeight="1" thickTop="1" thickBot="1">
      <c r="A124" s="26">
        <v>122</v>
      </c>
      <c r="B124" s="55">
        <f ca="1">IFERROR(__xludf.DUMMYFUNCTION("""COMPUTED_VALUE"""),46127.3920273611)</f>
        <v>46127.3920273611</v>
      </c>
      <c r="C124" s="56" t="str">
        <f ca="1">IFERROR(__xludf.DUMMYFUNCTION("""COMPUTED_VALUE"""),"المعملجي")</f>
        <v>المعملجي</v>
      </c>
      <c r="D124" s="56" t="str">
        <f ca="1">IFERROR(__xludf.DUMMYFUNCTION("""COMPUTED_VALUE"""),"وحدة الكهرباء")</f>
        <v>وحدة الكهرباء</v>
      </c>
      <c r="E124" s="26" t="str">
        <f ca="1">IFERROR(__xludf.DUMMYFUNCTION("""COMPUTED_VALUE"""),"قسم المشاريع الهندسية")</f>
        <v>قسم المشاريع الهندسية</v>
      </c>
      <c r="F124" s="26" t="str">
        <f ca="1">IFERROR(__xludf.DUMMYFUNCTION("""COMPUTED_VALUE"""),"المختبرات")</f>
        <v>المختبرات</v>
      </c>
      <c r="G124" s="26" t="str">
        <f ca="1">IFERROR(__xludf.DUMMYFUNCTION("""COMPUTED_VALUE"""),"غرفة المولدات")</f>
        <v>غرفة المولدات</v>
      </c>
      <c r="H124" s="26" t="str">
        <f ca="1">IFERROR(__xludf.DUMMYFUNCTION("""COMPUTED_VALUE"""),"تسليك كيبل من غرفة كهرباء المحطة إلى غرفة تزامن المختبرات لغرض تغذيتها بالطاقة الشمسية.")</f>
        <v>تسليك كيبل من غرفة كهرباء المحطة إلى غرفة تزامن المختبرات لغرض تغذيتها بالطاقة الشمسية.</v>
      </c>
      <c r="I124" s="26"/>
      <c r="J124" s="26" t="s">
        <v>3910</v>
      </c>
      <c r="K124" s="26" t="s">
        <v>13</v>
      </c>
      <c r="L124" s="55">
        <v>46128.296457048607</v>
      </c>
      <c r="M124" s="26"/>
      <c r="N124" s="4" t="s">
        <v>121</v>
      </c>
    </row>
    <row r="125" spans="1:14" ht="75" customHeight="1" thickTop="1" thickBot="1">
      <c r="A125" s="34">
        <v>123</v>
      </c>
      <c r="B125" s="55">
        <f ca="1">IFERROR(__xludf.DUMMYFUNCTION("""COMPUTED_VALUE"""),46127.3928667708)</f>
        <v>46127.392866770802</v>
      </c>
      <c r="C125" s="56" t="str">
        <f ca="1">IFERROR(__xludf.DUMMYFUNCTION("""COMPUTED_VALUE"""),"المعملجي")</f>
        <v>المعملجي</v>
      </c>
      <c r="D125" s="56" t="str">
        <f ca="1">IFERROR(__xludf.DUMMYFUNCTION("""COMPUTED_VALUE"""),"وحدة الكهرباء")</f>
        <v>وحدة الكهرباء</v>
      </c>
      <c r="E125" s="26" t="str">
        <f ca="1">IFERROR(__xludf.DUMMYFUNCTION("""COMPUTED_VALUE"""),"قسم المشاريع الهندسية")</f>
        <v>قسم المشاريع الهندسية</v>
      </c>
      <c r="F125" s="26" t="str">
        <f ca="1">IFERROR(__xludf.DUMMYFUNCTION("""COMPUTED_VALUE"""),"متنقل")</f>
        <v>متنقل</v>
      </c>
      <c r="G125" s="26" t="str">
        <f ca="1">IFERROR(__xludf.DUMMYFUNCTION("""COMPUTED_VALUE"""),".")</f>
        <v>.</v>
      </c>
      <c r="H125" s="26" t="str">
        <f ca="1">IFERROR(__xludf.DUMMYFUNCTION("""COMPUTED_VALUE"""),"عمل سيار كهرباء بنقطة واحد طول 5 متر تقريباً تلبية لطلب احد الأخوة من قسم التربية")</f>
        <v>عمل سيار كهرباء بنقطة واحد طول 5 متر تقريباً تلبية لطلب احد الأخوة من قسم التربية</v>
      </c>
      <c r="I125" s="26"/>
      <c r="J125" s="26" t="s">
        <v>3910</v>
      </c>
      <c r="K125" s="26" t="s">
        <v>13</v>
      </c>
      <c r="L125" s="55">
        <v>46128.296461284721</v>
      </c>
      <c r="M125" s="26"/>
      <c r="N125" s="4" t="s">
        <v>121</v>
      </c>
    </row>
    <row r="126" spans="1:14" ht="75" customHeight="1" thickTop="1" thickBot="1">
      <c r="A126" s="26">
        <v>124</v>
      </c>
      <c r="B126" s="55">
        <f ca="1">IFERROR(__xludf.DUMMYFUNCTION("""COMPUTED_VALUE"""),46127.3939121296)</f>
        <v>46127.393912129599</v>
      </c>
      <c r="C126" s="56" t="str">
        <f ca="1">IFERROR(__xludf.DUMMYFUNCTION("""COMPUTED_VALUE"""),"المعملجي")</f>
        <v>المعملجي</v>
      </c>
      <c r="D126" s="56" t="str">
        <f ca="1">IFERROR(__xludf.DUMMYFUNCTION("""COMPUTED_VALUE"""),"وحدة الكهرباء")</f>
        <v>وحدة الكهرباء</v>
      </c>
      <c r="E126" s="26" t="str">
        <f ca="1">IFERROR(__xludf.DUMMYFUNCTION("""COMPUTED_VALUE"""),"قسم المشاريع الهندسية")</f>
        <v>قسم المشاريع الهندسية</v>
      </c>
      <c r="F126" s="26" t="str">
        <f ca="1">IFERROR(__xludf.DUMMYFUNCTION("""COMPUTED_VALUE"""),"H- ابتدائية القمر للبنات (الخامسة)")</f>
        <v>H- ابتدائية القمر للبنات (الخامسة)</v>
      </c>
      <c r="G126" s="26" t="str">
        <f ca="1">IFERROR(__xludf.DUMMYFUNCTION("""COMPUTED_VALUE"""),"الساحة ZONE B, غرفة الكهرباء")</f>
        <v>الساحة ZONE B, غرفة الكهرباء</v>
      </c>
      <c r="H126" s="26" t="str">
        <f ca="1">IFERROR(__xludf.DUMMYFUNCTION("""COMPUTED_VALUE"""),"فحص كفاءة بطاريات UPS المدرسة (أثناء تشغيل الشاشات) بعد إطفاء الكهرباء عنهُ.
")</f>
        <v xml:space="preserve">فحص كفاءة بطاريات UPS المدرسة (أثناء تشغيل الشاشات) بعد إطفاء الكهرباء عنهُ.
</v>
      </c>
      <c r="I126" s="26"/>
      <c r="J126" s="26" t="s">
        <v>3910</v>
      </c>
      <c r="K126" s="26" t="s">
        <v>13</v>
      </c>
      <c r="L126" s="55">
        <v>46128.296472523143</v>
      </c>
      <c r="M126" s="26"/>
      <c r="N126" s="4" t="s">
        <v>121</v>
      </c>
    </row>
    <row r="127" spans="1:14" ht="75" customHeight="1" thickTop="1" thickBot="1">
      <c r="A127" s="34">
        <v>125</v>
      </c>
      <c r="B127" s="55">
        <f ca="1">IFERROR(__xludf.DUMMYFUNCTION("""COMPUTED_VALUE"""),46127.3943282986)</f>
        <v>46127.3943282986</v>
      </c>
      <c r="C127" s="56" t="str">
        <f ca="1">IFERROR(__xludf.DUMMYFUNCTION("""COMPUTED_VALUE"""),"المعملجي")</f>
        <v>المعملجي</v>
      </c>
      <c r="D127" s="56" t="str">
        <f ca="1">IFERROR(__xludf.DUMMYFUNCTION("""COMPUTED_VALUE"""),"وحدة الكهرباء")</f>
        <v>وحدة الكهرباء</v>
      </c>
      <c r="E127" s="26" t="str">
        <f ca="1">IFERROR(__xludf.DUMMYFUNCTION("""COMPUTED_VALUE"""),"قسم المشاريع الهندسية")</f>
        <v>قسم المشاريع الهندسية</v>
      </c>
      <c r="F127" s="26" t="str">
        <f ca="1">IFERROR(__xludf.DUMMYFUNCTION("""COMPUTED_VALUE"""),"H- ابتدائية القمر للبنات (الخامسة)")</f>
        <v>H- ابتدائية القمر للبنات (الخامسة)</v>
      </c>
      <c r="G127" s="26" t="str">
        <f ca="1">IFERROR(__xludf.DUMMYFUNCTION("""COMPUTED_VALUE"""),"الساحة ZONE B, غرفة الكهرباء")</f>
        <v>الساحة ZONE B, غرفة الكهرباء</v>
      </c>
      <c r="H127" s="26" t="str">
        <f ca="1">IFERROR(__xludf.DUMMYFUNCTION("""COMPUTED_VALUE"""),"التفعيل لــScheduling تجريبي لغرض الفحص (الإطفاء فقط) في منظومة التبريد VRF")</f>
        <v>التفعيل لــScheduling تجريبي لغرض الفحص (الإطفاء فقط) في منظومة التبريد VRF</v>
      </c>
      <c r="I127" s="26"/>
      <c r="J127" s="26" t="s">
        <v>3910</v>
      </c>
      <c r="K127" s="26" t="s">
        <v>13</v>
      </c>
      <c r="L127" s="55">
        <v>46128.296477939817</v>
      </c>
      <c r="M127" s="26"/>
      <c r="N127" s="4" t="s">
        <v>121</v>
      </c>
    </row>
    <row r="128" spans="1:14" ht="75" customHeight="1" thickTop="1" thickBot="1">
      <c r="A128" s="26">
        <v>126</v>
      </c>
      <c r="B128" s="55">
        <f ca="1">IFERROR(__xludf.DUMMYFUNCTION("""COMPUTED_VALUE"""),46127.4003222106)</f>
        <v>46127.400322210597</v>
      </c>
      <c r="C128" s="56" t="str">
        <f ca="1">IFERROR(__xludf.DUMMYFUNCTION("""COMPUTED_VALUE"""),"المعملجي")</f>
        <v>المعملجي</v>
      </c>
      <c r="D128" s="56" t="str">
        <f ca="1">IFERROR(__xludf.DUMMYFUNCTION("""COMPUTED_VALUE"""),"وحدة الكهرباء")</f>
        <v>وحدة الكهرباء</v>
      </c>
      <c r="E128" s="26" t="str">
        <f ca="1">IFERROR(__xludf.DUMMYFUNCTION("""COMPUTED_VALUE"""),"قسم المشاريع الهندسية")</f>
        <v>قسم المشاريع الهندسية</v>
      </c>
      <c r="F128" s="26" t="str">
        <f ca="1">IFERROR(__xludf.DUMMYFUNCTION("""COMPUTED_VALUE"""),"J- جامعة العميد (السابعة)")</f>
        <v>J- جامعة العميد (السابعة)</v>
      </c>
      <c r="G128" s="26" t="str">
        <f ca="1">IFERROR(__xludf.DUMMYFUNCTION("""COMPUTED_VALUE"""),"الساحة ZONE B, غرفة الكهرباء")</f>
        <v>الساحة ZONE B, غرفة الكهرباء</v>
      </c>
      <c r="H128" s="26" t="str">
        <f ca="1">IFERROR(__xludf.DUMMYFUNCTION("""COMPUTED_VALUE"""),"تشخيص الوحدات الداخلية للتبريد المركزي VRV الخاصة بغرف الكهرباء ")</f>
        <v xml:space="preserve">تشخيص الوحدات الداخلية للتبريد المركزي VRV الخاصة بغرف الكهرباء </v>
      </c>
      <c r="I128" s="26"/>
      <c r="J128" s="26" t="s">
        <v>3910</v>
      </c>
      <c r="K128" s="26" t="s">
        <v>13</v>
      </c>
      <c r="L128" s="55">
        <v>46128.296486203704</v>
      </c>
      <c r="M128" s="26"/>
      <c r="N128" s="4" t="s">
        <v>121</v>
      </c>
    </row>
    <row r="129" spans="1:14" ht="75" customHeight="1" thickTop="1" thickBot="1">
      <c r="A129" s="34">
        <v>127</v>
      </c>
      <c r="B129" s="55">
        <f ca="1">IFERROR(__xludf.DUMMYFUNCTION("""COMPUTED_VALUE"""),46127.4014145486)</f>
        <v>46127.4014145486</v>
      </c>
      <c r="C129" s="56" t="str">
        <f ca="1">IFERROR(__xludf.DUMMYFUNCTION("""COMPUTED_VALUE"""),"المعملجي")</f>
        <v>المعملجي</v>
      </c>
      <c r="D129" s="56" t="str">
        <f ca="1">IFERROR(__xludf.DUMMYFUNCTION("""COMPUTED_VALUE"""),"وحدة الكهرباء")</f>
        <v>وحدة الكهرباء</v>
      </c>
      <c r="E129" s="26" t="str">
        <f ca="1">IFERROR(__xludf.DUMMYFUNCTION("""COMPUTED_VALUE"""),"قسم المشاريع الهندسية")</f>
        <v>قسم المشاريع الهندسية</v>
      </c>
      <c r="F129" s="26" t="str">
        <f ca="1">IFERROR(__xludf.DUMMYFUNCTION("""COMPUTED_VALUE"""),"E- ابتدائية العميد للبنات (الثالثة)")</f>
        <v>E- ابتدائية العميد للبنات (الثالثة)</v>
      </c>
      <c r="G129" s="26" t="str">
        <f ca="1">IFERROR(__xludf.DUMMYFUNCTION("""COMPUTED_VALUE"""),"الادائرة ZONE A, غرفة الكهرباء")</f>
        <v>الادائرة ZONE A, غرفة الكهرباء</v>
      </c>
      <c r="H129" s="26" t="str">
        <f ca="1">IFERROR(__xludf.DUMMYFUNCTION("""COMPUTED_VALUE"""),"انجاز 70% من دائرة السيطرة ( ربط مولدات محطة الرفع مع المدارس الاربعة) في المدرسة ")</f>
        <v xml:space="preserve">انجاز 70% من دائرة السيطرة ( ربط مولدات محطة الرفع مع المدارس الاربعة) في المدرسة </v>
      </c>
      <c r="I129" s="26"/>
      <c r="J129" s="26" t="s">
        <v>3910</v>
      </c>
      <c r="K129" s="26" t="s">
        <v>13</v>
      </c>
      <c r="L129" s="55">
        <v>46128.296502870369</v>
      </c>
      <c r="M129" s="26"/>
      <c r="N129" s="4" t="s">
        <v>121</v>
      </c>
    </row>
    <row r="130" spans="1:14" ht="75" customHeight="1" thickTop="1" thickBot="1">
      <c r="A130" s="26">
        <v>128</v>
      </c>
      <c r="B130" s="55">
        <f ca="1">IFERROR(__xludf.DUMMYFUNCTION("""COMPUTED_VALUE"""),46127.4029686805)</f>
        <v>46127.402968680501</v>
      </c>
      <c r="C130" s="56" t="str">
        <f ca="1">IFERROR(__xludf.DUMMYFUNCTION("""COMPUTED_VALUE"""),"المعملجي")</f>
        <v>المعملجي</v>
      </c>
      <c r="D130" s="56" t="str">
        <f ca="1">IFERROR(__xludf.DUMMYFUNCTION("""COMPUTED_VALUE"""),"وحدة الكهرباء")</f>
        <v>وحدة الكهرباء</v>
      </c>
      <c r="E130" s="26" t="str">
        <f ca="1">IFERROR(__xludf.DUMMYFUNCTION("""COMPUTED_VALUE"""),"قسم المشاريع الهندسية")</f>
        <v>قسم المشاريع الهندسية</v>
      </c>
      <c r="F130" s="26" t="str">
        <f ca="1">IFERROR(__xludf.DUMMYFUNCTION("""COMPUTED_VALUE"""),"E- ابتدائية العميد للبنات (الثالثة), F-  ابتدائية جود العميد للبنات (الرابعة)")</f>
        <v>E- ابتدائية العميد للبنات (الثالثة), F-  ابتدائية جود العميد للبنات (الرابعة)</v>
      </c>
      <c r="G130" s="26"/>
      <c r="H130" s="26" t="str">
        <f ca="1">IFERROR(__xludf.DUMMYFUNCTION("""COMPUTED_VALUE"""),"تم تسليك أسلاك إشارة داخل مزامنة مولدات المدرسة بسبب قطع")</f>
        <v>تم تسليك أسلاك إشارة داخل مزامنة مولدات المدرسة بسبب قطع</v>
      </c>
      <c r="I130" s="26"/>
      <c r="J130" s="26" t="s">
        <v>3910</v>
      </c>
      <c r="K130" s="26" t="s">
        <v>13</v>
      </c>
      <c r="L130" s="55">
        <v>46128.296502974539</v>
      </c>
      <c r="M130" s="26"/>
      <c r="N130" s="4" t="s">
        <v>121</v>
      </c>
    </row>
    <row r="131" spans="1:14" ht="75" customHeight="1" thickTop="1" thickBot="1">
      <c r="A131" s="34">
        <v>129</v>
      </c>
      <c r="B131" s="55">
        <f ca="1">IFERROR(__xludf.DUMMYFUNCTION("""COMPUTED_VALUE"""),46127.4037817013)</f>
        <v>46127.403781701301</v>
      </c>
      <c r="C131" s="56" t="str">
        <f ca="1">IFERROR(__xludf.DUMMYFUNCTION("""COMPUTED_VALUE"""),"المعملجي")</f>
        <v>المعملجي</v>
      </c>
      <c r="D131" s="56" t="str">
        <f ca="1">IFERROR(__xludf.DUMMYFUNCTION("""COMPUTED_VALUE"""),"وحدة الكهرباء")</f>
        <v>وحدة الكهرباء</v>
      </c>
      <c r="E131" s="26" t="str">
        <f ca="1">IFERROR(__xludf.DUMMYFUNCTION("""COMPUTED_VALUE"""),"قسم المشاريع الهندسية")</f>
        <v>قسم المشاريع الهندسية</v>
      </c>
      <c r="F131" s="26" t="str">
        <f ca="1">IFERROR(__xludf.DUMMYFUNCTION("""COMPUTED_VALUE"""),"C- ثانوية العميد بناية الاعدادية  (الاولى)")</f>
        <v>C- ثانوية العميد بناية الاعدادية  (الاولى)</v>
      </c>
      <c r="G131" s="26" t="str">
        <f ca="1">IFERROR(__xludf.DUMMYFUNCTION("""COMPUTED_VALUE"""),"الادائرة ZONE A, غرفة الكهرباء")</f>
        <v>الادائرة ZONE A, غرفة الكهرباء</v>
      </c>
      <c r="H131" s="26" t="str">
        <f ca="1">IFERROR(__xludf.DUMMYFUNCTION("""COMPUTED_VALUE"""),"ربط دائرة السيطرة في لوحة التزامن بحيث يتم تشغيل مولدات الـ 1M عند تجاوز الأحمال 100A")</f>
        <v>ربط دائرة السيطرة في لوحة التزامن بحيث يتم تشغيل مولدات الـ 1M عند تجاوز الأحمال 100A</v>
      </c>
      <c r="I131" s="26"/>
      <c r="J131" s="26" t="s">
        <v>3910</v>
      </c>
      <c r="K131" s="26" t="s">
        <v>13</v>
      </c>
      <c r="L131" s="55">
        <v>46128.296513391208</v>
      </c>
      <c r="M131" s="26"/>
      <c r="N131" s="4" t="s">
        <v>121</v>
      </c>
    </row>
    <row r="132" spans="1:14" ht="75" customHeight="1" thickTop="1" thickBot="1">
      <c r="A132" s="26">
        <v>130</v>
      </c>
      <c r="B132" s="55">
        <f ca="1">IFERROR(__xludf.DUMMYFUNCTION("""COMPUTED_VALUE"""),46127.4040343055)</f>
        <v>46127.404034305502</v>
      </c>
      <c r="C132" s="56" t="str">
        <f ca="1">IFERROR(__xludf.DUMMYFUNCTION("""COMPUTED_VALUE"""),"المعملجي")</f>
        <v>المعملجي</v>
      </c>
      <c r="D132" s="56" t="str">
        <f ca="1">IFERROR(__xludf.DUMMYFUNCTION("""COMPUTED_VALUE"""),"وحدة الكهرباء")</f>
        <v>وحدة الكهرباء</v>
      </c>
      <c r="E132" s="26" t="str">
        <f ca="1">IFERROR(__xludf.DUMMYFUNCTION("""COMPUTED_VALUE"""),"قسم المشاريع الهندسية")</f>
        <v>قسم المشاريع الهندسية</v>
      </c>
      <c r="F132" s="26" t="str">
        <f ca="1">IFERROR(__xludf.DUMMYFUNCTION("""COMPUTED_VALUE"""),"D- ثانوية العميد بناية المتوسطة  (الثانية)")</f>
        <v>D- ثانوية العميد بناية المتوسطة  (الثانية)</v>
      </c>
      <c r="G132" s="26" t="str">
        <f ca="1">IFERROR(__xludf.DUMMYFUNCTION("""COMPUTED_VALUE"""),"الادائرة ZONE A, غرفة الكهرباء")</f>
        <v>الادائرة ZONE A, غرفة الكهرباء</v>
      </c>
      <c r="H132" s="26" t="str">
        <f ca="1">IFERROR(__xludf.DUMMYFUNCTION("""COMPUTED_VALUE"""),"ربط دائرة السيطرة في لوحة التزامن بحيث يتم تشغيل مولدات الـ 1M عند تجاوز الأحمال 100A ")</f>
        <v xml:space="preserve">ربط دائرة السيطرة في لوحة التزامن بحيث يتم تشغيل مولدات الـ 1M عند تجاوز الأحمال 100A </v>
      </c>
      <c r="I132" s="26"/>
      <c r="J132" s="26" t="s">
        <v>3910</v>
      </c>
      <c r="K132" s="26" t="s">
        <v>13</v>
      </c>
      <c r="L132" s="55">
        <v>46128.296519201387</v>
      </c>
      <c r="M132" s="26"/>
      <c r="N132" s="4" t="s">
        <v>121</v>
      </c>
    </row>
    <row r="133" spans="1:14" ht="75" customHeight="1" thickTop="1" thickBot="1">
      <c r="A133" s="34">
        <v>131</v>
      </c>
      <c r="B133" s="55">
        <f ca="1">IFERROR(__xludf.DUMMYFUNCTION("""COMPUTED_VALUE"""),46127.4046727662)</f>
        <v>46127.404672766199</v>
      </c>
      <c r="C133" s="56" t="str">
        <f ca="1">IFERROR(__xludf.DUMMYFUNCTION("""COMPUTED_VALUE"""),"المعملجي")</f>
        <v>المعملجي</v>
      </c>
      <c r="D133" s="56" t="str">
        <f ca="1">IFERROR(__xludf.DUMMYFUNCTION("""COMPUTED_VALUE"""),"وحدة الكهرباء")</f>
        <v>وحدة الكهرباء</v>
      </c>
      <c r="E133" s="26" t="str">
        <f ca="1">IFERROR(__xludf.DUMMYFUNCTION("""COMPUTED_VALUE"""),"قسم المشاريع الهندسية")</f>
        <v>قسم المشاريع الهندسية</v>
      </c>
      <c r="F133" s="26" t="str">
        <f ca="1">IFERROR(__xludf.DUMMYFUNCTION("""COMPUTED_VALUE"""),"I- ابتدائية الساقي للبنين (السادسة)")</f>
        <v>I- ابتدائية الساقي للبنين (السادسة)</v>
      </c>
      <c r="G133" s="26" t="str">
        <f ca="1">IFERROR(__xludf.DUMMYFUNCTION("""COMPUTED_VALUE"""),"الساحة ZONE B, غرفة الكهرباء")</f>
        <v>الساحة ZONE B, غرفة الكهرباء</v>
      </c>
      <c r="H133" s="26" t="str">
        <f ca="1">IFERROR(__xludf.DUMMYFUNCTION("""COMPUTED_VALUE"""),"فحص  UPS الخاص بالشاشات فقط للمدرسة بعد إطفاء الكهرباء عنه")</f>
        <v>فحص  UPS الخاص بالشاشات فقط للمدرسة بعد إطفاء الكهرباء عنه</v>
      </c>
      <c r="I133" s="26"/>
      <c r="J133" s="26" t="s">
        <v>3910</v>
      </c>
      <c r="K133" s="26" t="s">
        <v>13</v>
      </c>
      <c r="L133" s="55">
        <v>46128.296524502315</v>
      </c>
      <c r="M133" s="26"/>
      <c r="N133" s="4" t="s">
        <v>121</v>
      </c>
    </row>
    <row r="134" spans="1:14" ht="75" customHeight="1" thickTop="1" thickBot="1">
      <c r="A134" s="26">
        <v>132</v>
      </c>
      <c r="B134" s="55">
        <f ca="1">IFERROR(__xludf.DUMMYFUNCTION("""COMPUTED_VALUE"""),46127.4201298148)</f>
        <v>46127.420129814796</v>
      </c>
      <c r="C134" s="56" t="str">
        <f ca="1">IFERROR(__xludf.DUMMYFUNCTION("""COMPUTED_VALUE"""),"المعملجي")</f>
        <v>المعملجي</v>
      </c>
      <c r="D134" s="56" t="str">
        <f ca="1">IFERROR(__xludf.DUMMYFUNCTION("""COMPUTED_VALUE"""),"وحدة الكهرباء")</f>
        <v>وحدة الكهرباء</v>
      </c>
      <c r="E134" s="26" t="str">
        <f ca="1">IFERROR(__xludf.DUMMYFUNCTION("""COMPUTED_VALUE"""),"قسم المشاريع الهندسية")</f>
        <v>قسم المشاريع الهندسية</v>
      </c>
      <c r="F134" s="26" t="str">
        <f ca="1">IFERROR(__xludf.DUMMYFUNCTION("""COMPUTED_VALUE"""),"J- جامعة العميد (السابعة)")</f>
        <v>J- جامعة العميد (السابعة)</v>
      </c>
      <c r="G134" s="26" t="str">
        <f ca="1">IFERROR(__xludf.DUMMYFUNCTION("""COMPUTED_VALUE"""),"الساحة ZONE B, غرفة الكهرباء")</f>
        <v>الساحة ZONE B, غرفة الكهرباء</v>
      </c>
      <c r="H134" s="26" t="str">
        <f ca="1">IFERROR(__xludf.DUMMYFUNCTION("""COMPUTED_VALUE"""),"عمل جدولتين Schedule لإيقاف تشغيل  التبريد VRV 
")</f>
        <v xml:space="preserve">عمل جدولتين Schedule لإيقاف تشغيل  التبريد VRV 
</v>
      </c>
      <c r="I134" s="26"/>
      <c r="J134" s="26" t="s">
        <v>3910</v>
      </c>
      <c r="K134" s="26" t="s">
        <v>13</v>
      </c>
      <c r="L134" s="55">
        <v>46128.296538900468</v>
      </c>
      <c r="M134" s="26"/>
      <c r="N134" s="4" t="s">
        <v>121</v>
      </c>
    </row>
    <row r="135" spans="1:14" ht="75" customHeight="1" thickTop="1" thickBot="1">
      <c r="A135" s="34">
        <v>133</v>
      </c>
      <c r="B135" s="55">
        <f ca="1">IFERROR(__xludf.DUMMYFUNCTION("""COMPUTED_VALUE"""),46127.4207719676)</f>
        <v>46127.420771967598</v>
      </c>
      <c r="C135" s="56" t="str">
        <f ca="1">IFERROR(__xludf.DUMMYFUNCTION("""COMPUTED_VALUE"""),"المعملجي")</f>
        <v>المعملجي</v>
      </c>
      <c r="D135" s="56" t="str">
        <f ca="1">IFERROR(__xludf.DUMMYFUNCTION("""COMPUTED_VALUE"""),"وحدة الكهرباء")</f>
        <v>وحدة الكهرباء</v>
      </c>
      <c r="E135" s="26" t="str">
        <f ca="1">IFERROR(__xludf.DUMMYFUNCTION("""COMPUTED_VALUE"""),"قسم المشاريع الهندسية")</f>
        <v>قسم المشاريع الهندسية</v>
      </c>
      <c r="F135" s="26" t="str">
        <f ca="1">IFERROR(__xludf.DUMMYFUNCTION("""COMPUTED_VALUE"""),"A- المركز الثقافي")</f>
        <v>A- المركز الثقافي</v>
      </c>
      <c r="G135" s="26" t="str">
        <f ca="1">IFERROR(__xludf.DUMMYFUNCTION("""COMPUTED_VALUE"""),"الطابق الاول, غرفة الكهرباء")</f>
        <v>الطابق الاول, غرفة الكهرباء</v>
      </c>
      <c r="H135" s="26" t="str">
        <f ca="1">IFERROR(__xludf.DUMMYFUNCTION("""COMPUTED_VALUE""")," UPS 10K  3-phase بآخر  6 K  Single phase استبدال")</f>
        <v xml:space="preserve"> UPS 10K  3-phase بآخر  6 K  Single phase استبدال</v>
      </c>
      <c r="I135" s="26"/>
      <c r="J135" s="26" t="s">
        <v>3910</v>
      </c>
      <c r="K135" s="26" t="s">
        <v>13</v>
      </c>
      <c r="L135" s="55">
        <v>46128.296550972227</v>
      </c>
      <c r="M135" s="26"/>
      <c r="N135" s="4" t="s">
        <v>121</v>
      </c>
    </row>
    <row r="136" spans="1:14" ht="75" customHeight="1" thickTop="1" thickBot="1">
      <c r="A136" s="26">
        <v>134</v>
      </c>
      <c r="B136" s="55">
        <f ca="1">IFERROR(__xludf.DUMMYFUNCTION("""COMPUTED_VALUE"""),46127.421825243)</f>
        <v>46127.421825243</v>
      </c>
      <c r="C136" s="56" t="str">
        <f ca="1">IFERROR(__xludf.DUMMYFUNCTION("""COMPUTED_VALUE"""),"المعملجي")</f>
        <v>المعملجي</v>
      </c>
      <c r="D136" s="56" t="str">
        <f ca="1">IFERROR(__xludf.DUMMYFUNCTION("""COMPUTED_VALUE"""),"وحدة الكهرباء")</f>
        <v>وحدة الكهرباء</v>
      </c>
      <c r="E136" s="26" t="str">
        <f ca="1">IFERROR(__xludf.DUMMYFUNCTION("""COMPUTED_VALUE"""),"قسم المشاريع الهندسية")</f>
        <v>قسم المشاريع الهندسية</v>
      </c>
      <c r="F136" s="26" t="str">
        <f ca="1">IFERROR(__xludf.DUMMYFUNCTION("""COMPUTED_VALUE"""),"C- ثانوية العميد بناية الاعدادية  (الاولى)")</f>
        <v>C- ثانوية العميد بناية الاعدادية  (الاولى)</v>
      </c>
      <c r="G136" s="26" t="str">
        <f ca="1">IFERROR(__xludf.DUMMYFUNCTION("""COMPUTED_VALUE"""),"الطابق الارضي, غرفة الكهرباء")</f>
        <v>الطابق الارضي, غرفة الكهرباء</v>
      </c>
      <c r="H136" s="26" t="str">
        <f ca="1">IFERROR(__xludf.DUMMYFUNCTION("""COMPUTED_VALUE"""),"تنظيف البنل الرئيسي وذلك بعد إتمام الأعمال المرتبطة بالمنظومة الجديدة")</f>
        <v>تنظيف البنل الرئيسي وذلك بعد إتمام الأعمال المرتبطة بالمنظومة الجديدة</v>
      </c>
      <c r="I136" s="26"/>
      <c r="J136" s="26" t="s">
        <v>3910</v>
      </c>
      <c r="K136" s="26" t="s">
        <v>13</v>
      </c>
      <c r="L136" s="55">
        <v>46128.296555578709</v>
      </c>
      <c r="M136" s="26"/>
      <c r="N136" s="4" t="s">
        <v>121</v>
      </c>
    </row>
    <row r="137" spans="1:14" ht="75" customHeight="1" thickTop="1" thickBot="1">
      <c r="A137" s="34">
        <v>135</v>
      </c>
      <c r="B137" s="55">
        <f ca="1">IFERROR(__xludf.DUMMYFUNCTION("""COMPUTED_VALUE"""),46127.4219989236)</f>
        <v>46127.421998923601</v>
      </c>
      <c r="C137" s="56" t="str">
        <f ca="1">IFERROR(__xludf.DUMMYFUNCTION("""COMPUTED_VALUE"""),"المعملجي")</f>
        <v>المعملجي</v>
      </c>
      <c r="D137" s="56" t="str">
        <f ca="1">IFERROR(__xludf.DUMMYFUNCTION("""COMPUTED_VALUE"""),"وحدة الكهرباء")</f>
        <v>وحدة الكهرباء</v>
      </c>
      <c r="E137" s="26" t="str">
        <f ca="1">IFERROR(__xludf.DUMMYFUNCTION("""COMPUTED_VALUE"""),"قسم المشاريع الهندسية")</f>
        <v>قسم المشاريع الهندسية</v>
      </c>
      <c r="F137" s="26" t="str">
        <f ca="1">IFERROR(__xludf.DUMMYFUNCTION("""COMPUTED_VALUE"""),"D- ثانوية العميد بناية المتوسطة  (الثانية)")</f>
        <v>D- ثانوية العميد بناية المتوسطة  (الثانية)</v>
      </c>
      <c r="G137" s="26" t="str">
        <f ca="1">IFERROR(__xludf.DUMMYFUNCTION("""COMPUTED_VALUE"""),"الطابق الارضي, غرفة الكهرباء")</f>
        <v>الطابق الارضي, غرفة الكهرباء</v>
      </c>
      <c r="H137" s="26" t="str">
        <f ca="1">IFERROR(__xludf.DUMMYFUNCTION("""COMPUTED_VALUE"""),"تنظيف البنل الرئيسي وذلك بعد إتمام الأعمال المرتبطة بالمنظومة الجديدة")</f>
        <v>تنظيف البنل الرئيسي وذلك بعد إتمام الأعمال المرتبطة بالمنظومة الجديدة</v>
      </c>
      <c r="I137" s="26"/>
      <c r="J137" s="26" t="s">
        <v>3910</v>
      </c>
      <c r="K137" s="26" t="s">
        <v>13</v>
      </c>
      <c r="L137" s="55">
        <v>46128.296572870371</v>
      </c>
      <c r="M137" s="26"/>
      <c r="N137" s="4" t="s">
        <v>121</v>
      </c>
    </row>
    <row r="138" spans="1:14" ht="75" customHeight="1" thickTop="1" thickBot="1">
      <c r="A138" s="26">
        <v>136</v>
      </c>
      <c r="B138" s="55">
        <f ca="1">IFERROR(__xludf.DUMMYFUNCTION("""COMPUTED_VALUE"""),46127.4221762847)</f>
        <v>46127.422176284701</v>
      </c>
      <c r="C138" s="56" t="str">
        <f ca="1">IFERROR(__xludf.DUMMYFUNCTION("""COMPUTED_VALUE"""),"المعملجي")</f>
        <v>المعملجي</v>
      </c>
      <c r="D138" s="56" t="str">
        <f ca="1">IFERROR(__xludf.DUMMYFUNCTION("""COMPUTED_VALUE"""),"وحدة الكهرباء")</f>
        <v>وحدة الكهرباء</v>
      </c>
      <c r="E138" s="26" t="str">
        <f ca="1">IFERROR(__xludf.DUMMYFUNCTION("""COMPUTED_VALUE"""),"قسم المشاريع الهندسية")</f>
        <v>قسم المشاريع الهندسية</v>
      </c>
      <c r="F138" s="26" t="str">
        <f ca="1">IFERROR(__xludf.DUMMYFUNCTION("""COMPUTED_VALUE"""),"E- ابتدائية العميد للبنات (الثالثة)")</f>
        <v>E- ابتدائية العميد للبنات (الثالثة)</v>
      </c>
      <c r="G138" s="26" t="str">
        <f ca="1">IFERROR(__xludf.DUMMYFUNCTION("""COMPUTED_VALUE"""),"الطابق الارضي, غرفة الكهرباء")</f>
        <v>الطابق الارضي, غرفة الكهرباء</v>
      </c>
      <c r="H138" s="26" t="str">
        <f ca="1">IFERROR(__xludf.DUMMYFUNCTION("""COMPUTED_VALUE"""),"تنظيف البنل الرئيسي وذلك بعد إتمام الأعمال المرتبطة بالمنظومة الجديدة")</f>
        <v>تنظيف البنل الرئيسي وذلك بعد إتمام الأعمال المرتبطة بالمنظومة الجديدة</v>
      </c>
      <c r="I138" s="26"/>
      <c r="J138" s="26" t="s">
        <v>3910</v>
      </c>
      <c r="K138" s="26" t="s">
        <v>13</v>
      </c>
      <c r="L138" s="55">
        <v>46128.296581678238</v>
      </c>
      <c r="M138" s="26"/>
      <c r="N138" s="4" t="s">
        <v>121</v>
      </c>
    </row>
    <row r="139" spans="1:14" ht="75" customHeight="1" thickTop="1" thickBot="1">
      <c r="A139" s="34">
        <v>137</v>
      </c>
      <c r="B139" s="55">
        <f ca="1">IFERROR(__xludf.DUMMYFUNCTION("""COMPUTED_VALUE"""),46127.422353993)</f>
        <v>46127.422353993003</v>
      </c>
      <c r="C139" s="56" t="str">
        <f ca="1">IFERROR(__xludf.DUMMYFUNCTION("""COMPUTED_VALUE"""),"المعملجي")</f>
        <v>المعملجي</v>
      </c>
      <c r="D139" s="56" t="str">
        <f ca="1">IFERROR(__xludf.DUMMYFUNCTION("""COMPUTED_VALUE"""),"وحدة الكهرباء")</f>
        <v>وحدة الكهرباء</v>
      </c>
      <c r="E139" s="26" t="str">
        <f ca="1">IFERROR(__xludf.DUMMYFUNCTION("""COMPUTED_VALUE"""),"قسم المشاريع الهندسية")</f>
        <v>قسم المشاريع الهندسية</v>
      </c>
      <c r="F139" s="26" t="str">
        <f ca="1">IFERROR(__xludf.DUMMYFUNCTION("""COMPUTED_VALUE"""),"F-  ابتدائية جود العميد للبنات (الرابعة)")</f>
        <v>F-  ابتدائية جود العميد للبنات (الرابعة)</v>
      </c>
      <c r="G139" s="26" t="str">
        <f ca="1">IFERROR(__xludf.DUMMYFUNCTION("""COMPUTED_VALUE"""),"الطابق الارضي, غرفة الكهرباء")</f>
        <v>الطابق الارضي, غرفة الكهرباء</v>
      </c>
      <c r="H139" s="26" t="str">
        <f ca="1">IFERROR(__xludf.DUMMYFUNCTION("""COMPUTED_VALUE"""),"تنظيف البنل الرئيسي وذلك بعد إتمام الأعمال المرتبطة بالمنظومة الجديدة")</f>
        <v>تنظيف البنل الرئيسي وذلك بعد إتمام الأعمال المرتبطة بالمنظومة الجديدة</v>
      </c>
      <c r="I139" s="26"/>
      <c r="J139" s="26" t="s">
        <v>3910</v>
      </c>
      <c r="K139" s="26" t="s">
        <v>13</v>
      </c>
      <c r="L139" s="55">
        <v>46128.296596134256</v>
      </c>
      <c r="M139" s="26"/>
      <c r="N139" s="4" t="s">
        <v>121</v>
      </c>
    </row>
    <row r="140" spans="1:14" ht="75" customHeight="1" thickTop="1" thickBot="1">
      <c r="A140" s="26">
        <v>138</v>
      </c>
      <c r="B140" s="55">
        <f ca="1">IFERROR(__xludf.DUMMYFUNCTION("""COMPUTED_VALUE"""),46127.4271587847)</f>
        <v>46127.427158784703</v>
      </c>
      <c r="C140" s="56" t="str">
        <f ca="1">IFERROR(__xludf.DUMMYFUNCTION("""COMPUTED_VALUE"""),"المعملجي")</f>
        <v>المعملجي</v>
      </c>
      <c r="D140" s="56" t="str">
        <f ca="1">IFERROR(__xludf.DUMMYFUNCTION("""COMPUTED_VALUE"""),"وحدة المدني")</f>
        <v>وحدة المدني</v>
      </c>
      <c r="E140" s="26" t="str">
        <f ca="1">IFERROR(__xludf.DUMMYFUNCTION("""COMPUTED_VALUE"""),"قسم المشاريع الهندسية")</f>
        <v>قسم المشاريع الهندسية</v>
      </c>
      <c r="F140" s="26" t="str">
        <f ca="1">IFERROR(__xludf.DUMMYFUNCTION("""COMPUTED_VALUE"""),"F-  ابتدائية جود العميد للبنات (الرابعة)")</f>
        <v>F-  ابتدائية جود العميد للبنات (الرابعة)</v>
      </c>
      <c r="G140" s="26" t="str">
        <f ca="1">IFERROR(__xludf.DUMMYFUNCTION("""COMPUTED_VALUE"""),"الطابق الارضي")</f>
        <v>الطابق الارضي</v>
      </c>
      <c r="H140" s="26" t="str">
        <f ca="1">IFERROR(__xludf.DUMMYFUNCTION("""COMPUTED_VALUE"""),"تبديل يدة شباك حديد عدد 2 ")</f>
        <v xml:space="preserve">تبديل يدة شباك حديد عدد 2 </v>
      </c>
      <c r="I140" s="26"/>
      <c r="J140" s="26" t="s">
        <v>16</v>
      </c>
      <c r="K140" s="26" t="s">
        <v>13</v>
      </c>
      <c r="L140" s="55">
        <v>46127.427247627318</v>
      </c>
      <c r="M140" s="26"/>
      <c r="N140" s="4" t="s">
        <v>121</v>
      </c>
    </row>
    <row r="141" spans="1:14" ht="75" customHeight="1" thickTop="1" thickBot="1">
      <c r="A141" s="34">
        <v>139</v>
      </c>
      <c r="B141" s="55">
        <f ca="1">IFERROR(__xludf.DUMMYFUNCTION("""COMPUTED_VALUE"""),46127.4277242938)</f>
        <v>46127.427724293899</v>
      </c>
      <c r="C141" s="56" t="str">
        <f ca="1">IFERROR(__xludf.DUMMYFUNCTION("""COMPUTED_VALUE"""),"المعملجي")</f>
        <v>المعملجي</v>
      </c>
      <c r="D141" s="56" t="str">
        <f ca="1">IFERROR(__xludf.DUMMYFUNCTION("""COMPUTED_VALUE"""),"وحدة المدني")</f>
        <v>وحدة المدني</v>
      </c>
      <c r="E141" s="26" t="str">
        <f ca="1">IFERROR(__xludf.DUMMYFUNCTION("""COMPUTED_VALUE"""),"قسم المشاريع الهندسية")</f>
        <v>قسم المشاريع الهندسية</v>
      </c>
      <c r="F141" s="26" t="str">
        <f ca="1">IFERROR(__xludf.DUMMYFUNCTION("""COMPUTED_VALUE"""),"F-  ابتدائية جود العميد للبنات (الرابعة)")</f>
        <v>F-  ابتدائية جود العميد للبنات (الرابعة)</v>
      </c>
      <c r="G141" s="26" t="str">
        <f ca="1">IFERROR(__xludf.DUMMYFUNCTION("""COMPUTED_VALUE"""),"الطابق الاول")</f>
        <v>الطابق الاول</v>
      </c>
      <c r="H141" s="26" t="str">
        <f ca="1">IFERROR(__xludf.DUMMYFUNCTION("""COMPUTED_VALUE"""),"تبديل يدة شباك حديد عدد 2 ")</f>
        <v xml:space="preserve">تبديل يدة شباك حديد عدد 2 </v>
      </c>
      <c r="I141" s="26"/>
      <c r="J141" s="26" t="s">
        <v>16</v>
      </c>
      <c r="K141" s="26" t="s">
        <v>13</v>
      </c>
      <c r="L141" s="55">
        <v>46127.427845706014</v>
      </c>
      <c r="M141" s="26"/>
      <c r="N141" s="4" t="s">
        <v>121</v>
      </c>
    </row>
    <row r="142" spans="1:14" ht="75" customHeight="1" thickTop="1" thickBot="1">
      <c r="A142" s="26">
        <v>140</v>
      </c>
      <c r="B142" s="55">
        <f ca="1">IFERROR(__xludf.DUMMYFUNCTION("""COMPUTED_VALUE"""),46127.4283460416)</f>
        <v>46127.428346041597</v>
      </c>
      <c r="C142" s="56" t="str">
        <f ca="1">IFERROR(__xludf.DUMMYFUNCTION("""COMPUTED_VALUE"""),"المعملجي")</f>
        <v>المعملجي</v>
      </c>
      <c r="D142" s="56" t="str">
        <f ca="1">IFERROR(__xludf.DUMMYFUNCTION("""COMPUTED_VALUE"""),"وحدة المدني")</f>
        <v>وحدة المدني</v>
      </c>
      <c r="E142" s="26" t="str">
        <f ca="1">IFERROR(__xludf.DUMMYFUNCTION("""COMPUTED_VALUE"""),"قسم المشاريع الهندسية")</f>
        <v>قسم المشاريع الهندسية</v>
      </c>
      <c r="F142" s="26" t="str">
        <f ca="1">IFERROR(__xludf.DUMMYFUNCTION("""COMPUTED_VALUE"""),"F-  ابتدائية جود العميد للبنات (الرابعة)")</f>
        <v>F-  ابتدائية جود العميد للبنات (الرابعة)</v>
      </c>
      <c r="G142" s="26" t="str">
        <f ca="1">IFERROR(__xludf.DUMMYFUNCTION("""COMPUTED_VALUE"""),"الطابق الثاني")</f>
        <v>الطابق الثاني</v>
      </c>
      <c r="H142" s="26" t="str">
        <f ca="1">IFERROR(__xludf.DUMMYFUNCTION("""COMPUTED_VALUE"""),"صيانة باب المنيوم ")</f>
        <v xml:space="preserve">صيانة باب المنيوم </v>
      </c>
      <c r="I142" s="26"/>
      <c r="J142" s="26" t="s">
        <v>16</v>
      </c>
      <c r="K142" s="26" t="s">
        <v>13</v>
      </c>
      <c r="L142" s="55">
        <v>46127.428450787032</v>
      </c>
      <c r="M142" s="26"/>
      <c r="N142" s="4" t="s">
        <v>121</v>
      </c>
    </row>
    <row r="143" spans="1:14" ht="75" customHeight="1" thickTop="1" thickBot="1">
      <c r="A143" s="34">
        <v>141</v>
      </c>
      <c r="B143" s="55">
        <f ca="1">IFERROR(__xludf.DUMMYFUNCTION("""COMPUTED_VALUE"""),46127.4288547569)</f>
        <v>46127.428854756901</v>
      </c>
      <c r="C143" s="56" t="str">
        <f ca="1">IFERROR(__xludf.DUMMYFUNCTION("""COMPUTED_VALUE"""),"المعملجي")</f>
        <v>المعملجي</v>
      </c>
      <c r="D143" s="56" t="str">
        <f ca="1">IFERROR(__xludf.DUMMYFUNCTION("""COMPUTED_VALUE"""),"وحدة المدني")</f>
        <v>وحدة المدني</v>
      </c>
      <c r="E143" s="26" t="str">
        <f ca="1">IFERROR(__xludf.DUMMYFUNCTION("""COMPUTED_VALUE"""),"قسم المشاريع الهندسية")</f>
        <v>قسم المشاريع الهندسية</v>
      </c>
      <c r="F143" s="26" t="str">
        <f ca="1">IFERROR(__xludf.DUMMYFUNCTION("""COMPUTED_VALUE"""),"E- ابتدائية العميد للبنات (الثالثة)")</f>
        <v>E- ابتدائية العميد للبنات (الثالثة)</v>
      </c>
      <c r="G143" s="26" t="str">
        <f ca="1">IFERROR(__xludf.DUMMYFUNCTION("""COMPUTED_VALUE"""),"الطابق الاول")</f>
        <v>الطابق الاول</v>
      </c>
      <c r="H143" s="26" t="str">
        <f ca="1">IFERROR(__xludf.DUMMYFUNCTION("""COMPUTED_VALUE"""),"تبديل يدة شباك عدد 2 ")</f>
        <v xml:space="preserve">تبديل يدة شباك عدد 2 </v>
      </c>
      <c r="I143" s="26"/>
      <c r="J143" s="26" t="s">
        <v>16</v>
      </c>
      <c r="K143" s="26" t="s">
        <v>13</v>
      </c>
      <c r="L143" s="55">
        <v>46127.428950844907</v>
      </c>
      <c r="M143" s="26"/>
      <c r="N143" s="4" t="s">
        <v>121</v>
      </c>
    </row>
    <row r="144" spans="1:14" ht="75" customHeight="1" thickTop="1" thickBot="1">
      <c r="A144" s="26">
        <v>142</v>
      </c>
      <c r="B144" s="55">
        <f ca="1">IFERROR(__xludf.DUMMYFUNCTION("""COMPUTED_VALUE"""),46127.4292311574)</f>
        <v>46127.429231157403</v>
      </c>
      <c r="C144" s="56" t="str">
        <f ca="1">IFERROR(__xludf.DUMMYFUNCTION("""COMPUTED_VALUE"""),"المعملجي")</f>
        <v>المعملجي</v>
      </c>
      <c r="D144" s="56" t="str">
        <f ca="1">IFERROR(__xludf.DUMMYFUNCTION("""COMPUTED_VALUE"""),"وحدة المدني")</f>
        <v>وحدة المدني</v>
      </c>
      <c r="E144" s="26" t="str">
        <f ca="1">IFERROR(__xludf.DUMMYFUNCTION("""COMPUTED_VALUE"""),"قسم المشاريع الهندسية")</f>
        <v>قسم المشاريع الهندسية</v>
      </c>
      <c r="F144" s="26" t="str">
        <f ca="1">IFERROR(__xludf.DUMMYFUNCTION("""COMPUTED_VALUE"""),"E- ابتدائية العميد للبنات (الثالثة)")</f>
        <v>E- ابتدائية العميد للبنات (الثالثة)</v>
      </c>
      <c r="G144" s="26" t="str">
        <f ca="1">IFERROR(__xludf.DUMMYFUNCTION("""COMPUTED_VALUE"""),"الطابق الارضي")</f>
        <v>الطابق الارضي</v>
      </c>
      <c r="H144" s="26" t="str">
        <f ca="1">IFERROR(__xludf.DUMMYFUNCTION("""COMPUTED_VALUE"""),"تبديل يدة شباك ")</f>
        <v xml:space="preserve">تبديل يدة شباك </v>
      </c>
      <c r="I144" s="26"/>
      <c r="J144" s="26" t="s">
        <v>16</v>
      </c>
      <c r="K144" s="26" t="s">
        <v>13</v>
      </c>
      <c r="L144" s="55">
        <v>46127.429309699073</v>
      </c>
      <c r="M144" s="26"/>
      <c r="N144" s="4" t="s">
        <v>121</v>
      </c>
    </row>
    <row r="145" spans="1:14" ht="75" customHeight="1" thickTop="1" thickBot="1">
      <c r="A145" s="34">
        <v>143</v>
      </c>
      <c r="B145" s="55">
        <f ca="1">IFERROR(__xludf.DUMMYFUNCTION("""COMPUTED_VALUE"""),46127.4297678588)</f>
        <v>46127.429767858797</v>
      </c>
      <c r="C145" s="56" t="str">
        <f ca="1">IFERROR(__xludf.DUMMYFUNCTION("""COMPUTED_VALUE"""),"المعملجي")</f>
        <v>المعملجي</v>
      </c>
      <c r="D145" s="56" t="str">
        <f ca="1">IFERROR(__xludf.DUMMYFUNCTION("""COMPUTED_VALUE"""),"وحدة المدني")</f>
        <v>وحدة المدني</v>
      </c>
      <c r="E145" s="26" t="str">
        <f ca="1">IFERROR(__xludf.DUMMYFUNCTION("""COMPUTED_VALUE"""),"قسم المشاريع الهندسية")</f>
        <v>قسم المشاريع الهندسية</v>
      </c>
      <c r="F145" s="26" t="str">
        <f ca="1">IFERROR(__xludf.DUMMYFUNCTION("""COMPUTED_VALUE"""),"D- ثانوية العميد بناية المتوسطة  (الثانية)")</f>
        <v>D- ثانوية العميد بناية المتوسطة  (الثانية)</v>
      </c>
      <c r="G145" s="26" t="str">
        <f ca="1">IFERROR(__xludf.DUMMYFUNCTION("""COMPUTED_VALUE"""),"الطابق الاول, الطابق الثاني")</f>
        <v>الطابق الاول, الطابق الثاني</v>
      </c>
      <c r="H145" s="26" t="str">
        <f ca="1">IFERROR(__xludf.DUMMYFUNCTION("""COMPUTED_VALUE"""),"استرجاع سقوف ثانوية عدد ١٠")</f>
        <v>استرجاع سقوف ثانوية عدد ١٠</v>
      </c>
      <c r="I145" s="26"/>
      <c r="J145" s="26" t="s">
        <v>16</v>
      </c>
      <c r="K145" s="26" t="s">
        <v>13</v>
      </c>
      <c r="L145" s="55">
        <v>46127.429852604168</v>
      </c>
      <c r="M145" s="26"/>
      <c r="N145" s="4" t="s">
        <v>121</v>
      </c>
    </row>
    <row r="146" spans="1:14" ht="75" customHeight="1" thickTop="1" thickBot="1">
      <c r="A146" s="26">
        <v>144</v>
      </c>
      <c r="B146" s="55">
        <f ca="1">IFERROR(__xludf.DUMMYFUNCTION("""COMPUTED_VALUE"""),46127.4428104166)</f>
        <v>46127.4428104166</v>
      </c>
      <c r="C146" s="56" t="str">
        <f ca="1">IFERROR(__xludf.DUMMYFUNCTION("""COMPUTED_VALUE"""),"المعملجي")</f>
        <v>المعملجي</v>
      </c>
      <c r="D146" s="56" t="str">
        <f ca="1">IFERROR(__xludf.DUMMYFUNCTION("""COMPUTED_VALUE"""),"سجاد تربية")</f>
        <v>سجاد تربية</v>
      </c>
      <c r="E146" s="26" t="str">
        <f ca="1">IFERROR(__xludf.DUMMYFUNCTION("""COMPUTED_VALUE"""),"قسم التربية والتعليم العالي")</f>
        <v>قسم التربية والتعليم العالي</v>
      </c>
      <c r="F146" s="26" t="str">
        <f ca="1">IFERROR(__xludf.DUMMYFUNCTION("""COMPUTED_VALUE"""),"B- روضة القمر")</f>
        <v>B- روضة القمر</v>
      </c>
      <c r="G146" s="26" t="str">
        <f ca="1">IFERROR(__xludf.DUMMYFUNCTION("""COMPUTED_VALUE"""),"الطابق الارضي")</f>
        <v>الطابق الارضي</v>
      </c>
      <c r="H146" s="26" t="str">
        <f ca="1">IFERROR(__xludf.DUMMYFUNCTION("""COMPUTED_VALUE"""),"لاتوجد كهرباء ")</f>
        <v xml:space="preserve">لاتوجد كهرباء </v>
      </c>
      <c r="I146" s="26"/>
      <c r="J146" s="26" t="s">
        <v>3910</v>
      </c>
      <c r="K146" s="26" t="s">
        <v>13</v>
      </c>
      <c r="L146" s="55">
        <v>46127.450854039351</v>
      </c>
      <c r="M146" s="26"/>
      <c r="N146" s="4" t="s">
        <v>122</v>
      </c>
    </row>
    <row r="147" spans="1:14" ht="75" customHeight="1" thickTop="1" thickBot="1">
      <c r="A147" s="34">
        <v>145</v>
      </c>
      <c r="B147" s="55">
        <f ca="1">IFERROR(__xludf.DUMMYFUNCTION("""COMPUTED_VALUE"""),46127.4445286111)</f>
        <v>46127.4445286111</v>
      </c>
      <c r="C147" s="56" t="str">
        <f ca="1">IFERROR(__xludf.DUMMYFUNCTION("""COMPUTED_VALUE"""),"المعملجي")</f>
        <v>المعملجي</v>
      </c>
      <c r="D147" s="56" t="str">
        <f ca="1">IFERROR(__xludf.DUMMYFUNCTION("""COMPUTED_VALUE"""),"سجاد تربية")</f>
        <v>سجاد تربية</v>
      </c>
      <c r="E147" s="26" t="str">
        <f ca="1">IFERROR(__xludf.DUMMYFUNCTION("""COMPUTED_VALUE"""),"قسم التربية والتعليم العالي")</f>
        <v>قسم التربية والتعليم العالي</v>
      </c>
      <c r="F147" s="26" t="str">
        <f ca="1">IFERROR(__xludf.DUMMYFUNCTION("""COMPUTED_VALUE"""),"صحيات مقابيل المولدات ")</f>
        <v xml:space="preserve">صحيات مقابيل المولدات </v>
      </c>
      <c r="G147" s="26" t="str">
        <f ca="1">IFERROR(__xludf.DUMMYFUNCTION("""COMPUTED_VALUE"""),"الطابق الارضي")</f>
        <v>الطابق الارضي</v>
      </c>
      <c r="H147" s="26" t="str">
        <f ca="1">IFERROR(__xludf.DUMMYFUNCTION("""COMPUTED_VALUE"""),"لاتوجد كهرباء ")</f>
        <v xml:space="preserve">لاتوجد كهرباء </v>
      </c>
      <c r="I147" s="26"/>
      <c r="J147" s="26" t="s">
        <v>3910</v>
      </c>
      <c r="K147" s="26" t="s">
        <v>13</v>
      </c>
      <c r="L147" s="55">
        <v>46127.479804641203</v>
      </c>
      <c r="M147" s="26"/>
      <c r="N147" s="4" t="s">
        <v>121</v>
      </c>
    </row>
    <row r="148" spans="1:14" ht="75" customHeight="1" thickTop="1" thickBot="1">
      <c r="A148" s="26">
        <v>146</v>
      </c>
      <c r="B148" s="55">
        <f ca="1">IFERROR(__xludf.DUMMYFUNCTION("""COMPUTED_VALUE"""),46127.4516877545)</f>
        <v>46127.451687754598</v>
      </c>
      <c r="C148" s="56" t="str">
        <f ca="1">IFERROR(__xludf.DUMMYFUNCTION("""COMPUTED_VALUE"""),"المعملجي")</f>
        <v>المعملجي</v>
      </c>
      <c r="D148" s="56" t="str">
        <f ca="1">IFERROR(__xludf.DUMMYFUNCTION("""COMPUTED_VALUE"""),"سجاد تربية")</f>
        <v>سجاد تربية</v>
      </c>
      <c r="E148" s="26" t="str">
        <f ca="1">IFERROR(__xludf.DUMMYFUNCTION("""COMPUTED_VALUE"""),"قسم التربية والتعليم العالي")</f>
        <v>قسم التربية والتعليم العالي</v>
      </c>
      <c r="F148" s="26" t="str">
        <f ca="1">IFERROR(__xludf.DUMMYFUNCTION("""COMPUTED_VALUE"""),"G- روضة الجود")</f>
        <v>G- روضة الجود</v>
      </c>
      <c r="G148" s="26" t="str">
        <f ca="1">IFERROR(__xludf.DUMMYFUNCTION("""COMPUTED_VALUE"""),"الطابق الارضي")</f>
        <v>الطابق الارضي</v>
      </c>
      <c r="H148" s="26" t="str">
        <f ca="1">IFERROR(__xludf.DUMMYFUNCTION("""COMPUTED_VALUE"""),"لاتوجد كهرباء واطفاء المفرغات ")</f>
        <v xml:space="preserve">لاتوجد كهرباء واطفاء المفرغات </v>
      </c>
      <c r="I148" s="26"/>
      <c r="J148" s="26" t="s">
        <v>3910</v>
      </c>
      <c r="K148" s="26" t="s">
        <v>13</v>
      </c>
      <c r="L148" s="55">
        <v>46127.479818321764</v>
      </c>
      <c r="M148" s="26"/>
      <c r="N148" s="4" t="s">
        <v>121</v>
      </c>
    </row>
    <row r="149" spans="1:14" ht="75" customHeight="1" thickTop="1" thickBot="1">
      <c r="A149" s="34">
        <v>147</v>
      </c>
      <c r="B149" s="55">
        <f ca="1">IFERROR(__xludf.DUMMYFUNCTION("""COMPUTED_VALUE"""),46127.5600345833)</f>
        <v>46127.560034583301</v>
      </c>
      <c r="C149" s="56" t="str">
        <f ca="1">IFERROR(__xludf.DUMMYFUNCTION("""COMPUTED_VALUE"""),"المعملجي")</f>
        <v>المعملجي</v>
      </c>
      <c r="D149" s="56" t="str">
        <f ca="1">IFERROR(__xludf.DUMMYFUNCTION("""COMPUTED_VALUE"""),"سجاد تربية")</f>
        <v>سجاد تربية</v>
      </c>
      <c r="E149" s="26" t="str">
        <f ca="1">IFERROR(__xludf.DUMMYFUNCTION("""COMPUTED_VALUE"""),"قسم التربية والتعليم العالي")</f>
        <v>قسم التربية والتعليم العالي</v>
      </c>
      <c r="F149" s="26" t="str">
        <f ca="1">IFERROR(__xludf.DUMMYFUNCTION("""COMPUTED_VALUE"""),"النافورة")</f>
        <v>النافورة</v>
      </c>
      <c r="G149" s="26" t="str">
        <f ca="1">IFERROR(__xludf.DUMMYFUNCTION("""COMPUTED_VALUE"""),"الطابق الارضي")</f>
        <v>الطابق الارضي</v>
      </c>
      <c r="H149" s="26" t="str">
        <f ca="1">IFERROR(__xludf.DUMMYFUNCTION("""COMPUTED_VALUE"""),"تشغيل نافورة لمستوى واحد ")</f>
        <v xml:space="preserve">تشغيل نافورة لمستوى واحد </v>
      </c>
      <c r="I149" s="26"/>
      <c r="J149" s="26" t="s">
        <v>3910</v>
      </c>
      <c r="K149" s="26" t="s">
        <v>13</v>
      </c>
      <c r="L149" s="55">
        <v>46127.625732442131</v>
      </c>
      <c r="M149" s="26"/>
      <c r="N149" s="4" t="s">
        <v>121</v>
      </c>
    </row>
    <row r="150" spans="1:14" ht="75" customHeight="1" thickTop="1" thickBot="1">
      <c r="A150" s="26">
        <v>148</v>
      </c>
      <c r="B150" s="55">
        <f ca="1">IFERROR(__xludf.DUMMYFUNCTION("""COMPUTED_VALUE"""),46128.299884456)</f>
        <v>46128.299884455999</v>
      </c>
      <c r="C150" s="56" t="str">
        <f ca="1">IFERROR(__xludf.DUMMYFUNCTION("""COMPUTED_VALUE"""),"المعملجي")</f>
        <v>المعملجي</v>
      </c>
      <c r="D150" s="56" t="str">
        <f ca="1">IFERROR(__xludf.DUMMYFUNCTION("""COMPUTED_VALUE"""),"وحدة الكهرباء")</f>
        <v>وحدة الكهرباء</v>
      </c>
      <c r="E150" s="26" t="str">
        <f ca="1">IFERROR(__xludf.DUMMYFUNCTION("""COMPUTED_VALUE"""),"قسم المشاريع الهندسية")</f>
        <v>قسم المشاريع الهندسية</v>
      </c>
      <c r="F150" s="26" t="str">
        <f ca="1">IFERROR(__xludf.DUMMYFUNCTION("""COMPUTED_VALUE"""),"F-  ابتدائية جود العميد للبنات (الرابعة)")</f>
        <v>F-  ابتدائية جود العميد للبنات (الرابعة)</v>
      </c>
      <c r="G150" s="26" t="str">
        <f ca="1">IFERROR(__xludf.DUMMYFUNCTION("""COMPUTED_VALUE"""),"الطابق الارضي, غرفة الكهرباء")</f>
        <v>الطابق الارضي, غرفة الكهرباء</v>
      </c>
      <c r="H150" s="26" t="str">
        <f ca="1">IFERROR(__xludf.DUMMYFUNCTION("""COMPUTED_VALUE"""),"نقل بارد انارة غرفة الكهرباء الخارجية للبناية من البورد الرئيسي إلى بورد الخدمات")</f>
        <v>نقل بارد انارة غرفة الكهرباء الخارجية للبناية من البورد الرئيسي إلى بورد الخدمات</v>
      </c>
      <c r="I150" s="26"/>
      <c r="J150" s="26" t="s">
        <v>3910</v>
      </c>
      <c r="K150" s="26" t="s">
        <v>13</v>
      </c>
      <c r="L150" s="55">
        <v>46128.317309421298</v>
      </c>
      <c r="M150" s="26"/>
      <c r="N150" s="4" t="s">
        <v>121</v>
      </c>
    </row>
    <row r="151" spans="1:14" ht="75" customHeight="1" thickTop="1" thickBot="1">
      <c r="A151" s="34">
        <v>149</v>
      </c>
      <c r="B151" s="55">
        <f ca="1">IFERROR(__xludf.DUMMYFUNCTION("""COMPUTED_VALUE"""),46128.30044375)</f>
        <v>46128.300443749999</v>
      </c>
      <c r="C151" s="56" t="str">
        <f ca="1">IFERROR(__xludf.DUMMYFUNCTION("""COMPUTED_VALUE"""),"المعملجي")</f>
        <v>المعملجي</v>
      </c>
      <c r="D151" s="56" t="str">
        <f ca="1">IFERROR(__xludf.DUMMYFUNCTION("""COMPUTED_VALUE"""),"وحدة الكهرباء")</f>
        <v>وحدة الكهرباء</v>
      </c>
      <c r="E151" s="26" t="str">
        <f ca="1">IFERROR(__xludf.DUMMYFUNCTION("""COMPUTED_VALUE"""),"قسم المشاريع الهندسية")</f>
        <v>قسم المشاريع الهندسية</v>
      </c>
      <c r="F151" s="26" t="str">
        <f ca="1">IFERROR(__xludf.DUMMYFUNCTION("""COMPUTED_VALUE"""),"E- ابتدائية العميد للبنات (الثالثة)")</f>
        <v>E- ابتدائية العميد للبنات (الثالثة)</v>
      </c>
      <c r="G151" s="26" t="str">
        <f ca="1">IFERROR(__xludf.DUMMYFUNCTION("""COMPUTED_VALUE"""),"الطابق الارضي, غرفة الكهرباء")</f>
        <v>الطابق الارضي, غرفة الكهرباء</v>
      </c>
      <c r="H151" s="26" t="str">
        <f ca="1">IFERROR(__xludf.DUMMYFUNCTION("""COMPUTED_VALUE"""),"اكمال دائرة السيطرة ( ربط مولدات محطة الرفع مع المدارس الاربعة)")</f>
        <v>اكمال دائرة السيطرة ( ربط مولدات محطة الرفع مع المدارس الاربعة)</v>
      </c>
      <c r="I151" s="26"/>
      <c r="J151" s="26" t="s">
        <v>3910</v>
      </c>
      <c r="K151" s="26" t="s">
        <v>13</v>
      </c>
      <c r="L151" s="55">
        <v>46128.317806840278</v>
      </c>
      <c r="M151" s="26"/>
      <c r="N151" s="4" t="s">
        <v>121</v>
      </c>
    </row>
    <row r="152" spans="1:14" ht="75" customHeight="1" thickTop="1" thickBot="1">
      <c r="A152" s="26">
        <v>150</v>
      </c>
      <c r="B152" s="55">
        <f ca="1">IFERROR(__xludf.DUMMYFUNCTION("""COMPUTED_VALUE"""),46128.3014914699)</f>
        <v>46128.301491469902</v>
      </c>
      <c r="C152" s="56" t="str">
        <f ca="1">IFERROR(__xludf.DUMMYFUNCTION("""COMPUTED_VALUE"""),"المعملجي")</f>
        <v>المعملجي</v>
      </c>
      <c r="D152" s="56" t="str">
        <f ca="1">IFERROR(__xludf.DUMMYFUNCTION("""COMPUTED_VALUE"""),"وحدة الكهرباء")</f>
        <v>وحدة الكهرباء</v>
      </c>
      <c r="E152" s="26" t="str">
        <f ca="1">IFERROR(__xludf.DUMMYFUNCTION("""COMPUTED_VALUE"""),"قسم المشاريع الهندسية")</f>
        <v>قسم المشاريع الهندسية</v>
      </c>
      <c r="F152" s="26" t="str">
        <f ca="1">IFERROR(__xludf.DUMMYFUNCTION("""COMPUTED_VALUE"""),"F-  ابتدائية جود العميد للبنات (الرابعة)")</f>
        <v>F-  ابتدائية جود العميد للبنات (الرابعة)</v>
      </c>
      <c r="G152" s="26" t="str">
        <f ca="1">IFERROR(__xludf.DUMMYFUNCTION("""COMPUTED_VALUE"""),"الطابق الارضي, غرفة الكهرباء")</f>
        <v>الطابق الارضي, غرفة الكهرباء</v>
      </c>
      <c r="H152" s="26" t="str">
        <f ca="1">IFERROR(__xludf.DUMMYFUNCTION("""COMPUTED_VALUE"""),"اكمال دائرة السيطرة ( ربط مولدات محطة الرفع مع المدارس الاربعة)")</f>
        <v>اكمال دائرة السيطرة ( ربط مولدات محطة الرفع مع المدارس الاربعة)</v>
      </c>
      <c r="I152" s="26"/>
      <c r="J152" s="26" t="s">
        <v>3910</v>
      </c>
      <c r="K152" s="26" t="s">
        <v>13</v>
      </c>
      <c r="L152" s="55">
        <v>46128.317821006945</v>
      </c>
      <c r="M152" s="26"/>
      <c r="N152" s="4" t="s">
        <v>121</v>
      </c>
    </row>
    <row r="153" spans="1:14" ht="75" customHeight="1" thickTop="1" thickBot="1">
      <c r="A153" s="34">
        <v>151</v>
      </c>
      <c r="B153" s="55">
        <f ca="1">IFERROR(__xludf.DUMMYFUNCTION("""COMPUTED_VALUE"""),46128.3026285995)</f>
        <v>46128.3026285995</v>
      </c>
      <c r="C153" s="56" t="str">
        <f ca="1">IFERROR(__xludf.DUMMYFUNCTION("""COMPUTED_VALUE"""),"المعملجي")</f>
        <v>المعملجي</v>
      </c>
      <c r="D153" s="56" t="str">
        <f ca="1">IFERROR(__xludf.DUMMYFUNCTION("""COMPUTED_VALUE"""),"وحدة الكهرباء")</f>
        <v>وحدة الكهرباء</v>
      </c>
      <c r="E153" s="26" t="str">
        <f ca="1">IFERROR(__xludf.DUMMYFUNCTION("""COMPUTED_VALUE"""),"قسم المشاريع الهندسية")</f>
        <v>قسم المشاريع الهندسية</v>
      </c>
      <c r="F153" s="26" t="str">
        <f ca="1">IFERROR(__xludf.DUMMYFUNCTION("""COMPUTED_VALUE"""),"F-  ابتدائية جود العميد للبنات (الرابعة)")</f>
        <v>F-  ابتدائية جود العميد للبنات (الرابعة)</v>
      </c>
      <c r="G153" s="26" t="str">
        <f ca="1">IFERROR(__xludf.DUMMYFUNCTION("""COMPUTED_VALUE"""),"الطابق الارضي, غرفة الكهرباء")</f>
        <v>الطابق الارضي, غرفة الكهرباء</v>
      </c>
      <c r="H153" s="26" t="str">
        <f ca="1">IFERROR(__xludf.DUMMYFUNCTION("""COMPUTED_VALUE"""),"استبدال قاطع المنظومة الجديدة حيث تبين وجود خلل مصنعي")</f>
        <v>استبدال قاطع المنظومة الجديدة حيث تبين وجود خلل مصنعي</v>
      </c>
      <c r="I153" s="26"/>
      <c r="J153" s="26" t="s">
        <v>3910</v>
      </c>
      <c r="K153" s="26" t="s">
        <v>13</v>
      </c>
      <c r="L153" s="55">
        <v>46128.317830162036</v>
      </c>
      <c r="M153" s="26"/>
      <c r="N153" s="4" t="s">
        <v>121</v>
      </c>
    </row>
    <row r="154" spans="1:14" ht="75" customHeight="1" thickTop="1" thickBot="1">
      <c r="A154" s="26">
        <v>152</v>
      </c>
      <c r="B154" s="55">
        <f ca="1">IFERROR(__xludf.DUMMYFUNCTION("""COMPUTED_VALUE"""),46128.3028955208)</f>
        <v>46128.302895520799</v>
      </c>
      <c r="C154" s="56" t="str">
        <f ca="1">IFERROR(__xludf.DUMMYFUNCTION("""COMPUTED_VALUE"""),"المعملجي")</f>
        <v>المعملجي</v>
      </c>
      <c r="D154" s="56" t="str">
        <f ca="1">IFERROR(__xludf.DUMMYFUNCTION("""COMPUTED_VALUE"""),"وحدة الكهرباء")</f>
        <v>وحدة الكهرباء</v>
      </c>
      <c r="E154" s="26" t="str">
        <f ca="1">IFERROR(__xludf.DUMMYFUNCTION("""COMPUTED_VALUE"""),"قسم المشاريع الهندسية")</f>
        <v>قسم المشاريع الهندسية</v>
      </c>
      <c r="F154" s="26" t="str">
        <f ca="1">IFERROR(__xludf.DUMMYFUNCTION("""COMPUTED_VALUE"""),"A- المركز الثقافي")</f>
        <v>A- المركز الثقافي</v>
      </c>
      <c r="G154" s="26" t="str">
        <f ca="1">IFERROR(__xludf.DUMMYFUNCTION("""COMPUTED_VALUE"""),"الطابق الثالث")</f>
        <v>الطابق الثالث</v>
      </c>
      <c r="H154" s="26" t="str">
        <f ca="1">IFERROR(__xludf.DUMMYFUNCTION("""COMPUTED_VALUE"""),"ستبدال نقطة كهرباء تالفة 13A.")</f>
        <v>ستبدال نقطة كهرباء تالفة 13A.</v>
      </c>
      <c r="I154" s="26"/>
      <c r="J154" s="26" t="s">
        <v>3910</v>
      </c>
      <c r="K154" s="26" t="s">
        <v>13</v>
      </c>
      <c r="L154" s="55">
        <v>46128.317314282409</v>
      </c>
      <c r="M154" s="26"/>
      <c r="N154" s="4"/>
    </row>
    <row r="155" spans="1:14" ht="75" customHeight="1" thickTop="1" thickBot="1">
      <c r="A155" s="34">
        <v>153</v>
      </c>
      <c r="B155" s="55">
        <f ca="1">IFERROR(__xludf.DUMMYFUNCTION("""COMPUTED_VALUE"""),46128.3033363194)</f>
        <v>46128.303336319397</v>
      </c>
      <c r="C155" s="56" t="str">
        <f ca="1">IFERROR(__xludf.DUMMYFUNCTION("""COMPUTED_VALUE"""),"المعملجي")</f>
        <v>المعملجي</v>
      </c>
      <c r="D155" s="56" t="str">
        <f ca="1">IFERROR(__xludf.DUMMYFUNCTION("""COMPUTED_VALUE"""),"وحدة الكهرباء")</f>
        <v>وحدة الكهرباء</v>
      </c>
      <c r="E155" s="26" t="str">
        <f ca="1">IFERROR(__xludf.DUMMYFUNCTION("""COMPUTED_VALUE"""),"قسم المشاريع الهندسية")</f>
        <v>قسم المشاريع الهندسية</v>
      </c>
      <c r="F155" s="26" t="str">
        <f ca="1">IFERROR(__xludf.DUMMYFUNCTION("""COMPUTED_VALUE"""),"J- جامعة العميد (السابعة)")</f>
        <v>J- جامعة العميد (السابعة)</v>
      </c>
      <c r="G155" s="26" t="str">
        <f ca="1">IFERROR(__xludf.DUMMYFUNCTION("""COMPUTED_VALUE"""),"الطابق الارضي, غرفة الكهرباء")</f>
        <v>الطابق الارضي, غرفة الكهرباء</v>
      </c>
      <c r="H155" s="26" t="str">
        <f ca="1">IFERROR(__xludf.DUMMYFUNCTION("""COMPUTED_VALUE"""),"فحص  UPS الخاص بالشاشات فقط بعد إطفاء الكهرباء عنهُ.")</f>
        <v>فحص  UPS الخاص بالشاشات فقط بعد إطفاء الكهرباء عنهُ.</v>
      </c>
      <c r="I155" s="26"/>
      <c r="J155" s="26" t="s">
        <v>3910</v>
      </c>
      <c r="K155" s="26" t="s">
        <v>13</v>
      </c>
      <c r="L155" s="55">
        <v>46128.317321550931</v>
      </c>
      <c r="M155" s="26"/>
      <c r="N155" s="4"/>
    </row>
    <row r="156" spans="1:14" ht="75" customHeight="1" thickTop="1" thickBot="1">
      <c r="A156" s="26">
        <v>154</v>
      </c>
      <c r="B156" s="55">
        <f ca="1">IFERROR(__xludf.DUMMYFUNCTION("""COMPUTED_VALUE"""),46128.3043906713)</f>
        <v>46128.304390671299</v>
      </c>
      <c r="C156" s="56" t="str">
        <f ca="1">IFERROR(__xludf.DUMMYFUNCTION("""COMPUTED_VALUE"""),"المعملجي")</f>
        <v>المعملجي</v>
      </c>
      <c r="D156" s="56" t="str">
        <f ca="1">IFERROR(__xludf.DUMMYFUNCTION("""COMPUTED_VALUE"""),"وحدة الكهرباء")</f>
        <v>وحدة الكهرباء</v>
      </c>
      <c r="E156" s="26" t="str">
        <f ca="1">IFERROR(__xludf.DUMMYFUNCTION("""COMPUTED_VALUE"""),"قسم المشاريع الهندسية")</f>
        <v>قسم المشاريع الهندسية</v>
      </c>
      <c r="F156" s="26" t="str">
        <f ca="1">IFERROR(__xludf.DUMMYFUNCTION("""COMPUTED_VALUE"""),"A- المركز الثقافي")</f>
        <v>A- المركز الثقافي</v>
      </c>
      <c r="G156" s="26" t="str">
        <f ca="1">IFERROR(__xludf.DUMMYFUNCTION("""COMPUTED_VALUE"""),"المصعد_كل الطوابق")</f>
        <v>المصعد_كل الطوابق</v>
      </c>
      <c r="H156" s="26" t="str">
        <f ca="1">IFERROR(__xludf.DUMMYFUNCTION("""COMPUTED_VALUE"""),"تنظيف  البوابات")</f>
        <v>تنظيف  البوابات</v>
      </c>
      <c r="I156" s="26"/>
      <c r="J156" s="26" t="s">
        <v>3910</v>
      </c>
      <c r="K156" s="26" t="s">
        <v>13</v>
      </c>
      <c r="L156" s="55">
        <v>46128.31734061343</v>
      </c>
      <c r="M156" s="26"/>
      <c r="N156" s="4"/>
    </row>
    <row r="157" spans="1:14" ht="75" customHeight="1" thickTop="1" thickBot="1">
      <c r="A157" s="34">
        <v>155</v>
      </c>
      <c r="B157" s="55">
        <f ca="1">IFERROR(__xludf.DUMMYFUNCTION("""COMPUTED_VALUE"""),46128.305347662)</f>
        <v>46128.305347661997</v>
      </c>
      <c r="C157" s="56" t="str">
        <f ca="1">IFERROR(__xludf.DUMMYFUNCTION("""COMPUTED_VALUE"""),"المعملجي")</f>
        <v>المعملجي</v>
      </c>
      <c r="D157" s="56" t="str">
        <f ca="1">IFERROR(__xludf.DUMMYFUNCTION("""COMPUTED_VALUE"""),"وحدة الكهرباء")</f>
        <v>وحدة الكهرباء</v>
      </c>
      <c r="E157" s="26" t="str">
        <f ca="1">IFERROR(__xludf.DUMMYFUNCTION("""COMPUTED_VALUE"""),"قسم المشاريع الهندسية")</f>
        <v>قسم المشاريع الهندسية</v>
      </c>
      <c r="F157" s="26" t="str">
        <f ca="1">IFERROR(__xludf.DUMMYFUNCTION("""COMPUTED_VALUE"""),"D- ثانوية العميد بناية المتوسطة  (الثانية)")</f>
        <v>D- ثانوية العميد بناية المتوسطة  (الثانية)</v>
      </c>
      <c r="G157" s="26" t="str">
        <f ca="1">IFERROR(__xludf.DUMMYFUNCTION("""COMPUTED_VALUE"""),"الطابق الارضي, غرفة الكهرباء")</f>
        <v>الطابق الارضي, غرفة الكهرباء</v>
      </c>
      <c r="H157" s="26" t="str">
        <f ca="1">IFERROR(__xludf.DUMMYFUNCTION("""COMPUTED_VALUE"""),"صيانة ATS المدرسة الخاص بالتحويل بين المولدة وخط محطة الرفع")</f>
        <v>صيانة ATS المدرسة الخاص بالتحويل بين المولدة وخط محطة الرفع</v>
      </c>
      <c r="I157" s="26"/>
      <c r="J157" s="26" t="s">
        <v>3910</v>
      </c>
      <c r="K157" s="26" t="s">
        <v>13</v>
      </c>
      <c r="L157" s="55">
        <v>46128.317340555557</v>
      </c>
      <c r="M157" s="26"/>
      <c r="N157" s="4"/>
    </row>
    <row r="158" spans="1:14" ht="75" customHeight="1" thickTop="1" thickBot="1">
      <c r="A158" s="26">
        <v>156</v>
      </c>
      <c r="B158" s="55">
        <f ca="1">IFERROR(__xludf.DUMMYFUNCTION("""COMPUTED_VALUE"""),46128.3055337037)</f>
        <v>46128.3055337037</v>
      </c>
      <c r="C158" s="56" t="str">
        <f ca="1">IFERROR(__xludf.DUMMYFUNCTION("""COMPUTED_VALUE"""),"المعملجي")</f>
        <v>المعملجي</v>
      </c>
      <c r="D158" s="56" t="str">
        <f ca="1">IFERROR(__xludf.DUMMYFUNCTION("""COMPUTED_VALUE"""),"وحدة الكهرباء")</f>
        <v>وحدة الكهرباء</v>
      </c>
      <c r="E158" s="26" t="str">
        <f ca="1">IFERROR(__xludf.DUMMYFUNCTION("""COMPUTED_VALUE"""),"قسم المشاريع الهندسية")</f>
        <v>قسم المشاريع الهندسية</v>
      </c>
      <c r="F158" s="26" t="str">
        <f ca="1">IFERROR(__xludf.DUMMYFUNCTION("""COMPUTED_VALUE"""),"E- ابتدائية العميد للبنات (الثالثة)")</f>
        <v>E- ابتدائية العميد للبنات (الثالثة)</v>
      </c>
      <c r="G158" s="26" t="str">
        <f ca="1">IFERROR(__xludf.DUMMYFUNCTION("""COMPUTED_VALUE"""),"الطابق الارضي, غرفة الكهرباء")</f>
        <v>الطابق الارضي, غرفة الكهرباء</v>
      </c>
      <c r="H158" s="26" t="str">
        <f ca="1">IFERROR(__xludf.DUMMYFUNCTION("""COMPUTED_VALUE"""),"صيانة ATS المدرسة الخاص بالتحويل بين المولدة وخط محطة الرفع")</f>
        <v>صيانة ATS المدرسة الخاص بالتحويل بين المولدة وخط محطة الرفع</v>
      </c>
      <c r="I158" s="26"/>
      <c r="J158" s="26" t="s">
        <v>3910</v>
      </c>
      <c r="K158" s="26" t="s">
        <v>13</v>
      </c>
      <c r="L158" s="55">
        <v>46128.317353946761</v>
      </c>
      <c r="M158" s="26"/>
      <c r="N158" s="4"/>
    </row>
    <row r="159" spans="1:14" ht="75" customHeight="1" thickTop="1" thickBot="1">
      <c r="A159" s="34">
        <v>157</v>
      </c>
      <c r="B159" s="55">
        <f ca="1">IFERROR(__xludf.DUMMYFUNCTION("""COMPUTED_VALUE"""),46128.3057059952)</f>
        <v>46128.305705995299</v>
      </c>
      <c r="C159" s="56" t="str">
        <f ca="1">IFERROR(__xludf.DUMMYFUNCTION("""COMPUTED_VALUE"""),"المعملجي")</f>
        <v>المعملجي</v>
      </c>
      <c r="D159" s="56" t="str">
        <f ca="1">IFERROR(__xludf.DUMMYFUNCTION("""COMPUTED_VALUE"""),"وحدة الكهرباء")</f>
        <v>وحدة الكهرباء</v>
      </c>
      <c r="E159" s="26" t="str">
        <f ca="1">IFERROR(__xludf.DUMMYFUNCTION("""COMPUTED_VALUE"""),"قسم المشاريع الهندسية")</f>
        <v>قسم المشاريع الهندسية</v>
      </c>
      <c r="F159" s="26" t="str">
        <f ca="1">IFERROR(__xludf.DUMMYFUNCTION("""COMPUTED_VALUE"""),"F-  ابتدائية جود العميد للبنات (الرابعة)")</f>
        <v>F-  ابتدائية جود العميد للبنات (الرابعة)</v>
      </c>
      <c r="G159" s="26" t="str">
        <f ca="1">IFERROR(__xludf.DUMMYFUNCTION("""COMPUTED_VALUE"""),"الطابق الارضي, غرفة الكهرباء")</f>
        <v>الطابق الارضي, غرفة الكهرباء</v>
      </c>
      <c r="H159" s="26" t="str">
        <f ca="1">IFERROR(__xludf.DUMMYFUNCTION("""COMPUTED_VALUE"""),"صيانة ATS المدرسة الخاص بالتحويل بين المولدة وخط محطة الرفع")</f>
        <v>صيانة ATS المدرسة الخاص بالتحويل بين المولدة وخط محطة الرفع</v>
      </c>
      <c r="I159" s="26"/>
      <c r="J159" s="26" t="s">
        <v>3910</v>
      </c>
      <c r="K159" s="26" t="s">
        <v>13</v>
      </c>
      <c r="L159" s="55">
        <v>46128.317356747684</v>
      </c>
      <c r="M159" s="26"/>
      <c r="N159" s="4"/>
    </row>
    <row r="160" spans="1:14" ht="75" customHeight="1" thickTop="1" thickBot="1">
      <c r="A160" s="26">
        <v>158</v>
      </c>
      <c r="B160" s="55">
        <f ca="1">IFERROR(__xludf.DUMMYFUNCTION("""COMPUTED_VALUE"""),46128.3071462963)</f>
        <v>46128.307146296298</v>
      </c>
      <c r="C160" s="56" t="str">
        <f ca="1">IFERROR(__xludf.DUMMYFUNCTION("""COMPUTED_VALUE"""),"المعملجي")</f>
        <v>المعملجي</v>
      </c>
      <c r="D160" s="56" t="str">
        <f ca="1">IFERROR(__xludf.DUMMYFUNCTION("""COMPUTED_VALUE"""),"وحدة الكهرباء")</f>
        <v>وحدة الكهرباء</v>
      </c>
      <c r="E160" s="26" t="str">
        <f ca="1">IFERROR(__xludf.DUMMYFUNCTION("""COMPUTED_VALUE"""),"قسم المشاريع الهندسية")</f>
        <v>قسم المشاريع الهندسية</v>
      </c>
      <c r="F160" s="26" t="str">
        <f ca="1">IFERROR(__xludf.DUMMYFUNCTION("""COMPUTED_VALUE"""),"شعبة الصيانة")</f>
        <v>شعبة الصيانة</v>
      </c>
      <c r="G160" s="26" t="str">
        <f ca="1">IFERROR(__xludf.DUMMYFUNCTION("""COMPUTED_VALUE"""),"محطة الرفع")</f>
        <v>محطة الرفع</v>
      </c>
      <c r="H160" s="26" t="str">
        <f ca="1">IFERROR(__xludf.DUMMYFUNCTION("""COMPUTED_VALUE"""),"ربط كيبل مسلح الى احد قواطع بورد محطة الرفع الخاص بتغذية غرفة مزامنة المختبرات")</f>
        <v>ربط كيبل مسلح الى احد قواطع بورد محطة الرفع الخاص بتغذية غرفة مزامنة المختبرات</v>
      </c>
      <c r="I160" s="26"/>
      <c r="J160" s="26" t="s">
        <v>3910</v>
      </c>
      <c r="K160" s="26" t="s">
        <v>13</v>
      </c>
      <c r="L160" s="55">
        <v>46128.317369039352</v>
      </c>
      <c r="M160" s="26"/>
      <c r="N160" s="4"/>
    </row>
    <row r="161" spans="1:14" ht="75" customHeight="1" thickTop="1" thickBot="1">
      <c r="A161" s="34">
        <v>159</v>
      </c>
      <c r="B161" s="55">
        <f ca="1">IFERROR(__xludf.DUMMYFUNCTION("""COMPUTED_VALUE"""),46128.3076565162)</f>
        <v>46128.307656516197</v>
      </c>
      <c r="C161" s="56" t="str">
        <f ca="1">IFERROR(__xludf.DUMMYFUNCTION("""COMPUTED_VALUE"""),"المعملجي")</f>
        <v>المعملجي</v>
      </c>
      <c r="D161" s="56" t="str">
        <f ca="1">IFERROR(__xludf.DUMMYFUNCTION("""COMPUTED_VALUE"""),"وحدة الكهرباء")</f>
        <v>وحدة الكهرباء</v>
      </c>
      <c r="E161" s="26" t="str">
        <f ca="1">IFERROR(__xludf.DUMMYFUNCTION("""COMPUTED_VALUE"""),"قسم المشاريع الهندسية")</f>
        <v>قسم المشاريع الهندسية</v>
      </c>
      <c r="F161" s="26" t="str">
        <f ca="1">IFERROR(__xludf.DUMMYFUNCTION("""COMPUTED_VALUE"""),"الاستعلامات الرئيسية")</f>
        <v>الاستعلامات الرئيسية</v>
      </c>
      <c r="G161" s="26" t="str">
        <f ca="1">IFERROR(__xludf.DUMMYFUNCTION("""COMPUTED_VALUE"""),"كرفان الامنية")</f>
        <v>كرفان الامنية</v>
      </c>
      <c r="H161" s="26" t="str">
        <f ca="1">IFERROR(__xludf.DUMMYFUNCTION("""COMPUTED_VALUE"""),"استبدال تري بلاستك قديم متهالك بآخر جديد")</f>
        <v>استبدال تري بلاستك قديم متهالك بآخر جديد</v>
      </c>
      <c r="I161" s="26"/>
      <c r="J161" s="26" t="s">
        <v>3910</v>
      </c>
      <c r="K161" s="26" t="s">
        <v>13</v>
      </c>
      <c r="L161" s="55">
        <v>46128.317370092591</v>
      </c>
      <c r="M161" s="26"/>
      <c r="N161" s="4"/>
    </row>
    <row r="162" spans="1:14" ht="75" customHeight="1" thickTop="1" thickBot="1">
      <c r="A162" s="26">
        <v>160</v>
      </c>
      <c r="B162" s="55">
        <f ca="1">IFERROR(__xludf.DUMMYFUNCTION("""COMPUTED_VALUE"""),46128.3081286111)</f>
        <v>46128.308128611097</v>
      </c>
      <c r="C162" s="56" t="str">
        <f ca="1">IFERROR(__xludf.DUMMYFUNCTION("""COMPUTED_VALUE"""),"المعملجي")</f>
        <v>المعملجي</v>
      </c>
      <c r="D162" s="56" t="str">
        <f ca="1">IFERROR(__xludf.DUMMYFUNCTION("""COMPUTED_VALUE"""),"وحدة الكهرباء")</f>
        <v>وحدة الكهرباء</v>
      </c>
      <c r="E162" s="26" t="str">
        <f ca="1">IFERROR(__xludf.DUMMYFUNCTION("""COMPUTED_VALUE"""),"قسم المشاريع الهندسية")</f>
        <v>قسم المشاريع الهندسية</v>
      </c>
      <c r="F162" s="26" t="str">
        <f ca="1">IFERROR(__xludf.DUMMYFUNCTION("""COMPUTED_VALUE"""),"C- ثانوية العميد بناية الاعدادية  (الاولى)")</f>
        <v>C- ثانوية العميد بناية الاعدادية  (الاولى)</v>
      </c>
      <c r="G162" s="26" t="str">
        <f ca="1">IFERROR(__xludf.DUMMYFUNCTION("""COMPUTED_VALUE"""),"الطابق الارضي, غرفة الكهرباء")</f>
        <v>الطابق الارضي, غرفة الكهرباء</v>
      </c>
      <c r="H162" s="26" t="str">
        <f ca="1">IFERROR(__xludf.DUMMYFUNCTION("""COMPUTED_VALUE"""),"تم تغيير الوان مصابيح الإشارة  في بوردات الats الرئيسية")</f>
        <v>تم تغيير الوان مصابيح الإشارة  في بوردات الats الرئيسية</v>
      </c>
      <c r="I162" s="26"/>
      <c r="J162" s="26" t="s">
        <v>3910</v>
      </c>
      <c r="K162" s="26" t="s">
        <v>13</v>
      </c>
      <c r="L162" s="55">
        <v>46128.317389687501</v>
      </c>
      <c r="M162" s="26"/>
      <c r="N162" s="4"/>
    </row>
    <row r="163" spans="1:14" ht="75" customHeight="1" thickTop="1" thickBot="1">
      <c r="A163" s="34">
        <v>161</v>
      </c>
      <c r="B163" s="55">
        <f ca="1">IFERROR(__xludf.DUMMYFUNCTION("""COMPUTED_VALUE"""),46128.3083438426)</f>
        <v>46128.308343842597</v>
      </c>
      <c r="C163" s="56" t="str">
        <f ca="1">IFERROR(__xludf.DUMMYFUNCTION("""COMPUTED_VALUE"""),"المعملجي")</f>
        <v>المعملجي</v>
      </c>
      <c r="D163" s="56" t="str">
        <f ca="1">IFERROR(__xludf.DUMMYFUNCTION("""COMPUTED_VALUE"""),"وحدة الكهرباء")</f>
        <v>وحدة الكهرباء</v>
      </c>
      <c r="E163" s="26" t="str">
        <f ca="1">IFERROR(__xludf.DUMMYFUNCTION("""COMPUTED_VALUE"""),"قسم المشاريع الهندسية")</f>
        <v>قسم المشاريع الهندسية</v>
      </c>
      <c r="F163" s="26" t="str">
        <f ca="1">IFERROR(__xludf.DUMMYFUNCTION("""COMPUTED_VALUE"""),"D- ثانوية العميد بناية المتوسطة  (الثانية)")</f>
        <v>D- ثانوية العميد بناية المتوسطة  (الثانية)</v>
      </c>
      <c r="G163" s="26" t="str">
        <f ca="1">IFERROR(__xludf.DUMMYFUNCTION("""COMPUTED_VALUE"""),"الطابق الارضي, غرفة الكهرباء")</f>
        <v>الطابق الارضي, غرفة الكهرباء</v>
      </c>
      <c r="H163" s="26" t="str">
        <f ca="1">IFERROR(__xludf.DUMMYFUNCTION("""COMPUTED_VALUE"""),"تم تغيير الوان مصابيح الإشارة  في بوردات الats الرئيسية")</f>
        <v>تم تغيير الوان مصابيح الإشارة  في بوردات الats الرئيسية</v>
      </c>
      <c r="I163" s="26"/>
      <c r="J163" s="26" t="s">
        <v>3910</v>
      </c>
      <c r="K163" s="26" t="s">
        <v>13</v>
      </c>
      <c r="L163" s="55"/>
      <c r="M163" s="26"/>
      <c r="N163" s="4"/>
    </row>
    <row r="164" spans="1:14" ht="75" customHeight="1" thickTop="1" thickBot="1">
      <c r="A164" s="26">
        <v>162</v>
      </c>
      <c r="B164" s="55">
        <f ca="1">IFERROR(__xludf.DUMMYFUNCTION("""COMPUTED_VALUE"""),46128.3085249189)</f>
        <v>46128.308524918903</v>
      </c>
      <c r="C164" s="56" t="str">
        <f ca="1">IFERROR(__xludf.DUMMYFUNCTION("""COMPUTED_VALUE"""),"المعملجي")</f>
        <v>المعملجي</v>
      </c>
      <c r="D164" s="56" t="str">
        <f ca="1">IFERROR(__xludf.DUMMYFUNCTION("""COMPUTED_VALUE"""),"وحدة الكهرباء")</f>
        <v>وحدة الكهرباء</v>
      </c>
      <c r="E164" s="26" t="str">
        <f ca="1">IFERROR(__xludf.DUMMYFUNCTION("""COMPUTED_VALUE"""),"قسم المشاريع الهندسية")</f>
        <v>قسم المشاريع الهندسية</v>
      </c>
      <c r="F164" s="26" t="str">
        <f ca="1">IFERROR(__xludf.DUMMYFUNCTION("""COMPUTED_VALUE"""),"E- ابتدائية العميد للبنات (الثالثة)")</f>
        <v>E- ابتدائية العميد للبنات (الثالثة)</v>
      </c>
      <c r="G164" s="26" t="str">
        <f ca="1">IFERROR(__xludf.DUMMYFUNCTION("""COMPUTED_VALUE"""),"الطابق الارضي, غرفة الكهرباء")</f>
        <v>الطابق الارضي, غرفة الكهرباء</v>
      </c>
      <c r="H164" s="26" t="str">
        <f ca="1">IFERROR(__xludf.DUMMYFUNCTION("""COMPUTED_VALUE"""),"تم تغيير الوان مصابيح الإشارة  في بوردات الats الرئيسية")</f>
        <v>تم تغيير الوان مصابيح الإشارة  في بوردات الats الرئيسية</v>
      </c>
      <c r="I164" s="26"/>
      <c r="J164" s="26" t="s">
        <v>3910</v>
      </c>
      <c r="K164" s="26" t="s">
        <v>13</v>
      </c>
      <c r="L164" s="55">
        <v>46128.317395162041</v>
      </c>
      <c r="M164" s="26"/>
      <c r="N164" s="4"/>
    </row>
    <row r="165" spans="1:14" ht="75" customHeight="1" thickTop="1" thickBot="1">
      <c r="A165" s="34">
        <v>163</v>
      </c>
      <c r="B165" s="55">
        <f ca="1">IFERROR(__xludf.DUMMYFUNCTION("""COMPUTED_VALUE"""),46128.3087242824)</f>
        <v>46128.308724282397</v>
      </c>
      <c r="C165" s="56" t="str">
        <f ca="1">IFERROR(__xludf.DUMMYFUNCTION("""COMPUTED_VALUE"""),"المعملجي")</f>
        <v>المعملجي</v>
      </c>
      <c r="D165" s="56" t="str">
        <f ca="1">IFERROR(__xludf.DUMMYFUNCTION("""COMPUTED_VALUE"""),"وحدة الكهرباء")</f>
        <v>وحدة الكهرباء</v>
      </c>
      <c r="E165" s="26" t="str">
        <f ca="1">IFERROR(__xludf.DUMMYFUNCTION("""COMPUTED_VALUE"""),"قسم المشاريع الهندسية")</f>
        <v>قسم المشاريع الهندسية</v>
      </c>
      <c r="F165" s="26" t="str">
        <f ca="1">IFERROR(__xludf.DUMMYFUNCTION("""COMPUTED_VALUE"""),"F-  ابتدائية جود العميد للبنات (الرابعة)")</f>
        <v>F-  ابتدائية جود العميد للبنات (الرابعة)</v>
      </c>
      <c r="G165" s="26" t="str">
        <f ca="1">IFERROR(__xludf.DUMMYFUNCTION("""COMPUTED_VALUE"""),"الطابق الارضي, غرفة الكهرباء")</f>
        <v>الطابق الارضي, غرفة الكهرباء</v>
      </c>
      <c r="H165" s="26" t="str">
        <f ca="1">IFERROR(__xludf.DUMMYFUNCTION("""COMPUTED_VALUE"""),"تم تغيير الوان مصابيح الإشارة  في بوردات الats الرئيسية")</f>
        <v>تم تغيير الوان مصابيح الإشارة  في بوردات الats الرئيسية</v>
      </c>
      <c r="I165" s="26"/>
      <c r="J165" s="26" t="s">
        <v>3910</v>
      </c>
      <c r="K165" s="26" t="s">
        <v>13</v>
      </c>
      <c r="L165" s="55">
        <v>46128.317403935187</v>
      </c>
      <c r="M165" s="26"/>
      <c r="N165" s="4"/>
    </row>
    <row r="166" spans="1:14" ht="75" customHeight="1" thickTop="1" thickBot="1">
      <c r="A166" s="26">
        <v>164</v>
      </c>
      <c r="B166" s="55">
        <f ca="1">IFERROR(__xludf.DUMMYFUNCTION("""COMPUTED_VALUE"""),46128.3098130555)</f>
        <v>46128.309813055501</v>
      </c>
      <c r="C166" s="56" t="str">
        <f ca="1">IFERROR(__xludf.DUMMYFUNCTION("""COMPUTED_VALUE"""),"المعملجي")</f>
        <v>المعملجي</v>
      </c>
      <c r="D166" s="56" t="str">
        <f ca="1">IFERROR(__xludf.DUMMYFUNCTION("""COMPUTED_VALUE"""),"وحدة الكهرباء")</f>
        <v>وحدة الكهرباء</v>
      </c>
      <c r="E166" s="26" t="str">
        <f ca="1">IFERROR(__xludf.DUMMYFUNCTION("""COMPUTED_VALUE"""),"قسم المشاريع الهندسية")</f>
        <v>قسم المشاريع الهندسية</v>
      </c>
      <c r="F166" s="26" t="str">
        <f ca="1">IFERROR(__xludf.DUMMYFUNCTION("""COMPUTED_VALUE"""),"A- المركز الثقافي")</f>
        <v>A- المركز الثقافي</v>
      </c>
      <c r="G166" s="26" t="str">
        <f ca="1">IFERROR(__xludf.DUMMYFUNCTION("""COMPUTED_VALUE"""),"الطابق الارضي, data center")</f>
        <v>الطابق الارضي, data center</v>
      </c>
      <c r="H166" s="26" t="str">
        <f ca="1">IFERROR(__xludf.DUMMYFUNCTION("""COMPUTED_VALUE"""),"فحص (UPS 1 + UPS 2) 
بعد إطفاء الكهرباء لمدة 60 دقيقة .")</f>
        <v>فحص (UPS 1 + UPS 2) 
بعد إطفاء الكهرباء لمدة 60 دقيقة .</v>
      </c>
      <c r="I166" s="26"/>
      <c r="J166" s="26" t="s">
        <v>3910</v>
      </c>
      <c r="K166" s="26" t="s">
        <v>13</v>
      </c>
      <c r="L166" s="55">
        <v>46128.317413206023</v>
      </c>
      <c r="M166" s="26"/>
      <c r="N166" s="4"/>
    </row>
    <row r="167" spans="1:14" ht="75" customHeight="1" thickTop="1" thickBot="1">
      <c r="A167" s="34">
        <v>165</v>
      </c>
      <c r="B167" s="55">
        <f ca="1">IFERROR(__xludf.DUMMYFUNCTION("""COMPUTED_VALUE"""),46128.3110033333)</f>
        <v>46128.3110033333</v>
      </c>
      <c r="C167" s="56" t="str">
        <f ca="1">IFERROR(__xludf.DUMMYFUNCTION("""COMPUTED_VALUE"""),"المعملجي")</f>
        <v>المعملجي</v>
      </c>
      <c r="D167" s="56" t="str">
        <f ca="1">IFERROR(__xludf.DUMMYFUNCTION("""COMPUTED_VALUE"""),"وحدة الكهرباء")</f>
        <v>وحدة الكهرباء</v>
      </c>
      <c r="E167" s="26" t="str">
        <f ca="1">IFERROR(__xludf.DUMMYFUNCTION("""COMPUTED_VALUE"""),"قسم المشاريع الهندسية")</f>
        <v>قسم المشاريع الهندسية</v>
      </c>
      <c r="F167" s="26" t="str">
        <f ca="1">IFERROR(__xludf.DUMMYFUNCTION("""COMPUTED_VALUE"""),"E- ابتدائية العميد للبنات (الثالثة)")</f>
        <v>E- ابتدائية العميد للبنات (الثالثة)</v>
      </c>
      <c r="G167" s="26" t="str">
        <f ca="1">IFERROR(__xludf.DUMMYFUNCTION("""COMPUTED_VALUE"""),"الطابق الارضي, الساحة ZONE B, غرفة الكهرباء")</f>
        <v>الطابق الارضي, الساحة ZONE B, غرفة الكهرباء</v>
      </c>
      <c r="H167" s="26" t="str">
        <f ca="1">IFERROR(__xludf.DUMMYFUNCTION("""COMPUTED_VALUE"""),"بعد البحث والمتابعة وجد ان القاطع  الرئيسي المغذي للطابق حصل به شورت سيركت.")</f>
        <v>بعد البحث والمتابعة وجد ان القاطع  الرئيسي المغذي للطابق حصل به شورت سيركت.</v>
      </c>
      <c r="I167" s="26"/>
      <c r="J167" s="26" t="s">
        <v>3910</v>
      </c>
      <c r="K167" s="26" t="s">
        <v>13</v>
      </c>
      <c r="L167" s="55">
        <v>46128.317418946761</v>
      </c>
      <c r="M167" s="26"/>
      <c r="N167" s="4"/>
    </row>
    <row r="168" spans="1:14" ht="75" customHeight="1" thickTop="1" thickBot="1">
      <c r="A168" s="26">
        <v>166</v>
      </c>
      <c r="B168" s="55">
        <f ca="1">IFERROR(__xludf.DUMMYFUNCTION("""COMPUTED_VALUE"""),46128.3125598495)</f>
        <v>46128.312559849503</v>
      </c>
      <c r="C168" s="56" t="str">
        <f ca="1">IFERROR(__xludf.DUMMYFUNCTION("""COMPUTED_VALUE"""),"المعملجي")</f>
        <v>المعملجي</v>
      </c>
      <c r="D168" s="56" t="str">
        <f ca="1">IFERROR(__xludf.DUMMYFUNCTION("""COMPUTED_VALUE"""),"وحدة الكهرباء")</f>
        <v>وحدة الكهرباء</v>
      </c>
      <c r="E168" s="26" t="str">
        <f ca="1">IFERROR(__xludf.DUMMYFUNCTION("""COMPUTED_VALUE"""),"قسم المشاريع الهندسية")</f>
        <v>قسم المشاريع الهندسية</v>
      </c>
      <c r="F168" s="26" t="str">
        <f ca="1">IFERROR(__xludf.DUMMYFUNCTION("""COMPUTED_VALUE"""),"E- ابتدائية العميد للبنات (الثالثة)")</f>
        <v>E- ابتدائية العميد للبنات (الثالثة)</v>
      </c>
      <c r="G168" s="26" t="str">
        <f ca="1">IFERROR(__xludf.DUMMYFUNCTION("""COMPUTED_VALUE"""),"الطابق الارضي, ZONE B, غرفة الكهرباء")</f>
        <v>الطابق الارضي, ZONE B, غرفة الكهرباء</v>
      </c>
      <c r="H168" s="26" t="str">
        <f ca="1">IFERROR(__xludf.DUMMYFUNCTION("""COMPUTED_VALUE"""),"تغذية بورد التوزيع الثانوي من بورد التوزيع الرئيسي لحين استبدال الكيبل")</f>
        <v>تغذية بورد التوزيع الثانوي من بورد التوزيع الرئيسي لحين استبدال الكيبل</v>
      </c>
      <c r="I168" s="26"/>
      <c r="J168" s="26" t="s">
        <v>3910</v>
      </c>
      <c r="K168" s="26" t="s">
        <v>13</v>
      </c>
      <c r="L168" s="55">
        <v>46128.317423564818</v>
      </c>
      <c r="M168" s="26"/>
      <c r="N168" s="4"/>
    </row>
    <row r="169" spans="1:14" ht="75" customHeight="1" thickTop="1" thickBot="1">
      <c r="A169" s="34">
        <v>167</v>
      </c>
      <c r="B169" s="55">
        <f ca="1">IFERROR(__xludf.DUMMYFUNCTION("""COMPUTED_VALUE"""),46128.3145790046)</f>
        <v>46128.314579004596</v>
      </c>
      <c r="C169" s="56" t="str">
        <f ca="1">IFERROR(__xludf.DUMMYFUNCTION("""COMPUTED_VALUE"""),"المعملجي")</f>
        <v>المعملجي</v>
      </c>
      <c r="D169" s="56" t="str">
        <f ca="1">IFERROR(__xludf.DUMMYFUNCTION("""COMPUTED_VALUE"""),"وحدة الكهرباء")</f>
        <v>وحدة الكهرباء</v>
      </c>
      <c r="E169" s="26" t="str">
        <f ca="1">IFERROR(__xludf.DUMMYFUNCTION("""COMPUTED_VALUE"""),"قسم المشاريع الهندسية")</f>
        <v>قسم المشاريع الهندسية</v>
      </c>
      <c r="F169" s="26" t="str">
        <f ca="1">IFERROR(__xludf.DUMMYFUNCTION("""COMPUTED_VALUE"""),"شعبة الصيانة")</f>
        <v>شعبة الصيانة</v>
      </c>
      <c r="G169" s="26" t="str">
        <f ca="1">IFERROR(__xludf.DUMMYFUNCTION("""COMPUTED_VALUE"""),"محطة الرفع")</f>
        <v>محطة الرفع</v>
      </c>
      <c r="H169" s="26" t="str">
        <f ca="1">IFERROR(__xludf.DUMMYFUNCTION("""COMPUTED_VALUE"""),"ربط تغذية الونج الجديد 2,000 كيلوا الذي نصب حديثاً")</f>
        <v>ربط تغذية الونج الجديد 2,000 كيلوا الذي نصب حديثاً</v>
      </c>
      <c r="I169" s="26"/>
      <c r="J169" s="26" t="s">
        <v>3910</v>
      </c>
      <c r="K169" s="26" t="s">
        <v>13</v>
      </c>
      <c r="L169" s="55">
        <v>46128.317434155091</v>
      </c>
      <c r="M169" s="26"/>
      <c r="N169" s="4"/>
    </row>
    <row r="170" spans="1:14" ht="75" customHeight="1" thickTop="1" thickBot="1">
      <c r="A170" s="26">
        <v>168</v>
      </c>
      <c r="B170" s="55">
        <f ca="1">IFERROR(__xludf.DUMMYFUNCTION("""COMPUTED_VALUE"""),46128.3154875)</f>
        <v>46128.315487499996</v>
      </c>
      <c r="C170" s="56" t="str">
        <f ca="1">IFERROR(__xludf.DUMMYFUNCTION("""COMPUTED_VALUE"""),"المعملجي")</f>
        <v>المعملجي</v>
      </c>
      <c r="D170" s="56" t="str">
        <f ca="1">IFERROR(__xludf.DUMMYFUNCTION("""COMPUTED_VALUE"""),"وحدة الكهرباء")</f>
        <v>وحدة الكهرباء</v>
      </c>
      <c r="E170" s="26" t="str">
        <f ca="1">IFERROR(__xludf.DUMMYFUNCTION("""COMPUTED_VALUE"""),"قسم المشاريع الهندسية")</f>
        <v>قسم المشاريع الهندسية</v>
      </c>
      <c r="F170" s="26" t="str">
        <f ca="1">IFERROR(__xludf.DUMMYFUNCTION("""COMPUTED_VALUE"""),"شعبة الصيانة")</f>
        <v>شعبة الصيانة</v>
      </c>
      <c r="G170" s="26" t="str">
        <f ca="1">IFERROR(__xludf.DUMMYFUNCTION("""COMPUTED_VALUE"""),"محطة الرفع")</f>
        <v>محطة الرفع</v>
      </c>
      <c r="H170" s="26" t="str">
        <f ca="1">IFERROR(__xludf.DUMMYFUNCTION("""COMPUTED_VALUE"""),"استبدال جوزة أحادية 25A بدل 16A")</f>
        <v>استبدال جوزة أحادية 25A بدل 16A</v>
      </c>
      <c r="I170" s="26"/>
      <c r="J170" s="26" t="s">
        <v>3910</v>
      </c>
      <c r="K170" s="26" t="s">
        <v>13</v>
      </c>
      <c r="L170" s="55">
        <v>46128.317447986112</v>
      </c>
      <c r="M170" s="26"/>
      <c r="N170" s="4"/>
    </row>
    <row r="171" spans="1:14" ht="75" customHeight="1" thickTop="1" thickBot="1">
      <c r="A171" s="34">
        <v>169</v>
      </c>
      <c r="B171" s="55">
        <f ca="1">IFERROR(__xludf.DUMMYFUNCTION("""COMPUTED_VALUE"""),46128.3160444444)</f>
        <v>46128.3160444444</v>
      </c>
      <c r="C171" s="56" t="str">
        <f ca="1">IFERROR(__xludf.DUMMYFUNCTION("""COMPUTED_VALUE"""),"المعملجي")</f>
        <v>المعملجي</v>
      </c>
      <c r="D171" s="56" t="str">
        <f ca="1">IFERROR(__xludf.DUMMYFUNCTION("""COMPUTED_VALUE"""),"وحدة الكهرباء")</f>
        <v>وحدة الكهرباء</v>
      </c>
      <c r="E171" s="26" t="str">
        <f ca="1">IFERROR(__xludf.DUMMYFUNCTION("""COMPUTED_VALUE"""),"قسم المشاريع الهندسية")</f>
        <v>قسم المشاريع الهندسية</v>
      </c>
      <c r="F171" s="26" t="str">
        <f ca="1">IFERROR(__xludf.DUMMYFUNCTION("""COMPUTED_VALUE"""),"المالية")</f>
        <v>المالية</v>
      </c>
      <c r="G171" s="26" t="str">
        <f ca="1">IFERROR(__xludf.DUMMYFUNCTION("""COMPUTED_VALUE""")," ")</f>
        <v xml:space="preserve"> </v>
      </c>
      <c r="H171" s="26" t="str">
        <f ca="1">IFERROR(__xludf.DUMMYFUNCTION("""COMPUTED_VALUE"""),"استبدال محولة سبوت لايت تالفة")</f>
        <v>استبدال محولة سبوت لايت تالفة</v>
      </c>
      <c r="I171" s="26"/>
      <c r="J171" s="26" t="s">
        <v>3910</v>
      </c>
      <c r="K171" s="26" t="s">
        <v>13</v>
      </c>
      <c r="L171" s="55">
        <v>46128.317451944444</v>
      </c>
      <c r="M171" s="26"/>
      <c r="N171" s="4"/>
    </row>
    <row r="172" spans="1:14" ht="75" customHeight="1" thickTop="1" thickBot="1">
      <c r="A172" s="26">
        <v>170</v>
      </c>
      <c r="B172" s="55">
        <f ca="1">IFERROR(__xludf.DUMMYFUNCTION("""COMPUTED_VALUE"""),46128.3167967592)</f>
        <v>46128.316796759202</v>
      </c>
      <c r="C172" s="56" t="str">
        <f ca="1">IFERROR(__xludf.DUMMYFUNCTION("""COMPUTED_VALUE"""),"المعملجي")</f>
        <v>المعملجي</v>
      </c>
      <c r="D172" s="56" t="str">
        <f ca="1">IFERROR(__xludf.DUMMYFUNCTION("""COMPUTED_VALUE"""),"وحدة الكهرباء")</f>
        <v>وحدة الكهرباء</v>
      </c>
      <c r="E172" s="26" t="str">
        <f ca="1">IFERROR(__xludf.DUMMYFUNCTION("""COMPUTED_VALUE"""),"قسم المشاريع الهندسية")</f>
        <v>قسم المشاريع الهندسية</v>
      </c>
      <c r="F172" s="26" t="str">
        <f ca="1">IFERROR(__xludf.DUMMYFUNCTION("""COMPUTED_VALUE"""),"I- ابتدائية الساقي للبنين (السادسة)")</f>
        <v>I- ابتدائية الساقي للبنين (السادسة)</v>
      </c>
      <c r="G172" s="26" t="str">
        <f ca="1">IFERROR(__xludf.DUMMYFUNCTION("""COMPUTED_VALUE"""),"الطابق الارضي, ZONE B, غرفة الكهرباء")</f>
        <v>الطابق الارضي, ZONE B, غرفة الكهرباء</v>
      </c>
      <c r="H172" s="26" t="str">
        <f ca="1">IFERROR(__xludf.DUMMYFUNCTION("""COMPUTED_VALUE"""),"تحويل تشغيل انارة الساحة الى خارج غرفة الكهرباء")</f>
        <v>تحويل تشغيل انارة الساحة الى خارج غرفة الكهرباء</v>
      </c>
      <c r="I172" s="26"/>
      <c r="J172" s="26" t="s">
        <v>3910</v>
      </c>
      <c r="K172" s="26" t="s">
        <v>13</v>
      </c>
      <c r="L172" s="55">
        <v>46128.317459675927</v>
      </c>
      <c r="M172" s="26"/>
      <c r="N172" s="4"/>
    </row>
    <row r="173" spans="1:14" ht="75" customHeight="1" thickTop="1" thickBot="1">
      <c r="A173" s="34">
        <v>171</v>
      </c>
      <c r="B173" s="55">
        <f ca="1">IFERROR(__xludf.DUMMYFUNCTION("""COMPUTED_VALUE"""),46128.4938351736)</f>
        <v>46128.493835173598</v>
      </c>
      <c r="C173" s="56" t="str">
        <f ca="1">IFERROR(__xludf.DUMMYFUNCTION("""COMPUTED_VALUE"""),"المعملجي")</f>
        <v>المعملجي</v>
      </c>
      <c r="D173" s="56" t="str">
        <f ca="1">IFERROR(__xludf.DUMMYFUNCTION("""COMPUTED_VALUE"""),"سجاد تربية")</f>
        <v>سجاد تربية</v>
      </c>
      <c r="E173" s="26" t="str">
        <f ca="1">IFERROR(__xludf.DUMMYFUNCTION("""COMPUTED_VALUE"""),"قسم التربية والتعليم العالي")</f>
        <v>قسم التربية والتعليم العالي</v>
      </c>
      <c r="F173" s="26" t="str">
        <f ca="1">IFERROR(__xludf.DUMMYFUNCTION("""COMPUTED_VALUE"""),"E- ابتدائية العميد للبنات (الثالثة)")</f>
        <v>E- ابتدائية العميد للبنات (الثالثة)</v>
      </c>
      <c r="G173" s="26"/>
      <c r="H173" s="26" t="str">
        <f ca="1">IFERROR(__xludf.DUMMYFUNCTION("""COMPUTED_VALUE"""),"صيانة سيارة تنظيف ")</f>
        <v xml:space="preserve">صيانة سيارة تنظيف </v>
      </c>
      <c r="I173" s="26"/>
      <c r="J173" s="26"/>
      <c r="K173" s="26" t="s">
        <v>3911</v>
      </c>
      <c r="L173" s="55">
        <v>46131.461855532412</v>
      </c>
      <c r="M173" s="26"/>
      <c r="N173" s="4"/>
    </row>
    <row r="174" spans="1:14" ht="75" customHeight="1" thickTop="1" thickBot="1">
      <c r="A174" s="26">
        <v>172</v>
      </c>
      <c r="B174" s="55">
        <f ca="1">IFERROR(__xludf.DUMMYFUNCTION("""COMPUTED_VALUE"""),46128.4945998379)</f>
        <v>46128.494599837897</v>
      </c>
      <c r="C174" s="56" t="str">
        <f ca="1">IFERROR(__xludf.DUMMYFUNCTION("""COMPUTED_VALUE"""),"المعملجي")</f>
        <v>المعملجي</v>
      </c>
      <c r="D174" s="56" t="str">
        <f ca="1">IFERROR(__xludf.DUMMYFUNCTION("""COMPUTED_VALUE"""),"سجاد تربية")</f>
        <v>سجاد تربية</v>
      </c>
      <c r="E174" s="26" t="str">
        <f ca="1">IFERROR(__xludf.DUMMYFUNCTION("""COMPUTED_VALUE"""),"قسم التربية والتعليم العالي")</f>
        <v>قسم التربية والتعليم العالي</v>
      </c>
      <c r="F174" s="26" t="str">
        <f ca="1">IFERROR(__xludf.DUMMYFUNCTION("""COMPUTED_VALUE"""),"قاعة رياضية ")</f>
        <v xml:space="preserve">قاعة رياضية </v>
      </c>
      <c r="G174" s="26" t="str">
        <f ca="1">IFERROR(__xludf.DUMMYFUNCTION("""COMPUTED_VALUE"""),"مقابيل المالية ")</f>
        <v xml:space="preserve">مقابيل المالية </v>
      </c>
      <c r="H174" s="26" t="str">
        <f ca="1">IFERROR(__xludf.DUMMYFUNCTION("""COMPUTED_VALUE"""),"صيانة باب القاعة لاتقفل ")</f>
        <v xml:space="preserve">صيانة باب القاعة لاتقفل </v>
      </c>
      <c r="I174" s="26"/>
      <c r="J174" s="26" t="s">
        <v>16</v>
      </c>
      <c r="K174" s="26" t="s">
        <v>13</v>
      </c>
      <c r="L174" s="55">
        <v>46130.573663587958</v>
      </c>
      <c r="M174" s="26"/>
      <c r="N174" s="4"/>
    </row>
    <row r="175" spans="1:14" ht="75" customHeight="1" thickTop="1" thickBot="1">
      <c r="A175" s="34">
        <v>173</v>
      </c>
      <c r="B175" s="55">
        <f ca="1">IFERROR(__xludf.DUMMYFUNCTION("""COMPUTED_VALUE"""),46130.3293085763)</f>
        <v>46130.3293085763</v>
      </c>
      <c r="C175" s="56" t="str">
        <f ca="1">IFERROR(__xludf.DUMMYFUNCTION("""COMPUTED_VALUE"""),"المعملجي")</f>
        <v>المعملجي</v>
      </c>
      <c r="D175" s="56" t="str">
        <f ca="1">IFERROR(__xludf.DUMMYFUNCTION("""COMPUTED_VALUE"""),"سجاد تربية")</f>
        <v>سجاد تربية</v>
      </c>
      <c r="E175" s="26" t="str">
        <f ca="1">IFERROR(__xludf.DUMMYFUNCTION("""COMPUTED_VALUE"""),"قسم التربية والتعليم العالي")</f>
        <v>قسم التربية والتعليم العالي</v>
      </c>
      <c r="F175" s="26" t="str">
        <f ca="1">IFERROR(__xludf.DUMMYFUNCTION("""COMPUTED_VALUE"""),"رئاسة القسم")</f>
        <v>رئاسة القسم</v>
      </c>
      <c r="G175" s="26" t="str">
        <f ca="1">IFERROR(__xludf.DUMMYFUNCTION("""COMPUTED_VALUE"""),"الطابق الاول")</f>
        <v>الطابق الاول</v>
      </c>
      <c r="H175" s="26" t="str">
        <f ca="1">IFERROR(__xludf.DUMMYFUNCTION("""COMPUTED_VALUE"""),"صيانة سبوت لايت قرب غرفة الدكتور")</f>
        <v>صيانة سبوت لايت قرب غرفة الدكتور</v>
      </c>
      <c r="I175" s="26"/>
      <c r="J175" s="26" t="s">
        <v>3910</v>
      </c>
      <c r="K175" s="26" t="s">
        <v>13</v>
      </c>
      <c r="L175" s="55">
        <v>46130.573326238431</v>
      </c>
      <c r="M175" s="26"/>
      <c r="N175" s="4"/>
    </row>
    <row r="176" spans="1:14" ht="75" customHeight="1" thickTop="1" thickBot="1">
      <c r="A176" s="26">
        <v>174</v>
      </c>
      <c r="B176" s="55">
        <f ca="1">IFERROR(__xludf.DUMMYFUNCTION("""COMPUTED_VALUE"""),46130.4069788425)</f>
        <v>46130.406978842497</v>
      </c>
      <c r="C176" s="56" t="str">
        <f ca="1">IFERROR(__xludf.DUMMYFUNCTION("""COMPUTED_VALUE"""),"المعملجي")</f>
        <v>المعملجي</v>
      </c>
      <c r="D176" s="56" t="str">
        <f ca="1">IFERROR(__xludf.DUMMYFUNCTION("""COMPUTED_VALUE"""),"سجاد تربية")</f>
        <v>سجاد تربية</v>
      </c>
      <c r="E176" s="26" t="str">
        <f ca="1">IFERROR(__xludf.DUMMYFUNCTION("""COMPUTED_VALUE"""),"قسم التربية والتعليم العالي")</f>
        <v>قسم التربية والتعليم العالي</v>
      </c>
      <c r="F176" s="26" t="str">
        <f ca="1">IFERROR(__xludf.DUMMYFUNCTION("""COMPUTED_VALUE"""),"F-  ابتدائية جود العميد للبنات (الرابعة)")</f>
        <v>F-  ابتدائية جود العميد للبنات (الرابعة)</v>
      </c>
      <c r="G176" s="26" t="str">
        <f ca="1">IFERROR(__xludf.DUMMYFUNCTION("""COMPUTED_VALUE"""),"الطابق الارضي")</f>
        <v>الطابق الارضي</v>
      </c>
      <c r="H176" s="26" t="str">
        <f ca="1">IFERROR(__xludf.DUMMYFUNCTION("""COMPUTED_VALUE"""),"لايوجد ماء شرب في المنظومة ")</f>
        <v xml:space="preserve">لايوجد ماء شرب في المنظومة </v>
      </c>
      <c r="I176" s="26"/>
      <c r="J176" s="26" t="s">
        <v>14</v>
      </c>
      <c r="K176" s="26" t="s">
        <v>13</v>
      </c>
      <c r="L176" s="55">
        <v>46130.452404861113</v>
      </c>
      <c r="M176" s="26"/>
      <c r="N176" s="4"/>
    </row>
    <row r="177" spans="1:14" ht="75" customHeight="1" thickTop="1" thickBot="1">
      <c r="A177" s="34">
        <v>175</v>
      </c>
      <c r="B177" s="55">
        <f ca="1">IFERROR(__xludf.DUMMYFUNCTION("""COMPUTED_VALUE"""),46131.3471802199)</f>
        <v>46131.347180219898</v>
      </c>
      <c r="C177" s="56" t="str">
        <f ca="1">IFERROR(__xludf.DUMMYFUNCTION("""COMPUTED_VALUE"""),"المعملجي")</f>
        <v>المعملجي</v>
      </c>
      <c r="D177" s="56" t="str">
        <f ca="1">IFERROR(__xludf.DUMMYFUNCTION("""COMPUTED_VALUE"""),"وحدة المدني")</f>
        <v>وحدة المدني</v>
      </c>
      <c r="E177" s="26" t="str">
        <f ca="1">IFERROR(__xludf.DUMMYFUNCTION("""COMPUTED_VALUE"""),"قسم المشاريع الهندسية")</f>
        <v>قسم المشاريع الهندسية</v>
      </c>
      <c r="F177" s="26" t="str">
        <f ca="1">IFERROR(__xludf.DUMMYFUNCTION("""COMPUTED_VALUE"""),"F-  ابتدائية جود العميد للبنات (الرابعة)")</f>
        <v>F-  ابتدائية جود العميد للبنات (الرابعة)</v>
      </c>
      <c r="G177" s="26" t="str">
        <f ca="1">IFERROR(__xludf.DUMMYFUNCTION("""COMPUTED_VALUE"""),"الطابق الاول, ZONE B")</f>
        <v>الطابق الاول, ZONE B</v>
      </c>
      <c r="H177" s="26" t="str">
        <f ca="1">IFERROR(__xludf.DUMMYFUNCTION("""COMPUTED_VALUE"""),"صيانة تور شباك صف الثالث ب")</f>
        <v>صيانة تور شباك صف الثالث ب</v>
      </c>
      <c r="I177" s="26"/>
      <c r="J177" s="26" t="s">
        <v>16</v>
      </c>
      <c r="K177" s="26" t="s">
        <v>13</v>
      </c>
      <c r="L177" s="55"/>
      <c r="M177" s="26"/>
      <c r="N177" s="4"/>
    </row>
    <row r="178" spans="1:14" ht="75" customHeight="1" thickTop="1" thickBot="1">
      <c r="A178" s="26">
        <v>176</v>
      </c>
      <c r="B178" s="55">
        <f ca="1">IFERROR(__xludf.DUMMYFUNCTION("""COMPUTED_VALUE"""),46131.3479891898)</f>
        <v>46131.347989189802</v>
      </c>
      <c r="C178" s="56" t="str">
        <f ca="1">IFERROR(__xludf.DUMMYFUNCTION("""COMPUTED_VALUE"""),"المعملجي")</f>
        <v>المعملجي</v>
      </c>
      <c r="D178" s="56" t="str">
        <f ca="1">IFERROR(__xludf.DUMMYFUNCTION("""COMPUTED_VALUE"""),"وحدة المدني")</f>
        <v>وحدة المدني</v>
      </c>
      <c r="E178" s="26" t="str">
        <f ca="1">IFERROR(__xludf.DUMMYFUNCTION("""COMPUTED_VALUE"""),"قسم المشاريع الهندسية")</f>
        <v>قسم المشاريع الهندسية</v>
      </c>
      <c r="F178" s="26" t="str">
        <f ca="1">IFERROR(__xludf.DUMMYFUNCTION("""COMPUTED_VALUE"""),"F-  ابتدائية جود العميد للبنات (الرابعة)")</f>
        <v>F-  ابتدائية جود العميد للبنات (الرابعة)</v>
      </c>
      <c r="G178" s="26" t="str">
        <f ca="1">IFERROR(__xludf.DUMMYFUNCTION("""COMPUTED_VALUE"""),"الطابق الثاني, ZONE B")</f>
        <v>الطابق الثاني, ZONE B</v>
      </c>
      <c r="H178" s="26" t="str">
        <f ca="1">IFERROR(__xludf.DUMMYFUNCTION("""COMPUTED_VALUE"""),"ارجاع سقوف ثانوية عدد ٩")</f>
        <v>ارجاع سقوف ثانوية عدد ٩</v>
      </c>
      <c r="I178" s="26"/>
      <c r="J178" s="26" t="s">
        <v>16</v>
      </c>
      <c r="K178" s="26" t="s">
        <v>13</v>
      </c>
      <c r="L178" s="55"/>
      <c r="M178" s="26"/>
      <c r="N178" s="4"/>
    </row>
    <row r="179" spans="1:14" ht="75" customHeight="1" thickTop="1" thickBot="1">
      <c r="A179" s="34">
        <v>177</v>
      </c>
      <c r="B179" s="55">
        <f ca="1">IFERROR(__xludf.DUMMYFUNCTION("""COMPUTED_VALUE"""),46131.3559298842)</f>
        <v>46131.355929884201</v>
      </c>
      <c r="C179" s="56" t="str">
        <f ca="1">IFERROR(__xludf.DUMMYFUNCTION("""COMPUTED_VALUE"""),"المعملجي")</f>
        <v>المعملجي</v>
      </c>
      <c r="D179" s="56" t="str">
        <f ca="1">IFERROR(__xludf.DUMMYFUNCTION("""COMPUTED_VALUE"""),"سجاد تربية")</f>
        <v>سجاد تربية</v>
      </c>
      <c r="E179" s="26" t="str">
        <f ca="1">IFERROR(__xludf.DUMMYFUNCTION("""COMPUTED_VALUE"""),"قسم التربية والتعليم العالي")</f>
        <v>قسم التربية والتعليم العالي</v>
      </c>
      <c r="F179" s="26" t="str">
        <f ca="1">IFERROR(__xludf.DUMMYFUNCTION("""COMPUTED_VALUE"""),"A- المركز الثقافي")</f>
        <v>A- المركز الثقافي</v>
      </c>
      <c r="G179" s="26" t="str">
        <f ca="1">IFERROR(__xludf.DUMMYFUNCTION("""COMPUTED_VALUE"""),"الطابق الارضي")</f>
        <v>الطابق الارضي</v>
      </c>
      <c r="H179" s="26" t="str">
        <f ca="1">IFERROR(__xludf.DUMMYFUNCTION("""COMPUTED_VALUE"""),"صيانة براد ماء ")</f>
        <v xml:space="preserve">صيانة براد ماء </v>
      </c>
      <c r="I179" s="26"/>
      <c r="J179" s="26" t="s">
        <v>15</v>
      </c>
      <c r="K179" s="26" t="s">
        <v>3911</v>
      </c>
      <c r="L179" s="55">
        <v>46132.332586504628</v>
      </c>
      <c r="M179" s="26"/>
      <c r="N179" s="4" t="s">
        <v>121</v>
      </c>
    </row>
    <row r="180" spans="1:14" ht="75" customHeight="1" thickTop="1" thickBot="1">
      <c r="A180" s="26">
        <v>178</v>
      </c>
      <c r="B180" s="55">
        <f ca="1">IFERROR(__xludf.DUMMYFUNCTION("""COMPUTED_VALUE"""),46131.3566498148)</f>
        <v>46131.356649814799</v>
      </c>
      <c r="C180" s="56" t="str">
        <f ca="1">IFERROR(__xludf.DUMMYFUNCTION("""COMPUTED_VALUE"""),"المعملجي")</f>
        <v>المعملجي</v>
      </c>
      <c r="D180" s="56" t="str">
        <f ca="1">IFERROR(__xludf.DUMMYFUNCTION("""COMPUTED_VALUE"""),"سجاد تربية")</f>
        <v>سجاد تربية</v>
      </c>
      <c r="E180" s="26" t="str">
        <f ca="1">IFERROR(__xludf.DUMMYFUNCTION("""COMPUTED_VALUE"""),"قسم التربية والتعليم العالي")</f>
        <v>قسم التربية والتعليم العالي</v>
      </c>
      <c r="F180" s="26" t="str">
        <f ca="1">IFERROR(__xludf.DUMMYFUNCTION("""COMPUTED_VALUE"""),"I- ابتدائية الساقي للبنين (السادسة)")</f>
        <v>I- ابتدائية الساقي للبنين (السادسة)</v>
      </c>
      <c r="G180" s="26" t="str">
        <f ca="1">IFERROR(__xludf.DUMMYFUNCTION("""COMPUTED_VALUE"""),"الطابق الارضي")</f>
        <v>الطابق الارضي</v>
      </c>
      <c r="H180" s="26" t="str">
        <f ca="1">IFERROR(__xludf.DUMMYFUNCTION("""COMPUTED_VALUE"""),"تشغيل  تبريد ")</f>
        <v xml:space="preserve">تشغيل  تبريد </v>
      </c>
      <c r="I180" s="26"/>
      <c r="J180" s="26" t="s">
        <v>15</v>
      </c>
      <c r="K180" s="26" t="s">
        <v>13</v>
      </c>
      <c r="L180" s="55">
        <v>46131.455531215281</v>
      </c>
      <c r="M180" s="26"/>
      <c r="N180" s="4" t="s">
        <v>123</v>
      </c>
    </row>
    <row r="181" spans="1:14" ht="75" customHeight="1" thickTop="1" thickBot="1">
      <c r="A181" s="34">
        <v>179</v>
      </c>
      <c r="B181" s="55">
        <f ca="1">IFERROR(__xludf.DUMMYFUNCTION("""COMPUTED_VALUE"""),46131.4099722222)</f>
        <v>46131.409972222202</v>
      </c>
      <c r="C181" s="56" t="str">
        <f ca="1">IFERROR(__xludf.DUMMYFUNCTION("""COMPUTED_VALUE"""),"المعملجي")</f>
        <v>المعملجي</v>
      </c>
      <c r="D181" s="56" t="str">
        <f ca="1">IFERROR(__xludf.DUMMYFUNCTION("""COMPUTED_VALUE"""),"سجاد تربية")</f>
        <v>سجاد تربية</v>
      </c>
      <c r="E181" s="26" t="str">
        <f ca="1">IFERROR(__xludf.DUMMYFUNCTION("""COMPUTED_VALUE"""),"قسم التربية والتعليم العالي")</f>
        <v>قسم التربية والتعليم العالي</v>
      </c>
      <c r="F181" s="26" t="str">
        <f ca="1">IFERROR(__xludf.DUMMYFUNCTION("""COMPUTED_VALUE"""),"G- روضة الجود")</f>
        <v>G- روضة الجود</v>
      </c>
      <c r="G181" s="26" t="str">
        <f ca="1">IFERROR(__xludf.DUMMYFUNCTION("""COMPUTED_VALUE"""),"صف المرح ")</f>
        <v xml:space="preserve">صف المرح </v>
      </c>
      <c r="H181" s="26" t="str">
        <f ca="1">IFERROR(__xludf.DUMMYFUNCTION("""COMPUTED_VALUE"""),"صيانة تعلاكة حنفية للحمام ")</f>
        <v xml:space="preserve">صيانة تعلاكة حنفية للحمام </v>
      </c>
      <c r="I181" s="26"/>
      <c r="J181" s="26" t="s">
        <v>14</v>
      </c>
      <c r="K181" s="26" t="s">
        <v>13</v>
      </c>
      <c r="L181" s="55">
        <v>46131.455709525464</v>
      </c>
      <c r="M181" s="26"/>
      <c r="N181" s="4" t="s">
        <v>121</v>
      </c>
    </row>
    <row r="182" spans="1:14" ht="75" customHeight="1" thickTop="1" thickBot="1">
      <c r="A182" s="26">
        <v>180</v>
      </c>
      <c r="B182" s="55">
        <f ca="1">IFERROR(__xludf.DUMMYFUNCTION("""COMPUTED_VALUE"""),46131.4104111342)</f>
        <v>46131.410411134202</v>
      </c>
      <c r="C182" s="56" t="str">
        <f ca="1">IFERROR(__xludf.DUMMYFUNCTION("""COMPUTED_VALUE"""),"المعملجي")</f>
        <v>المعملجي</v>
      </c>
      <c r="D182" s="56" t="str">
        <f ca="1">IFERROR(__xludf.DUMMYFUNCTION("""COMPUTED_VALUE"""),"سجاد تربية")</f>
        <v>سجاد تربية</v>
      </c>
      <c r="E182" s="26" t="str">
        <f ca="1">IFERROR(__xludf.DUMMYFUNCTION("""COMPUTED_VALUE"""),"قسم التربية والتعليم العالي")</f>
        <v>قسم التربية والتعليم العالي</v>
      </c>
      <c r="F182" s="26" t="str">
        <f ca="1">IFERROR(__xludf.DUMMYFUNCTION("""COMPUTED_VALUE"""),"G- روضة الجود")</f>
        <v>G- روضة الجود</v>
      </c>
      <c r="G182" s="26" t="str">
        <f ca="1">IFERROR(__xludf.DUMMYFUNCTION("""COMPUTED_VALUE"""),"غرفة الارشاد ")</f>
        <v xml:space="preserve">غرفة الارشاد </v>
      </c>
      <c r="H182" s="26" t="str">
        <f ca="1">IFERROR(__xludf.DUMMYFUNCTION("""COMPUTED_VALUE"""),"تعليق صيدلية ")</f>
        <v xml:space="preserve">تعليق صيدلية </v>
      </c>
      <c r="I182" s="26"/>
      <c r="J182" s="26" t="s">
        <v>16</v>
      </c>
      <c r="K182" s="26" t="s">
        <v>13</v>
      </c>
      <c r="L182" s="55">
        <v>46131.455764629631</v>
      </c>
      <c r="M182" s="26"/>
      <c r="N182" s="4" t="s">
        <v>121</v>
      </c>
    </row>
    <row r="183" spans="1:14" ht="75" customHeight="1" thickTop="1" thickBot="1">
      <c r="A183" s="34">
        <v>181</v>
      </c>
      <c r="B183" s="55">
        <f ca="1">IFERROR(__xludf.DUMMYFUNCTION("""COMPUTED_VALUE"""),46131.4111038657)</f>
        <v>46131.411103865699</v>
      </c>
      <c r="C183" s="56" t="str">
        <f ca="1">IFERROR(__xludf.DUMMYFUNCTION("""COMPUTED_VALUE"""),"المعملجي")</f>
        <v>المعملجي</v>
      </c>
      <c r="D183" s="56" t="str">
        <f ca="1">IFERROR(__xludf.DUMMYFUNCTION("""COMPUTED_VALUE"""),"سجاد تربية")</f>
        <v>سجاد تربية</v>
      </c>
      <c r="E183" s="26" t="str">
        <f ca="1">IFERROR(__xludf.DUMMYFUNCTION("""COMPUTED_VALUE"""),"قسم التربية والتعليم العالي")</f>
        <v>قسم التربية والتعليم العالي</v>
      </c>
      <c r="F183" s="26" t="str">
        <f ca="1">IFERROR(__xludf.DUMMYFUNCTION("""COMPUTED_VALUE"""),"G- روضة الجود")</f>
        <v>G- روضة الجود</v>
      </c>
      <c r="G183" s="26" t="str">
        <f ca="1">IFERROR(__xludf.DUMMYFUNCTION("""COMPUTED_VALUE"""),"صف الزهور ")</f>
        <v xml:space="preserve">صف الزهور </v>
      </c>
      <c r="H183" s="26" t="str">
        <f ca="1">IFERROR(__xludf.DUMMYFUNCTION("""COMPUTED_VALUE"""),"يدة شباك + رجل ميز ")</f>
        <v xml:space="preserve">يدة شباك + رجل ميز </v>
      </c>
      <c r="I183" s="26"/>
      <c r="J183" s="26" t="s">
        <v>16</v>
      </c>
      <c r="K183" s="26" t="s">
        <v>13</v>
      </c>
      <c r="L183" s="55">
        <v>46131.455814849542</v>
      </c>
      <c r="M183" s="26"/>
      <c r="N183" s="4" t="s">
        <v>121</v>
      </c>
    </row>
    <row r="184" spans="1:14" ht="75" customHeight="1" thickTop="1" thickBot="1">
      <c r="A184" s="26">
        <v>182</v>
      </c>
      <c r="B184" s="55">
        <f ca="1">IFERROR(__xludf.DUMMYFUNCTION("""COMPUTED_VALUE"""),46131.4120671875)</f>
        <v>46131.412067187499</v>
      </c>
      <c r="C184" s="56" t="str">
        <f ca="1">IFERROR(__xludf.DUMMYFUNCTION("""COMPUTED_VALUE"""),"المعملجي")</f>
        <v>المعملجي</v>
      </c>
      <c r="D184" s="56" t="str">
        <f ca="1">IFERROR(__xludf.DUMMYFUNCTION("""COMPUTED_VALUE"""),"سجاد تربية")</f>
        <v>سجاد تربية</v>
      </c>
      <c r="E184" s="26" t="str">
        <f ca="1">IFERROR(__xludf.DUMMYFUNCTION("""COMPUTED_VALUE"""),"قسم التربية والتعليم العالي")</f>
        <v>قسم التربية والتعليم العالي</v>
      </c>
      <c r="F184" s="26" t="str">
        <f ca="1">IFERROR(__xludf.DUMMYFUNCTION("""COMPUTED_VALUE"""),"B- روضة القمر")</f>
        <v>B- روضة القمر</v>
      </c>
      <c r="G184" s="26" t="str">
        <f ca="1">IFERROR(__xludf.DUMMYFUNCTION("""COMPUTED_VALUE"""),"صف المرجان ")</f>
        <v xml:space="preserve">صف المرجان </v>
      </c>
      <c r="H184" s="26" t="str">
        <f ca="1">IFERROR(__xludf.DUMMYFUNCTION("""COMPUTED_VALUE"""),"صيانة يدة شباك ")</f>
        <v xml:space="preserve">صيانة يدة شباك </v>
      </c>
      <c r="I184" s="26"/>
      <c r="J184" s="26" t="s">
        <v>16</v>
      </c>
      <c r="K184" s="26" t="s">
        <v>13</v>
      </c>
      <c r="L184" s="55">
        <v>46131.455902372691</v>
      </c>
      <c r="M184" s="26"/>
      <c r="N184" s="4" t="s">
        <v>121</v>
      </c>
    </row>
    <row r="185" spans="1:14" ht="75" customHeight="1" thickTop="1" thickBot="1">
      <c r="A185" s="34">
        <v>183</v>
      </c>
      <c r="B185" s="55">
        <f ca="1">IFERROR(__xludf.DUMMYFUNCTION("""COMPUTED_VALUE"""),46131.4570841898)</f>
        <v>46131.457084189802</v>
      </c>
      <c r="C185" s="56" t="str">
        <f ca="1">IFERROR(__xludf.DUMMYFUNCTION("""COMPUTED_VALUE"""),"المعملجي")</f>
        <v>المعملجي</v>
      </c>
      <c r="D185" s="56" t="str">
        <f ca="1">IFERROR(__xludf.DUMMYFUNCTION("""COMPUTED_VALUE"""),"وحدة المدني")</f>
        <v>وحدة المدني</v>
      </c>
      <c r="E185" s="26" t="str">
        <f ca="1">IFERROR(__xludf.DUMMYFUNCTION("""COMPUTED_VALUE"""),"قسم المشاريع الهندسية")</f>
        <v>قسم المشاريع الهندسية</v>
      </c>
      <c r="F185" s="26" t="str">
        <f ca="1">IFERROR(__xludf.DUMMYFUNCTION("""COMPUTED_VALUE"""),"G- روضة الجود")</f>
        <v>G- روضة الجود</v>
      </c>
      <c r="G185" s="26" t="str">
        <f ca="1">IFERROR(__xludf.DUMMYFUNCTION("""COMPUTED_VALUE"""),"الطابق الارضي")</f>
        <v>الطابق الارضي</v>
      </c>
      <c r="H185" s="26" t="str">
        <f ca="1">IFERROR(__xludf.DUMMYFUNCTION("""COMPUTED_VALUE"""),"تعليك شمعة ملابس")</f>
        <v>تعليك شمعة ملابس</v>
      </c>
      <c r="I185" s="26"/>
      <c r="J185" s="26" t="s">
        <v>16</v>
      </c>
      <c r="K185" s="26" t="s">
        <v>13</v>
      </c>
      <c r="L185" s="55"/>
      <c r="M185" s="26"/>
      <c r="N185" s="4" t="s">
        <v>121</v>
      </c>
    </row>
    <row r="186" spans="1:14" ht="75" customHeight="1" thickTop="1" thickBot="1">
      <c r="A186" s="26">
        <v>184</v>
      </c>
      <c r="B186" s="55">
        <f ca="1">IFERROR(__xludf.DUMMYFUNCTION("""COMPUTED_VALUE"""),46131.4573784143)</f>
        <v>46131.457378414299</v>
      </c>
      <c r="C186" s="56" t="str">
        <f ca="1">IFERROR(__xludf.DUMMYFUNCTION("""COMPUTED_VALUE"""),"المعملجي")</f>
        <v>المعملجي</v>
      </c>
      <c r="D186" s="56" t="str">
        <f ca="1">IFERROR(__xludf.DUMMYFUNCTION("""COMPUTED_VALUE"""),"وحدة المدني")</f>
        <v>وحدة المدني</v>
      </c>
      <c r="E186" s="26" t="str">
        <f ca="1">IFERROR(__xludf.DUMMYFUNCTION("""COMPUTED_VALUE"""),"قسم المشاريع الهندسية")</f>
        <v>قسم المشاريع الهندسية</v>
      </c>
      <c r="F186" s="26" t="str">
        <f ca="1">IFERROR(__xludf.DUMMYFUNCTION("""COMPUTED_VALUE"""),"G- روضة الجود")</f>
        <v>G- روضة الجود</v>
      </c>
      <c r="G186" s="26" t="str">
        <f ca="1">IFERROR(__xludf.DUMMYFUNCTION("""COMPUTED_VALUE"""),"الطابق الاول")</f>
        <v>الطابق الاول</v>
      </c>
      <c r="H186" s="26" t="str">
        <f ca="1">IFERROR(__xludf.DUMMYFUNCTION("""COMPUTED_VALUE"""),"صيانة باب خشب ")</f>
        <v xml:space="preserve">صيانة باب خشب </v>
      </c>
      <c r="I186" s="26"/>
      <c r="J186" s="26" t="s">
        <v>16</v>
      </c>
      <c r="K186" s="26" t="s">
        <v>13</v>
      </c>
      <c r="L186" s="55"/>
      <c r="M186" s="26"/>
      <c r="N186" s="4" t="s">
        <v>121</v>
      </c>
    </row>
    <row r="187" spans="1:14" ht="75" customHeight="1" thickTop="1" thickBot="1">
      <c r="A187" s="34">
        <v>185</v>
      </c>
      <c r="B187" s="55">
        <f ca="1">IFERROR(__xludf.DUMMYFUNCTION("""COMPUTED_VALUE"""),46131.4579968287)</f>
        <v>46131.4579968287</v>
      </c>
      <c r="C187" s="56" t="str">
        <f ca="1">IFERROR(__xludf.DUMMYFUNCTION("""COMPUTED_VALUE"""),"المعملجي")</f>
        <v>المعملجي</v>
      </c>
      <c r="D187" s="56" t="str">
        <f ca="1">IFERROR(__xludf.DUMMYFUNCTION("""COMPUTED_VALUE"""),"وحدة المدني")</f>
        <v>وحدة المدني</v>
      </c>
      <c r="E187" s="26" t="str">
        <f ca="1">IFERROR(__xludf.DUMMYFUNCTION("""COMPUTED_VALUE"""),"قسم المشاريع الهندسية")</f>
        <v>قسم المشاريع الهندسية</v>
      </c>
      <c r="F187" s="26" t="str">
        <f ca="1">IFERROR(__xludf.DUMMYFUNCTION("""COMPUTED_VALUE"""),"G- روضة الجود")</f>
        <v>G- روضة الجود</v>
      </c>
      <c r="G187" s="26" t="str">
        <f ca="1">IFERROR(__xludf.DUMMYFUNCTION("""COMPUTED_VALUE"""),"الطابق الارضي")</f>
        <v>الطابق الارضي</v>
      </c>
      <c r="H187" s="26" t="str">
        <f ca="1">IFERROR(__xludf.DUMMYFUNCTION("""COMPUTED_VALUE"""),"صيانة ميز عدد ٣ صف الزهور")</f>
        <v>صيانة ميز عدد ٣ صف الزهور</v>
      </c>
      <c r="I187" s="26"/>
      <c r="J187" s="26" t="s">
        <v>16</v>
      </c>
      <c r="K187" s="26" t="s">
        <v>13</v>
      </c>
      <c r="L187" s="55"/>
      <c r="M187" s="26"/>
      <c r="N187" s="4" t="s">
        <v>121</v>
      </c>
    </row>
    <row r="188" spans="1:14" ht="75" customHeight="1" thickTop="1" thickBot="1">
      <c r="A188" s="26">
        <v>186</v>
      </c>
      <c r="B188" s="55">
        <f ca="1">IFERROR(__xludf.DUMMYFUNCTION("""COMPUTED_VALUE"""),46131.4686528703)</f>
        <v>46131.468652870302</v>
      </c>
      <c r="C188" s="56" t="str">
        <f ca="1">IFERROR(__xludf.DUMMYFUNCTION("""COMPUTED_VALUE"""),"المعملجي")</f>
        <v>المعملجي</v>
      </c>
      <c r="D188" s="56" t="str">
        <f ca="1">IFERROR(__xludf.DUMMYFUNCTION("""COMPUTED_VALUE"""),"سجاد تربية")</f>
        <v>سجاد تربية</v>
      </c>
      <c r="E188" s="26" t="str">
        <f ca="1">IFERROR(__xludf.DUMMYFUNCTION("""COMPUTED_VALUE"""),"قسم التربية والتعليم العالي")</f>
        <v>قسم التربية والتعليم العالي</v>
      </c>
      <c r="F188" s="26" t="str">
        <f ca="1">IFERROR(__xludf.DUMMYFUNCTION("""COMPUTED_VALUE"""),"H- ابتدائية القمر للبنات (الخامسة)")</f>
        <v>H- ابتدائية القمر للبنات (الخامسة)</v>
      </c>
      <c r="G188" s="26" t="str">
        <f ca="1">IFERROR(__xludf.DUMMYFUNCTION("""COMPUTED_VALUE"""),"صحيات")</f>
        <v>صحيات</v>
      </c>
      <c r="H188" s="26" t="str">
        <f ca="1">IFERROR(__xludf.DUMMYFUNCTION("""COMPUTED_VALUE"""),"صحيات طافحة")</f>
        <v>صحيات طافحة</v>
      </c>
      <c r="I188" s="26"/>
      <c r="J188" s="26" t="s">
        <v>14</v>
      </c>
      <c r="K188" s="26" t="s">
        <v>13</v>
      </c>
      <c r="L188" s="55"/>
      <c r="M188" s="26"/>
      <c r="N188" s="4" t="s">
        <v>121</v>
      </c>
    </row>
    <row r="189" spans="1:14" ht="75" customHeight="1" thickTop="1" thickBot="1">
      <c r="A189" s="34">
        <v>187</v>
      </c>
      <c r="B189" s="55">
        <f ca="1">IFERROR(__xludf.DUMMYFUNCTION("""COMPUTED_VALUE"""),46131.4794299073)</f>
        <v>46131.479429907398</v>
      </c>
      <c r="C189" s="56" t="str">
        <f ca="1">IFERROR(__xludf.DUMMYFUNCTION("""COMPUTED_VALUE"""),"المعملجي")</f>
        <v>المعملجي</v>
      </c>
      <c r="D189" s="56" t="str">
        <f ca="1">IFERROR(__xludf.DUMMYFUNCTION("""COMPUTED_VALUE"""),"سجاد تربية")</f>
        <v>سجاد تربية</v>
      </c>
      <c r="E189" s="26" t="str">
        <f ca="1">IFERROR(__xludf.DUMMYFUNCTION("""COMPUTED_VALUE"""),"قسم التربية والتعليم العالي")</f>
        <v>قسم التربية والتعليم العالي</v>
      </c>
      <c r="F189" s="26" t="str">
        <f ca="1">IFERROR(__xludf.DUMMYFUNCTION("""COMPUTED_VALUE"""),"C- ثانوية العميد بناية الاعدادية  (الاولى)")</f>
        <v>C- ثانوية العميد بناية الاعدادية  (الاولى)</v>
      </c>
      <c r="G189" s="26" t="str">
        <f ca="1">IFERROR(__xludf.DUMMYFUNCTION("""COMPUTED_VALUE"""),"الطابق الارضي")</f>
        <v>الطابق الارضي</v>
      </c>
      <c r="H189" s="26" t="str">
        <f ca="1">IFERROR(__xludf.DUMMYFUNCTION("""COMPUTED_VALUE"""),"صيانة قاطع خشبي ")</f>
        <v xml:space="preserve">صيانة قاطع خشبي </v>
      </c>
      <c r="I189" s="26"/>
      <c r="J189" s="26" t="s">
        <v>16</v>
      </c>
      <c r="K189" s="26" t="s">
        <v>13</v>
      </c>
      <c r="L189" s="55"/>
      <c r="M189" s="26"/>
      <c r="N189" s="4" t="s">
        <v>124</v>
      </c>
    </row>
    <row r="190" spans="1:14" ht="75" customHeight="1" thickTop="1" thickBot="1">
      <c r="A190" s="26">
        <v>188</v>
      </c>
      <c r="B190" s="55">
        <f ca="1">IFERROR(__xludf.DUMMYFUNCTION("""COMPUTED_VALUE"""),46131.4810318981)</f>
        <v>46131.481031898104</v>
      </c>
      <c r="C190" s="56" t="str">
        <f ca="1">IFERROR(__xludf.DUMMYFUNCTION("""COMPUTED_VALUE"""),"المعملجي")</f>
        <v>المعملجي</v>
      </c>
      <c r="D190" s="56" t="str">
        <f ca="1">IFERROR(__xludf.DUMMYFUNCTION("""COMPUTED_VALUE"""),"سجاد تربية")</f>
        <v>سجاد تربية</v>
      </c>
      <c r="E190" s="26" t="str">
        <f ca="1">IFERROR(__xludf.DUMMYFUNCTION("""COMPUTED_VALUE"""),"قسم التربية والتعليم العالي")</f>
        <v>قسم التربية والتعليم العالي</v>
      </c>
      <c r="F190" s="26" t="str">
        <f ca="1">IFERROR(__xludf.DUMMYFUNCTION("""COMPUTED_VALUE"""),"D- ثانوية العميد بناية المتوسطة  (الثانية)")</f>
        <v>D- ثانوية العميد بناية المتوسطة  (الثانية)</v>
      </c>
      <c r="G190" s="26" t="str">
        <f ca="1">IFERROR(__xludf.DUMMYFUNCTION("""COMPUTED_VALUE"""),"الصف الثالث أ + ب ")</f>
        <v xml:space="preserve">الصف الثالث أ + ب </v>
      </c>
      <c r="H190" s="26" t="str">
        <f ca="1">IFERROR(__xludf.DUMMYFUNCTION("""COMPUTED_VALUE"""),"صيانة يدات شبابيك ")</f>
        <v xml:space="preserve">صيانة يدات شبابيك </v>
      </c>
      <c r="I190" s="26"/>
      <c r="J190" s="26" t="s">
        <v>16</v>
      </c>
      <c r="K190" s="26" t="s">
        <v>13</v>
      </c>
      <c r="L190" s="55">
        <v>46131.543594131945</v>
      </c>
      <c r="M190" s="26"/>
      <c r="N190" s="4" t="s">
        <v>121</v>
      </c>
    </row>
    <row r="191" spans="1:14" ht="75" customHeight="1" thickTop="1" thickBot="1">
      <c r="A191" s="34">
        <v>189</v>
      </c>
      <c r="B191" s="55">
        <f ca="1">IFERROR(__xludf.DUMMYFUNCTION("""COMPUTED_VALUE"""),46131.5053774537)</f>
        <v>46131.505377453701</v>
      </c>
      <c r="C191" s="56" t="str">
        <f ca="1">IFERROR(__xludf.DUMMYFUNCTION("""COMPUTED_VALUE"""),"المعملجي")</f>
        <v>المعملجي</v>
      </c>
      <c r="D191" s="56" t="str">
        <f ca="1">IFERROR(__xludf.DUMMYFUNCTION("""COMPUTED_VALUE"""),"سجاد تربية")</f>
        <v>سجاد تربية</v>
      </c>
      <c r="E191" s="26" t="str">
        <f ca="1">IFERROR(__xludf.DUMMYFUNCTION("""COMPUTED_VALUE"""),"قسم التربية والتعليم العالي")</f>
        <v>قسم التربية والتعليم العالي</v>
      </c>
      <c r="F191" s="26" t="str">
        <f ca="1">IFERROR(__xludf.DUMMYFUNCTION("""COMPUTED_VALUE"""),"E- ابتدائية العميد للبنات (الثالثة)")</f>
        <v>E- ابتدائية العميد للبنات (الثالثة)</v>
      </c>
      <c r="G191" s="26" t="str">
        <f ca="1">IFERROR(__xludf.DUMMYFUNCTION("""COMPUTED_VALUE"""),"المصلى ")</f>
        <v xml:space="preserve">المصلى </v>
      </c>
      <c r="H191" s="26" t="str">
        <f ca="1">IFERROR(__xludf.DUMMYFUNCTION("""COMPUTED_VALUE"""),"يرجى غلق السقوف الثانوية")</f>
        <v>يرجى غلق السقوف الثانوية</v>
      </c>
      <c r="I191" s="26"/>
      <c r="J191" s="26" t="s">
        <v>16</v>
      </c>
      <c r="K191" s="26" t="s">
        <v>13</v>
      </c>
      <c r="L191" s="55">
        <v>46132.558525694447</v>
      </c>
      <c r="M191" s="26"/>
      <c r="N191" s="4" t="s">
        <v>121</v>
      </c>
    </row>
    <row r="192" spans="1:14" ht="75" customHeight="1" thickTop="1" thickBot="1">
      <c r="A192" s="26">
        <v>190</v>
      </c>
      <c r="B192" s="55">
        <f ca="1">IFERROR(__xludf.DUMMYFUNCTION("""COMPUTED_VALUE"""),46131.5259975)</f>
        <v>46131.525997500001</v>
      </c>
      <c r="C192" s="56" t="str">
        <f ca="1">IFERROR(__xludf.DUMMYFUNCTION("""COMPUTED_VALUE"""),"المعملجي")</f>
        <v>المعملجي</v>
      </c>
      <c r="D192" s="56" t="str">
        <f ca="1">IFERROR(__xludf.DUMMYFUNCTION("""COMPUTED_VALUE"""),"سجاد تربية")</f>
        <v>سجاد تربية</v>
      </c>
      <c r="E192" s="26" t="str">
        <f ca="1">IFERROR(__xludf.DUMMYFUNCTION("""COMPUTED_VALUE"""),"قسم التربية والتعليم العالي")</f>
        <v>قسم التربية والتعليم العالي</v>
      </c>
      <c r="F192" s="26" t="str">
        <f ca="1">IFERROR(__xludf.DUMMYFUNCTION("""COMPUTED_VALUE"""),"A- المركز الثقافي")</f>
        <v>A- المركز الثقافي</v>
      </c>
      <c r="G192" s="26" t="str">
        <f ca="1">IFERROR(__xludf.DUMMYFUNCTION("""COMPUTED_VALUE"""),"الطابق الثاني, المصلى ")</f>
        <v xml:space="preserve">الطابق الثاني, المصلى </v>
      </c>
      <c r="H192" s="26" t="str">
        <f ca="1">IFERROR(__xludf.DUMMYFUNCTION("""COMPUTED_VALUE"""),"صيانة سقف ثانوي تسريب ماء ")</f>
        <v xml:space="preserve">صيانة سقف ثانوي تسريب ماء </v>
      </c>
      <c r="I192" s="26"/>
      <c r="J192" s="26" t="s">
        <v>16</v>
      </c>
      <c r="K192" s="26" t="s">
        <v>13</v>
      </c>
      <c r="L192" s="55">
        <v>46151.359387881945</v>
      </c>
      <c r="M192" s="26"/>
      <c r="N192" s="4" t="s">
        <v>121</v>
      </c>
    </row>
    <row r="193" spans="1:14" ht="75" customHeight="1" thickTop="1" thickBot="1">
      <c r="A193" s="34">
        <v>191</v>
      </c>
      <c r="B193" s="55">
        <f ca="1">IFERROR(__xludf.DUMMYFUNCTION("""COMPUTED_VALUE"""),46131.5505287384)</f>
        <v>46131.5505287384</v>
      </c>
      <c r="C193" s="56" t="str">
        <f ca="1">IFERROR(__xludf.DUMMYFUNCTION("""COMPUTED_VALUE"""),"المعملجي")</f>
        <v>المعملجي</v>
      </c>
      <c r="D193" s="56" t="str">
        <f ca="1">IFERROR(__xludf.DUMMYFUNCTION("""COMPUTED_VALUE"""),"سجاد تربية")</f>
        <v>سجاد تربية</v>
      </c>
      <c r="E193" s="26" t="str">
        <f ca="1">IFERROR(__xludf.DUMMYFUNCTION("""COMPUTED_VALUE"""),"قسم التربية والتعليم العالي")</f>
        <v>قسم التربية والتعليم العالي</v>
      </c>
      <c r="F193" s="26" t="str">
        <f ca="1">IFERROR(__xludf.DUMMYFUNCTION("""COMPUTED_VALUE"""),"G- روضة الجود")</f>
        <v>G- روضة الجود</v>
      </c>
      <c r="G193" s="26" t="str">
        <f ca="1">IFERROR(__xludf.DUMMYFUNCTION("""COMPUTED_VALUE"""),"الطابق الارضي")</f>
        <v>الطابق الارضي</v>
      </c>
      <c r="H193" s="26" t="str">
        <f ca="1">IFERROR(__xludf.DUMMYFUNCTION("""COMPUTED_VALUE"""),"لاتوجد كهرباء ")</f>
        <v xml:space="preserve">لاتوجد كهرباء </v>
      </c>
      <c r="I193" s="26"/>
      <c r="J193" s="26" t="s">
        <v>3910</v>
      </c>
      <c r="K193" s="26" t="s">
        <v>13</v>
      </c>
      <c r="L193" s="55">
        <v>46131.557284328708</v>
      </c>
      <c r="M193" s="26"/>
      <c r="N193" s="4" t="s">
        <v>121</v>
      </c>
    </row>
    <row r="194" spans="1:14" ht="75" customHeight="1" thickTop="1" thickBot="1">
      <c r="A194" s="26">
        <v>192</v>
      </c>
      <c r="B194" s="55">
        <f ca="1">IFERROR(__xludf.DUMMYFUNCTION("""COMPUTED_VALUE"""),46132.3424646412)</f>
        <v>46132.342464641202</v>
      </c>
      <c r="C194" s="56" t="str">
        <f ca="1">IFERROR(__xludf.DUMMYFUNCTION("""COMPUTED_VALUE"""),"المعملجي")</f>
        <v>المعملجي</v>
      </c>
      <c r="D194" s="56" t="str">
        <f ca="1">IFERROR(__xludf.DUMMYFUNCTION("""COMPUTED_VALUE"""),"سجاد تربية")</f>
        <v>سجاد تربية</v>
      </c>
      <c r="E194" s="26" t="str">
        <f ca="1">IFERROR(__xludf.DUMMYFUNCTION("""COMPUTED_VALUE"""),"قسم التربية والتعليم العالي")</f>
        <v>قسم التربية والتعليم العالي</v>
      </c>
      <c r="F194" s="26" t="str">
        <f ca="1">IFERROR(__xludf.DUMMYFUNCTION("""COMPUTED_VALUE"""),"E- ابتدائية العميد للبنات (الثالثة)")</f>
        <v>E- ابتدائية العميد للبنات (الثالثة)</v>
      </c>
      <c r="G194" s="26" t="str">
        <f ca="1">IFERROR(__xludf.DUMMYFUNCTION("""COMPUTED_VALUE"""),"الطابق الارضي")</f>
        <v>الطابق الارضي</v>
      </c>
      <c r="H194" s="26" t="str">
        <f ca="1">IFERROR(__xludf.DUMMYFUNCTION("""COMPUTED_VALUE"""),"لايوجد ماء اساله + ارو")</f>
        <v>لايوجد ماء اساله + ارو</v>
      </c>
      <c r="I194" s="26"/>
      <c r="J194" s="26" t="s">
        <v>14</v>
      </c>
      <c r="K194" s="26" t="s">
        <v>13</v>
      </c>
      <c r="L194" s="55">
        <v>46132.489388182876</v>
      </c>
      <c r="M194" s="26"/>
      <c r="N194" s="4" t="s">
        <v>121</v>
      </c>
    </row>
    <row r="195" spans="1:14" ht="75" customHeight="1" thickTop="1" thickBot="1">
      <c r="A195" s="34">
        <v>193</v>
      </c>
      <c r="B195" s="55">
        <f ca="1">IFERROR(__xludf.DUMMYFUNCTION("""COMPUTED_VALUE"""),46132.3427938425)</f>
        <v>46132.342793842501</v>
      </c>
      <c r="C195" s="56" t="str">
        <f ca="1">IFERROR(__xludf.DUMMYFUNCTION("""COMPUTED_VALUE"""),"المعملجي")</f>
        <v>المعملجي</v>
      </c>
      <c r="D195" s="56" t="str">
        <f ca="1">IFERROR(__xludf.DUMMYFUNCTION("""COMPUTED_VALUE"""),"سجاد تربية")</f>
        <v>سجاد تربية</v>
      </c>
      <c r="E195" s="26" t="str">
        <f ca="1">IFERROR(__xludf.DUMMYFUNCTION("""COMPUTED_VALUE"""),"قسم التربية والتعليم العالي")</f>
        <v>قسم التربية والتعليم العالي</v>
      </c>
      <c r="F195" s="26" t="str">
        <f ca="1">IFERROR(__xludf.DUMMYFUNCTION("""COMPUTED_VALUE"""),"F-  ابتدائية جود العميد للبنات (الرابعة)")</f>
        <v>F-  ابتدائية جود العميد للبنات (الرابعة)</v>
      </c>
      <c r="G195" s="26" t="str">
        <f ca="1">IFERROR(__xludf.DUMMYFUNCTION("""COMPUTED_VALUE"""),"الطابق الارضي")</f>
        <v>الطابق الارضي</v>
      </c>
      <c r="H195" s="26" t="str">
        <f ca="1">IFERROR(__xludf.DUMMYFUNCTION("""COMPUTED_VALUE"""),"لايوجد ماء اسالة ")</f>
        <v xml:space="preserve">لايوجد ماء اسالة </v>
      </c>
      <c r="I195" s="26"/>
      <c r="J195" s="26" t="s">
        <v>14</v>
      </c>
      <c r="K195" s="26" t="s">
        <v>13</v>
      </c>
      <c r="L195" s="55">
        <v>46132.489418958328</v>
      </c>
      <c r="M195" s="26"/>
      <c r="N195" s="4" t="s">
        <v>121</v>
      </c>
    </row>
    <row r="196" spans="1:14" ht="75" customHeight="1" thickTop="1" thickBot="1">
      <c r="A196" s="26">
        <v>194</v>
      </c>
      <c r="B196" s="55">
        <f ca="1">IFERROR(__xludf.DUMMYFUNCTION("""COMPUTED_VALUE"""),46132.4625457407)</f>
        <v>46132.462545740702</v>
      </c>
      <c r="C196" s="56" t="str">
        <f ca="1">IFERROR(__xludf.DUMMYFUNCTION("""COMPUTED_VALUE"""),"المعملجي")</f>
        <v>المعملجي</v>
      </c>
      <c r="D196" s="56" t="str">
        <f ca="1">IFERROR(__xludf.DUMMYFUNCTION("""COMPUTED_VALUE"""),"سجاد تربية")</f>
        <v>سجاد تربية</v>
      </c>
      <c r="E196" s="26" t="str">
        <f ca="1">IFERROR(__xludf.DUMMYFUNCTION("""COMPUTED_VALUE"""),"قسم التربية والتعليم العالي")</f>
        <v>قسم التربية والتعليم العالي</v>
      </c>
      <c r="F196" s="26" t="str">
        <f ca="1">IFERROR(__xludf.DUMMYFUNCTION("""COMPUTED_VALUE"""),"H- ابتدائية القمر للبنات (الخامسة)")</f>
        <v>H- ابتدائية القمر للبنات (الخامسة)</v>
      </c>
      <c r="G196" s="26" t="str">
        <f ca="1">IFERROR(__xludf.DUMMYFUNCTION("""COMPUTED_VALUE"""),"الطابق الارضي")</f>
        <v>الطابق الارضي</v>
      </c>
      <c r="H196" s="26" t="str">
        <f ca="1">IFERROR(__xludf.DUMMYFUNCTION("""COMPUTED_VALUE"""),"صيانة حمام الغربي ")</f>
        <v xml:space="preserve">صيانة حمام الغربي </v>
      </c>
      <c r="I196" s="26"/>
      <c r="J196" s="26" t="s">
        <v>14</v>
      </c>
      <c r="K196" s="26" t="s">
        <v>13</v>
      </c>
      <c r="L196" s="55">
        <v>46132.489518877315</v>
      </c>
      <c r="M196" s="26"/>
      <c r="N196" s="4" t="s">
        <v>121</v>
      </c>
    </row>
    <row r="197" spans="1:14" ht="75" customHeight="1" thickTop="1" thickBot="1">
      <c r="A197" s="34">
        <v>195</v>
      </c>
      <c r="B197" s="55">
        <f ca="1">IFERROR(__xludf.DUMMYFUNCTION("""COMPUTED_VALUE"""),46132.4629206597)</f>
        <v>46132.462920659702</v>
      </c>
      <c r="C197" s="56" t="str">
        <f ca="1">IFERROR(__xludf.DUMMYFUNCTION("""COMPUTED_VALUE"""),"المعملجي")</f>
        <v>المعملجي</v>
      </c>
      <c r="D197" s="56" t="str">
        <f ca="1">IFERROR(__xludf.DUMMYFUNCTION("""COMPUTED_VALUE"""),"سجاد تربية")</f>
        <v>سجاد تربية</v>
      </c>
      <c r="E197" s="26" t="str">
        <f ca="1">IFERROR(__xludf.DUMMYFUNCTION("""COMPUTED_VALUE"""),"قسم التربية والتعليم العالي")</f>
        <v>قسم التربية والتعليم العالي</v>
      </c>
      <c r="F197" s="26" t="str">
        <f ca="1">IFERROR(__xludf.DUMMYFUNCTION("""COMPUTED_VALUE"""),"G- روضة الجود")</f>
        <v>G- روضة الجود</v>
      </c>
      <c r="G197" s="26" t="str">
        <f ca="1">IFERROR(__xludf.DUMMYFUNCTION("""COMPUTED_VALUE"""),"الطابق الارضي")</f>
        <v>الطابق الارضي</v>
      </c>
      <c r="H197" s="26" t="str">
        <f ca="1">IFERROR(__xludf.DUMMYFUNCTION("""COMPUTED_VALUE"""),"لاتوجد كهرباء ")</f>
        <v xml:space="preserve">لاتوجد كهرباء </v>
      </c>
      <c r="I197" s="26"/>
      <c r="J197" s="26" t="s">
        <v>3910</v>
      </c>
      <c r="K197" s="26" t="s">
        <v>13</v>
      </c>
      <c r="L197" s="55">
        <v>46132.489557152774</v>
      </c>
      <c r="M197" s="26"/>
      <c r="N197" s="4" t="s">
        <v>121</v>
      </c>
    </row>
    <row r="198" spans="1:14" ht="75" customHeight="1" thickTop="1" thickBot="1">
      <c r="A198" s="26">
        <v>196</v>
      </c>
      <c r="B198" s="55">
        <f ca="1">IFERROR(__xludf.DUMMYFUNCTION("""COMPUTED_VALUE"""),46133.3763284489)</f>
        <v>46133.376328448998</v>
      </c>
      <c r="C198" s="56" t="str">
        <f ca="1">IFERROR(__xludf.DUMMYFUNCTION("""COMPUTED_VALUE"""),"المعملجي")</f>
        <v>المعملجي</v>
      </c>
      <c r="D198" s="56" t="str">
        <f ca="1">IFERROR(__xludf.DUMMYFUNCTION("""COMPUTED_VALUE"""),"سجاد تربية")</f>
        <v>سجاد تربية</v>
      </c>
      <c r="E198" s="26" t="str">
        <f ca="1">IFERROR(__xludf.DUMMYFUNCTION("""COMPUTED_VALUE"""),"قسم التربية والتعليم العالي")</f>
        <v>قسم التربية والتعليم العالي</v>
      </c>
      <c r="F198" s="26" t="str">
        <f ca="1">IFERROR(__xludf.DUMMYFUNCTION("""COMPUTED_VALUE"""),"A- المركز الثقافي, رئاسة القسم")</f>
        <v>A- المركز الثقافي, رئاسة القسم</v>
      </c>
      <c r="G198" s="26" t="str">
        <f ca="1">IFERROR(__xludf.DUMMYFUNCTION("""COMPUTED_VALUE"""),"الطابق الارضي")</f>
        <v>الطابق الارضي</v>
      </c>
      <c r="H198" s="26" t="str">
        <f ca="1">IFERROR(__xludf.DUMMYFUNCTION("""COMPUTED_VALUE"""),"شد قاعدة صابون")</f>
        <v>شد قاعدة صابون</v>
      </c>
      <c r="I198" s="26"/>
      <c r="J198" s="26" t="s">
        <v>16</v>
      </c>
      <c r="K198" s="26" t="s">
        <v>13</v>
      </c>
      <c r="L198" s="55">
        <v>46133.54690199074</v>
      </c>
      <c r="M198" s="26"/>
      <c r="N198" s="4" t="s">
        <v>121</v>
      </c>
    </row>
    <row r="199" spans="1:14" ht="75" customHeight="1" thickTop="1" thickBot="1">
      <c r="A199" s="34">
        <v>197</v>
      </c>
      <c r="B199" s="55">
        <f ca="1">IFERROR(__xludf.DUMMYFUNCTION("""COMPUTED_VALUE"""),46133.3767780555)</f>
        <v>46133.376778055499</v>
      </c>
      <c r="C199" s="56" t="str">
        <f ca="1">IFERROR(__xludf.DUMMYFUNCTION("""COMPUTED_VALUE"""),"المعملجي")</f>
        <v>المعملجي</v>
      </c>
      <c r="D199" s="56" t="str">
        <f ca="1">IFERROR(__xludf.DUMMYFUNCTION("""COMPUTED_VALUE"""),"سجاد تربية")</f>
        <v>سجاد تربية</v>
      </c>
      <c r="E199" s="26" t="str">
        <f ca="1">IFERROR(__xludf.DUMMYFUNCTION("""COMPUTED_VALUE"""),"قسم التربية والتعليم العالي")</f>
        <v>قسم التربية والتعليم العالي</v>
      </c>
      <c r="F199" s="26" t="str">
        <f ca="1">IFERROR(__xludf.DUMMYFUNCTION("""COMPUTED_VALUE"""),"النافورة")</f>
        <v>النافورة</v>
      </c>
      <c r="G199" s="26" t="str">
        <f ca="1">IFERROR(__xludf.DUMMYFUNCTION("""COMPUTED_VALUE"""),"الطابق الارضي")</f>
        <v>الطابق الارضي</v>
      </c>
      <c r="H199" s="26" t="str">
        <f ca="1">IFERROR(__xludf.DUMMYFUNCTION("""COMPUTED_VALUE"""),"تشغيل نافوره مستوى واحد")</f>
        <v>تشغيل نافوره مستوى واحد</v>
      </c>
      <c r="I199" s="26"/>
      <c r="J199" s="26" t="s">
        <v>3910</v>
      </c>
      <c r="K199" s="26" t="s">
        <v>13</v>
      </c>
      <c r="L199" s="55">
        <v>46133.546857511574</v>
      </c>
      <c r="M199" s="26"/>
      <c r="N199" s="4" t="s">
        <v>121</v>
      </c>
    </row>
    <row r="200" spans="1:14" ht="75" customHeight="1" thickTop="1" thickBot="1">
      <c r="A200" s="26">
        <v>198</v>
      </c>
      <c r="B200" s="55">
        <f ca="1">IFERROR(__xludf.DUMMYFUNCTION("""COMPUTED_VALUE"""),46133.3773351157)</f>
        <v>46133.3773351157</v>
      </c>
      <c r="C200" s="56" t="str">
        <f ca="1">IFERROR(__xludf.DUMMYFUNCTION("""COMPUTED_VALUE"""),"المعملجي")</f>
        <v>المعملجي</v>
      </c>
      <c r="D200" s="56" t="str">
        <f ca="1">IFERROR(__xludf.DUMMYFUNCTION("""COMPUTED_VALUE"""),"سجاد تربية")</f>
        <v>سجاد تربية</v>
      </c>
      <c r="E200" s="26" t="str">
        <f ca="1">IFERROR(__xludf.DUMMYFUNCTION("""COMPUTED_VALUE"""),"قسم التربية والتعليم العالي")</f>
        <v>قسم التربية والتعليم العالي</v>
      </c>
      <c r="F200" s="26" t="str">
        <f ca="1">IFERROR(__xludf.DUMMYFUNCTION("""COMPUTED_VALUE"""),"B- روضة القمر")</f>
        <v>B- روضة القمر</v>
      </c>
      <c r="G200" s="26" t="str">
        <f ca="1">IFERROR(__xludf.DUMMYFUNCTION("""COMPUTED_VALUE"""),"الطابق الارضي")</f>
        <v>الطابق الارضي</v>
      </c>
      <c r="H200" s="26" t="str">
        <f ca="1">IFERROR(__xludf.DUMMYFUNCTION("""COMPUTED_VALUE"""),"احتياج سيكوتين لصق كاربت")</f>
        <v>احتياج سيكوتين لصق كاربت</v>
      </c>
      <c r="I200" s="26"/>
      <c r="J200" s="26" t="s">
        <v>16</v>
      </c>
      <c r="K200" s="26" t="s">
        <v>13</v>
      </c>
      <c r="L200" s="55">
        <v>46133.565811192129</v>
      </c>
      <c r="M200" s="26"/>
      <c r="N200" s="4" t="s">
        <v>121</v>
      </c>
    </row>
    <row r="201" spans="1:14" ht="75" customHeight="1" thickTop="1" thickBot="1">
      <c r="A201" s="34">
        <v>199</v>
      </c>
      <c r="B201" s="55">
        <f ca="1">IFERROR(__xludf.DUMMYFUNCTION("""COMPUTED_VALUE"""),46133.415061574)</f>
        <v>46133.415061574</v>
      </c>
      <c r="C201" s="56" t="str">
        <f ca="1">IFERROR(__xludf.DUMMYFUNCTION("""COMPUTED_VALUE"""),"المعملجي")</f>
        <v>المعملجي</v>
      </c>
      <c r="D201" s="56" t="str">
        <f ca="1">IFERROR(__xludf.DUMMYFUNCTION("""COMPUTED_VALUE"""),"سجاد تربية")</f>
        <v>سجاد تربية</v>
      </c>
      <c r="E201" s="26" t="str">
        <f ca="1">IFERROR(__xludf.DUMMYFUNCTION("""COMPUTED_VALUE"""),"قسم التربية والتعليم العالي")</f>
        <v>قسم التربية والتعليم العالي</v>
      </c>
      <c r="F201" s="26" t="str">
        <f ca="1">IFERROR(__xludf.DUMMYFUNCTION("""COMPUTED_VALUE"""),"A- المركز الثقافي")</f>
        <v>A- المركز الثقافي</v>
      </c>
      <c r="G201" s="26" t="str">
        <f ca="1">IFERROR(__xludf.DUMMYFUNCTION("""COMPUTED_VALUE"""),"الطابق الارضي")</f>
        <v>الطابق الارضي</v>
      </c>
      <c r="H201" s="26" t="str">
        <f ca="1">IFERROR(__xludf.DUMMYFUNCTION("""COMPUTED_VALUE"""),"رائحة في منظومة ماء الشرب ")</f>
        <v xml:space="preserve">رائحة في منظومة ماء الشرب </v>
      </c>
      <c r="I201" s="26"/>
      <c r="J201" s="26" t="s">
        <v>14</v>
      </c>
      <c r="K201" s="26" t="s">
        <v>13</v>
      </c>
      <c r="L201" s="55">
        <v>46133.54679418981</v>
      </c>
      <c r="M201" s="26"/>
      <c r="N201" s="4" t="s">
        <v>121</v>
      </c>
    </row>
    <row r="202" spans="1:14" ht="75" customHeight="1" thickTop="1" thickBot="1">
      <c r="A202" s="26">
        <v>200</v>
      </c>
      <c r="B202" s="55">
        <f ca="1">IFERROR(__xludf.DUMMYFUNCTION("""COMPUTED_VALUE"""),46133.469983368)</f>
        <v>46133.469983367999</v>
      </c>
      <c r="C202" s="56" t="str">
        <f ca="1">IFERROR(__xludf.DUMMYFUNCTION("""COMPUTED_VALUE"""),"المعملجي")</f>
        <v>المعملجي</v>
      </c>
      <c r="D202" s="56" t="str">
        <f ca="1">IFERROR(__xludf.DUMMYFUNCTION("""COMPUTED_VALUE"""),"سجاد تربية")</f>
        <v>سجاد تربية</v>
      </c>
      <c r="E202" s="26" t="str">
        <f ca="1">IFERROR(__xludf.DUMMYFUNCTION("""COMPUTED_VALUE"""),"قسم التربية والتعليم العالي")</f>
        <v>قسم التربية والتعليم العالي</v>
      </c>
      <c r="F202" s="26" t="str">
        <f ca="1">IFERROR(__xludf.DUMMYFUNCTION("""COMPUTED_VALUE"""),"الاستعلامات الرئيسية")</f>
        <v>الاستعلامات الرئيسية</v>
      </c>
      <c r="G202" s="26" t="str">
        <f ca="1">IFERROR(__xludf.DUMMYFUNCTION("""COMPUTED_VALUE"""),"الطابق الارضي, ذاتية ")</f>
        <v xml:space="preserve">الطابق الارضي, ذاتية </v>
      </c>
      <c r="H202" s="26" t="str">
        <f ca="1">IFERROR(__xludf.DUMMYFUNCTION("""COMPUTED_VALUE"""),"صيانة سبلت ")</f>
        <v xml:space="preserve">صيانة سبلت </v>
      </c>
      <c r="I202" s="26"/>
      <c r="J202" s="26" t="s">
        <v>15</v>
      </c>
      <c r="K202" s="26" t="s">
        <v>13</v>
      </c>
      <c r="L202" s="55">
        <v>46134.56369137732</v>
      </c>
      <c r="M202" s="26"/>
      <c r="N202" s="4" t="s">
        <v>125</v>
      </c>
    </row>
    <row r="203" spans="1:14" ht="75" customHeight="1" thickTop="1" thickBot="1">
      <c r="A203" s="34">
        <v>201</v>
      </c>
      <c r="B203" s="55">
        <f ca="1">IFERROR(__xludf.DUMMYFUNCTION("""COMPUTED_VALUE"""),46133.552259155)</f>
        <v>46133.552259155003</v>
      </c>
      <c r="C203" s="56" t="str">
        <f ca="1">IFERROR(__xludf.DUMMYFUNCTION("""COMPUTED_VALUE"""),"المعملجي")</f>
        <v>المعملجي</v>
      </c>
      <c r="D203" s="56" t="str">
        <f ca="1">IFERROR(__xludf.DUMMYFUNCTION("""COMPUTED_VALUE"""),"سجاد تربية")</f>
        <v>سجاد تربية</v>
      </c>
      <c r="E203" s="26" t="str">
        <f ca="1">IFERROR(__xludf.DUMMYFUNCTION("""COMPUTED_VALUE"""),"قسم التربية والتعليم العالي")</f>
        <v>قسم التربية والتعليم العالي</v>
      </c>
      <c r="F203" s="26" t="str">
        <f ca="1">IFERROR(__xludf.DUMMYFUNCTION("""COMPUTED_VALUE"""),"A- المركز الثقافي")</f>
        <v>A- المركز الثقافي</v>
      </c>
      <c r="G203" s="26" t="str">
        <f ca="1">IFERROR(__xludf.DUMMYFUNCTION("""COMPUTED_VALUE"""),"الطابق الارضي")</f>
        <v>الطابق الارضي</v>
      </c>
      <c r="H203" s="26" t="str">
        <f ca="1">IFERROR(__xludf.DUMMYFUNCTION("""COMPUTED_VALUE"""),"شد بور هواء ")</f>
        <v xml:space="preserve">شد بور هواء </v>
      </c>
      <c r="I203" s="26"/>
      <c r="J203" s="26" t="s">
        <v>16</v>
      </c>
      <c r="K203" s="26" t="s">
        <v>13</v>
      </c>
      <c r="L203" s="55">
        <v>46133.55383049768</v>
      </c>
      <c r="M203" s="26"/>
      <c r="N203" s="4" t="s">
        <v>125</v>
      </c>
    </row>
    <row r="204" spans="1:14" ht="75" customHeight="1" thickTop="1" thickBot="1">
      <c r="A204" s="26">
        <v>202</v>
      </c>
      <c r="B204" s="55">
        <f ca="1">IFERROR(__xludf.DUMMYFUNCTION("""COMPUTED_VALUE"""),46133.5532647222)</f>
        <v>46133.553264722199</v>
      </c>
      <c r="C204" s="56" t="str">
        <f ca="1">IFERROR(__xludf.DUMMYFUNCTION("""COMPUTED_VALUE"""),"المعملجي")</f>
        <v>المعملجي</v>
      </c>
      <c r="D204" s="56" t="str">
        <f ca="1">IFERROR(__xludf.DUMMYFUNCTION("""COMPUTED_VALUE"""),"سجاد تربية")</f>
        <v>سجاد تربية</v>
      </c>
      <c r="E204" s="26" t="str">
        <f ca="1">IFERROR(__xludf.DUMMYFUNCTION("""COMPUTED_VALUE"""),"قسم التربية والتعليم العالي")</f>
        <v>قسم التربية والتعليم العالي</v>
      </c>
      <c r="F204" s="26" t="str">
        <f ca="1">IFERROR(__xludf.DUMMYFUNCTION("""COMPUTED_VALUE"""),"الحضانة ")</f>
        <v xml:space="preserve">الحضانة </v>
      </c>
      <c r="G204" s="26" t="str">
        <f ca="1">IFERROR(__xludf.DUMMYFUNCTION("""COMPUTED_VALUE"""),"الطابق الارضي")</f>
        <v>الطابق الارضي</v>
      </c>
      <c r="H204" s="26" t="str">
        <f ca="1">IFERROR(__xludf.DUMMYFUNCTION("""COMPUTED_VALUE"""),"شد بردة ")</f>
        <v xml:space="preserve">شد بردة </v>
      </c>
      <c r="I204" s="26"/>
      <c r="J204" s="26" t="s">
        <v>16</v>
      </c>
      <c r="K204" s="26" t="s">
        <v>13</v>
      </c>
      <c r="L204" s="55">
        <v>46133.553841180561</v>
      </c>
      <c r="M204" s="26"/>
      <c r="N204" s="4" t="s">
        <v>126</v>
      </c>
    </row>
    <row r="205" spans="1:14" ht="75" customHeight="1" thickTop="1" thickBot="1">
      <c r="A205" s="34">
        <v>203</v>
      </c>
      <c r="B205" s="55">
        <f ca="1">IFERROR(__xludf.DUMMYFUNCTION("""COMPUTED_VALUE"""),46134.4552919907)</f>
        <v>46134.4552919907</v>
      </c>
      <c r="C205" s="56" t="str">
        <f ca="1">IFERROR(__xludf.DUMMYFUNCTION("""COMPUTED_VALUE"""),"المعملجي")</f>
        <v>المعملجي</v>
      </c>
      <c r="D205" s="56" t="str">
        <f ca="1">IFERROR(__xludf.DUMMYFUNCTION("""COMPUTED_VALUE"""),"سجاد تربية")</f>
        <v>سجاد تربية</v>
      </c>
      <c r="E205" s="26" t="str">
        <f ca="1">IFERROR(__xludf.DUMMYFUNCTION("""COMPUTED_VALUE"""),"قسم التربية والتعليم العالي")</f>
        <v>قسم التربية والتعليم العالي</v>
      </c>
      <c r="F205" s="26" t="str">
        <f ca="1">IFERROR(__xludf.DUMMYFUNCTION("""COMPUTED_VALUE"""),"C- ثانوية العميد بناية الاعدادية  (الاولى)")</f>
        <v>C- ثانوية العميد بناية الاعدادية  (الاولى)</v>
      </c>
      <c r="G205" s="26" t="str">
        <f ca="1">IFERROR(__xludf.DUMMYFUNCTION("""COMPUTED_VALUE"""),"الطابق الاول")</f>
        <v>الطابق الاول</v>
      </c>
      <c r="H205" s="26" t="str">
        <f ca="1">IFERROR(__xludf.DUMMYFUNCTION("""COMPUTED_VALUE"""),"انسداد مجاري ")</f>
        <v xml:space="preserve">انسداد مجاري </v>
      </c>
      <c r="I205" s="26"/>
      <c r="J205" s="26" t="s">
        <v>14</v>
      </c>
      <c r="K205" s="26" t="s">
        <v>13</v>
      </c>
      <c r="L205" s="55">
        <v>46134.759840578699</v>
      </c>
      <c r="M205" s="26"/>
      <c r="N205" s="4" t="s">
        <v>125</v>
      </c>
    </row>
    <row r="206" spans="1:14" ht="75" customHeight="1" thickTop="1" thickBot="1">
      <c r="A206" s="26">
        <v>204</v>
      </c>
      <c r="B206" s="55">
        <f ca="1">IFERROR(__xludf.DUMMYFUNCTION("""COMPUTED_VALUE"""),46134.4559236342)</f>
        <v>46134.455923634203</v>
      </c>
      <c r="C206" s="56" t="str">
        <f ca="1">IFERROR(__xludf.DUMMYFUNCTION("""COMPUTED_VALUE"""),"المعملجي")</f>
        <v>المعملجي</v>
      </c>
      <c r="D206" s="56" t="str">
        <f ca="1">IFERROR(__xludf.DUMMYFUNCTION("""COMPUTED_VALUE"""),"سجاد تربية")</f>
        <v>سجاد تربية</v>
      </c>
      <c r="E206" s="26" t="str">
        <f ca="1">IFERROR(__xludf.DUMMYFUNCTION("""COMPUTED_VALUE"""),"قسم التربية والتعليم العالي")</f>
        <v>قسم التربية والتعليم العالي</v>
      </c>
      <c r="F206" s="26" t="str">
        <f ca="1">IFERROR(__xludf.DUMMYFUNCTION("""COMPUTED_VALUE"""),"F-  ابتدائية جود العميد للبنات (الرابعة)")</f>
        <v>F-  ابتدائية جود العميد للبنات (الرابعة)</v>
      </c>
      <c r="G206" s="26" t="str">
        <f ca="1">IFERROR(__xludf.DUMMYFUNCTION("""COMPUTED_VALUE"""),"الطابق الارضي")</f>
        <v>الطابق الارضي</v>
      </c>
      <c r="H206" s="26" t="str">
        <f ca="1">IFERROR(__xludf.DUMMYFUNCTION("""COMPUTED_VALUE"""),"لايوجد ماء  اسالة ")</f>
        <v xml:space="preserve">لايوجد ماء  اسالة </v>
      </c>
      <c r="I206" s="26"/>
      <c r="J206" s="26" t="s">
        <v>14</v>
      </c>
      <c r="K206" s="26" t="s">
        <v>13</v>
      </c>
      <c r="L206" s="55">
        <v>46134.538840347217</v>
      </c>
      <c r="M206" s="26"/>
      <c r="N206" s="4" t="s">
        <v>121</v>
      </c>
    </row>
    <row r="207" spans="1:14" ht="75" customHeight="1" thickTop="1" thickBot="1">
      <c r="A207" s="34">
        <v>205</v>
      </c>
      <c r="B207" s="55">
        <f ca="1">IFERROR(__xludf.DUMMYFUNCTION("""COMPUTED_VALUE"""),46134.4579942013)</f>
        <v>46134.457994201301</v>
      </c>
      <c r="C207" s="56" t="str">
        <f ca="1">IFERROR(__xludf.DUMMYFUNCTION("""COMPUTED_VALUE"""),"المعملجي")</f>
        <v>المعملجي</v>
      </c>
      <c r="D207" s="56" t="str">
        <f ca="1">IFERROR(__xludf.DUMMYFUNCTION("""COMPUTED_VALUE"""),"سجاد تربية")</f>
        <v>سجاد تربية</v>
      </c>
      <c r="E207" s="26" t="str">
        <f ca="1">IFERROR(__xludf.DUMMYFUNCTION("""COMPUTED_VALUE"""),"قسم التربية والتعليم العالي")</f>
        <v>قسم التربية والتعليم العالي</v>
      </c>
      <c r="F207" s="26" t="str">
        <f ca="1">IFERROR(__xludf.DUMMYFUNCTION("""COMPUTED_VALUE"""),"H- ابتدائية القمر للبنات (الخامسة)")</f>
        <v>H- ابتدائية القمر للبنات (الخامسة)</v>
      </c>
      <c r="G207" s="26" t="str">
        <f ca="1">IFERROR(__xludf.DUMMYFUNCTION("""COMPUTED_VALUE"""),"الطابق الارضي")</f>
        <v>الطابق الارضي</v>
      </c>
      <c r="H207" s="26" t="str">
        <f ca="1">IFERROR(__xludf.DUMMYFUNCTION("""COMPUTED_VALUE"""),"صيانة براد ماء + صيانة مصعد ")</f>
        <v xml:space="preserve">صيانة براد ماء + صيانة مصعد </v>
      </c>
      <c r="I207" s="26"/>
      <c r="J207" s="26" t="s">
        <v>14</v>
      </c>
      <c r="K207" s="26" t="s">
        <v>13</v>
      </c>
      <c r="L207" s="55">
        <v>46134.539632106476</v>
      </c>
      <c r="M207" s="26"/>
      <c r="N207" s="4" t="s">
        <v>121</v>
      </c>
    </row>
    <row r="208" spans="1:14" ht="75" customHeight="1" thickTop="1" thickBot="1">
      <c r="A208" s="26">
        <v>206</v>
      </c>
      <c r="B208" s="55">
        <f ca="1">IFERROR(__xludf.DUMMYFUNCTION("""COMPUTED_VALUE"""),46134.4587483217)</f>
        <v>46134.458748321696</v>
      </c>
      <c r="C208" s="56" t="str">
        <f ca="1">IFERROR(__xludf.DUMMYFUNCTION("""COMPUTED_VALUE"""),"المعملجي")</f>
        <v>المعملجي</v>
      </c>
      <c r="D208" s="56" t="str">
        <f ca="1">IFERROR(__xludf.DUMMYFUNCTION("""COMPUTED_VALUE"""),"سجاد تربية")</f>
        <v>سجاد تربية</v>
      </c>
      <c r="E208" s="26" t="str">
        <f ca="1">IFERROR(__xludf.DUMMYFUNCTION("""COMPUTED_VALUE"""),"قسم التربية والتعليم العالي")</f>
        <v>قسم التربية والتعليم العالي</v>
      </c>
      <c r="F208" s="26" t="str">
        <f ca="1">IFERROR(__xludf.DUMMYFUNCTION("""COMPUTED_VALUE"""),"A- المركز الثقافي")</f>
        <v>A- المركز الثقافي</v>
      </c>
      <c r="G208" s="26" t="str">
        <f ca="1">IFERROR(__xludf.DUMMYFUNCTION("""COMPUTED_VALUE"""),"/")</f>
        <v>/</v>
      </c>
      <c r="H208" s="26" t="str">
        <f ca="1">IFERROR(__xludf.DUMMYFUNCTION("""COMPUTED_VALUE"""),"صيانة سقف ثانوي ")</f>
        <v xml:space="preserve">صيانة سقف ثانوي </v>
      </c>
      <c r="I208" s="26"/>
      <c r="J208" s="26" t="s">
        <v>16</v>
      </c>
      <c r="K208" s="26" t="s">
        <v>13</v>
      </c>
      <c r="L208" s="55">
        <v>46134.759702951385</v>
      </c>
      <c r="M208" s="26"/>
      <c r="N208" s="4" t="s">
        <v>121</v>
      </c>
    </row>
    <row r="209" spans="1:14" ht="75" customHeight="1" thickTop="1" thickBot="1">
      <c r="A209" s="34">
        <v>207</v>
      </c>
      <c r="B209" s="55">
        <f ca="1">IFERROR(__xludf.DUMMYFUNCTION("""COMPUTED_VALUE"""),46134.459220949)</f>
        <v>46134.459220949</v>
      </c>
      <c r="C209" s="56" t="str">
        <f ca="1">IFERROR(__xludf.DUMMYFUNCTION("""COMPUTED_VALUE"""),"المعملجي")</f>
        <v>المعملجي</v>
      </c>
      <c r="D209" s="56" t="str">
        <f ca="1">IFERROR(__xludf.DUMMYFUNCTION("""COMPUTED_VALUE"""),"سجاد تربية")</f>
        <v>سجاد تربية</v>
      </c>
      <c r="E209" s="26" t="str">
        <f ca="1">IFERROR(__xludf.DUMMYFUNCTION("""COMPUTED_VALUE"""),"قسم التربية والتعليم العالي")</f>
        <v>قسم التربية والتعليم العالي</v>
      </c>
      <c r="F209" s="26" t="str">
        <f ca="1">IFERROR(__xludf.DUMMYFUNCTION("""COMPUTED_VALUE"""),"F-  ابتدائية جود العميد للبنات (الرابعة)")</f>
        <v>F-  ابتدائية جود العميد للبنات (الرابعة)</v>
      </c>
      <c r="G209" s="26"/>
      <c r="H209" s="26" t="str">
        <f ca="1">IFERROR(__xludf.DUMMYFUNCTION("""COMPUTED_VALUE"""),"لايوجد ماء في المنظومة ")</f>
        <v xml:space="preserve">لايوجد ماء في المنظومة </v>
      </c>
      <c r="I209" s="26"/>
      <c r="J209" s="26" t="s">
        <v>14</v>
      </c>
      <c r="K209" s="26" t="s">
        <v>13</v>
      </c>
      <c r="L209" s="55">
        <v>46134.540397210643</v>
      </c>
      <c r="M209" s="26"/>
      <c r="N209" s="4" t="s">
        <v>121</v>
      </c>
    </row>
    <row r="210" spans="1:14" ht="75" customHeight="1" thickTop="1" thickBot="1">
      <c r="A210" s="26">
        <v>208</v>
      </c>
      <c r="B210" s="55">
        <f ca="1">IFERROR(__xludf.DUMMYFUNCTION("""COMPUTED_VALUE"""),46134.5538930208)</f>
        <v>46134.553893020799</v>
      </c>
      <c r="C210" s="56" t="str">
        <f ca="1">IFERROR(__xludf.DUMMYFUNCTION("""COMPUTED_VALUE"""),"المعملجي")</f>
        <v>المعملجي</v>
      </c>
      <c r="D210" s="56" t="str">
        <f ca="1">IFERROR(__xludf.DUMMYFUNCTION("""COMPUTED_VALUE"""),"سجاد تربية")</f>
        <v>سجاد تربية</v>
      </c>
      <c r="E210" s="26" t="str">
        <f ca="1">IFERROR(__xludf.DUMMYFUNCTION("""COMPUTED_VALUE"""),"قسم التربية والتعليم العالي")</f>
        <v>قسم التربية والتعليم العالي</v>
      </c>
      <c r="F210" s="26" t="str">
        <f ca="1">IFERROR(__xludf.DUMMYFUNCTION("""COMPUTED_VALUE"""),"H- ابتدائية القمر للبنات (الخامسة)")</f>
        <v>H- ابتدائية القمر للبنات (الخامسة)</v>
      </c>
      <c r="G210" s="26" t="str">
        <f ca="1">IFERROR(__xludf.DUMMYFUNCTION("""COMPUTED_VALUE"""),"الطابق الارضي")</f>
        <v>الطابق الارضي</v>
      </c>
      <c r="H210" s="26" t="str">
        <f ca="1">IFERROR(__xludf.DUMMYFUNCTION("""COMPUTED_VALUE"""),"صيانة مصعد ")</f>
        <v xml:space="preserve">صيانة مصعد </v>
      </c>
      <c r="I210" s="26"/>
      <c r="J210" s="26" t="s">
        <v>3910</v>
      </c>
      <c r="K210" s="26" t="s">
        <v>13</v>
      </c>
      <c r="L210" s="55">
        <v>46137.325201030093</v>
      </c>
      <c r="M210" s="26"/>
      <c r="N210" s="4" t="s">
        <v>121</v>
      </c>
    </row>
    <row r="211" spans="1:14" ht="75" customHeight="1" thickTop="1" thickBot="1">
      <c r="A211" s="34">
        <v>209</v>
      </c>
      <c r="B211" s="55">
        <f ca="1">IFERROR(__xludf.DUMMYFUNCTION("""COMPUTED_VALUE"""),46134.5557801041)</f>
        <v>46134.5557801041</v>
      </c>
      <c r="C211" s="56" t="str">
        <f ca="1">IFERROR(__xludf.DUMMYFUNCTION("""COMPUTED_VALUE"""),"المعملجي")</f>
        <v>المعملجي</v>
      </c>
      <c r="D211" s="56" t="str">
        <f ca="1">IFERROR(__xludf.DUMMYFUNCTION("""COMPUTED_VALUE"""),"سجاد تربية")</f>
        <v>سجاد تربية</v>
      </c>
      <c r="E211" s="26" t="str">
        <f ca="1">IFERROR(__xludf.DUMMYFUNCTION("""COMPUTED_VALUE"""),"قسم التربية والتعليم العالي")</f>
        <v>قسم التربية والتعليم العالي</v>
      </c>
      <c r="F211" s="26" t="str">
        <f ca="1">IFERROR(__xludf.DUMMYFUNCTION("""COMPUTED_VALUE"""),"المالية")</f>
        <v>المالية</v>
      </c>
      <c r="G211" s="26" t="str">
        <f ca="1">IFERROR(__xludf.DUMMYFUNCTION("""COMPUTED_VALUE"""),"الطابق الارضي")</f>
        <v>الطابق الارضي</v>
      </c>
      <c r="H211" s="26" t="str">
        <f ca="1">IFERROR(__xludf.DUMMYFUNCTION("""COMPUTED_VALUE"""),"صبغ غرفة")</f>
        <v>صبغ غرفة</v>
      </c>
      <c r="I211" s="26"/>
      <c r="J211" s="26" t="s">
        <v>16</v>
      </c>
      <c r="K211" s="26" t="s">
        <v>13</v>
      </c>
      <c r="L211" s="55">
        <v>46134.556370983795</v>
      </c>
      <c r="M211" s="26"/>
      <c r="N211" s="4" t="s">
        <v>121</v>
      </c>
    </row>
    <row r="212" spans="1:14" ht="75" customHeight="1" thickTop="1" thickBot="1">
      <c r="A212" s="26">
        <v>210</v>
      </c>
      <c r="B212" s="55">
        <f ca="1">IFERROR(__xludf.DUMMYFUNCTION("""COMPUTED_VALUE"""),46134.5565901736)</f>
        <v>46134.556590173597</v>
      </c>
      <c r="C212" s="56" t="str">
        <f ca="1">IFERROR(__xludf.DUMMYFUNCTION("""COMPUTED_VALUE"""),"المعملجي")</f>
        <v>المعملجي</v>
      </c>
      <c r="D212" s="56" t="str">
        <f ca="1">IFERROR(__xludf.DUMMYFUNCTION("""COMPUTED_VALUE"""),"سجاد تربية")</f>
        <v>سجاد تربية</v>
      </c>
      <c r="E212" s="26" t="str">
        <f ca="1">IFERROR(__xludf.DUMMYFUNCTION("""COMPUTED_VALUE"""),"قسم التربية والتعليم العالي")</f>
        <v>قسم التربية والتعليم العالي</v>
      </c>
      <c r="F212" s="26" t="str">
        <f ca="1">IFERROR(__xludf.DUMMYFUNCTION("""COMPUTED_VALUE"""),"الاستعلامات الرئيسية")</f>
        <v>الاستعلامات الرئيسية</v>
      </c>
      <c r="G212" s="26" t="str">
        <f ca="1">IFERROR(__xludf.DUMMYFUNCTION("""COMPUTED_VALUE"""),"الطابق الارضي")</f>
        <v>الطابق الارضي</v>
      </c>
      <c r="H212" s="26" t="str">
        <f ca="1">IFERROR(__xludf.DUMMYFUNCTION("""COMPUTED_VALUE"""),"صيانة سبلت")</f>
        <v>صيانة سبلت</v>
      </c>
      <c r="I212" s="26"/>
      <c r="J212" s="26" t="s">
        <v>15</v>
      </c>
      <c r="K212" s="26" t="s">
        <v>13</v>
      </c>
      <c r="L212" s="55">
        <v>46134.556727708332</v>
      </c>
      <c r="M212" s="26"/>
      <c r="N212" s="4" t="s">
        <v>127</v>
      </c>
    </row>
    <row r="213" spans="1:14" ht="75" customHeight="1" thickTop="1" thickBot="1">
      <c r="A213" s="34">
        <v>211</v>
      </c>
      <c r="B213" s="55">
        <f ca="1">IFERROR(__xludf.DUMMYFUNCTION("""COMPUTED_VALUE"""),46134.5597148495)</f>
        <v>46134.5597148495</v>
      </c>
      <c r="C213" s="56" t="str">
        <f ca="1">IFERROR(__xludf.DUMMYFUNCTION("""COMPUTED_VALUE"""),"المعملجي")</f>
        <v>المعملجي</v>
      </c>
      <c r="D213" s="56" t="str">
        <f ca="1">IFERROR(__xludf.DUMMYFUNCTION("""COMPUTED_VALUE"""),"سجاد تربية")</f>
        <v>سجاد تربية</v>
      </c>
      <c r="E213" s="26" t="str">
        <f ca="1">IFERROR(__xludf.DUMMYFUNCTION("""COMPUTED_VALUE"""),"قسم التربية والتعليم العالي")</f>
        <v>قسم التربية والتعليم العالي</v>
      </c>
      <c r="F213" s="26" t="str">
        <f ca="1">IFERROR(__xludf.DUMMYFUNCTION("""COMPUTED_VALUE"""),"C- ثانوية العميد بناية الاعدادية  (الاولى)")</f>
        <v>C- ثانوية العميد بناية الاعدادية  (الاولى)</v>
      </c>
      <c r="G213" s="26" t="str">
        <f ca="1">IFERROR(__xludf.DUMMYFUNCTION("""COMPUTED_VALUE"""),"الطابق الثاني, ZONE A")</f>
        <v>الطابق الثاني, ZONE A</v>
      </c>
      <c r="H213" s="26" t="str">
        <f ca="1">IFERROR(__xludf.DUMMYFUNCTION("""COMPUTED_VALUE"""),"انسداد مجرى")</f>
        <v>انسداد مجرى</v>
      </c>
      <c r="I213" s="26"/>
      <c r="J213" s="26" t="s">
        <v>14</v>
      </c>
      <c r="K213" s="26" t="s">
        <v>13</v>
      </c>
      <c r="L213" s="55"/>
      <c r="M213" s="26"/>
      <c r="N213" s="4" t="s">
        <v>121</v>
      </c>
    </row>
    <row r="214" spans="1:14" ht="75" customHeight="1" thickTop="1" thickBot="1">
      <c r="A214" s="26">
        <v>212</v>
      </c>
      <c r="B214" s="55">
        <f ca="1">IFERROR(__xludf.DUMMYFUNCTION("""COMPUTED_VALUE"""),46134.5600668055)</f>
        <v>46134.560066805498</v>
      </c>
      <c r="C214" s="56" t="str">
        <f ca="1">IFERROR(__xludf.DUMMYFUNCTION("""COMPUTED_VALUE"""),"المعملجي")</f>
        <v>المعملجي</v>
      </c>
      <c r="D214" s="56" t="str">
        <f ca="1">IFERROR(__xludf.DUMMYFUNCTION("""COMPUTED_VALUE"""),"سجاد تربية")</f>
        <v>سجاد تربية</v>
      </c>
      <c r="E214" s="26" t="str">
        <f ca="1">IFERROR(__xludf.DUMMYFUNCTION("""COMPUTED_VALUE"""),"قسم التربية والتعليم العالي")</f>
        <v>قسم التربية والتعليم العالي</v>
      </c>
      <c r="F214" s="26" t="str">
        <f ca="1">IFERROR(__xludf.DUMMYFUNCTION("""COMPUTED_VALUE"""),"C- ثانوية العميد بناية الاعدادية  (الاولى)")</f>
        <v>C- ثانوية العميد بناية الاعدادية  (الاولى)</v>
      </c>
      <c r="G214" s="26" t="str">
        <f ca="1">IFERROR(__xludf.DUMMYFUNCTION("""COMPUTED_VALUE"""),"الطابق الثاني, ZONE B")</f>
        <v>الطابق الثاني, ZONE B</v>
      </c>
      <c r="H214" s="26" t="str">
        <f ca="1">IFERROR(__xludf.DUMMYFUNCTION("""COMPUTED_VALUE"""),"انسداد مجرى")</f>
        <v>انسداد مجرى</v>
      </c>
      <c r="I214" s="26"/>
      <c r="J214" s="26" t="s">
        <v>14</v>
      </c>
      <c r="K214" s="26" t="s">
        <v>13</v>
      </c>
      <c r="L214" s="55"/>
      <c r="M214" s="26"/>
      <c r="N214" s="4" t="s">
        <v>121</v>
      </c>
    </row>
    <row r="215" spans="1:14" ht="75" customHeight="1" thickTop="1" thickBot="1">
      <c r="A215" s="34">
        <v>213</v>
      </c>
      <c r="B215" s="55">
        <f ca="1">IFERROR(__xludf.DUMMYFUNCTION("""COMPUTED_VALUE"""),46134.5619365162)</f>
        <v>46134.561936516198</v>
      </c>
      <c r="C215" s="56" t="str">
        <f ca="1">IFERROR(__xludf.DUMMYFUNCTION("""COMPUTED_VALUE"""),"المعملجي")</f>
        <v>المعملجي</v>
      </c>
      <c r="D215" s="56" t="str">
        <f ca="1">IFERROR(__xludf.DUMMYFUNCTION("""COMPUTED_VALUE"""),"سجاد تربية")</f>
        <v>سجاد تربية</v>
      </c>
      <c r="E215" s="26" t="str">
        <f ca="1">IFERROR(__xludf.DUMMYFUNCTION("""COMPUTED_VALUE"""),"قسم التربية والتعليم العالي")</f>
        <v>قسم التربية والتعليم العالي</v>
      </c>
      <c r="F215" s="26" t="str">
        <f ca="1">IFERROR(__xludf.DUMMYFUNCTION("""COMPUTED_VALUE"""),"D- ثانوية العميد بناية المتوسطة  (الثانية)")</f>
        <v>D- ثانوية العميد بناية المتوسطة  (الثانية)</v>
      </c>
      <c r="G215" s="26" t="str">
        <f ca="1">IFERROR(__xludf.DUMMYFUNCTION("""COMPUTED_VALUE"""),"الطابق الارضي, ZONE B")</f>
        <v>الطابق الارضي, ZONE B</v>
      </c>
      <c r="H215" s="26" t="str">
        <f ca="1">IFERROR(__xludf.DUMMYFUNCTION("""COMPUTED_VALUE"""),"انسداد مجري ماء امطار")</f>
        <v>انسداد مجري ماء امطار</v>
      </c>
      <c r="I215" s="26"/>
      <c r="J215" s="26" t="s">
        <v>14</v>
      </c>
      <c r="K215" s="26" t="s">
        <v>13</v>
      </c>
      <c r="L215" s="55"/>
      <c r="M215" s="26"/>
      <c r="N215" s="4" t="s">
        <v>121</v>
      </c>
    </row>
    <row r="216" spans="1:14" ht="75" customHeight="1" thickTop="1" thickBot="1">
      <c r="A216" s="26">
        <v>214</v>
      </c>
      <c r="B216" s="55">
        <f ca="1">IFERROR(__xludf.DUMMYFUNCTION("""COMPUTED_VALUE"""),46134.5625575114)</f>
        <v>46134.562557511497</v>
      </c>
      <c r="C216" s="56" t="str">
        <f ca="1">IFERROR(__xludf.DUMMYFUNCTION("""COMPUTED_VALUE"""),"المعملجي")</f>
        <v>المعملجي</v>
      </c>
      <c r="D216" s="56" t="str">
        <f ca="1">IFERROR(__xludf.DUMMYFUNCTION("""COMPUTED_VALUE"""),"سجاد تربية")</f>
        <v>سجاد تربية</v>
      </c>
      <c r="E216" s="26" t="str">
        <f ca="1">IFERROR(__xludf.DUMMYFUNCTION("""COMPUTED_VALUE"""),"قسم التربية والتعليم العالي")</f>
        <v>قسم التربية والتعليم العالي</v>
      </c>
      <c r="F216" s="26" t="str">
        <f ca="1">IFERROR(__xludf.DUMMYFUNCTION("""COMPUTED_VALUE"""),"G- روضة الجود")</f>
        <v>G- روضة الجود</v>
      </c>
      <c r="G216" s="26" t="str">
        <f ca="1">IFERROR(__xludf.DUMMYFUNCTION("""COMPUTED_VALUE"""),"الطابق الارضي")</f>
        <v>الطابق الارضي</v>
      </c>
      <c r="H216" s="26" t="str">
        <f ca="1">IFERROR(__xludf.DUMMYFUNCTION("""COMPUTED_VALUE"""),"انسداد مجرى صحيات")</f>
        <v>انسداد مجرى صحيات</v>
      </c>
      <c r="I216" s="26"/>
      <c r="J216" s="26" t="s">
        <v>14</v>
      </c>
      <c r="K216" s="26" t="s">
        <v>13</v>
      </c>
      <c r="L216" s="55"/>
      <c r="M216" s="26"/>
      <c r="N216" s="4" t="s">
        <v>121</v>
      </c>
    </row>
    <row r="217" spans="1:14" ht="75" customHeight="1" thickTop="1" thickBot="1">
      <c r="A217" s="34">
        <v>215</v>
      </c>
      <c r="B217" s="55">
        <f ca="1">IFERROR(__xludf.DUMMYFUNCTION("""COMPUTED_VALUE"""),46134.5630886574)</f>
        <v>46134.5630886574</v>
      </c>
      <c r="C217" s="56" t="str">
        <f ca="1">IFERROR(__xludf.DUMMYFUNCTION("""COMPUTED_VALUE"""),"المعملجي")</f>
        <v>المعملجي</v>
      </c>
      <c r="D217" s="56" t="str">
        <f ca="1">IFERROR(__xludf.DUMMYFUNCTION("""COMPUTED_VALUE"""),"سجاد تربية")</f>
        <v>سجاد تربية</v>
      </c>
      <c r="E217" s="26" t="str">
        <f ca="1">IFERROR(__xludf.DUMMYFUNCTION("""COMPUTED_VALUE"""),"قسم التربية والتعليم العالي")</f>
        <v>قسم التربية والتعليم العالي</v>
      </c>
      <c r="F217" s="26" t="str">
        <f ca="1">IFERROR(__xludf.DUMMYFUNCTION("""COMPUTED_VALUE"""),"C- ثانوية العميد بناية الاعدادية  (الاولى)")</f>
        <v>C- ثانوية العميد بناية الاعدادية  (الاولى)</v>
      </c>
      <c r="G217" s="26" t="str">
        <f ca="1">IFERROR(__xludf.DUMMYFUNCTION("""COMPUTED_VALUE"""),"الطابق الثاني, ZONE B")</f>
        <v>الطابق الثاني, ZONE B</v>
      </c>
      <c r="H217" s="26" t="str">
        <f ca="1">IFERROR(__xludf.DUMMYFUNCTION("""COMPUTED_VALUE"""),"تبديل صوندة مغسلة")</f>
        <v>تبديل صوندة مغسلة</v>
      </c>
      <c r="I217" s="26"/>
      <c r="J217" s="26" t="s">
        <v>14</v>
      </c>
      <c r="K217" s="26" t="s">
        <v>13</v>
      </c>
      <c r="L217" s="55"/>
      <c r="M217" s="26"/>
      <c r="N217" s="4" t="s">
        <v>121</v>
      </c>
    </row>
    <row r="218" spans="1:14" ht="75" customHeight="1" thickTop="1" thickBot="1">
      <c r="A218" s="26">
        <v>216</v>
      </c>
      <c r="B218" s="55">
        <f ca="1">IFERROR(__xludf.DUMMYFUNCTION("""COMPUTED_VALUE"""),46137.3248959259)</f>
        <v>46137.3248959259</v>
      </c>
      <c r="C218" s="56" t="str">
        <f ca="1">IFERROR(__xludf.DUMMYFUNCTION("""COMPUTED_VALUE"""),"المعملجي")</f>
        <v>المعملجي</v>
      </c>
      <c r="D218" s="56" t="str">
        <f ca="1">IFERROR(__xludf.DUMMYFUNCTION("""COMPUTED_VALUE"""),"سجاد تربية")</f>
        <v>سجاد تربية</v>
      </c>
      <c r="E218" s="26" t="str">
        <f ca="1">IFERROR(__xludf.DUMMYFUNCTION("""COMPUTED_VALUE"""),"قسم التربية والتعليم العالي")</f>
        <v>قسم التربية والتعليم العالي</v>
      </c>
      <c r="F218" s="26" t="str">
        <f ca="1">IFERROR(__xludf.DUMMYFUNCTION("""COMPUTED_VALUE"""),"شعبة الصيانة")</f>
        <v>شعبة الصيانة</v>
      </c>
      <c r="G218" s="26" t="str">
        <f ca="1">IFERROR(__xludf.DUMMYFUNCTION("""COMPUTED_VALUE"""),"الطابق الارضي")</f>
        <v>الطابق الارضي</v>
      </c>
      <c r="H218" s="26" t="str">
        <f ca="1">IFERROR(__xludf.DUMMYFUNCTION("""COMPUTED_VALUE"""),"حفر مقرنص ومد بوري سقي ")</f>
        <v xml:space="preserve">حفر مقرنص ومد بوري سقي </v>
      </c>
      <c r="I218" s="26"/>
      <c r="J218" s="26" t="s">
        <v>16</v>
      </c>
      <c r="K218" s="26" t="s">
        <v>13</v>
      </c>
      <c r="L218" s="55"/>
      <c r="M218" s="26"/>
      <c r="N218" s="4" t="s">
        <v>121</v>
      </c>
    </row>
    <row r="219" spans="1:14" ht="75" customHeight="1" thickTop="1" thickBot="1">
      <c r="A219" s="34">
        <v>217</v>
      </c>
      <c r="B219" s="55">
        <f ca="1">IFERROR(__xludf.DUMMYFUNCTION("""COMPUTED_VALUE"""),46137.3261552546)</f>
        <v>46137.326155254603</v>
      </c>
      <c r="C219" s="56" t="str">
        <f ca="1">IFERROR(__xludf.DUMMYFUNCTION("""COMPUTED_VALUE"""),"المعملجي")</f>
        <v>المعملجي</v>
      </c>
      <c r="D219" s="56" t="str">
        <f ca="1">IFERROR(__xludf.DUMMYFUNCTION("""COMPUTED_VALUE"""),"سجاد تربية")</f>
        <v>سجاد تربية</v>
      </c>
      <c r="E219" s="26" t="str">
        <f ca="1">IFERROR(__xludf.DUMMYFUNCTION("""COMPUTED_VALUE"""),"قسم التربية والتعليم العالي")</f>
        <v>قسم التربية والتعليم العالي</v>
      </c>
      <c r="F219" s="26" t="str">
        <f ca="1">IFERROR(__xludf.DUMMYFUNCTION("""COMPUTED_VALUE"""),"أعمدة الانارة")</f>
        <v>أعمدة الانارة</v>
      </c>
      <c r="G219" s="26" t="str">
        <f ca="1">IFERROR(__xludf.DUMMYFUNCTION("""COMPUTED_VALUE"""),"الطابق الارضي")</f>
        <v>الطابق الارضي</v>
      </c>
      <c r="H219" s="26" t="str">
        <f ca="1">IFERROR(__xludf.DUMMYFUNCTION("""COMPUTED_VALUE"""),"صبغ أعمدة الإنارة عدد ٤")</f>
        <v>صبغ أعمدة الإنارة عدد ٤</v>
      </c>
      <c r="I219" s="26"/>
      <c r="J219" s="26" t="s">
        <v>16</v>
      </c>
      <c r="K219" s="26" t="s">
        <v>13</v>
      </c>
      <c r="L219" s="55"/>
      <c r="M219" s="26"/>
      <c r="N219" s="4" t="s">
        <v>121</v>
      </c>
    </row>
    <row r="220" spans="1:14" ht="75" customHeight="1" thickTop="1" thickBot="1">
      <c r="A220" s="26">
        <v>218</v>
      </c>
      <c r="B220" s="55">
        <f ca="1">IFERROR(__xludf.DUMMYFUNCTION("""COMPUTED_VALUE"""),46137.3270499652)</f>
        <v>46137.327049965199</v>
      </c>
      <c r="C220" s="56" t="str">
        <f ca="1">IFERROR(__xludf.DUMMYFUNCTION("""COMPUTED_VALUE"""),"المعملجي")</f>
        <v>المعملجي</v>
      </c>
      <c r="D220" s="56" t="str">
        <f ca="1">IFERROR(__xludf.DUMMYFUNCTION("""COMPUTED_VALUE"""),"سجاد تربية")</f>
        <v>سجاد تربية</v>
      </c>
      <c r="E220" s="26" t="str">
        <f ca="1">IFERROR(__xludf.DUMMYFUNCTION("""COMPUTED_VALUE"""),"قسم التربية والتعليم العالي")</f>
        <v>قسم التربية والتعليم العالي</v>
      </c>
      <c r="F220" s="26" t="str">
        <f ca="1">IFERROR(__xludf.DUMMYFUNCTION("""COMPUTED_VALUE"""),"شعبة الصيانة")</f>
        <v>شعبة الصيانة</v>
      </c>
      <c r="G220" s="26" t="str">
        <f ca="1">IFERROR(__xludf.DUMMYFUNCTION("""COMPUTED_VALUE"""),"الطابق الارضي")</f>
        <v>الطابق الارضي</v>
      </c>
      <c r="H220" s="26" t="str">
        <f ca="1">IFERROR(__xludf.DUMMYFUNCTION("""COMPUTED_VALUE"""),"تطبيق المقرنص بعد مد بوري ماء")</f>
        <v>تطبيق المقرنص بعد مد بوري ماء</v>
      </c>
      <c r="I220" s="26"/>
      <c r="J220" s="26" t="s">
        <v>16</v>
      </c>
      <c r="K220" s="26" t="s">
        <v>13</v>
      </c>
      <c r="L220" s="55"/>
      <c r="M220" s="26"/>
      <c r="N220" s="4" t="s">
        <v>121</v>
      </c>
    </row>
    <row r="221" spans="1:14" ht="75" customHeight="1" thickTop="1" thickBot="1">
      <c r="A221" s="34">
        <v>219</v>
      </c>
      <c r="B221" s="55">
        <f ca="1">IFERROR(__xludf.DUMMYFUNCTION("""COMPUTED_VALUE"""),46137.3279649652)</f>
        <v>46137.327964965203</v>
      </c>
      <c r="C221" s="56" t="str">
        <f ca="1">IFERROR(__xludf.DUMMYFUNCTION("""COMPUTED_VALUE"""),"المعملجي")</f>
        <v>المعملجي</v>
      </c>
      <c r="D221" s="56" t="str">
        <f ca="1">IFERROR(__xludf.DUMMYFUNCTION("""COMPUTED_VALUE"""),"سجاد تربية")</f>
        <v>سجاد تربية</v>
      </c>
      <c r="E221" s="26" t="str">
        <f ca="1">IFERROR(__xludf.DUMMYFUNCTION("""COMPUTED_VALUE"""),"قسم التربية والتعليم العالي")</f>
        <v>قسم التربية والتعليم العالي</v>
      </c>
      <c r="F221" s="26" t="str">
        <f ca="1">IFERROR(__xludf.DUMMYFUNCTION("""COMPUTED_VALUE"""),"A- المركز الثقافي")</f>
        <v>A- المركز الثقافي</v>
      </c>
      <c r="G221" s="26" t="str">
        <f ca="1">IFERROR(__xludf.DUMMYFUNCTION("""COMPUTED_VALUE"""),"الطابق الثاني, السطح")</f>
        <v>الطابق الثاني, السطح</v>
      </c>
      <c r="H221" s="26" t="str">
        <f ca="1">IFERROR(__xludf.DUMMYFUNCTION("""COMPUTED_VALUE"""),"عمل ماستك للسطح")</f>
        <v>عمل ماستك للسطح</v>
      </c>
      <c r="I221" s="26"/>
      <c r="J221" s="26" t="s">
        <v>16</v>
      </c>
      <c r="K221" s="26" t="s">
        <v>13</v>
      </c>
      <c r="L221" s="55"/>
      <c r="M221" s="26"/>
      <c r="N221" s="4" t="s">
        <v>121</v>
      </c>
    </row>
    <row r="222" spans="1:14" ht="75" customHeight="1" thickTop="1" thickBot="1">
      <c r="A222" s="26">
        <v>220</v>
      </c>
      <c r="B222" s="55">
        <f ca="1">IFERROR(__xludf.DUMMYFUNCTION("""COMPUTED_VALUE"""),46137.3285004398)</f>
        <v>46137.328500439799</v>
      </c>
      <c r="C222" s="56" t="str">
        <f ca="1">IFERROR(__xludf.DUMMYFUNCTION("""COMPUTED_VALUE"""),"المعملجي")</f>
        <v>المعملجي</v>
      </c>
      <c r="D222" s="56" t="str">
        <f ca="1">IFERROR(__xludf.DUMMYFUNCTION("""COMPUTED_VALUE"""),"سجاد تربية")</f>
        <v>سجاد تربية</v>
      </c>
      <c r="E222" s="26" t="str">
        <f ca="1">IFERROR(__xludf.DUMMYFUNCTION("""COMPUTED_VALUE"""),"قسم التربية والتعليم العالي")</f>
        <v>قسم التربية والتعليم العالي</v>
      </c>
      <c r="F222" s="26" t="str">
        <f ca="1">IFERROR(__xludf.DUMMYFUNCTION("""COMPUTED_VALUE"""),"A- المركز الثقافي")</f>
        <v>A- المركز الثقافي</v>
      </c>
      <c r="G222" s="26" t="str">
        <f ca="1">IFERROR(__xludf.DUMMYFUNCTION("""COMPUTED_VALUE"""),"الطابق الثاني, السطح")</f>
        <v>الطابق الثاني, السطح</v>
      </c>
      <c r="H222" s="26" t="str">
        <f ca="1">IFERROR(__xludf.DUMMYFUNCTION("""COMPUTED_VALUE"""),"عمل مادة الصوصج")</f>
        <v>عمل مادة الصوصج</v>
      </c>
      <c r="I222" s="26"/>
      <c r="J222" s="26" t="s">
        <v>16</v>
      </c>
      <c r="K222" s="26" t="s">
        <v>13</v>
      </c>
      <c r="L222" s="55"/>
      <c r="M222" s="26"/>
      <c r="N222" s="4" t="s">
        <v>121</v>
      </c>
    </row>
    <row r="223" spans="1:14" ht="75" customHeight="1" thickTop="1" thickBot="1">
      <c r="A223" s="34">
        <v>221</v>
      </c>
      <c r="B223" s="55">
        <f ca="1">IFERROR(__xludf.DUMMYFUNCTION("""COMPUTED_VALUE"""),46137.4030717361)</f>
        <v>46137.403071736102</v>
      </c>
      <c r="C223" s="56" t="str">
        <f ca="1">IFERROR(__xludf.DUMMYFUNCTION("""COMPUTED_VALUE"""),"المعملجي")</f>
        <v>المعملجي</v>
      </c>
      <c r="D223" s="56" t="str">
        <f ca="1">IFERROR(__xludf.DUMMYFUNCTION("""COMPUTED_VALUE"""),"وحدة التبريد")</f>
        <v>وحدة التبريد</v>
      </c>
      <c r="E223" s="26" t="str">
        <f ca="1">IFERROR(__xludf.DUMMYFUNCTION("""COMPUTED_VALUE"""),"قسم المشاريع الهندسية")</f>
        <v>قسم المشاريع الهندسية</v>
      </c>
      <c r="F223" s="26" t="str">
        <f ca="1">IFERROR(__xludf.DUMMYFUNCTION("""COMPUTED_VALUE"""),"A- المركز الثقافي")</f>
        <v>A- المركز الثقافي</v>
      </c>
      <c r="G223" s="26" t="str">
        <f ca="1">IFERROR(__xludf.DUMMYFUNCTION("""COMPUTED_VALUE"""),"السطح")</f>
        <v>السطح</v>
      </c>
      <c r="H223"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3" s="26"/>
      <c r="J223" s="26" t="s">
        <v>15</v>
      </c>
      <c r="K223" s="26" t="s">
        <v>13</v>
      </c>
      <c r="L223" s="55"/>
      <c r="M223" s="26"/>
      <c r="N223" s="4" t="s">
        <v>121</v>
      </c>
    </row>
    <row r="224" spans="1:14" ht="75" customHeight="1" thickTop="1" thickBot="1">
      <c r="A224" s="26">
        <v>222</v>
      </c>
      <c r="B224" s="55">
        <f ca="1">IFERROR(__xludf.DUMMYFUNCTION("""COMPUTED_VALUE"""),46137.4041340046)</f>
        <v>46137.404134004602</v>
      </c>
      <c r="C224" s="56" t="str">
        <f ca="1">IFERROR(__xludf.DUMMYFUNCTION("""COMPUTED_VALUE"""),"المعملجي")</f>
        <v>المعملجي</v>
      </c>
      <c r="D224" s="56" t="str">
        <f ca="1">IFERROR(__xludf.DUMMYFUNCTION("""COMPUTED_VALUE"""),"وحدة التبريد")</f>
        <v>وحدة التبريد</v>
      </c>
      <c r="E224" s="26" t="str">
        <f ca="1">IFERROR(__xludf.DUMMYFUNCTION("""COMPUTED_VALUE"""),"قسم المشاريع الهندسية")</f>
        <v>قسم المشاريع الهندسية</v>
      </c>
      <c r="F224" s="26" t="str">
        <f ca="1">IFERROR(__xludf.DUMMYFUNCTION("""COMPUTED_VALUE"""),"B- روضة القمر")</f>
        <v>B- روضة القمر</v>
      </c>
      <c r="G224" s="26" t="str">
        <f ca="1">IFERROR(__xludf.DUMMYFUNCTION("""COMPUTED_VALUE"""),"السطح")</f>
        <v>السطح</v>
      </c>
      <c r="H224"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4" s="26"/>
      <c r="J224" s="26" t="s">
        <v>15</v>
      </c>
      <c r="K224" s="26" t="s">
        <v>13</v>
      </c>
      <c r="L224" s="55"/>
      <c r="M224" s="26"/>
      <c r="N224" s="4" t="s">
        <v>121</v>
      </c>
    </row>
    <row r="225" spans="1:14" ht="75" customHeight="1" thickTop="1" thickBot="1">
      <c r="A225" s="34">
        <v>223</v>
      </c>
      <c r="B225" s="55">
        <f ca="1">IFERROR(__xludf.DUMMYFUNCTION("""COMPUTED_VALUE"""),46137.4043260879)</f>
        <v>46137.404326087897</v>
      </c>
      <c r="C225" s="56" t="str">
        <f ca="1">IFERROR(__xludf.DUMMYFUNCTION("""COMPUTED_VALUE"""),"المعملجي")</f>
        <v>المعملجي</v>
      </c>
      <c r="D225" s="56" t="str">
        <f ca="1">IFERROR(__xludf.DUMMYFUNCTION("""COMPUTED_VALUE"""),"وحدة التبريد")</f>
        <v>وحدة التبريد</v>
      </c>
      <c r="E225" s="26" t="str">
        <f ca="1">IFERROR(__xludf.DUMMYFUNCTION("""COMPUTED_VALUE"""),"قسم المشاريع الهندسية")</f>
        <v>قسم المشاريع الهندسية</v>
      </c>
      <c r="F225" s="26" t="str">
        <f ca="1">IFERROR(__xludf.DUMMYFUNCTION("""COMPUTED_VALUE"""),"G- روضة الجود")</f>
        <v>G- روضة الجود</v>
      </c>
      <c r="G225" s="26" t="str">
        <f ca="1">IFERROR(__xludf.DUMMYFUNCTION("""COMPUTED_VALUE"""),"السطح")</f>
        <v>السطح</v>
      </c>
      <c r="H225"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5" s="26"/>
      <c r="J225" s="26" t="s">
        <v>15</v>
      </c>
      <c r="K225" s="26" t="s">
        <v>13</v>
      </c>
      <c r="L225" s="55"/>
      <c r="M225" s="26"/>
      <c r="N225" s="4" t="s">
        <v>121</v>
      </c>
    </row>
    <row r="226" spans="1:14" ht="75" customHeight="1" thickTop="1" thickBot="1">
      <c r="A226" s="26">
        <v>224</v>
      </c>
      <c r="B226" s="55">
        <f ca="1">IFERROR(__xludf.DUMMYFUNCTION("""COMPUTED_VALUE"""),46137.404529456)</f>
        <v>46137.404529455998</v>
      </c>
      <c r="C226" s="56" t="str">
        <f ca="1">IFERROR(__xludf.DUMMYFUNCTION("""COMPUTED_VALUE"""),"المعملجي")</f>
        <v>المعملجي</v>
      </c>
      <c r="D226" s="56" t="str">
        <f ca="1">IFERROR(__xludf.DUMMYFUNCTION("""COMPUTED_VALUE"""),"وحدة التبريد")</f>
        <v>وحدة التبريد</v>
      </c>
      <c r="E226" s="26" t="str">
        <f ca="1">IFERROR(__xludf.DUMMYFUNCTION("""COMPUTED_VALUE"""),"قسم المشاريع الهندسية")</f>
        <v>قسم المشاريع الهندسية</v>
      </c>
      <c r="F226" s="26" t="str">
        <f ca="1">IFERROR(__xludf.DUMMYFUNCTION("""COMPUTED_VALUE"""),"C- ثانوية العميد بناية الاعدادية  (الاولى)")</f>
        <v>C- ثانوية العميد بناية الاعدادية  (الاولى)</v>
      </c>
      <c r="G226" s="26" t="str">
        <f ca="1">IFERROR(__xludf.DUMMYFUNCTION("""COMPUTED_VALUE"""),"السطح")</f>
        <v>السطح</v>
      </c>
      <c r="H226"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6" s="26"/>
      <c r="J226" s="26" t="s">
        <v>15</v>
      </c>
      <c r="K226" s="26" t="s">
        <v>13</v>
      </c>
      <c r="L226" s="55"/>
      <c r="M226" s="26"/>
      <c r="N226" s="4" t="s">
        <v>121</v>
      </c>
    </row>
    <row r="227" spans="1:14" ht="75" customHeight="1" thickTop="1" thickBot="1">
      <c r="A227" s="34">
        <v>225</v>
      </c>
      <c r="B227" s="55">
        <f ca="1">IFERROR(__xludf.DUMMYFUNCTION("""COMPUTED_VALUE"""),46137.4047215046)</f>
        <v>46137.404721504601</v>
      </c>
      <c r="C227" s="56" t="str">
        <f ca="1">IFERROR(__xludf.DUMMYFUNCTION("""COMPUTED_VALUE"""),"المعملجي")</f>
        <v>المعملجي</v>
      </c>
      <c r="D227" s="56" t="str">
        <f ca="1">IFERROR(__xludf.DUMMYFUNCTION("""COMPUTED_VALUE"""),"وحدة التبريد")</f>
        <v>وحدة التبريد</v>
      </c>
      <c r="E227" s="26" t="str">
        <f ca="1">IFERROR(__xludf.DUMMYFUNCTION("""COMPUTED_VALUE"""),"قسم المشاريع الهندسية")</f>
        <v>قسم المشاريع الهندسية</v>
      </c>
      <c r="F227" s="26" t="str">
        <f ca="1">IFERROR(__xludf.DUMMYFUNCTION("""COMPUTED_VALUE"""),"D- ثانوية العميد بناية المتوسطة  (الثانية)")</f>
        <v>D- ثانوية العميد بناية المتوسطة  (الثانية)</v>
      </c>
      <c r="G227" s="26" t="str">
        <f ca="1">IFERROR(__xludf.DUMMYFUNCTION("""COMPUTED_VALUE"""),"السطح")</f>
        <v>السطح</v>
      </c>
      <c r="H227"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7" s="26"/>
      <c r="J227" s="26" t="s">
        <v>15</v>
      </c>
      <c r="K227" s="26" t="s">
        <v>13</v>
      </c>
      <c r="L227" s="55"/>
      <c r="M227" s="26"/>
      <c r="N227" s="4" t="s">
        <v>121</v>
      </c>
    </row>
    <row r="228" spans="1:14" ht="75" customHeight="1" thickTop="1" thickBot="1">
      <c r="A228" s="26">
        <v>226</v>
      </c>
      <c r="B228" s="55">
        <f ca="1">IFERROR(__xludf.DUMMYFUNCTION("""COMPUTED_VALUE"""),46137.4048942476)</f>
        <v>46137.4048942476</v>
      </c>
      <c r="C228" s="56" t="str">
        <f ca="1">IFERROR(__xludf.DUMMYFUNCTION("""COMPUTED_VALUE"""),"المعملجي")</f>
        <v>المعملجي</v>
      </c>
      <c r="D228" s="56" t="str">
        <f ca="1">IFERROR(__xludf.DUMMYFUNCTION("""COMPUTED_VALUE"""),"وحدة التبريد")</f>
        <v>وحدة التبريد</v>
      </c>
      <c r="E228" s="26" t="str">
        <f ca="1">IFERROR(__xludf.DUMMYFUNCTION("""COMPUTED_VALUE"""),"قسم المشاريع الهندسية")</f>
        <v>قسم المشاريع الهندسية</v>
      </c>
      <c r="F228" s="26" t="str">
        <f ca="1">IFERROR(__xludf.DUMMYFUNCTION("""COMPUTED_VALUE"""),"E- ابتدائية العميد للبنات (الثالثة)")</f>
        <v>E- ابتدائية العميد للبنات (الثالثة)</v>
      </c>
      <c r="G228" s="26" t="str">
        <f ca="1">IFERROR(__xludf.DUMMYFUNCTION("""COMPUTED_VALUE"""),"السطح")</f>
        <v>السطح</v>
      </c>
      <c r="H228"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8" s="26"/>
      <c r="J228" s="26" t="s">
        <v>15</v>
      </c>
      <c r="K228" s="26" t="s">
        <v>13</v>
      </c>
      <c r="L228" s="55"/>
      <c r="M228" s="26"/>
      <c r="N228" s="4" t="s">
        <v>121</v>
      </c>
    </row>
    <row r="229" spans="1:14" ht="75" customHeight="1" thickTop="1" thickBot="1">
      <c r="A229" s="34">
        <v>227</v>
      </c>
      <c r="B229" s="55">
        <f ca="1">IFERROR(__xludf.DUMMYFUNCTION("""COMPUTED_VALUE"""),46137.4050825347)</f>
        <v>46137.4050825347</v>
      </c>
      <c r="C229" s="56" t="str">
        <f ca="1">IFERROR(__xludf.DUMMYFUNCTION("""COMPUTED_VALUE"""),"المعملجي")</f>
        <v>المعملجي</v>
      </c>
      <c r="D229" s="56" t="str">
        <f ca="1">IFERROR(__xludf.DUMMYFUNCTION("""COMPUTED_VALUE"""),"وحدة التبريد")</f>
        <v>وحدة التبريد</v>
      </c>
      <c r="E229" s="26" t="str">
        <f ca="1">IFERROR(__xludf.DUMMYFUNCTION("""COMPUTED_VALUE"""),"قسم المشاريع الهندسية")</f>
        <v>قسم المشاريع الهندسية</v>
      </c>
      <c r="F229" s="26" t="str">
        <f ca="1">IFERROR(__xludf.DUMMYFUNCTION("""COMPUTED_VALUE"""),"F-  ابتدائية جود العميد للبنات (الرابعة)")</f>
        <v>F-  ابتدائية جود العميد للبنات (الرابعة)</v>
      </c>
      <c r="G229" s="26" t="str">
        <f ca="1">IFERROR(__xludf.DUMMYFUNCTION("""COMPUTED_VALUE"""),"السطح")</f>
        <v>السطح</v>
      </c>
      <c r="H229"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29" s="26"/>
      <c r="J229" s="26" t="s">
        <v>15</v>
      </c>
      <c r="K229" s="26" t="s">
        <v>13</v>
      </c>
      <c r="L229" s="55"/>
      <c r="M229" s="26"/>
      <c r="N229" s="4" t="s">
        <v>121</v>
      </c>
    </row>
    <row r="230" spans="1:14" ht="75" customHeight="1" thickTop="1" thickBot="1">
      <c r="A230" s="26">
        <v>228</v>
      </c>
      <c r="B230" s="55">
        <f ca="1">IFERROR(__xludf.DUMMYFUNCTION("""COMPUTED_VALUE"""),46137.4053460185)</f>
        <v>46137.405346018502</v>
      </c>
      <c r="C230" s="56" t="str">
        <f ca="1">IFERROR(__xludf.DUMMYFUNCTION("""COMPUTED_VALUE"""),"المعملجي")</f>
        <v>المعملجي</v>
      </c>
      <c r="D230" s="56" t="str">
        <f ca="1">IFERROR(__xludf.DUMMYFUNCTION("""COMPUTED_VALUE"""),"وحدة التبريد")</f>
        <v>وحدة التبريد</v>
      </c>
      <c r="E230" s="26" t="str">
        <f ca="1">IFERROR(__xludf.DUMMYFUNCTION("""COMPUTED_VALUE"""),"قسم المشاريع الهندسية")</f>
        <v>قسم المشاريع الهندسية</v>
      </c>
      <c r="F230" s="26" t="str">
        <f ca="1">IFERROR(__xludf.DUMMYFUNCTION("""COMPUTED_VALUE"""),"H- ابتدائية القمر للبنات (الخامسة)")</f>
        <v>H- ابتدائية القمر للبنات (الخامسة)</v>
      </c>
      <c r="G230" s="26" t="str">
        <f ca="1">IFERROR(__xludf.DUMMYFUNCTION("""COMPUTED_VALUE"""),"السطح")</f>
        <v>السطح</v>
      </c>
      <c r="H230"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30" s="26"/>
      <c r="J230" s="26" t="s">
        <v>15</v>
      </c>
      <c r="K230" s="26" t="s">
        <v>13</v>
      </c>
      <c r="L230" s="55"/>
      <c r="M230" s="26"/>
      <c r="N230" s="4" t="s">
        <v>121</v>
      </c>
    </row>
    <row r="231" spans="1:14" ht="75" customHeight="1" thickTop="1" thickBot="1">
      <c r="A231" s="34">
        <v>229</v>
      </c>
      <c r="B231" s="55">
        <f ca="1">IFERROR(__xludf.DUMMYFUNCTION("""COMPUTED_VALUE"""),46137.405565625)</f>
        <v>46137.405565624998</v>
      </c>
      <c r="C231" s="56" t="str">
        <f ca="1">IFERROR(__xludf.DUMMYFUNCTION("""COMPUTED_VALUE"""),"المعملجي")</f>
        <v>المعملجي</v>
      </c>
      <c r="D231" s="56" t="str">
        <f ca="1">IFERROR(__xludf.DUMMYFUNCTION("""COMPUTED_VALUE"""),"وحدة التبريد")</f>
        <v>وحدة التبريد</v>
      </c>
      <c r="E231" s="26" t="str">
        <f ca="1">IFERROR(__xludf.DUMMYFUNCTION("""COMPUTED_VALUE"""),"قسم المشاريع الهندسية")</f>
        <v>قسم المشاريع الهندسية</v>
      </c>
      <c r="F231" s="26" t="str">
        <f ca="1">IFERROR(__xludf.DUMMYFUNCTION("""COMPUTED_VALUE"""),"I- ابتدائية الساقي للبنين (السادسة)")</f>
        <v>I- ابتدائية الساقي للبنين (السادسة)</v>
      </c>
      <c r="G231" s="26" t="str">
        <f ca="1">IFERROR(__xludf.DUMMYFUNCTION("""COMPUTED_VALUE"""),"السطح")</f>
        <v>السطح</v>
      </c>
      <c r="H231"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31" s="26"/>
      <c r="J231" s="26" t="s">
        <v>15</v>
      </c>
      <c r="K231" s="26" t="s">
        <v>13</v>
      </c>
      <c r="L231" s="55"/>
      <c r="M231" s="26"/>
      <c r="N231" s="4" t="s">
        <v>121</v>
      </c>
    </row>
    <row r="232" spans="1:14" ht="75" customHeight="1" thickTop="1" thickBot="1">
      <c r="A232" s="26">
        <v>230</v>
      </c>
      <c r="B232" s="55">
        <f ca="1">IFERROR(__xludf.DUMMYFUNCTION("""COMPUTED_VALUE"""),46137.4057648148)</f>
        <v>46137.405764814801</v>
      </c>
      <c r="C232" s="56" t="str">
        <f ca="1">IFERROR(__xludf.DUMMYFUNCTION("""COMPUTED_VALUE"""),"المعملجي")</f>
        <v>المعملجي</v>
      </c>
      <c r="D232" s="56" t="str">
        <f ca="1">IFERROR(__xludf.DUMMYFUNCTION("""COMPUTED_VALUE"""),"وحدة التبريد")</f>
        <v>وحدة التبريد</v>
      </c>
      <c r="E232" s="26" t="str">
        <f ca="1">IFERROR(__xludf.DUMMYFUNCTION("""COMPUTED_VALUE"""),"قسم المشاريع الهندسية")</f>
        <v>قسم المشاريع الهندسية</v>
      </c>
      <c r="F232"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32" s="26" t="str">
        <f ca="1">IFERROR(__xludf.DUMMYFUNCTION("""COMPUTED_VALUE"""),"السطح")</f>
        <v>السطح</v>
      </c>
      <c r="H232"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232" s="26"/>
      <c r="J232" s="26" t="s">
        <v>15</v>
      </c>
      <c r="K232" s="26" t="s">
        <v>13</v>
      </c>
      <c r="L232" s="55"/>
      <c r="M232" s="26"/>
      <c r="N232" s="4" t="s">
        <v>128</v>
      </c>
    </row>
    <row r="233" spans="1:14" ht="75" customHeight="1" thickTop="1" thickBot="1">
      <c r="A233" s="34">
        <v>231</v>
      </c>
      <c r="B233" s="55">
        <f ca="1">IFERROR(__xludf.DUMMYFUNCTION("""COMPUTED_VALUE"""),46137.4079784143)</f>
        <v>46137.407978414303</v>
      </c>
      <c r="C233" s="56" t="str">
        <f ca="1">IFERROR(__xludf.DUMMYFUNCTION("""COMPUTED_VALUE"""),"المعملجي")</f>
        <v>المعملجي</v>
      </c>
      <c r="D233" s="56" t="str">
        <f ca="1">IFERROR(__xludf.DUMMYFUNCTION("""COMPUTED_VALUE"""),"وحدة التبريد")</f>
        <v>وحدة التبريد</v>
      </c>
      <c r="E233" s="26" t="str">
        <f ca="1">IFERROR(__xludf.DUMMYFUNCTION("""COMPUTED_VALUE"""),"قسم المشاريع الهندسية")</f>
        <v>قسم المشاريع الهندسية</v>
      </c>
      <c r="F233" s="26" t="str">
        <f ca="1">IFERROR(__xludf.DUMMYFUNCTION("""COMPUTED_VALUE"""),"A- المركز الثقافي")</f>
        <v>A- المركز الثقافي</v>
      </c>
      <c r="G233" s="26" t="str">
        <f ca="1">IFERROR(__xludf.DUMMYFUNCTION("""COMPUTED_VALUE"""),"الطابق الارضي, الطابق الاول, جهة ادارة القسم")</f>
        <v>الطابق الارضي, الطابق الاول, جهة ادارة القسم</v>
      </c>
      <c r="H233" s="26" t="str">
        <f ca="1">IFERROR(__xludf.DUMMYFUNCTION("""COMPUTED_VALUE"""),"ادامة وتنظيف فلاتر منظومة ال vrf في البناية ")</f>
        <v xml:space="preserve">ادامة وتنظيف فلاتر منظومة ال vrf في البناية </v>
      </c>
      <c r="I233" s="26"/>
      <c r="J233" s="26" t="s">
        <v>15</v>
      </c>
      <c r="K233" s="26" t="s">
        <v>13</v>
      </c>
      <c r="L233" s="55"/>
      <c r="M233" s="26"/>
      <c r="N233" s="4" t="s">
        <v>121</v>
      </c>
    </row>
    <row r="234" spans="1:14" ht="75" customHeight="1" thickTop="1" thickBot="1">
      <c r="A234" s="26">
        <v>232</v>
      </c>
      <c r="B234" s="55">
        <f ca="1">IFERROR(__xludf.DUMMYFUNCTION("""COMPUTED_VALUE"""),46137.4097111574)</f>
        <v>46137.409711157401</v>
      </c>
      <c r="C234" s="56" t="str">
        <f ca="1">IFERROR(__xludf.DUMMYFUNCTION("""COMPUTED_VALUE"""),"المعملجي")</f>
        <v>المعملجي</v>
      </c>
      <c r="D234" s="56" t="str">
        <f ca="1">IFERROR(__xludf.DUMMYFUNCTION("""COMPUTED_VALUE"""),"وحدة التبريد")</f>
        <v>وحدة التبريد</v>
      </c>
      <c r="E234" s="26" t="str">
        <f ca="1">IFERROR(__xludf.DUMMYFUNCTION("""COMPUTED_VALUE"""),"قسم المشاريع الهندسية")</f>
        <v>قسم المشاريع الهندسية</v>
      </c>
      <c r="F234" s="26" t="str">
        <f ca="1">IFERROR(__xludf.DUMMYFUNCTION("""COMPUTED_VALUE"""),"A- المركز الثقافي")</f>
        <v>A- المركز الثقافي</v>
      </c>
      <c r="G234" s="26" t="str">
        <f ca="1">IFERROR(__xludf.DUMMYFUNCTION("""COMPUTED_VALUE"""),"الطابق الثاني, الطابق الثالث, الطابق الرابع")</f>
        <v>الطابق الثاني, الطابق الثالث, الطابق الرابع</v>
      </c>
      <c r="H234" s="26" t="str">
        <f ca="1">IFERROR(__xludf.DUMMYFUNCTION("""COMPUTED_VALUE"""),"ادامة وتنظيف فلاتر منظومة ال vrf في البناية ")</f>
        <v xml:space="preserve">ادامة وتنظيف فلاتر منظومة ال vrf في البناية </v>
      </c>
      <c r="I234" s="26"/>
      <c r="J234" s="26" t="s">
        <v>15</v>
      </c>
      <c r="K234" s="26" t="s">
        <v>13</v>
      </c>
      <c r="L234" s="55"/>
      <c r="M234" s="26"/>
      <c r="N234" s="4" t="s">
        <v>121</v>
      </c>
    </row>
    <row r="235" spans="1:14" ht="75" customHeight="1" thickTop="1" thickBot="1">
      <c r="A235" s="34">
        <v>233</v>
      </c>
      <c r="B235" s="55">
        <f ca="1">IFERROR(__xludf.DUMMYFUNCTION("""COMPUTED_VALUE"""),46137.4099515162)</f>
        <v>46137.409951516202</v>
      </c>
      <c r="C235" s="56" t="str">
        <f ca="1">IFERROR(__xludf.DUMMYFUNCTION("""COMPUTED_VALUE"""),"المعملجي")</f>
        <v>المعملجي</v>
      </c>
      <c r="D235" s="56" t="str">
        <f ca="1">IFERROR(__xludf.DUMMYFUNCTION("""COMPUTED_VALUE"""),"وحدة التبريد")</f>
        <v>وحدة التبريد</v>
      </c>
      <c r="E235" s="26" t="str">
        <f ca="1">IFERROR(__xludf.DUMMYFUNCTION("""COMPUTED_VALUE"""),"قسم المشاريع الهندسية")</f>
        <v>قسم المشاريع الهندسية</v>
      </c>
      <c r="F235" s="26" t="str">
        <f ca="1">IFERROR(__xludf.DUMMYFUNCTION("""COMPUTED_VALUE"""),"B- روضة القمر")</f>
        <v>B- روضة القمر</v>
      </c>
      <c r="G235" s="26" t="str">
        <f ca="1">IFERROR(__xludf.DUMMYFUNCTION("""COMPUTED_VALUE"""),"الطابق الارضي, الطابق الاول, الطابق الثاني")</f>
        <v>الطابق الارضي, الطابق الاول, الطابق الثاني</v>
      </c>
      <c r="H235" s="26" t="str">
        <f ca="1">IFERROR(__xludf.DUMMYFUNCTION("""COMPUTED_VALUE"""),"ادامة وتنظيف فلاتر منظومة ال vrf في البناية ")</f>
        <v xml:space="preserve">ادامة وتنظيف فلاتر منظومة ال vrf في البناية </v>
      </c>
      <c r="I235" s="26"/>
      <c r="J235" s="26" t="s">
        <v>15</v>
      </c>
      <c r="K235" s="26" t="s">
        <v>13</v>
      </c>
      <c r="L235" s="55"/>
      <c r="M235" s="26"/>
      <c r="N235" s="4" t="s">
        <v>121</v>
      </c>
    </row>
    <row r="236" spans="1:14" ht="75" customHeight="1" thickTop="1" thickBot="1">
      <c r="A236" s="26">
        <v>234</v>
      </c>
      <c r="B236" s="55">
        <f ca="1">IFERROR(__xludf.DUMMYFUNCTION("""COMPUTED_VALUE"""),46137.4101925463)</f>
        <v>46137.410192546296</v>
      </c>
      <c r="C236" s="56" t="str">
        <f ca="1">IFERROR(__xludf.DUMMYFUNCTION("""COMPUTED_VALUE"""),"المعملجي")</f>
        <v>المعملجي</v>
      </c>
      <c r="D236" s="56" t="str">
        <f ca="1">IFERROR(__xludf.DUMMYFUNCTION("""COMPUTED_VALUE"""),"وحدة التبريد")</f>
        <v>وحدة التبريد</v>
      </c>
      <c r="E236" s="26" t="str">
        <f ca="1">IFERROR(__xludf.DUMMYFUNCTION("""COMPUTED_VALUE"""),"قسم المشاريع الهندسية")</f>
        <v>قسم المشاريع الهندسية</v>
      </c>
      <c r="F236" s="26" t="str">
        <f ca="1">IFERROR(__xludf.DUMMYFUNCTION("""COMPUTED_VALUE"""),"G- روضة الجود")</f>
        <v>G- روضة الجود</v>
      </c>
      <c r="G236" s="26" t="str">
        <f ca="1">IFERROR(__xludf.DUMMYFUNCTION("""COMPUTED_VALUE"""),"الطابق الارضي, الطابق الاول, الطابق الثاني")</f>
        <v>الطابق الارضي, الطابق الاول, الطابق الثاني</v>
      </c>
      <c r="H236" s="26" t="str">
        <f ca="1">IFERROR(__xludf.DUMMYFUNCTION("""COMPUTED_VALUE"""),"ادامة وتنظيف فلاتر منظومة ال vrf في البناية ")</f>
        <v xml:space="preserve">ادامة وتنظيف فلاتر منظومة ال vrf في البناية </v>
      </c>
      <c r="I236" s="26"/>
      <c r="J236" s="26" t="s">
        <v>15</v>
      </c>
      <c r="K236" s="26" t="s">
        <v>13</v>
      </c>
      <c r="L236" s="55"/>
      <c r="M236" s="26"/>
      <c r="N236" s="4" t="s">
        <v>121</v>
      </c>
    </row>
    <row r="237" spans="1:14" ht="75" customHeight="1" thickTop="1" thickBot="1">
      <c r="A237" s="34">
        <v>235</v>
      </c>
      <c r="B237" s="55">
        <f ca="1">IFERROR(__xludf.DUMMYFUNCTION("""COMPUTED_VALUE"""),46137.4103880671)</f>
        <v>46137.410388067103</v>
      </c>
      <c r="C237" s="56" t="str">
        <f ca="1">IFERROR(__xludf.DUMMYFUNCTION("""COMPUTED_VALUE"""),"المعملجي")</f>
        <v>المعملجي</v>
      </c>
      <c r="D237" s="56" t="str">
        <f ca="1">IFERROR(__xludf.DUMMYFUNCTION("""COMPUTED_VALUE"""),"وحدة التبريد")</f>
        <v>وحدة التبريد</v>
      </c>
      <c r="E237" s="26" t="str">
        <f ca="1">IFERROR(__xludf.DUMMYFUNCTION("""COMPUTED_VALUE"""),"قسم المشاريع الهندسية")</f>
        <v>قسم المشاريع الهندسية</v>
      </c>
      <c r="F237" s="26" t="str">
        <f ca="1">IFERROR(__xludf.DUMMYFUNCTION("""COMPUTED_VALUE"""),"C- ثانوية العميد بناية الاعدادية  (الاولى)")</f>
        <v>C- ثانوية العميد بناية الاعدادية  (الاولى)</v>
      </c>
      <c r="G237" s="26" t="str">
        <f ca="1">IFERROR(__xludf.DUMMYFUNCTION("""COMPUTED_VALUE"""),"الطابق الارضي, الطابق الاول, الطابق الثاني")</f>
        <v>الطابق الارضي, الطابق الاول, الطابق الثاني</v>
      </c>
      <c r="H237" s="26" t="str">
        <f ca="1">IFERROR(__xludf.DUMMYFUNCTION("""COMPUTED_VALUE"""),"ادامة وتنظيف فلاتر منظومة ال vrf في البناية ")</f>
        <v xml:space="preserve">ادامة وتنظيف فلاتر منظومة ال vrf في البناية </v>
      </c>
      <c r="I237" s="26"/>
      <c r="J237" s="26" t="s">
        <v>15</v>
      </c>
      <c r="K237" s="26" t="s">
        <v>13</v>
      </c>
      <c r="L237" s="55"/>
      <c r="M237" s="26"/>
      <c r="N237" s="4" t="s">
        <v>121</v>
      </c>
    </row>
    <row r="238" spans="1:14" ht="75" customHeight="1" thickTop="1" thickBot="1">
      <c r="A238" s="26">
        <v>236</v>
      </c>
      <c r="B238" s="55">
        <f ca="1">IFERROR(__xludf.DUMMYFUNCTION("""COMPUTED_VALUE"""),46137.4117633912)</f>
        <v>46137.411763391203</v>
      </c>
      <c r="C238" s="56" t="str">
        <f ca="1">IFERROR(__xludf.DUMMYFUNCTION("""COMPUTED_VALUE"""),"المعملجي")</f>
        <v>المعملجي</v>
      </c>
      <c r="D238" s="56" t="str">
        <f ca="1">IFERROR(__xludf.DUMMYFUNCTION("""COMPUTED_VALUE"""),"وحدة التبريد")</f>
        <v>وحدة التبريد</v>
      </c>
      <c r="E238" s="26" t="str">
        <f ca="1">IFERROR(__xludf.DUMMYFUNCTION("""COMPUTED_VALUE"""),"قسم المشاريع الهندسية")</f>
        <v>قسم المشاريع الهندسية</v>
      </c>
      <c r="F238" s="26" t="str">
        <f ca="1">IFERROR(__xludf.DUMMYFUNCTION("""COMPUTED_VALUE"""),"D- ثانوية العميد بناية المتوسطة  (الثانية)")</f>
        <v>D- ثانوية العميد بناية المتوسطة  (الثانية)</v>
      </c>
      <c r="G238" s="26" t="str">
        <f ca="1">IFERROR(__xludf.DUMMYFUNCTION("""COMPUTED_VALUE"""),"الطابق الارضي, الطابق الاول, الطابق الثاني")</f>
        <v>الطابق الارضي, الطابق الاول, الطابق الثاني</v>
      </c>
      <c r="H238" s="26" t="str">
        <f ca="1">IFERROR(__xludf.DUMMYFUNCTION("""COMPUTED_VALUE"""),"ادامة وتنظيف فلاتر منظومة ال vrf في البناية ")</f>
        <v xml:space="preserve">ادامة وتنظيف فلاتر منظومة ال vrf في البناية </v>
      </c>
      <c r="I238" s="26"/>
      <c r="J238" s="26" t="s">
        <v>15</v>
      </c>
      <c r="K238" s="26" t="s">
        <v>13</v>
      </c>
      <c r="L238" s="55"/>
      <c r="M238" s="26"/>
      <c r="N238" s="4" t="s">
        <v>121</v>
      </c>
    </row>
    <row r="239" spans="1:14" ht="75" customHeight="1" thickTop="1" thickBot="1">
      <c r="A239" s="34">
        <v>237</v>
      </c>
      <c r="B239" s="55">
        <f ca="1">IFERROR(__xludf.DUMMYFUNCTION("""COMPUTED_VALUE"""),46137.4119462963)</f>
        <v>46137.411946296299</v>
      </c>
      <c r="C239" s="56" t="str">
        <f ca="1">IFERROR(__xludf.DUMMYFUNCTION("""COMPUTED_VALUE"""),"المعملجي")</f>
        <v>المعملجي</v>
      </c>
      <c r="D239" s="56" t="str">
        <f ca="1">IFERROR(__xludf.DUMMYFUNCTION("""COMPUTED_VALUE"""),"وحدة التبريد")</f>
        <v>وحدة التبريد</v>
      </c>
      <c r="E239" s="26" t="str">
        <f ca="1">IFERROR(__xludf.DUMMYFUNCTION("""COMPUTED_VALUE"""),"قسم المشاريع الهندسية")</f>
        <v>قسم المشاريع الهندسية</v>
      </c>
      <c r="F239" s="26" t="str">
        <f ca="1">IFERROR(__xludf.DUMMYFUNCTION("""COMPUTED_VALUE"""),"E- ابتدائية العميد للبنات (الثالثة)")</f>
        <v>E- ابتدائية العميد للبنات (الثالثة)</v>
      </c>
      <c r="G239" s="26" t="str">
        <f ca="1">IFERROR(__xludf.DUMMYFUNCTION("""COMPUTED_VALUE"""),"الطابق الارضي, الطابق الاول, الطابق الثاني")</f>
        <v>الطابق الارضي, الطابق الاول, الطابق الثاني</v>
      </c>
      <c r="H239" s="26" t="str">
        <f ca="1">IFERROR(__xludf.DUMMYFUNCTION("""COMPUTED_VALUE"""),"ادامة وتنظيف فلاتر منظومة ال vrf في البناية ")</f>
        <v xml:space="preserve">ادامة وتنظيف فلاتر منظومة ال vrf في البناية </v>
      </c>
      <c r="I239" s="26"/>
      <c r="J239" s="26" t="s">
        <v>15</v>
      </c>
      <c r="K239" s="26" t="s">
        <v>13</v>
      </c>
      <c r="L239" s="55"/>
      <c r="M239" s="26"/>
      <c r="N239" s="4" t="s">
        <v>121</v>
      </c>
    </row>
    <row r="240" spans="1:14" ht="75" customHeight="1" thickTop="1" thickBot="1">
      <c r="A240" s="26">
        <v>238</v>
      </c>
      <c r="B240" s="55">
        <f ca="1">IFERROR(__xludf.DUMMYFUNCTION("""COMPUTED_VALUE"""),46137.4121602662)</f>
        <v>46137.412160266198</v>
      </c>
      <c r="C240" s="56" t="str">
        <f ca="1">IFERROR(__xludf.DUMMYFUNCTION("""COMPUTED_VALUE"""),"المعملجي")</f>
        <v>المعملجي</v>
      </c>
      <c r="D240" s="56" t="str">
        <f ca="1">IFERROR(__xludf.DUMMYFUNCTION("""COMPUTED_VALUE"""),"وحدة التبريد")</f>
        <v>وحدة التبريد</v>
      </c>
      <c r="E240" s="26" t="str">
        <f ca="1">IFERROR(__xludf.DUMMYFUNCTION("""COMPUTED_VALUE"""),"قسم المشاريع الهندسية")</f>
        <v>قسم المشاريع الهندسية</v>
      </c>
      <c r="F240" s="26" t="str">
        <f ca="1">IFERROR(__xludf.DUMMYFUNCTION("""COMPUTED_VALUE"""),"F-  ابتدائية جود العميد للبنات (الرابعة)")</f>
        <v>F-  ابتدائية جود العميد للبنات (الرابعة)</v>
      </c>
      <c r="G240" s="26" t="str">
        <f ca="1">IFERROR(__xludf.DUMMYFUNCTION("""COMPUTED_VALUE"""),"الطابق الارضي, الطابق الاول, الطابق الثاني")</f>
        <v>الطابق الارضي, الطابق الاول, الطابق الثاني</v>
      </c>
      <c r="H240" s="26" t="str">
        <f ca="1">IFERROR(__xludf.DUMMYFUNCTION("""COMPUTED_VALUE"""),"ادامة وتنظيف فلاتر منظومة ال vrf في البناية ")</f>
        <v xml:space="preserve">ادامة وتنظيف فلاتر منظومة ال vrf في البناية </v>
      </c>
      <c r="I240" s="26"/>
      <c r="J240" s="26" t="s">
        <v>15</v>
      </c>
      <c r="K240" s="26" t="s">
        <v>13</v>
      </c>
      <c r="L240" s="55"/>
      <c r="M240" s="26"/>
      <c r="N240" s="4" t="s">
        <v>121</v>
      </c>
    </row>
    <row r="241" spans="1:14" ht="75" customHeight="1" thickTop="1" thickBot="1">
      <c r="A241" s="34">
        <v>239</v>
      </c>
      <c r="B241" s="55">
        <f ca="1">IFERROR(__xludf.DUMMYFUNCTION("""COMPUTED_VALUE"""),46137.41248603)</f>
        <v>46137.41248603</v>
      </c>
      <c r="C241" s="56" t="str">
        <f ca="1">IFERROR(__xludf.DUMMYFUNCTION("""COMPUTED_VALUE"""),"المعملجي")</f>
        <v>المعملجي</v>
      </c>
      <c r="D241" s="56" t="str">
        <f ca="1">IFERROR(__xludf.DUMMYFUNCTION("""COMPUTED_VALUE"""),"وحدة التبريد")</f>
        <v>وحدة التبريد</v>
      </c>
      <c r="E241" s="26" t="str">
        <f ca="1">IFERROR(__xludf.DUMMYFUNCTION("""COMPUTED_VALUE"""),"قسم المشاريع الهندسية")</f>
        <v>قسم المشاريع الهندسية</v>
      </c>
      <c r="F241" s="26" t="str">
        <f ca="1">IFERROR(__xludf.DUMMYFUNCTION("""COMPUTED_VALUE"""),"H- ابتدائية القمر للبنات (الخامسة)")</f>
        <v>H- ابتدائية القمر للبنات (الخامسة)</v>
      </c>
      <c r="G241" s="26" t="str">
        <f ca="1">IFERROR(__xludf.DUMMYFUNCTION("""COMPUTED_VALUE"""),"الطابق الارضي, الطابق الاول, الطابق الثاني")</f>
        <v>الطابق الارضي, الطابق الاول, الطابق الثاني</v>
      </c>
      <c r="H241" s="26" t="str">
        <f ca="1">IFERROR(__xludf.DUMMYFUNCTION("""COMPUTED_VALUE"""),"ادامة وتنظيف فلاتر منظومة ال vrf في البناية ")</f>
        <v xml:space="preserve">ادامة وتنظيف فلاتر منظومة ال vrf في البناية </v>
      </c>
      <c r="I241" s="26"/>
      <c r="J241" s="26" t="s">
        <v>15</v>
      </c>
      <c r="K241" s="26" t="s">
        <v>13</v>
      </c>
      <c r="L241" s="55"/>
      <c r="M241" s="26"/>
      <c r="N241" s="4"/>
    </row>
    <row r="242" spans="1:14" ht="75" customHeight="1" thickTop="1" thickBot="1">
      <c r="A242" s="26">
        <v>240</v>
      </c>
      <c r="B242" s="55">
        <f ca="1">IFERROR(__xludf.DUMMYFUNCTION("""COMPUTED_VALUE"""),46137.4126635532)</f>
        <v>46137.412663553201</v>
      </c>
      <c r="C242" s="56" t="str">
        <f ca="1">IFERROR(__xludf.DUMMYFUNCTION("""COMPUTED_VALUE"""),"المعملجي")</f>
        <v>المعملجي</v>
      </c>
      <c r="D242" s="56" t="str">
        <f ca="1">IFERROR(__xludf.DUMMYFUNCTION("""COMPUTED_VALUE"""),"وحدة التبريد")</f>
        <v>وحدة التبريد</v>
      </c>
      <c r="E242" s="26" t="str">
        <f ca="1">IFERROR(__xludf.DUMMYFUNCTION("""COMPUTED_VALUE"""),"قسم المشاريع الهندسية")</f>
        <v>قسم المشاريع الهندسية</v>
      </c>
      <c r="F242" s="26" t="str">
        <f ca="1">IFERROR(__xludf.DUMMYFUNCTION("""COMPUTED_VALUE"""),"I- ابتدائية الساقي للبنين (السادسة)")</f>
        <v>I- ابتدائية الساقي للبنين (السادسة)</v>
      </c>
      <c r="G242" s="26" t="str">
        <f ca="1">IFERROR(__xludf.DUMMYFUNCTION("""COMPUTED_VALUE"""),"الطابق الارضي, الطابق الاول, الطابق الثاني")</f>
        <v>الطابق الارضي, الطابق الاول, الطابق الثاني</v>
      </c>
      <c r="H242" s="26" t="str">
        <f ca="1">IFERROR(__xludf.DUMMYFUNCTION("""COMPUTED_VALUE"""),"ادامة وتنظيف فلاتر منظومة ال vrf في البناية ")</f>
        <v xml:space="preserve">ادامة وتنظيف فلاتر منظومة ال vrf في البناية </v>
      </c>
      <c r="I242" s="26"/>
      <c r="J242" s="26" t="s">
        <v>15</v>
      </c>
      <c r="K242" s="26" t="s">
        <v>13</v>
      </c>
      <c r="L242" s="55"/>
      <c r="M242" s="26"/>
      <c r="N242" s="4"/>
    </row>
    <row r="243" spans="1:14" ht="75" customHeight="1" thickTop="1" thickBot="1">
      <c r="A243" s="34">
        <v>241</v>
      </c>
      <c r="B243" s="55">
        <f ca="1">IFERROR(__xludf.DUMMYFUNCTION("""COMPUTED_VALUE"""),46137.4128737037)</f>
        <v>46137.412873703703</v>
      </c>
      <c r="C243" s="56" t="str">
        <f ca="1">IFERROR(__xludf.DUMMYFUNCTION("""COMPUTED_VALUE"""),"المعملجي")</f>
        <v>المعملجي</v>
      </c>
      <c r="D243" s="56" t="str">
        <f ca="1">IFERROR(__xludf.DUMMYFUNCTION("""COMPUTED_VALUE"""),"وحدة التبريد")</f>
        <v>وحدة التبريد</v>
      </c>
      <c r="E243" s="26" t="str">
        <f ca="1">IFERROR(__xludf.DUMMYFUNCTION("""COMPUTED_VALUE"""),"قسم المشاريع الهندسية")</f>
        <v>قسم المشاريع الهندسية</v>
      </c>
      <c r="F243"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43" s="26" t="str">
        <f ca="1">IFERROR(__xludf.DUMMYFUNCTION("""COMPUTED_VALUE"""),"الطابق الارضي, الطابق الاول, الطابق الثاني")</f>
        <v>الطابق الارضي, الطابق الاول, الطابق الثاني</v>
      </c>
      <c r="H243" s="26" t="str">
        <f ca="1">IFERROR(__xludf.DUMMYFUNCTION("""COMPUTED_VALUE"""),"ادامة وتنظيف فلاتر منظومة ال vrf في البناية ")</f>
        <v xml:space="preserve">ادامة وتنظيف فلاتر منظومة ال vrf في البناية </v>
      </c>
      <c r="I243" s="26"/>
      <c r="J243" s="26" t="s">
        <v>15</v>
      </c>
      <c r="K243" s="26" t="s">
        <v>13</v>
      </c>
      <c r="L243" s="55"/>
      <c r="M243" s="26"/>
      <c r="N243" s="4"/>
    </row>
    <row r="244" spans="1:14" ht="75" customHeight="1" thickTop="1" thickBot="1">
      <c r="A244" s="26">
        <v>242</v>
      </c>
      <c r="B244" s="55">
        <f ca="1">IFERROR(__xludf.DUMMYFUNCTION("""COMPUTED_VALUE"""),46137.4144467361)</f>
        <v>46137.414446736097</v>
      </c>
      <c r="C244" s="56" t="str">
        <f ca="1">IFERROR(__xludf.DUMMYFUNCTION("""COMPUTED_VALUE"""),"المعملجي")</f>
        <v>المعملجي</v>
      </c>
      <c r="D244" s="56" t="str">
        <f ca="1">IFERROR(__xludf.DUMMYFUNCTION("""COMPUTED_VALUE"""),"وحدة التبريد")</f>
        <v>وحدة التبريد</v>
      </c>
      <c r="E244" s="26" t="str">
        <f ca="1">IFERROR(__xludf.DUMMYFUNCTION("""COMPUTED_VALUE"""),"قسم المشاريع الهندسية")</f>
        <v>قسم المشاريع الهندسية</v>
      </c>
      <c r="F244" s="26" t="str">
        <f ca="1">IFERROR(__xludf.DUMMYFUNCTION("""COMPUTED_VALUE"""),"A- المركز الثقافي")</f>
        <v>A- المركز الثقافي</v>
      </c>
      <c r="G244" s="26" t="str">
        <f ca="1">IFERROR(__xludf.DUMMYFUNCTION("""COMPUTED_VALUE"""),"الطابق الارضي, الطابق الاول, الطابق الثاني, الطابق الثالث, الطابق الرابع, السطح, غرفة الكهرباء")</f>
        <v>الطابق الارضي, الطابق الاول, الطابق الثاني, الطابق الثالث, الطابق الرابع, السطح, غرفة الكهرباء</v>
      </c>
      <c r="H244" s="26" t="str">
        <f ca="1">IFERROR(__xludf.DUMMYFUNCTION("""COMPUTED_VALUE"""),"ادامة وتنظيف سبالت غرف الكهرباء والاتصالات و المصاعد في البناية ")</f>
        <v xml:space="preserve">ادامة وتنظيف سبالت غرف الكهرباء والاتصالات و المصاعد في البناية </v>
      </c>
      <c r="I244" s="26"/>
      <c r="J244" s="26" t="s">
        <v>15</v>
      </c>
      <c r="K244" s="26" t="s">
        <v>13</v>
      </c>
      <c r="L244" s="55"/>
      <c r="M244" s="26"/>
      <c r="N244" s="4"/>
    </row>
    <row r="245" spans="1:14" ht="75" customHeight="1" thickTop="1" thickBot="1">
      <c r="A245" s="34">
        <v>243</v>
      </c>
      <c r="B245" s="55">
        <f ca="1">IFERROR(__xludf.DUMMYFUNCTION("""COMPUTED_VALUE"""),46137.4147350462)</f>
        <v>46137.414735046201</v>
      </c>
      <c r="C245" s="56" t="str">
        <f ca="1">IFERROR(__xludf.DUMMYFUNCTION("""COMPUTED_VALUE"""),"المعملجي")</f>
        <v>المعملجي</v>
      </c>
      <c r="D245" s="56" t="str">
        <f ca="1">IFERROR(__xludf.DUMMYFUNCTION("""COMPUTED_VALUE"""),"وحدة التبريد")</f>
        <v>وحدة التبريد</v>
      </c>
      <c r="E245" s="26" t="str">
        <f ca="1">IFERROR(__xludf.DUMMYFUNCTION("""COMPUTED_VALUE"""),"قسم المشاريع الهندسية")</f>
        <v>قسم المشاريع الهندسية</v>
      </c>
      <c r="F245" s="26" t="str">
        <f ca="1">IFERROR(__xludf.DUMMYFUNCTION("""COMPUTED_VALUE"""),"B- روضة القمر")</f>
        <v>B- روضة القمر</v>
      </c>
      <c r="G245" s="26" t="str">
        <f ca="1">IFERROR(__xludf.DUMMYFUNCTION("""COMPUTED_VALUE"""),"الطابق الارضي, الطابق الاول, الطابق الثاني, غرفة الكهرباء")</f>
        <v>الطابق الارضي, الطابق الاول, الطابق الثاني, غرفة الكهرباء</v>
      </c>
      <c r="H245" s="26" t="str">
        <f ca="1">IFERROR(__xludf.DUMMYFUNCTION("""COMPUTED_VALUE"""),"ادامة وتنظيف سبالت غرف الكهرباء والاتصالات  في البناية")</f>
        <v>ادامة وتنظيف سبالت غرف الكهرباء والاتصالات  في البناية</v>
      </c>
      <c r="I245" s="26"/>
      <c r="J245" s="26" t="s">
        <v>15</v>
      </c>
      <c r="K245" s="26" t="s">
        <v>13</v>
      </c>
      <c r="L245" s="55"/>
      <c r="M245" s="26"/>
      <c r="N245" s="4"/>
    </row>
    <row r="246" spans="1:14" ht="75" customHeight="1" thickTop="1" thickBot="1">
      <c r="A246" s="26">
        <v>244</v>
      </c>
      <c r="B246" s="55">
        <f ca="1">IFERROR(__xludf.DUMMYFUNCTION("""COMPUTED_VALUE"""),46137.4150164351)</f>
        <v>46137.415016435101</v>
      </c>
      <c r="C246" s="56" t="str">
        <f ca="1">IFERROR(__xludf.DUMMYFUNCTION("""COMPUTED_VALUE"""),"المعملجي")</f>
        <v>المعملجي</v>
      </c>
      <c r="D246" s="56" t="str">
        <f ca="1">IFERROR(__xludf.DUMMYFUNCTION("""COMPUTED_VALUE"""),"وحدة التبريد")</f>
        <v>وحدة التبريد</v>
      </c>
      <c r="E246" s="26" t="str">
        <f ca="1">IFERROR(__xludf.DUMMYFUNCTION("""COMPUTED_VALUE"""),"قسم المشاريع الهندسية")</f>
        <v>قسم المشاريع الهندسية</v>
      </c>
      <c r="F246" s="26" t="str">
        <f ca="1">IFERROR(__xludf.DUMMYFUNCTION("""COMPUTED_VALUE"""),"G- روضة الجود")</f>
        <v>G- روضة الجود</v>
      </c>
      <c r="G246" s="26" t="str">
        <f ca="1">IFERROR(__xludf.DUMMYFUNCTION("""COMPUTED_VALUE"""),"الطابق الارضي, الطابق الاول, الطابق الثاني, غرفة الكهرباء")</f>
        <v>الطابق الارضي, الطابق الاول, الطابق الثاني, غرفة الكهرباء</v>
      </c>
      <c r="H246" s="26" t="str">
        <f ca="1">IFERROR(__xludf.DUMMYFUNCTION("""COMPUTED_VALUE"""),"ادامة وتنظيف سبالت غرف الكهرباء والاتصالات  في البناية")</f>
        <v>ادامة وتنظيف سبالت غرف الكهرباء والاتصالات  في البناية</v>
      </c>
      <c r="I246" s="26"/>
      <c r="J246" s="26" t="s">
        <v>15</v>
      </c>
      <c r="K246" s="26" t="s">
        <v>13</v>
      </c>
      <c r="L246" s="55"/>
      <c r="M246" s="26"/>
      <c r="N246" s="4"/>
    </row>
    <row r="247" spans="1:14" ht="75" customHeight="1" thickTop="1" thickBot="1">
      <c r="A247" s="34">
        <v>245</v>
      </c>
      <c r="B247" s="55">
        <f ca="1">IFERROR(__xludf.DUMMYFUNCTION("""COMPUTED_VALUE"""),46137.4152255092)</f>
        <v>46137.415225509198</v>
      </c>
      <c r="C247" s="56" t="str">
        <f ca="1">IFERROR(__xludf.DUMMYFUNCTION("""COMPUTED_VALUE"""),"المعملجي")</f>
        <v>المعملجي</v>
      </c>
      <c r="D247" s="56" t="str">
        <f ca="1">IFERROR(__xludf.DUMMYFUNCTION("""COMPUTED_VALUE"""),"وحدة التبريد")</f>
        <v>وحدة التبريد</v>
      </c>
      <c r="E247" s="26" t="str">
        <f ca="1">IFERROR(__xludf.DUMMYFUNCTION("""COMPUTED_VALUE"""),"قسم المشاريع الهندسية")</f>
        <v>قسم المشاريع الهندسية</v>
      </c>
      <c r="F247" s="26" t="str">
        <f ca="1">IFERROR(__xludf.DUMMYFUNCTION("""COMPUTED_VALUE"""),"C- ثانوية العميد بناية الاعدادية  (الاولى)")</f>
        <v>C- ثانوية العميد بناية الاعدادية  (الاولى)</v>
      </c>
      <c r="G247"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47"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47" s="26"/>
      <c r="J247" s="26" t="s">
        <v>15</v>
      </c>
      <c r="K247" s="26" t="s">
        <v>13</v>
      </c>
      <c r="L247" s="55"/>
      <c r="M247" s="26"/>
      <c r="N247" s="4"/>
    </row>
    <row r="248" spans="1:14" ht="75" customHeight="1" thickTop="1" thickBot="1">
      <c r="A248" s="26">
        <v>246</v>
      </c>
      <c r="B248" s="55">
        <f ca="1">IFERROR(__xludf.DUMMYFUNCTION("""COMPUTED_VALUE"""),46137.4154914236)</f>
        <v>46137.415491423599</v>
      </c>
      <c r="C248" s="56" t="str">
        <f ca="1">IFERROR(__xludf.DUMMYFUNCTION("""COMPUTED_VALUE"""),"المعملجي")</f>
        <v>المعملجي</v>
      </c>
      <c r="D248" s="56" t="str">
        <f ca="1">IFERROR(__xludf.DUMMYFUNCTION("""COMPUTED_VALUE"""),"وحدة التبريد")</f>
        <v>وحدة التبريد</v>
      </c>
      <c r="E248" s="26" t="str">
        <f ca="1">IFERROR(__xludf.DUMMYFUNCTION("""COMPUTED_VALUE"""),"قسم المشاريع الهندسية")</f>
        <v>قسم المشاريع الهندسية</v>
      </c>
      <c r="F248" s="26" t="str">
        <f ca="1">IFERROR(__xludf.DUMMYFUNCTION("""COMPUTED_VALUE"""),"D- ثانوية العميد بناية المتوسطة  (الثانية)")</f>
        <v>D- ثانوية العميد بناية المتوسطة  (الثانية)</v>
      </c>
      <c r="G248"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48"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48" s="26"/>
      <c r="J248" s="26" t="s">
        <v>15</v>
      </c>
      <c r="K248" s="26" t="s">
        <v>13</v>
      </c>
      <c r="L248" s="55"/>
      <c r="M248" s="26"/>
      <c r="N248" s="4"/>
    </row>
    <row r="249" spans="1:14" ht="75" customHeight="1" thickTop="1" thickBot="1">
      <c r="A249" s="34">
        <v>247</v>
      </c>
      <c r="B249" s="55">
        <f ca="1">IFERROR(__xludf.DUMMYFUNCTION("""COMPUTED_VALUE"""),46137.4156855555)</f>
        <v>46137.415685555497</v>
      </c>
      <c r="C249" s="56" t="str">
        <f ca="1">IFERROR(__xludf.DUMMYFUNCTION("""COMPUTED_VALUE"""),"المعملجي")</f>
        <v>المعملجي</v>
      </c>
      <c r="D249" s="56" t="str">
        <f ca="1">IFERROR(__xludf.DUMMYFUNCTION("""COMPUTED_VALUE"""),"وحدة التبريد")</f>
        <v>وحدة التبريد</v>
      </c>
      <c r="E249" s="26" t="str">
        <f ca="1">IFERROR(__xludf.DUMMYFUNCTION("""COMPUTED_VALUE"""),"قسم المشاريع الهندسية")</f>
        <v>قسم المشاريع الهندسية</v>
      </c>
      <c r="F249" s="26" t="str">
        <f ca="1">IFERROR(__xludf.DUMMYFUNCTION("""COMPUTED_VALUE"""),"E- ابتدائية العميد للبنات (الثالثة)")</f>
        <v>E- ابتدائية العميد للبنات (الثالثة)</v>
      </c>
      <c r="G249"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49"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49" s="26"/>
      <c r="J249" s="26" t="s">
        <v>15</v>
      </c>
      <c r="K249" s="26" t="s">
        <v>13</v>
      </c>
      <c r="L249" s="55"/>
      <c r="M249" s="26"/>
      <c r="N249" s="4"/>
    </row>
    <row r="250" spans="1:14" ht="75" customHeight="1" thickTop="1" thickBot="1">
      <c r="A250" s="26">
        <v>248</v>
      </c>
      <c r="B250" s="55">
        <f ca="1">IFERROR(__xludf.DUMMYFUNCTION("""COMPUTED_VALUE"""),46137.4159147453)</f>
        <v>46137.415914745303</v>
      </c>
      <c r="C250" s="56" t="str">
        <f ca="1">IFERROR(__xludf.DUMMYFUNCTION("""COMPUTED_VALUE"""),"المعملجي")</f>
        <v>المعملجي</v>
      </c>
      <c r="D250" s="56" t="str">
        <f ca="1">IFERROR(__xludf.DUMMYFUNCTION("""COMPUTED_VALUE"""),"وحدة التبريد")</f>
        <v>وحدة التبريد</v>
      </c>
      <c r="E250" s="26" t="str">
        <f ca="1">IFERROR(__xludf.DUMMYFUNCTION("""COMPUTED_VALUE"""),"قسم المشاريع الهندسية")</f>
        <v>قسم المشاريع الهندسية</v>
      </c>
      <c r="F250" s="26" t="str">
        <f ca="1">IFERROR(__xludf.DUMMYFUNCTION("""COMPUTED_VALUE"""),"F-  ابتدائية جود العميد للبنات (الرابعة)")</f>
        <v>F-  ابتدائية جود العميد للبنات (الرابعة)</v>
      </c>
      <c r="G250"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50"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50" s="26"/>
      <c r="J250" s="26" t="s">
        <v>15</v>
      </c>
      <c r="K250" s="26" t="s">
        <v>13</v>
      </c>
      <c r="L250" s="55"/>
      <c r="M250" s="26"/>
      <c r="N250" s="4"/>
    </row>
    <row r="251" spans="1:14" ht="75" customHeight="1" thickTop="1" thickBot="1">
      <c r="A251" s="34">
        <v>249</v>
      </c>
      <c r="B251" s="55">
        <f ca="1">IFERROR(__xludf.DUMMYFUNCTION("""COMPUTED_VALUE"""),46137.4161227893)</f>
        <v>46137.416122789298</v>
      </c>
      <c r="C251" s="56" t="str">
        <f ca="1">IFERROR(__xludf.DUMMYFUNCTION("""COMPUTED_VALUE"""),"المعملجي")</f>
        <v>المعملجي</v>
      </c>
      <c r="D251" s="56" t="str">
        <f ca="1">IFERROR(__xludf.DUMMYFUNCTION("""COMPUTED_VALUE"""),"وحدة التبريد")</f>
        <v>وحدة التبريد</v>
      </c>
      <c r="E251" s="26" t="str">
        <f ca="1">IFERROR(__xludf.DUMMYFUNCTION("""COMPUTED_VALUE"""),"قسم المشاريع الهندسية")</f>
        <v>قسم المشاريع الهندسية</v>
      </c>
      <c r="F251" s="26" t="str">
        <f ca="1">IFERROR(__xludf.DUMMYFUNCTION("""COMPUTED_VALUE"""),"H- ابتدائية القمر للبنات (الخامسة)")</f>
        <v>H- ابتدائية القمر للبنات (الخامسة)</v>
      </c>
      <c r="G251"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51"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51" s="26"/>
      <c r="J251" s="26" t="s">
        <v>15</v>
      </c>
      <c r="K251" s="26" t="s">
        <v>13</v>
      </c>
      <c r="L251" s="55"/>
      <c r="M251" s="26"/>
      <c r="N251" s="4"/>
    </row>
    <row r="252" spans="1:14" ht="75" customHeight="1" thickTop="1" thickBot="1">
      <c r="A252" s="26">
        <v>250</v>
      </c>
      <c r="B252" s="55">
        <f ca="1">IFERROR(__xludf.DUMMYFUNCTION("""COMPUTED_VALUE"""),46137.4164265162)</f>
        <v>46137.416426516204</v>
      </c>
      <c r="C252" s="56" t="str">
        <f ca="1">IFERROR(__xludf.DUMMYFUNCTION("""COMPUTED_VALUE"""),"المعملجي")</f>
        <v>المعملجي</v>
      </c>
      <c r="D252" s="56" t="str">
        <f ca="1">IFERROR(__xludf.DUMMYFUNCTION("""COMPUTED_VALUE"""),"وحدة التبريد")</f>
        <v>وحدة التبريد</v>
      </c>
      <c r="E252" s="26" t="str">
        <f ca="1">IFERROR(__xludf.DUMMYFUNCTION("""COMPUTED_VALUE"""),"قسم المشاريع الهندسية")</f>
        <v>قسم المشاريع الهندسية</v>
      </c>
      <c r="F252" s="26" t="str">
        <f ca="1">IFERROR(__xludf.DUMMYFUNCTION("""COMPUTED_VALUE"""),"I- ابتدائية الساقي للبنين (السادسة), J- ابتدائية الساقي للبنين الجانب الثاني (السابعة), J- جامعة العميد (السابعة)")</f>
        <v>I- ابتدائية الساقي للبنين (السادسة), J- ابتدائية الساقي للبنين الجانب الثاني (السابعة), J- جامعة العميد (السابعة)</v>
      </c>
      <c r="G252"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252" s="26" t="str">
        <f ca="1">IFERROR(__xludf.DUMMYFUNCTION("""COMPUTED_VALUE"""),"ادامة وتنظيف سبالت غرف الكهرباء والاتصالات و المصاعد في البناية")</f>
        <v>ادامة وتنظيف سبالت غرف الكهرباء والاتصالات و المصاعد في البناية</v>
      </c>
      <c r="I252" s="26"/>
      <c r="J252" s="26" t="s">
        <v>15</v>
      </c>
      <c r="K252" s="26" t="s">
        <v>13</v>
      </c>
      <c r="L252" s="55"/>
      <c r="M252" s="26"/>
      <c r="N252" s="4"/>
    </row>
    <row r="253" spans="1:14" ht="75" customHeight="1" thickTop="1" thickBot="1">
      <c r="A253" s="34">
        <v>251</v>
      </c>
      <c r="B253" s="55">
        <f ca="1">IFERROR(__xludf.DUMMYFUNCTION("""COMPUTED_VALUE"""),46137.4173229745)</f>
        <v>46137.417322974499</v>
      </c>
      <c r="C253" s="56" t="str">
        <f ca="1">IFERROR(__xludf.DUMMYFUNCTION("""COMPUTED_VALUE"""),"المعملجي")</f>
        <v>المعملجي</v>
      </c>
      <c r="D253" s="56" t="str">
        <f ca="1">IFERROR(__xludf.DUMMYFUNCTION("""COMPUTED_VALUE"""),"وحدة التبريد")</f>
        <v>وحدة التبريد</v>
      </c>
      <c r="E253" s="26" t="str">
        <f ca="1">IFERROR(__xludf.DUMMYFUNCTION("""COMPUTED_VALUE"""),"قسم المشاريع الهندسية")</f>
        <v>قسم المشاريع الهندسية</v>
      </c>
      <c r="F253" s="26" t="str">
        <f ca="1">IFERROR(__xludf.DUMMYFUNCTION("""COMPUTED_VALUE"""),"A- المركز الثقافي")</f>
        <v>A- المركز الثقافي</v>
      </c>
      <c r="G253" s="26" t="str">
        <f ca="1">IFERROR(__xludf.DUMMYFUNCTION("""COMPUTED_VALUE"""),"السطح")</f>
        <v>السطح</v>
      </c>
      <c r="H253" s="26" t="str">
        <f ca="1">IFERROR(__xludf.DUMMYFUNCTION("""COMPUTED_VALUE"""),"ادامة وتنظيف منظومة ال dx في البناية ")</f>
        <v xml:space="preserve">ادامة وتنظيف منظومة ال dx في البناية </v>
      </c>
      <c r="I253" s="26"/>
      <c r="J253" s="26" t="s">
        <v>15</v>
      </c>
      <c r="K253" s="26" t="s">
        <v>13</v>
      </c>
      <c r="L253" s="55"/>
      <c r="M253" s="26"/>
      <c r="N253" s="4"/>
    </row>
    <row r="254" spans="1:14" ht="75" customHeight="1" thickTop="1" thickBot="1">
      <c r="A254" s="26">
        <v>252</v>
      </c>
      <c r="B254" s="55">
        <f ca="1">IFERROR(__xludf.DUMMYFUNCTION("""COMPUTED_VALUE"""),46137.4176273726)</f>
        <v>46137.417627372597</v>
      </c>
      <c r="C254" s="56" t="str">
        <f ca="1">IFERROR(__xludf.DUMMYFUNCTION("""COMPUTED_VALUE"""),"المعملجي")</f>
        <v>المعملجي</v>
      </c>
      <c r="D254" s="56" t="str">
        <f ca="1">IFERROR(__xludf.DUMMYFUNCTION("""COMPUTED_VALUE"""),"وحدة التبريد")</f>
        <v>وحدة التبريد</v>
      </c>
      <c r="E254" s="26" t="str">
        <f ca="1">IFERROR(__xludf.DUMMYFUNCTION("""COMPUTED_VALUE"""),"قسم المشاريع الهندسية")</f>
        <v>قسم المشاريع الهندسية</v>
      </c>
      <c r="F254" s="26" t="str">
        <f ca="1">IFERROR(__xludf.DUMMYFUNCTION("""COMPUTED_VALUE"""),"B- روضة القمر")</f>
        <v>B- روضة القمر</v>
      </c>
      <c r="G254" s="26" t="str">
        <f ca="1">IFERROR(__xludf.DUMMYFUNCTION("""COMPUTED_VALUE"""),"السطح")</f>
        <v>السطح</v>
      </c>
      <c r="H254" s="26" t="str">
        <f ca="1">IFERROR(__xludf.DUMMYFUNCTION("""COMPUTED_VALUE"""),"ادامة وتنظيف منظومة ال dx في البناية")</f>
        <v>ادامة وتنظيف منظومة ال dx في البناية</v>
      </c>
      <c r="I254" s="26"/>
      <c r="J254" s="26" t="s">
        <v>15</v>
      </c>
      <c r="K254" s="26" t="s">
        <v>13</v>
      </c>
      <c r="L254" s="55"/>
      <c r="M254" s="26"/>
      <c r="N254" s="4"/>
    </row>
    <row r="255" spans="1:14" ht="75" customHeight="1" thickTop="1" thickBot="1">
      <c r="A255" s="34">
        <v>253</v>
      </c>
      <c r="B255" s="55">
        <f ca="1">IFERROR(__xludf.DUMMYFUNCTION("""COMPUTED_VALUE"""),46137.4179179745)</f>
        <v>46137.417917974497</v>
      </c>
      <c r="C255" s="56" t="str">
        <f ca="1">IFERROR(__xludf.DUMMYFUNCTION("""COMPUTED_VALUE"""),"المعملجي")</f>
        <v>المعملجي</v>
      </c>
      <c r="D255" s="56" t="str">
        <f ca="1">IFERROR(__xludf.DUMMYFUNCTION("""COMPUTED_VALUE"""),"وحدة التبريد")</f>
        <v>وحدة التبريد</v>
      </c>
      <c r="E255" s="26" t="str">
        <f ca="1">IFERROR(__xludf.DUMMYFUNCTION("""COMPUTED_VALUE"""),"قسم المشاريع الهندسية")</f>
        <v>قسم المشاريع الهندسية</v>
      </c>
      <c r="F255" s="26" t="str">
        <f ca="1">IFERROR(__xludf.DUMMYFUNCTION("""COMPUTED_VALUE"""),"G- روضة الجود")</f>
        <v>G- روضة الجود</v>
      </c>
      <c r="G255" s="26" t="str">
        <f ca="1">IFERROR(__xludf.DUMMYFUNCTION("""COMPUTED_VALUE"""),"السطح")</f>
        <v>السطح</v>
      </c>
      <c r="H255" s="26" t="str">
        <f ca="1">IFERROR(__xludf.DUMMYFUNCTION("""COMPUTED_VALUE"""),"ادامة وتنظيف منظومة ال dx في البناية")</f>
        <v>ادامة وتنظيف منظومة ال dx في البناية</v>
      </c>
      <c r="I255" s="26"/>
      <c r="J255" s="26" t="s">
        <v>15</v>
      </c>
      <c r="K255" s="26" t="s">
        <v>13</v>
      </c>
      <c r="L255" s="55"/>
      <c r="M255" s="26"/>
      <c r="N255" s="4" t="s">
        <v>129</v>
      </c>
    </row>
    <row r="256" spans="1:14" ht="75" customHeight="1" thickTop="1" thickBot="1">
      <c r="A256" s="26">
        <v>254</v>
      </c>
      <c r="B256" s="55">
        <f ca="1">IFERROR(__xludf.DUMMYFUNCTION("""COMPUTED_VALUE"""),46137.418151574)</f>
        <v>46137.418151573998</v>
      </c>
      <c r="C256" s="56" t="str">
        <f ca="1">IFERROR(__xludf.DUMMYFUNCTION("""COMPUTED_VALUE"""),"المعملجي")</f>
        <v>المعملجي</v>
      </c>
      <c r="D256" s="56" t="str">
        <f ca="1">IFERROR(__xludf.DUMMYFUNCTION("""COMPUTED_VALUE"""),"وحدة التبريد")</f>
        <v>وحدة التبريد</v>
      </c>
      <c r="E256" s="26" t="str">
        <f ca="1">IFERROR(__xludf.DUMMYFUNCTION("""COMPUTED_VALUE"""),"قسم المشاريع الهندسية")</f>
        <v>قسم المشاريع الهندسية</v>
      </c>
      <c r="F256" s="26" t="str">
        <f ca="1">IFERROR(__xludf.DUMMYFUNCTION("""COMPUTED_VALUE"""),"C- ثانوية العميد بناية الاعدادية  (الاولى)")</f>
        <v>C- ثانوية العميد بناية الاعدادية  (الاولى)</v>
      </c>
      <c r="G256" s="26" t="str">
        <f ca="1">IFERROR(__xludf.DUMMYFUNCTION("""COMPUTED_VALUE"""),"السطح")</f>
        <v>السطح</v>
      </c>
      <c r="H256" s="26" t="str">
        <f ca="1">IFERROR(__xludf.DUMMYFUNCTION("""COMPUTED_VALUE"""),"ادامة وتنظيف منظومة ال dx في البناية")</f>
        <v>ادامة وتنظيف منظومة ال dx في البناية</v>
      </c>
      <c r="I256" s="26"/>
      <c r="J256" s="26" t="s">
        <v>15</v>
      </c>
      <c r="K256" s="26" t="s">
        <v>13</v>
      </c>
      <c r="L256" s="55"/>
      <c r="M256" s="26"/>
      <c r="N256" s="4" t="s">
        <v>129</v>
      </c>
    </row>
    <row r="257" spans="1:14" ht="75" customHeight="1" thickTop="1" thickBot="1">
      <c r="A257" s="34">
        <v>255</v>
      </c>
      <c r="B257" s="55">
        <f ca="1">IFERROR(__xludf.DUMMYFUNCTION("""COMPUTED_VALUE"""),46137.418390162)</f>
        <v>46137.418390161998</v>
      </c>
      <c r="C257" s="56" t="str">
        <f ca="1">IFERROR(__xludf.DUMMYFUNCTION("""COMPUTED_VALUE"""),"المعملجي")</f>
        <v>المعملجي</v>
      </c>
      <c r="D257" s="56" t="str">
        <f ca="1">IFERROR(__xludf.DUMMYFUNCTION("""COMPUTED_VALUE"""),"وحدة التبريد")</f>
        <v>وحدة التبريد</v>
      </c>
      <c r="E257" s="26" t="str">
        <f ca="1">IFERROR(__xludf.DUMMYFUNCTION("""COMPUTED_VALUE"""),"قسم المشاريع الهندسية")</f>
        <v>قسم المشاريع الهندسية</v>
      </c>
      <c r="F257" s="26" t="str">
        <f ca="1">IFERROR(__xludf.DUMMYFUNCTION("""COMPUTED_VALUE"""),"D- ثانوية العميد بناية المتوسطة  (الثانية)")</f>
        <v>D- ثانوية العميد بناية المتوسطة  (الثانية)</v>
      </c>
      <c r="G257" s="26" t="str">
        <f ca="1">IFERROR(__xludf.DUMMYFUNCTION("""COMPUTED_VALUE"""),"السطح")</f>
        <v>السطح</v>
      </c>
      <c r="H257" s="26" t="str">
        <f ca="1">IFERROR(__xludf.DUMMYFUNCTION("""COMPUTED_VALUE"""),"ادامة وتنظيف منظومة ال dx في البناية")</f>
        <v>ادامة وتنظيف منظومة ال dx في البناية</v>
      </c>
      <c r="I257" s="26"/>
      <c r="J257" s="26" t="s">
        <v>15</v>
      </c>
      <c r="K257" s="26" t="s">
        <v>13</v>
      </c>
      <c r="L257" s="55"/>
      <c r="M257" s="26"/>
      <c r="N257" s="4" t="s">
        <v>121</v>
      </c>
    </row>
    <row r="258" spans="1:14" ht="75" customHeight="1" thickTop="1" thickBot="1">
      <c r="A258" s="26">
        <v>256</v>
      </c>
      <c r="B258" s="55">
        <f ca="1">IFERROR(__xludf.DUMMYFUNCTION("""COMPUTED_VALUE"""),46137.4187658912)</f>
        <v>46137.418765891198</v>
      </c>
      <c r="C258" s="56" t="str">
        <f ca="1">IFERROR(__xludf.DUMMYFUNCTION("""COMPUTED_VALUE"""),"المعملجي")</f>
        <v>المعملجي</v>
      </c>
      <c r="D258" s="56" t="str">
        <f ca="1">IFERROR(__xludf.DUMMYFUNCTION("""COMPUTED_VALUE"""),"وحدة التبريد")</f>
        <v>وحدة التبريد</v>
      </c>
      <c r="E258" s="26" t="str">
        <f ca="1">IFERROR(__xludf.DUMMYFUNCTION("""COMPUTED_VALUE"""),"قسم المشاريع الهندسية")</f>
        <v>قسم المشاريع الهندسية</v>
      </c>
      <c r="F258" s="26" t="str">
        <f ca="1">IFERROR(__xludf.DUMMYFUNCTION("""COMPUTED_VALUE"""),"E- ابتدائية العميد للبنات (الثالثة)")</f>
        <v>E- ابتدائية العميد للبنات (الثالثة)</v>
      </c>
      <c r="G258" s="26" t="str">
        <f ca="1">IFERROR(__xludf.DUMMYFUNCTION("""COMPUTED_VALUE"""),"السطح")</f>
        <v>السطح</v>
      </c>
      <c r="H258" s="26" t="str">
        <f ca="1">IFERROR(__xludf.DUMMYFUNCTION("""COMPUTED_VALUE"""),"ادامة وتنظيف منظومة ال dx في البناية")</f>
        <v>ادامة وتنظيف منظومة ال dx في البناية</v>
      </c>
      <c r="I258" s="26"/>
      <c r="J258" s="26" t="s">
        <v>15</v>
      </c>
      <c r="K258" s="26" t="s">
        <v>13</v>
      </c>
      <c r="L258" s="55"/>
      <c r="M258" s="26"/>
      <c r="N258" s="4" t="s">
        <v>121</v>
      </c>
    </row>
    <row r="259" spans="1:14" ht="75" customHeight="1" thickTop="1" thickBot="1">
      <c r="A259" s="34">
        <v>257</v>
      </c>
      <c r="B259" s="55">
        <f ca="1">IFERROR(__xludf.DUMMYFUNCTION("""COMPUTED_VALUE"""),46137.4191573379)</f>
        <v>46137.419157337899</v>
      </c>
      <c r="C259" s="56" t="str">
        <f ca="1">IFERROR(__xludf.DUMMYFUNCTION("""COMPUTED_VALUE"""),"المعملجي")</f>
        <v>المعملجي</v>
      </c>
      <c r="D259" s="56" t="str">
        <f ca="1">IFERROR(__xludf.DUMMYFUNCTION("""COMPUTED_VALUE"""),"وحدة التبريد")</f>
        <v>وحدة التبريد</v>
      </c>
      <c r="E259" s="26" t="str">
        <f ca="1">IFERROR(__xludf.DUMMYFUNCTION("""COMPUTED_VALUE"""),"قسم المشاريع الهندسية")</f>
        <v>قسم المشاريع الهندسية</v>
      </c>
      <c r="F259" s="26" t="str">
        <f ca="1">IFERROR(__xludf.DUMMYFUNCTION("""COMPUTED_VALUE"""),"F-  ابتدائية جود العميد للبنات (الرابعة)")</f>
        <v>F-  ابتدائية جود العميد للبنات (الرابعة)</v>
      </c>
      <c r="G259" s="26" t="str">
        <f ca="1">IFERROR(__xludf.DUMMYFUNCTION("""COMPUTED_VALUE"""),"السطح")</f>
        <v>السطح</v>
      </c>
      <c r="H259" s="26" t="str">
        <f ca="1">IFERROR(__xludf.DUMMYFUNCTION("""COMPUTED_VALUE"""),"ادامة وتنظيف منظومة ال dx في البناية")</f>
        <v>ادامة وتنظيف منظومة ال dx في البناية</v>
      </c>
      <c r="I259" s="26"/>
      <c r="J259" s="26" t="s">
        <v>15</v>
      </c>
      <c r="K259" s="26" t="s">
        <v>13</v>
      </c>
      <c r="L259" s="55"/>
      <c r="M259" s="26"/>
      <c r="N259" s="4" t="s">
        <v>121</v>
      </c>
    </row>
    <row r="260" spans="1:14" ht="75" customHeight="1" thickTop="1" thickBot="1">
      <c r="A260" s="26">
        <v>258</v>
      </c>
      <c r="B260" s="55">
        <f ca="1">IFERROR(__xludf.DUMMYFUNCTION("""COMPUTED_VALUE"""),46137.4193322569)</f>
        <v>46137.419332256897</v>
      </c>
      <c r="C260" s="56" t="str">
        <f ca="1">IFERROR(__xludf.DUMMYFUNCTION("""COMPUTED_VALUE"""),"المعملجي")</f>
        <v>المعملجي</v>
      </c>
      <c r="D260" s="56" t="str">
        <f ca="1">IFERROR(__xludf.DUMMYFUNCTION("""COMPUTED_VALUE"""),"وحدة التبريد")</f>
        <v>وحدة التبريد</v>
      </c>
      <c r="E260" s="26" t="str">
        <f ca="1">IFERROR(__xludf.DUMMYFUNCTION("""COMPUTED_VALUE"""),"قسم المشاريع الهندسية")</f>
        <v>قسم المشاريع الهندسية</v>
      </c>
      <c r="F260" s="26" t="str">
        <f ca="1">IFERROR(__xludf.DUMMYFUNCTION("""COMPUTED_VALUE"""),"H- ابتدائية القمر للبنات (الخامسة)")</f>
        <v>H- ابتدائية القمر للبنات (الخامسة)</v>
      </c>
      <c r="G260" s="26" t="str">
        <f ca="1">IFERROR(__xludf.DUMMYFUNCTION("""COMPUTED_VALUE"""),"السطح")</f>
        <v>السطح</v>
      </c>
      <c r="H260" s="26" t="str">
        <f ca="1">IFERROR(__xludf.DUMMYFUNCTION("""COMPUTED_VALUE"""),"ادامة وتنظيف منظومة ال dx في البناية")</f>
        <v>ادامة وتنظيف منظومة ال dx في البناية</v>
      </c>
      <c r="I260" s="26"/>
      <c r="J260" s="26" t="s">
        <v>15</v>
      </c>
      <c r="K260" s="26" t="s">
        <v>13</v>
      </c>
      <c r="L260" s="55"/>
      <c r="M260" s="26"/>
      <c r="N260" s="4" t="s">
        <v>121</v>
      </c>
    </row>
    <row r="261" spans="1:14" ht="75" customHeight="1" thickTop="1" thickBot="1">
      <c r="A261" s="34">
        <v>259</v>
      </c>
      <c r="B261" s="55">
        <f ca="1">IFERROR(__xludf.DUMMYFUNCTION("""COMPUTED_VALUE"""),46137.419522199)</f>
        <v>46137.419522199001</v>
      </c>
      <c r="C261" s="56" t="str">
        <f ca="1">IFERROR(__xludf.DUMMYFUNCTION("""COMPUTED_VALUE"""),"المعملجي")</f>
        <v>المعملجي</v>
      </c>
      <c r="D261" s="56" t="str">
        <f ca="1">IFERROR(__xludf.DUMMYFUNCTION("""COMPUTED_VALUE"""),"وحدة التبريد")</f>
        <v>وحدة التبريد</v>
      </c>
      <c r="E261" s="26" t="str">
        <f ca="1">IFERROR(__xludf.DUMMYFUNCTION("""COMPUTED_VALUE"""),"قسم المشاريع الهندسية")</f>
        <v>قسم المشاريع الهندسية</v>
      </c>
      <c r="F261" s="26" t="str">
        <f ca="1">IFERROR(__xludf.DUMMYFUNCTION("""COMPUTED_VALUE"""),"I- ابتدائية الساقي للبنين (السادسة)")</f>
        <v>I- ابتدائية الساقي للبنين (السادسة)</v>
      </c>
      <c r="G261" s="26" t="str">
        <f ca="1">IFERROR(__xludf.DUMMYFUNCTION("""COMPUTED_VALUE"""),"السطح")</f>
        <v>السطح</v>
      </c>
      <c r="H261" s="26" t="str">
        <f ca="1">IFERROR(__xludf.DUMMYFUNCTION("""COMPUTED_VALUE"""),"ادامة وتنظيف منظومة ال dx في البناية")</f>
        <v>ادامة وتنظيف منظومة ال dx في البناية</v>
      </c>
      <c r="I261" s="26"/>
      <c r="J261" s="26" t="s">
        <v>15</v>
      </c>
      <c r="K261" s="26" t="s">
        <v>13</v>
      </c>
      <c r="L261" s="55"/>
      <c r="M261" s="26"/>
      <c r="N261" s="4" t="s">
        <v>121</v>
      </c>
    </row>
    <row r="262" spans="1:14" ht="75" customHeight="1" thickTop="1" thickBot="1">
      <c r="A262" s="26">
        <v>260</v>
      </c>
      <c r="B262" s="55">
        <f ca="1">IFERROR(__xludf.DUMMYFUNCTION("""COMPUTED_VALUE"""),46137.4203944213)</f>
        <v>46137.4203944213</v>
      </c>
      <c r="C262" s="56" t="str">
        <f ca="1">IFERROR(__xludf.DUMMYFUNCTION("""COMPUTED_VALUE"""),"المعملجي")</f>
        <v>المعملجي</v>
      </c>
      <c r="D262" s="56" t="str">
        <f ca="1">IFERROR(__xludf.DUMMYFUNCTION("""COMPUTED_VALUE"""),"وحدة التبريد")</f>
        <v>وحدة التبريد</v>
      </c>
      <c r="E262" s="26" t="str">
        <f ca="1">IFERROR(__xludf.DUMMYFUNCTION("""COMPUTED_VALUE"""),"قسم المشاريع الهندسية")</f>
        <v>قسم المشاريع الهندسية</v>
      </c>
      <c r="F262"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62" s="26" t="str">
        <f ca="1">IFERROR(__xludf.DUMMYFUNCTION("""COMPUTED_VALUE"""),"السطح")</f>
        <v>السطح</v>
      </c>
      <c r="H262" s="26" t="str">
        <f ca="1">IFERROR(__xludf.DUMMYFUNCTION("""COMPUTED_VALUE"""),"ادامة وتنظيف منظومة ال dx في البناية")</f>
        <v>ادامة وتنظيف منظومة ال dx في البناية</v>
      </c>
      <c r="I262" s="26"/>
      <c r="J262" s="26" t="s">
        <v>15</v>
      </c>
      <c r="K262" s="26" t="s">
        <v>13</v>
      </c>
      <c r="L262" s="55"/>
      <c r="M262" s="26"/>
      <c r="N262" s="4" t="s">
        <v>121</v>
      </c>
    </row>
    <row r="263" spans="1:14" ht="75" customHeight="1" thickTop="1" thickBot="1">
      <c r="A263" s="34">
        <v>261</v>
      </c>
      <c r="B263" s="55">
        <f ca="1">IFERROR(__xludf.DUMMYFUNCTION("""COMPUTED_VALUE"""),46137.4214705787)</f>
        <v>46137.421470578702</v>
      </c>
      <c r="C263" s="56" t="str">
        <f ca="1">IFERROR(__xludf.DUMMYFUNCTION("""COMPUTED_VALUE"""),"المعملجي")</f>
        <v>المعملجي</v>
      </c>
      <c r="D263" s="56" t="str">
        <f ca="1">IFERROR(__xludf.DUMMYFUNCTION("""COMPUTED_VALUE"""),"وحدة التبريد")</f>
        <v>وحدة التبريد</v>
      </c>
      <c r="E263" s="26" t="str">
        <f ca="1">IFERROR(__xludf.DUMMYFUNCTION("""COMPUTED_VALUE"""),"قسم المشاريع الهندسية")</f>
        <v>قسم المشاريع الهندسية</v>
      </c>
      <c r="F263" s="26" t="str">
        <f ca="1">IFERROR(__xludf.DUMMYFUNCTION("""COMPUTED_VALUE"""),"الاستعلامات الرئيسية, النافورة, كرفانات الامنية والخدمية")</f>
        <v>الاستعلامات الرئيسية, النافورة, كرفانات الامنية والخدمية</v>
      </c>
      <c r="G263" s="26"/>
      <c r="H263" s="26" t="str">
        <f ca="1">IFERROR(__xludf.DUMMYFUNCTION("""COMPUTED_VALUE"""),"ادامة وتنظيف السبالت ")</f>
        <v xml:space="preserve">ادامة وتنظيف السبالت </v>
      </c>
      <c r="I263" s="26"/>
      <c r="J263" s="26" t="s">
        <v>15</v>
      </c>
      <c r="K263" s="26" t="s">
        <v>13</v>
      </c>
      <c r="L263" s="55"/>
      <c r="M263" s="26"/>
      <c r="N263" s="4" t="s">
        <v>121</v>
      </c>
    </row>
    <row r="264" spans="1:14" ht="75" customHeight="1" thickTop="1" thickBot="1">
      <c r="A264" s="26">
        <v>262</v>
      </c>
      <c r="B264" s="55">
        <f ca="1">IFERROR(__xludf.DUMMYFUNCTION("""COMPUTED_VALUE"""),46137.4222138888)</f>
        <v>46137.4222138888</v>
      </c>
      <c r="C264" s="56" t="str">
        <f ca="1">IFERROR(__xludf.DUMMYFUNCTION("""COMPUTED_VALUE"""),"المعملجي")</f>
        <v>المعملجي</v>
      </c>
      <c r="D264" s="56" t="str">
        <f ca="1">IFERROR(__xludf.DUMMYFUNCTION("""COMPUTED_VALUE"""),"وحدة التبريد")</f>
        <v>وحدة التبريد</v>
      </c>
      <c r="E264" s="26" t="str">
        <f ca="1">IFERROR(__xludf.DUMMYFUNCTION("""COMPUTED_VALUE"""),"قسم المشاريع الهندسية")</f>
        <v>قسم المشاريع الهندسية</v>
      </c>
      <c r="F264" s="26" t="str">
        <f ca="1">IFERROR(__xludf.DUMMYFUNCTION("""COMPUTED_VALUE"""),"B- روضة القمر")</f>
        <v>B- روضة القمر</v>
      </c>
      <c r="G264" s="26" t="str">
        <f ca="1">IFERROR(__xludf.DUMMYFUNCTION("""COMPUTED_VALUE"""),"السطح, القاعة الرياضية مقابل الاولى ")</f>
        <v xml:space="preserve">السطح, القاعة الرياضية مقابل الاولى </v>
      </c>
      <c r="H264" s="26" t="str">
        <f ca="1">IFERROR(__xludf.DUMMYFUNCTION("""COMPUTED_VALUE"""),"ادامة وتنظيف منظومة البكج الخاصة بالقاعه ")</f>
        <v xml:space="preserve">ادامة وتنظيف منظومة البكج الخاصة بالقاعه </v>
      </c>
      <c r="I264" s="26"/>
      <c r="J264" s="26" t="s">
        <v>15</v>
      </c>
      <c r="K264" s="26" t="s">
        <v>13</v>
      </c>
      <c r="L264" s="55"/>
      <c r="M264" s="26"/>
      <c r="N264" s="4" t="s">
        <v>121</v>
      </c>
    </row>
    <row r="265" spans="1:14" ht="75" customHeight="1" thickTop="1" thickBot="1">
      <c r="A265" s="34">
        <v>263</v>
      </c>
      <c r="B265" s="55">
        <f ca="1">IFERROR(__xludf.DUMMYFUNCTION("""COMPUTED_VALUE"""),46137.4226349884)</f>
        <v>46137.422634988397</v>
      </c>
      <c r="C265" s="56" t="str">
        <f ca="1">IFERROR(__xludf.DUMMYFUNCTION("""COMPUTED_VALUE"""),"المعملجي")</f>
        <v>المعملجي</v>
      </c>
      <c r="D265" s="56" t="str">
        <f ca="1">IFERROR(__xludf.DUMMYFUNCTION("""COMPUTED_VALUE"""),"وحدة التبريد")</f>
        <v>وحدة التبريد</v>
      </c>
      <c r="E265" s="26" t="str">
        <f ca="1">IFERROR(__xludf.DUMMYFUNCTION("""COMPUTED_VALUE"""),"قسم المشاريع الهندسية")</f>
        <v>قسم المشاريع الهندسية</v>
      </c>
      <c r="F265" s="26" t="str">
        <f ca="1">IFERROR(__xludf.DUMMYFUNCTION("""COMPUTED_VALUE"""),"B- روضة القمر")</f>
        <v>B- روضة القمر</v>
      </c>
      <c r="G265" s="26" t="str">
        <f ca="1">IFERROR(__xludf.DUMMYFUNCTION("""COMPUTED_VALUE"""),"السطح, القاعة الرياضية مقابل المركز الثقافي ")</f>
        <v xml:space="preserve">السطح, القاعة الرياضية مقابل المركز الثقافي </v>
      </c>
      <c r="H265" s="26" t="str">
        <f ca="1">IFERROR(__xludf.DUMMYFUNCTION("""COMPUTED_VALUE"""),"ادامة وتنظيف منظومة البكج الخاصة بالقاعه ")</f>
        <v xml:space="preserve">ادامة وتنظيف منظومة البكج الخاصة بالقاعه </v>
      </c>
      <c r="I265" s="26"/>
      <c r="J265" s="26" t="s">
        <v>15</v>
      </c>
      <c r="K265" s="26" t="s">
        <v>13</v>
      </c>
      <c r="L265" s="55"/>
      <c r="M265" s="26"/>
      <c r="N265" s="4" t="s">
        <v>121</v>
      </c>
    </row>
    <row r="266" spans="1:14" ht="75" customHeight="1" thickTop="1" thickBot="1">
      <c r="A266" s="26">
        <v>264</v>
      </c>
      <c r="B266" s="55">
        <f ca="1">IFERROR(__xludf.DUMMYFUNCTION("""COMPUTED_VALUE"""),46137.4229530555)</f>
        <v>46137.422953055502</v>
      </c>
      <c r="C266" s="56" t="str">
        <f ca="1">IFERROR(__xludf.DUMMYFUNCTION("""COMPUTED_VALUE"""),"المعملجي")</f>
        <v>المعملجي</v>
      </c>
      <c r="D266" s="56" t="str">
        <f ca="1">IFERROR(__xludf.DUMMYFUNCTION("""COMPUTED_VALUE"""),"وحدة التبريد")</f>
        <v>وحدة التبريد</v>
      </c>
      <c r="E266" s="26" t="str">
        <f ca="1">IFERROR(__xludf.DUMMYFUNCTION("""COMPUTED_VALUE"""),"قسم المشاريع الهندسية")</f>
        <v>قسم المشاريع الهندسية</v>
      </c>
      <c r="F266" s="26" t="str">
        <f ca="1">IFERROR(__xludf.DUMMYFUNCTION("""COMPUTED_VALUE"""),"G- روضة الجود")</f>
        <v>G- روضة الجود</v>
      </c>
      <c r="G266" s="26" t="str">
        <f ca="1">IFERROR(__xludf.DUMMYFUNCTION("""COMPUTED_VALUE"""),"السطح, القاعة الرياضية مقابل الرابعة ")</f>
        <v xml:space="preserve">السطح, القاعة الرياضية مقابل الرابعة </v>
      </c>
      <c r="H266" s="26" t="str">
        <f ca="1">IFERROR(__xludf.DUMMYFUNCTION("""COMPUTED_VALUE"""),"ادامة وتنظيف منظومة البكج الخاصة بالقاعه ")</f>
        <v xml:space="preserve">ادامة وتنظيف منظومة البكج الخاصة بالقاعه </v>
      </c>
      <c r="I266" s="26"/>
      <c r="J266" s="26" t="s">
        <v>15</v>
      </c>
      <c r="K266" s="26" t="s">
        <v>13</v>
      </c>
      <c r="L266" s="55"/>
      <c r="M266" s="26"/>
      <c r="N266" s="4" t="s">
        <v>121</v>
      </c>
    </row>
    <row r="267" spans="1:14" ht="75" customHeight="1" thickTop="1" thickBot="1">
      <c r="A267" s="34">
        <v>265</v>
      </c>
      <c r="B267" s="55">
        <f ca="1">IFERROR(__xludf.DUMMYFUNCTION("""COMPUTED_VALUE"""),46137.423295243)</f>
        <v>46137.423295243003</v>
      </c>
      <c r="C267" s="56" t="str">
        <f ca="1">IFERROR(__xludf.DUMMYFUNCTION("""COMPUTED_VALUE"""),"المعملجي")</f>
        <v>المعملجي</v>
      </c>
      <c r="D267" s="56" t="str">
        <f ca="1">IFERROR(__xludf.DUMMYFUNCTION("""COMPUTED_VALUE"""),"وحدة التبريد")</f>
        <v>وحدة التبريد</v>
      </c>
      <c r="E267" s="26" t="str">
        <f ca="1">IFERROR(__xludf.DUMMYFUNCTION("""COMPUTED_VALUE"""),"قسم المشاريع الهندسية")</f>
        <v>قسم المشاريع الهندسية</v>
      </c>
      <c r="F267" s="26" t="str">
        <f ca="1">IFERROR(__xludf.DUMMYFUNCTION("""COMPUTED_VALUE"""),"G- روضة الجود")</f>
        <v>G- روضة الجود</v>
      </c>
      <c r="G267" s="26" t="str">
        <f ca="1">IFERROR(__xludf.DUMMYFUNCTION("""COMPUTED_VALUE"""),"السطح, القاعة الرياضية مقابل الخامسة ")</f>
        <v xml:space="preserve">السطح, القاعة الرياضية مقابل الخامسة </v>
      </c>
      <c r="H267" s="26" t="str">
        <f ca="1">IFERROR(__xludf.DUMMYFUNCTION("""COMPUTED_VALUE"""),"ادامة وتنظيف منظومة البكج الخاصة بالقاعه ")</f>
        <v xml:space="preserve">ادامة وتنظيف منظومة البكج الخاصة بالقاعه </v>
      </c>
      <c r="I267" s="26"/>
      <c r="J267" s="26" t="s">
        <v>15</v>
      </c>
      <c r="K267" s="26" t="s">
        <v>13</v>
      </c>
      <c r="L267" s="55"/>
      <c r="M267" s="26"/>
      <c r="N267" s="4" t="s">
        <v>121</v>
      </c>
    </row>
    <row r="268" spans="1:14" ht="75" customHeight="1" thickTop="1" thickBot="1">
      <c r="A268" s="26">
        <v>266</v>
      </c>
      <c r="B268" s="55">
        <f ca="1">IFERROR(__xludf.DUMMYFUNCTION("""COMPUTED_VALUE"""),46137.4243599884)</f>
        <v>46137.424359988399</v>
      </c>
      <c r="C268" s="56" t="str">
        <f ca="1">IFERROR(__xludf.DUMMYFUNCTION("""COMPUTED_VALUE"""),"المعملجي")</f>
        <v>المعملجي</v>
      </c>
      <c r="D268" s="56" t="str">
        <f ca="1">IFERROR(__xludf.DUMMYFUNCTION("""COMPUTED_VALUE"""),"وحدة التبريد")</f>
        <v>وحدة التبريد</v>
      </c>
      <c r="E268" s="26" t="str">
        <f ca="1">IFERROR(__xludf.DUMMYFUNCTION("""COMPUTED_VALUE"""),"قسم المشاريع الهندسية")</f>
        <v>قسم المشاريع الهندسية</v>
      </c>
      <c r="F268" s="26" t="str">
        <f ca="1">IFERROR(__xludf.DUMMYFUNCTION("""COMPUTED_VALUE"""),"A- المركز الثقافي")</f>
        <v>A- المركز الثقافي</v>
      </c>
      <c r="G268" s="26" t="str">
        <f ca="1">IFERROR(__xludf.DUMMYFUNCTION("""COMPUTED_VALUE"""),"الطابق الارضي, الطابق الاول, قاعة المؤتمرات ")</f>
        <v xml:space="preserve">الطابق الارضي, الطابق الاول, قاعة المؤتمرات </v>
      </c>
      <c r="H268" s="26" t="str">
        <f ca="1">IFERROR(__xludf.DUMMYFUNCTION("""COMPUTED_VALUE"""),"ادامة وتنظيف فلاتر منظومة السبلت بكج الخاصة بقاعة المؤتمرات ")</f>
        <v xml:space="preserve">ادامة وتنظيف فلاتر منظومة السبلت بكج الخاصة بقاعة المؤتمرات </v>
      </c>
      <c r="I268" s="26"/>
      <c r="J268" s="26" t="s">
        <v>15</v>
      </c>
      <c r="K268" s="26" t="s">
        <v>13</v>
      </c>
      <c r="L268" s="55"/>
      <c r="M268" s="26"/>
      <c r="N268" s="4" t="s">
        <v>121</v>
      </c>
    </row>
    <row r="269" spans="1:14" ht="75" customHeight="1" thickTop="1" thickBot="1">
      <c r="A269" s="34">
        <v>267</v>
      </c>
      <c r="B269" s="55">
        <f ca="1">IFERROR(__xludf.DUMMYFUNCTION("""COMPUTED_VALUE"""),46137.4247132175)</f>
        <v>46137.424713217501</v>
      </c>
      <c r="C269" s="56" t="str">
        <f ca="1">IFERROR(__xludf.DUMMYFUNCTION("""COMPUTED_VALUE"""),"المعملجي")</f>
        <v>المعملجي</v>
      </c>
      <c r="D269" s="56" t="str">
        <f ca="1">IFERROR(__xludf.DUMMYFUNCTION("""COMPUTED_VALUE"""),"وحدة التبريد")</f>
        <v>وحدة التبريد</v>
      </c>
      <c r="E269" s="26" t="str">
        <f ca="1">IFERROR(__xludf.DUMMYFUNCTION("""COMPUTED_VALUE"""),"قسم المشاريع الهندسية")</f>
        <v>قسم المشاريع الهندسية</v>
      </c>
      <c r="F269" s="26" t="str">
        <f ca="1">IFERROR(__xludf.DUMMYFUNCTION("""COMPUTED_VALUE"""),"A- المركز الثقافي")</f>
        <v>A- المركز الثقافي</v>
      </c>
      <c r="G269" s="26" t="str">
        <f ca="1">IFERROR(__xludf.DUMMYFUNCTION("""COMPUTED_VALUE"""),"الطابق الارضي, الطابق الاول, قاعة سراج العميد ")</f>
        <v xml:space="preserve">الطابق الارضي, الطابق الاول, قاعة سراج العميد </v>
      </c>
      <c r="H269" s="26" t="str">
        <f ca="1">IFERROR(__xludf.DUMMYFUNCTION("""COMPUTED_VALUE"""),"ادامة وتنظيف فلاتر منظومة السبلت بكج الخاصة بقاعة سراج العميد ")</f>
        <v xml:space="preserve">ادامة وتنظيف فلاتر منظومة السبلت بكج الخاصة بقاعة سراج العميد </v>
      </c>
      <c r="I269" s="26"/>
      <c r="J269" s="26" t="s">
        <v>15</v>
      </c>
      <c r="K269" s="26" t="s">
        <v>13</v>
      </c>
      <c r="L269" s="55"/>
      <c r="M269" s="26"/>
      <c r="N269" s="4" t="s">
        <v>121</v>
      </c>
    </row>
    <row r="270" spans="1:14" ht="75" customHeight="1" thickTop="1" thickBot="1">
      <c r="A270" s="26">
        <v>268</v>
      </c>
      <c r="B270" s="55">
        <f ca="1">IFERROR(__xludf.DUMMYFUNCTION("""COMPUTED_VALUE"""),46137.425706655)</f>
        <v>46137.425706654998</v>
      </c>
      <c r="C270" s="56" t="str">
        <f ca="1">IFERROR(__xludf.DUMMYFUNCTION("""COMPUTED_VALUE"""),"المعملجي")</f>
        <v>المعملجي</v>
      </c>
      <c r="D270" s="56" t="str">
        <f ca="1">IFERROR(__xludf.DUMMYFUNCTION("""COMPUTED_VALUE"""),"وحدة التبريد")</f>
        <v>وحدة التبريد</v>
      </c>
      <c r="E270" s="26" t="str">
        <f ca="1">IFERROR(__xludf.DUMMYFUNCTION("""COMPUTED_VALUE"""),"قسم المشاريع الهندسية")</f>
        <v>قسم المشاريع الهندسية</v>
      </c>
      <c r="F270" s="26" t="str">
        <f ca="1">IFERROR(__xludf.DUMMYFUNCTION("""COMPUTED_VALUE"""),"A- المركز الثقافي")</f>
        <v>A- المركز الثقافي</v>
      </c>
      <c r="G270" s="26" t="str">
        <f ca="1">IFERROR(__xludf.DUMMYFUNCTION("""COMPUTED_VALUE"""),"الطابق الارضي, غرفة الكهرباء")</f>
        <v>الطابق الارضي, غرفة الكهرباء</v>
      </c>
      <c r="H270" s="26" t="str">
        <f ca="1">IFERROR(__xludf.DUMMYFUNCTION("""COMPUTED_VALUE"""),"صيانة ليك في سبلت غرفة الداتا سنتر ")</f>
        <v xml:space="preserve">صيانة ليك في سبلت غرفة الداتا سنتر </v>
      </c>
      <c r="I270" s="26"/>
      <c r="J270" s="26" t="s">
        <v>15</v>
      </c>
      <c r="K270" s="26" t="s">
        <v>13</v>
      </c>
      <c r="L270" s="55"/>
      <c r="M270" s="26"/>
      <c r="N270" s="4" t="s">
        <v>124</v>
      </c>
    </row>
    <row r="271" spans="1:14" ht="75" customHeight="1" thickTop="1" thickBot="1">
      <c r="A271" s="34">
        <v>269</v>
      </c>
      <c r="B271" s="55">
        <f ca="1">IFERROR(__xludf.DUMMYFUNCTION("""COMPUTED_VALUE"""),46137.4261440277)</f>
        <v>46137.426144027697</v>
      </c>
      <c r="C271" s="56" t="str">
        <f ca="1">IFERROR(__xludf.DUMMYFUNCTION("""COMPUTED_VALUE"""),"المعملجي")</f>
        <v>المعملجي</v>
      </c>
      <c r="D271" s="56" t="str">
        <f ca="1">IFERROR(__xludf.DUMMYFUNCTION("""COMPUTED_VALUE"""),"وحدة التبريد")</f>
        <v>وحدة التبريد</v>
      </c>
      <c r="E271" s="26" t="str">
        <f ca="1">IFERROR(__xludf.DUMMYFUNCTION("""COMPUTED_VALUE"""),"قسم المشاريع الهندسية")</f>
        <v>قسم المشاريع الهندسية</v>
      </c>
      <c r="F271" s="26" t="str">
        <f ca="1">IFERROR(__xludf.DUMMYFUNCTION("""COMPUTED_VALUE"""),"B- روضة القمر")</f>
        <v>B- روضة القمر</v>
      </c>
      <c r="G271" s="26" t="str">
        <f ca="1">IFERROR(__xludf.DUMMYFUNCTION("""COMPUTED_VALUE"""),"الطابق الارضي, غرفة الكهرباء")</f>
        <v>الطابق الارضي, غرفة الكهرباء</v>
      </c>
      <c r="H271" s="26" t="str">
        <f ca="1">IFERROR(__xludf.DUMMYFUNCTION("""COMPUTED_VALUE"""),"صيانة ليك في سبلت غرفة الكهرباء الخارجية ")</f>
        <v xml:space="preserve">صيانة ليك في سبلت غرفة الكهرباء الخارجية </v>
      </c>
      <c r="I271" s="26"/>
      <c r="J271" s="26" t="s">
        <v>15</v>
      </c>
      <c r="K271" s="26" t="s">
        <v>13</v>
      </c>
      <c r="L271" s="55"/>
      <c r="M271" s="26"/>
      <c r="N271" s="4" t="s">
        <v>121</v>
      </c>
    </row>
    <row r="272" spans="1:14" ht="75" customHeight="1" thickTop="1" thickBot="1">
      <c r="A272" s="26">
        <v>270</v>
      </c>
      <c r="B272" s="55">
        <f ca="1">IFERROR(__xludf.DUMMYFUNCTION("""COMPUTED_VALUE"""),46137.4264532407)</f>
        <v>46137.426453240703</v>
      </c>
      <c r="C272" s="56" t="str">
        <f ca="1">IFERROR(__xludf.DUMMYFUNCTION("""COMPUTED_VALUE"""),"المعملجي")</f>
        <v>المعملجي</v>
      </c>
      <c r="D272" s="56" t="str">
        <f ca="1">IFERROR(__xludf.DUMMYFUNCTION("""COMPUTED_VALUE"""),"وحدة التبريد")</f>
        <v>وحدة التبريد</v>
      </c>
      <c r="E272" s="26" t="str">
        <f ca="1">IFERROR(__xludf.DUMMYFUNCTION("""COMPUTED_VALUE"""),"قسم المشاريع الهندسية")</f>
        <v>قسم المشاريع الهندسية</v>
      </c>
      <c r="F272" s="26" t="str">
        <f ca="1">IFERROR(__xludf.DUMMYFUNCTION("""COMPUTED_VALUE"""),"G- روضة الجود")</f>
        <v>G- روضة الجود</v>
      </c>
      <c r="G272" s="26" t="str">
        <f ca="1">IFERROR(__xludf.DUMMYFUNCTION("""COMPUTED_VALUE"""),"الطابق الارضي, غرفة الكهرباء")</f>
        <v>الطابق الارضي, غرفة الكهرباء</v>
      </c>
      <c r="H272" s="26" t="str">
        <f ca="1">IFERROR(__xludf.DUMMYFUNCTION("""COMPUTED_VALUE"""),"صيانة ليك في سبلت غرفة الكهرباء الخارجية ")</f>
        <v xml:space="preserve">صيانة ليك في سبلت غرفة الكهرباء الخارجية </v>
      </c>
      <c r="I272" s="26"/>
      <c r="J272" s="26" t="s">
        <v>15</v>
      </c>
      <c r="K272" s="26" t="s">
        <v>13</v>
      </c>
      <c r="L272" s="55"/>
      <c r="M272" s="26"/>
      <c r="N272" s="4" t="s">
        <v>121</v>
      </c>
    </row>
    <row r="273" spans="1:14" ht="75" customHeight="1" thickTop="1" thickBot="1">
      <c r="A273" s="34">
        <v>271</v>
      </c>
      <c r="B273" s="55">
        <f ca="1">IFERROR(__xludf.DUMMYFUNCTION("""COMPUTED_VALUE"""),46137.4269258912)</f>
        <v>46137.426925891203</v>
      </c>
      <c r="C273" s="56" t="str">
        <f ca="1">IFERROR(__xludf.DUMMYFUNCTION("""COMPUTED_VALUE"""),"المعملجي")</f>
        <v>المعملجي</v>
      </c>
      <c r="D273" s="56" t="str">
        <f ca="1">IFERROR(__xludf.DUMMYFUNCTION("""COMPUTED_VALUE"""),"وحدة التبريد")</f>
        <v>وحدة التبريد</v>
      </c>
      <c r="E273" s="26" t="str">
        <f ca="1">IFERROR(__xludf.DUMMYFUNCTION("""COMPUTED_VALUE"""),"قسم المشاريع الهندسية")</f>
        <v>قسم المشاريع الهندسية</v>
      </c>
      <c r="F273" s="26" t="str">
        <f ca="1">IFERROR(__xludf.DUMMYFUNCTION("""COMPUTED_VALUE"""),"C- ثانوية العميد بناية الاعدادية  (الاولى)")</f>
        <v>C- ثانوية العميد بناية الاعدادية  (الاولى)</v>
      </c>
      <c r="G273" s="26" t="str">
        <f ca="1">IFERROR(__xludf.DUMMYFUNCTION("""COMPUTED_VALUE"""),"الطابق الارضي, ZONE B, غرفة الكهرباء")</f>
        <v>الطابق الارضي, ZONE B, غرفة الكهرباء</v>
      </c>
      <c r="H273" s="26" t="str">
        <f ca="1">IFERROR(__xludf.DUMMYFUNCTION("""COMPUTED_VALUE"""),"صيانة ليك في سبلت غرفة الكهرباء الخاصة بالطابق")</f>
        <v>صيانة ليك في سبلت غرفة الكهرباء الخاصة بالطابق</v>
      </c>
      <c r="I273" s="26"/>
      <c r="J273" s="26" t="s">
        <v>15</v>
      </c>
      <c r="K273" s="26" t="s">
        <v>13</v>
      </c>
      <c r="L273" s="55"/>
      <c r="M273" s="26"/>
      <c r="N273" s="4" t="s">
        <v>121</v>
      </c>
    </row>
    <row r="274" spans="1:14" ht="75" customHeight="1" thickTop="1" thickBot="1">
      <c r="A274" s="26">
        <v>272</v>
      </c>
      <c r="B274" s="55">
        <f ca="1">IFERROR(__xludf.DUMMYFUNCTION("""COMPUTED_VALUE"""),46137.4274474768)</f>
        <v>46137.427447476803</v>
      </c>
      <c r="C274" s="56" t="str">
        <f ca="1">IFERROR(__xludf.DUMMYFUNCTION("""COMPUTED_VALUE"""),"المعملجي")</f>
        <v>المعملجي</v>
      </c>
      <c r="D274" s="56" t="str">
        <f ca="1">IFERROR(__xludf.DUMMYFUNCTION("""COMPUTED_VALUE"""),"وحدة التبريد")</f>
        <v>وحدة التبريد</v>
      </c>
      <c r="E274" s="26" t="str">
        <f ca="1">IFERROR(__xludf.DUMMYFUNCTION("""COMPUTED_VALUE"""),"قسم المشاريع الهندسية")</f>
        <v>قسم المشاريع الهندسية</v>
      </c>
      <c r="F274" s="26" t="str">
        <f ca="1">IFERROR(__xludf.DUMMYFUNCTION("""COMPUTED_VALUE"""),"E- ابتدائية العميد للبنات (الثالثة)")</f>
        <v>E- ابتدائية العميد للبنات (الثالثة)</v>
      </c>
      <c r="G274" s="26" t="str">
        <f ca="1">IFERROR(__xludf.DUMMYFUNCTION("""COMPUTED_VALUE"""),"الطابق الاول, ZONE A")</f>
        <v>الطابق الاول, ZONE A</v>
      </c>
      <c r="H274" s="26" t="str">
        <f ca="1">IFERROR(__xludf.DUMMYFUNCTION("""COMPUTED_VALUE"""),"صيانة ليك في سبلت غرفة الكهرباء الخاصة بالطابق")</f>
        <v>صيانة ليك في سبلت غرفة الكهرباء الخاصة بالطابق</v>
      </c>
      <c r="I274" s="26"/>
      <c r="J274" s="26" t="s">
        <v>15</v>
      </c>
      <c r="K274" s="26" t="s">
        <v>13</v>
      </c>
      <c r="L274" s="55"/>
      <c r="M274" s="26"/>
      <c r="N274" s="4" t="s">
        <v>121</v>
      </c>
    </row>
    <row r="275" spans="1:14" ht="75" customHeight="1" thickTop="1" thickBot="1">
      <c r="A275" s="34">
        <v>273</v>
      </c>
      <c r="B275" s="55">
        <f ca="1">IFERROR(__xludf.DUMMYFUNCTION("""COMPUTED_VALUE"""),46137.4277420022)</f>
        <v>46137.427742002299</v>
      </c>
      <c r="C275" s="56" t="str">
        <f ca="1">IFERROR(__xludf.DUMMYFUNCTION("""COMPUTED_VALUE"""),"المعملجي")</f>
        <v>المعملجي</v>
      </c>
      <c r="D275" s="56" t="str">
        <f ca="1">IFERROR(__xludf.DUMMYFUNCTION("""COMPUTED_VALUE"""),"وحدة التبريد")</f>
        <v>وحدة التبريد</v>
      </c>
      <c r="E275" s="26" t="str">
        <f ca="1">IFERROR(__xludf.DUMMYFUNCTION("""COMPUTED_VALUE"""),"قسم المشاريع الهندسية")</f>
        <v>قسم المشاريع الهندسية</v>
      </c>
      <c r="F275" s="26" t="str">
        <f ca="1">IFERROR(__xludf.DUMMYFUNCTION("""COMPUTED_VALUE"""),"F-  ابتدائية جود العميد للبنات (الرابعة)")</f>
        <v>F-  ابتدائية جود العميد للبنات (الرابعة)</v>
      </c>
      <c r="G275" s="26" t="str">
        <f ca="1">IFERROR(__xludf.DUMMYFUNCTION("""COMPUTED_VALUE"""),"الطابق الاول, ZONE A, غرفة الكهرباء")</f>
        <v>الطابق الاول, ZONE A, غرفة الكهرباء</v>
      </c>
      <c r="H275" s="26" t="str">
        <f ca="1">IFERROR(__xludf.DUMMYFUNCTION("""COMPUTED_VALUE"""),"صيانة ليك في سبلت غرفة الكهرباء الخاصة بالطابق")</f>
        <v>صيانة ليك في سبلت غرفة الكهرباء الخاصة بالطابق</v>
      </c>
      <c r="I275" s="26"/>
      <c r="J275" s="26" t="s">
        <v>15</v>
      </c>
      <c r="K275" s="26" t="s">
        <v>13</v>
      </c>
      <c r="L275" s="55"/>
      <c r="M275" s="26"/>
      <c r="N275" s="4" t="s">
        <v>121</v>
      </c>
    </row>
    <row r="276" spans="1:14" ht="75" customHeight="1" thickTop="1" thickBot="1">
      <c r="A276" s="26">
        <v>274</v>
      </c>
      <c r="B276" s="55">
        <f ca="1">IFERROR(__xludf.DUMMYFUNCTION("""COMPUTED_VALUE"""),46137.4287160648)</f>
        <v>46137.428716064802</v>
      </c>
      <c r="C276" s="56" t="str">
        <f ca="1">IFERROR(__xludf.DUMMYFUNCTION("""COMPUTED_VALUE"""),"المعملجي")</f>
        <v>المعملجي</v>
      </c>
      <c r="D276" s="56" t="str">
        <f ca="1">IFERROR(__xludf.DUMMYFUNCTION("""COMPUTED_VALUE"""),"وحدة التبريد")</f>
        <v>وحدة التبريد</v>
      </c>
      <c r="E276" s="26" t="str">
        <f ca="1">IFERROR(__xludf.DUMMYFUNCTION("""COMPUTED_VALUE"""),"قسم المشاريع الهندسية")</f>
        <v>قسم المشاريع الهندسية</v>
      </c>
      <c r="F276"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276" s="26" t="str">
        <f ca="1">IFERROR(__xludf.DUMMYFUNCTION("""COMPUTED_VALUE"""),"الطابق الاول, الطابق الثاني, ZONE A, ZONE B")</f>
        <v>الطابق الاول, الطابق الثاني, ZONE A, ZONE B</v>
      </c>
      <c r="H276" s="26" t="str">
        <f ca="1">IFERROR(__xludf.DUMMYFUNCTION("""COMPUTED_VALUE"""),"صيانة تسريب من درين 4 قطع الداخلية لمنظومة ال vrv")</f>
        <v>صيانة تسريب من درين 4 قطع الداخلية لمنظومة ال vrv</v>
      </c>
      <c r="I276" s="26"/>
      <c r="J276" s="26" t="s">
        <v>15</v>
      </c>
      <c r="K276" s="26" t="s">
        <v>13</v>
      </c>
      <c r="L276" s="55"/>
      <c r="M276" s="26"/>
      <c r="N276" s="4" t="s">
        <v>121</v>
      </c>
    </row>
    <row r="277" spans="1:14" ht="75" customHeight="1" thickTop="1" thickBot="1">
      <c r="A277" s="34">
        <v>275</v>
      </c>
      <c r="B277" s="55">
        <f ca="1">IFERROR(__xludf.DUMMYFUNCTION("""COMPUTED_VALUE"""),46137.4297281018)</f>
        <v>46137.429728101801</v>
      </c>
      <c r="C277" s="56" t="str">
        <f ca="1">IFERROR(__xludf.DUMMYFUNCTION("""COMPUTED_VALUE"""),"المعملجي")</f>
        <v>المعملجي</v>
      </c>
      <c r="D277" s="56" t="str">
        <f ca="1">IFERROR(__xludf.DUMMYFUNCTION("""COMPUTED_VALUE"""),"وحدة التبريد")</f>
        <v>وحدة التبريد</v>
      </c>
      <c r="E277" s="26" t="str">
        <f ca="1">IFERROR(__xludf.DUMMYFUNCTION("""COMPUTED_VALUE"""),"قسم المشاريع الهندسية")</f>
        <v>قسم المشاريع الهندسية</v>
      </c>
      <c r="F277" s="26" t="str">
        <f ca="1">IFERROR(__xludf.DUMMYFUNCTION("""COMPUTED_VALUE"""),"G- روضة الجود")</f>
        <v>G- روضة الجود</v>
      </c>
      <c r="G277" s="26" t="str">
        <f ca="1">IFERROR(__xludf.DUMMYFUNCTION("""COMPUTED_VALUE"""),"الطابق الارضي, السطح")</f>
        <v>الطابق الارضي, السطح</v>
      </c>
      <c r="H277" s="26" t="str">
        <f ca="1">IFERROR(__xludf.DUMMYFUNCTION("""COMPUTED_VALUE"""),"صيانة كارت النويز فلتر في منظومة ال vrf الخاصة بالطابق")</f>
        <v>صيانة كارت النويز فلتر في منظومة ال vrf الخاصة بالطابق</v>
      </c>
      <c r="I277" s="26"/>
      <c r="J277" s="26" t="s">
        <v>15</v>
      </c>
      <c r="K277" s="26" t="s">
        <v>13</v>
      </c>
      <c r="L277" s="55"/>
      <c r="M277" s="26"/>
      <c r="N277" s="4" t="s">
        <v>121</v>
      </c>
    </row>
    <row r="278" spans="1:14" ht="75" customHeight="1" thickTop="1" thickBot="1">
      <c r="A278" s="26">
        <v>276</v>
      </c>
      <c r="B278" s="55">
        <f ca="1">IFERROR(__xludf.DUMMYFUNCTION("""COMPUTED_VALUE"""),46137.4353235995)</f>
        <v>46137.4353235995</v>
      </c>
      <c r="C278" s="56" t="str">
        <f ca="1">IFERROR(__xludf.DUMMYFUNCTION("""COMPUTED_VALUE"""),"المعملجي")</f>
        <v>المعملجي</v>
      </c>
      <c r="D278" s="56" t="str">
        <f ca="1">IFERROR(__xludf.DUMMYFUNCTION("""COMPUTED_VALUE"""),"وحدة التبريد")</f>
        <v>وحدة التبريد</v>
      </c>
      <c r="E278" s="26" t="str">
        <f ca="1">IFERROR(__xludf.DUMMYFUNCTION("""COMPUTED_VALUE"""),"قسم المشاريع الهندسية")</f>
        <v>قسم المشاريع الهندسية</v>
      </c>
      <c r="F278" s="26" t="str">
        <f ca="1">IFERROR(__xludf.DUMMYFUNCTION("""COMPUTED_VALUE"""),"الاستعلامات الرئيسية")</f>
        <v>الاستعلامات الرئيسية</v>
      </c>
      <c r="G278" s="26"/>
      <c r="H278" s="26" t="str">
        <f ca="1">IFERROR(__xludf.DUMMYFUNCTION("""COMPUTED_VALUE"""),"صيانة ليك في سبلت غرفة الإدارة ")</f>
        <v xml:space="preserve">صيانة ليك في سبلت غرفة الإدارة </v>
      </c>
      <c r="I278" s="26"/>
      <c r="J278" s="26" t="s">
        <v>15</v>
      </c>
      <c r="K278" s="26" t="s">
        <v>13</v>
      </c>
      <c r="L278" s="55"/>
      <c r="M278" s="26"/>
      <c r="N278" s="4" t="s">
        <v>121</v>
      </c>
    </row>
    <row r="279" spans="1:14" ht="75" customHeight="1" thickTop="1" thickBot="1">
      <c r="A279" s="34">
        <v>277</v>
      </c>
      <c r="B279" s="55">
        <f ca="1">IFERROR(__xludf.DUMMYFUNCTION("""COMPUTED_VALUE"""),46137.4361647106)</f>
        <v>46137.436164710598</v>
      </c>
      <c r="C279" s="56" t="str">
        <f ca="1">IFERROR(__xludf.DUMMYFUNCTION("""COMPUTED_VALUE"""),"المعملجي")</f>
        <v>المعملجي</v>
      </c>
      <c r="D279" s="56" t="str">
        <f ca="1">IFERROR(__xludf.DUMMYFUNCTION("""COMPUTED_VALUE"""),"وحدة التبريد")</f>
        <v>وحدة التبريد</v>
      </c>
      <c r="E279" s="26" t="str">
        <f ca="1">IFERROR(__xludf.DUMMYFUNCTION("""COMPUTED_VALUE"""),"قسم المشاريع الهندسية")</f>
        <v>قسم المشاريع الهندسية</v>
      </c>
      <c r="F279" s="26" t="str">
        <f ca="1">IFERROR(__xludf.DUMMYFUNCTION("""COMPUTED_VALUE"""),"E- ابتدائية العميد للبنات (الثالثة)")</f>
        <v>E- ابتدائية العميد للبنات (الثالثة)</v>
      </c>
      <c r="G279" s="26" t="str">
        <f ca="1">IFERROR(__xludf.DUMMYFUNCTION("""COMPUTED_VALUE"""),"الطابق الثاني, ZONE B")</f>
        <v>الطابق الثاني, ZONE B</v>
      </c>
      <c r="H279" s="26" t="str">
        <f ca="1">IFERROR(__xludf.DUMMYFUNCTION("""COMPUTED_VALUE"""),"صيانة كارت النويز فلتر في منظومة ال vrf الخاصة بالطابق")</f>
        <v>صيانة كارت النويز فلتر في منظومة ال vrf الخاصة بالطابق</v>
      </c>
      <c r="I279" s="26"/>
      <c r="J279" s="26" t="s">
        <v>15</v>
      </c>
      <c r="K279" s="26" t="s">
        <v>13</v>
      </c>
      <c r="L279" s="55">
        <v>46137.47260212963</v>
      </c>
      <c r="M279" s="26"/>
      <c r="N279" s="4" t="s">
        <v>121</v>
      </c>
    </row>
    <row r="280" spans="1:14" ht="75" customHeight="1" thickTop="1" thickBot="1">
      <c r="A280" s="26">
        <v>278</v>
      </c>
      <c r="B280" s="55">
        <f ca="1">IFERROR(__xludf.DUMMYFUNCTION("""COMPUTED_VALUE"""),46138.3671866782)</f>
        <v>46138.367186678202</v>
      </c>
      <c r="C280" s="56" t="str">
        <f ca="1">IFERROR(__xludf.DUMMYFUNCTION("""COMPUTED_VALUE"""),"المعملجي")</f>
        <v>المعملجي</v>
      </c>
      <c r="D280" s="56" t="str">
        <f ca="1">IFERROR(__xludf.DUMMYFUNCTION("""COMPUTED_VALUE"""),"سجاد تربية")</f>
        <v>سجاد تربية</v>
      </c>
      <c r="E280" s="26" t="str">
        <f ca="1">IFERROR(__xludf.DUMMYFUNCTION("""COMPUTED_VALUE"""),"قسم التربية والتعليم العالي")</f>
        <v>قسم التربية والتعليم العالي</v>
      </c>
      <c r="F280" s="26" t="str">
        <f ca="1">IFERROR(__xludf.DUMMYFUNCTION("""COMPUTED_VALUE"""),"F-  ابتدائية جود العميد للبنات (الرابعة)")</f>
        <v>F-  ابتدائية جود العميد للبنات (الرابعة)</v>
      </c>
      <c r="G280" s="26" t="str">
        <f ca="1">IFERROR(__xludf.DUMMYFUNCTION("""COMPUTED_VALUE"""),"الطابق الارضي")</f>
        <v>الطابق الارضي</v>
      </c>
      <c r="H280" s="26" t="str">
        <f ca="1">IFERROR(__xludf.DUMMYFUNCTION("""COMPUTED_VALUE"""),"لايوجد ماء في المنظومة ")</f>
        <v xml:space="preserve">لايوجد ماء في المنظومة </v>
      </c>
      <c r="I280" s="26"/>
      <c r="J280" s="26" t="s">
        <v>14</v>
      </c>
      <c r="K280" s="26" t="s">
        <v>13</v>
      </c>
      <c r="L280" s="55">
        <v>46138.778204710645</v>
      </c>
      <c r="M280" s="26"/>
      <c r="N280" s="4" t="s">
        <v>121</v>
      </c>
    </row>
    <row r="281" spans="1:14" ht="75" customHeight="1" thickTop="1" thickBot="1">
      <c r="A281" s="34">
        <v>279</v>
      </c>
      <c r="B281" s="55">
        <f ca="1">IFERROR(__xludf.DUMMYFUNCTION("""COMPUTED_VALUE"""),46138.3912636574)</f>
        <v>46138.391263657402</v>
      </c>
      <c r="C281" s="56" t="str">
        <f ca="1">IFERROR(__xludf.DUMMYFUNCTION("""COMPUTED_VALUE"""),"المعملجي")</f>
        <v>المعملجي</v>
      </c>
      <c r="D281" s="56" t="str">
        <f ca="1">IFERROR(__xludf.DUMMYFUNCTION("""COMPUTED_VALUE"""),"سجاد تربية")</f>
        <v>سجاد تربية</v>
      </c>
      <c r="E281" s="26" t="str">
        <f ca="1">IFERROR(__xludf.DUMMYFUNCTION("""COMPUTED_VALUE"""),"قسم التربية والتعليم العالي")</f>
        <v>قسم التربية والتعليم العالي</v>
      </c>
      <c r="F281" s="26" t="str">
        <f ca="1">IFERROR(__xludf.DUMMYFUNCTION("""COMPUTED_VALUE"""),"D- ثانوية العميد بناية المتوسطة  (الثانية)")</f>
        <v>D- ثانوية العميد بناية المتوسطة  (الثانية)</v>
      </c>
      <c r="G281" s="26" t="str">
        <f ca="1">IFERROR(__xludf.DUMMYFUNCTION("""COMPUTED_VALUE"""),"المصلى ")</f>
        <v xml:space="preserve">المصلى </v>
      </c>
      <c r="H281" s="26" t="str">
        <f ca="1">IFERROR(__xludf.DUMMYFUNCTION("""COMPUTED_VALUE"""),"صيانة سقف ثانوي ")</f>
        <v xml:space="preserve">صيانة سقف ثانوي </v>
      </c>
      <c r="I281" s="26"/>
      <c r="J281" s="26" t="s">
        <v>16</v>
      </c>
      <c r="K281" s="26" t="s">
        <v>13</v>
      </c>
      <c r="L281" s="55">
        <v>46144.395838483797</v>
      </c>
      <c r="M281" s="26"/>
      <c r="N281" s="4" t="s">
        <v>121</v>
      </c>
    </row>
    <row r="282" spans="1:14" ht="75" customHeight="1" thickTop="1" thickBot="1">
      <c r="A282" s="26">
        <v>280</v>
      </c>
      <c r="B282" s="55">
        <f ca="1">IFERROR(__xludf.DUMMYFUNCTION("""COMPUTED_VALUE"""),46138.5438696759)</f>
        <v>46138.543869675901</v>
      </c>
      <c r="C282" s="56" t="str">
        <f ca="1">IFERROR(__xludf.DUMMYFUNCTION("""COMPUTED_VALUE"""),"المعملجي")</f>
        <v>المعملجي</v>
      </c>
      <c r="D282" s="56" t="str">
        <f ca="1">IFERROR(__xludf.DUMMYFUNCTION("""COMPUTED_VALUE"""),"سجاد تربية")</f>
        <v>سجاد تربية</v>
      </c>
      <c r="E282" s="26" t="str">
        <f ca="1">IFERROR(__xludf.DUMMYFUNCTION("""COMPUTED_VALUE"""),"قسم التربية والتعليم العالي")</f>
        <v>قسم التربية والتعليم العالي</v>
      </c>
      <c r="F282" s="26" t="str">
        <f ca="1">IFERROR(__xludf.DUMMYFUNCTION("""COMPUTED_VALUE"""),"B- روضة القمر")</f>
        <v>B- روضة القمر</v>
      </c>
      <c r="G282" s="26" t="str">
        <f ca="1">IFERROR(__xludf.DUMMYFUNCTION("""COMPUTED_VALUE"""),"الطابق الارضي")</f>
        <v>الطابق الارضي</v>
      </c>
      <c r="H282" s="26" t="str">
        <f ca="1">IFERROR(__xludf.DUMMYFUNCTION("""COMPUTED_VALUE"""),"صيانة سويج البصمة ")</f>
        <v xml:space="preserve">صيانة سويج البصمة </v>
      </c>
      <c r="I282" s="26"/>
      <c r="J282" s="26" t="s">
        <v>3910</v>
      </c>
      <c r="K282" s="26" t="s">
        <v>13</v>
      </c>
      <c r="L282" s="55">
        <v>46138.557518773145</v>
      </c>
      <c r="M282" s="26"/>
      <c r="N282" s="4" t="s">
        <v>121</v>
      </c>
    </row>
    <row r="283" spans="1:14" ht="75" customHeight="1" thickTop="1" thickBot="1">
      <c r="A283" s="34">
        <v>281</v>
      </c>
      <c r="B283" s="55">
        <f ca="1">IFERROR(__xludf.DUMMYFUNCTION("""COMPUTED_VALUE"""),46139.4090646759)</f>
        <v>46139.4090646759</v>
      </c>
      <c r="C283" s="56" t="str">
        <f ca="1">IFERROR(__xludf.DUMMYFUNCTION("""COMPUTED_VALUE"""),"المعملجي")</f>
        <v>المعملجي</v>
      </c>
      <c r="D283" s="56" t="str">
        <f ca="1">IFERROR(__xludf.DUMMYFUNCTION("""COMPUTED_VALUE"""),"سجاد تربية")</f>
        <v>سجاد تربية</v>
      </c>
      <c r="E283" s="26" t="str">
        <f ca="1">IFERROR(__xludf.DUMMYFUNCTION("""COMPUTED_VALUE"""),"قسم التربية والتعليم العالي")</f>
        <v>قسم التربية والتعليم العالي</v>
      </c>
      <c r="F283" s="26" t="str">
        <f ca="1">IFERROR(__xludf.DUMMYFUNCTION("""COMPUTED_VALUE"""),"E- ابتدائية العميد للبنات (الثالثة)")</f>
        <v>E- ابتدائية العميد للبنات (الثالثة)</v>
      </c>
      <c r="G283" s="26" t="str">
        <f ca="1">IFERROR(__xludf.DUMMYFUNCTION("""COMPUTED_VALUE"""),"الطابق الارضي")</f>
        <v>الطابق الارضي</v>
      </c>
      <c r="H283" s="26" t="str">
        <f ca="1">IFERROR(__xludf.DUMMYFUNCTION("""COMPUTED_VALUE"""),"لايوجد ماء في المنظومة ")</f>
        <v xml:space="preserve">لايوجد ماء في المنظومة </v>
      </c>
      <c r="I283" s="26"/>
      <c r="J283" s="26" t="s">
        <v>14</v>
      </c>
      <c r="K283" s="26" t="s">
        <v>13</v>
      </c>
      <c r="L283" s="55">
        <v>46139.592490439813</v>
      </c>
      <c r="M283" s="26"/>
      <c r="N283" s="4" t="s">
        <v>121</v>
      </c>
    </row>
    <row r="284" spans="1:14" ht="75" customHeight="1" thickTop="1" thickBot="1">
      <c r="A284" s="26">
        <v>282</v>
      </c>
      <c r="B284" s="55">
        <f ca="1">IFERROR(__xludf.DUMMYFUNCTION("""COMPUTED_VALUE"""),46139.4095561805)</f>
        <v>46139.409556180501</v>
      </c>
      <c r="C284" s="56" t="str">
        <f ca="1">IFERROR(__xludf.DUMMYFUNCTION("""COMPUTED_VALUE"""),"المعملجي")</f>
        <v>المعملجي</v>
      </c>
      <c r="D284" s="56" t="str">
        <f ca="1">IFERROR(__xludf.DUMMYFUNCTION("""COMPUTED_VALUE"""),"سجاد تربية")</f>
        <v>سجاد تربية</v>
      </c>
      <c r="E284" s="26" t="str">
        <f ca="1">IFERROR(__xludf.DUMMYFUNCTION("""COMPUTED_VALUE"""),"قسم التربية والتعليم العالي")</f>
        <v>قسم التربية والتعليم العالي</v>
      </c>
      <c r="F284" s="26" t="str">
        <f ca="1">IFERROR(__xludf.DUMMYFUNCTION("""COMPUTED_VALUE"""),"الاستعلامات الرئيسية")</f>
        <v>الاستعلامات الرئيسية</v>
      </c>
      <c r="G284" s="26" t="str">
        <f ca="1">IFERROR(__xludf.DUMMYFUNCTION("""COMPUTED_VALUE"""),"/")</f>
        <v>/</v>
      </c>
      <c r="H284" s="26" t="str">
        <f ca="1">IFERROR(__xludf.DUMMYFUNCTION("""COMPUTED_VALUE"""),"صيانة بوستر ")</f>
        <v xml:space="preserve">صيانة بوستر </v>
      </c>
      <c r="I284" s="26"/>
      <c r="J284" s="26" t="s">
        <v>16</v>
      </c>
      <c r="K284" s="26" t="s">
        <v>13</v>
      </c>
      <c r="L284" s="55">
        <v>46139.499502499995</v>
      </c>
      <c r="M284" s="26"/>
      <c r="N284" s="4" t="s">
        <v>121</v>
      </c>
    </row>
    <row r="285" spans="1:14" ht="75" customHeight="1" thickTop="1" thickBot="1">
      <c r="A285" s="34">
        <v>283</v>
      </c>
      <c r="B285" s="55">
        <f ca="1">IFERROR(__xludf.DUMMYFUNCTION("""COMPUTED_VALUE"""),46139.4107396759)</f>
        <v>46139.410739675899</v>
      </c>
      <c r="C285" s="56" t="str">
        <f ca="1">IFERROR(__xludf.DUMMYFUNCTION("""COMPUTED_VALUE"""),"المعملجي")</f>
        <v>المعملجي</v>
      </c>
      <c r="D285" s="56" t="str">
        <f ca="1">IFERROR(__xludf.DUMMYFUNCTION("""COMPUTED_VALUE"""),"سجاد تربية")</f>
        <v>سجاد تربية</v>
      </c>
      <c r="E285" s="26" t="str">
        <f ca="1">IFERROR(__xludf.DUMMYFUNCTION("""COMPUTED_VALUE"""),"قسم التربية والتعليم العالي")</f>
        <v>قسم التربية والتعليم العالي</v>
      </c>
      <c r="F285" s="26" t="str">
        <f ca="1">IFERROR(__xludf.DUMMYFUNCTION("""COMPUTED_VALUE"""),"B- روضة القمر")</f>
        <v>B- روضة القمر</v>
      </c>
      <c r="G285" s="26" t="str">
        <f ca="1">IFERROR(__xludf.DUMMYFUNCTION("""COMPUTED_VALUE"""),"الطابق الارضي")</f>
        <v>الطابق الارضي</v>
      </c>
      <c r="H285" s="26" t="str">
        <f ca="1">IFERROR(__xludf.DUMMYFUNCTION("""COMPUTED_VALUE"""),"عمل بلك لسيليكون ")</f>
        <v xml:space="preserve">عمل بلك لسيليكون </v>
      </c>
      <c r="I285" s="26"/>
      <c r="J285" s="26" t="s">
        <v>3910</v>
      </c>
      <c r="K285" s="26" t="s">
        <v>13</v>
      </c>
      <c r="L285" s="55">
        <v>46139.499594490742</v>
      </c>
      <c r="M285" s="26"/>
      <c r="N285" s="4" t="s">
        <v>121</v>
      </c>
    </row>
    <row r="286" spans="1:14" ht="75" customHeight="1" thickTop="1" thickBot="1">
      <c r="A286" s="26">
        <v>284</v>
      </c>
      <c r="B286" s="55">
        <f ca="1">IFERROR(__xludf.DUMMYFUNCTION("""COMPUTED_VALUE"""),46139.4597665509)</f>
        <v>46139.459766550899</v>
      </c>
      <c r="C286" s="56" t="str">
        <f ca="1">IFERROR(__xludf.DUMMYFUNCTION("""COMPUTED_VALUE"""),"المعملجي")</f>
        <v>المعملجي</v>
      </c>
      <c r="D286" s="56" t="str">
        <f ca="1">IFERROR(__xludf.DUMMYFUNCTION("""COMPUTED_VALUE"""),"سجاد تربية")</f>
        <v>سجاد تربية</v>
      </c>
      <c r="E286" s="26" t="str">
        <f ca="1">IFERROR(__xludf.DUMMYFUNCTION("""COMPUTED_VALUE"""),"قسم التربية والتعليم العالي")</f>
        <v>قسم التربية والتعليم العالي</v>
      </c>
      <c r="F286" s="26" t="str">
        <f ca="1">IFERROR(__xludf.DUMMYFUNCTION("""COMPUTED_VALUE"""),"B- روضة القمر")</f>
        <v>B- روضة القمر</v>
      </c>
      <c r="G286" s="26" t="str">
        <f ca="1">IFERROR(__xludf.DUMMYFUNCTION("""COMPUTED_VALUE"""),"الطابق الارضي")</f>
        <v>الطابق الارضي</v>
      </c>
      <c r="H286" s="26" t="str">
        <f ca="1">IFERROR(__xludf.DUMMYFUNCTION("""COMPUTED_VALUE"""),"صيانة زحليقة ")</f>
        <v xml:space="preserve">صيانة زحليقة </v>
      </c>
      <c r="I286" s="26"/>
      <c r="J286" s="26" t="s">
        <v>16</v>
      </c>
      <c r="K286" s="26" t="s">
        <v>13</v>
      </c>
      <c r="L286" s="55">
        <v>46139.592602384262</v>
      </c>
      <c r="M286" s="26"/>
      <c r="N286" s="4" t="s">
        <v>121</v>
      </c>
    </row>
    <row r="287" spans="1:14" ht="75" customHeight="1" thickTop="1" thickBot="1">
      <c r="A287" s="34">
        <v>285</v>
      </c>
      <c r="B287" s="55">
        <f ca="1">IFERROR(__xludf.DUMMYFUNCTION("""COMPUTED_VALUE"""),46140.3577603125)</f>
        <v>46140.357760312501</v>
      </c>
      <c r="C287" s="56" t="str">
        <f ca="1">IFERROR(__xludf.DUMMYFUNCTION("""COMPUTED_VALUE"""),"المعملجي")</f>
        <v>المعملجي</v>
      </c>
      <c r="D287" s="56" t="str">
        <f ca="1">IFERROR(__xludf.DUMMYFUNCTION("""COMPUTED_VALUE"""),"سجاد تربية")</f>
        <v>سجاد تربية</v>
      </c>
      <c r="E287" s="26" t="str">
        <f ca="1">IFERROR(__xludf.DUMMYFUNCTION("""COMPUTED_VALUE"""),"قسم التربية والتعليم العالي")</f>
        <v>قسم التربية والتعليم العالي</v>
      </c>
      <c r="F287" s="26" t="str">
        <f ca="1">IFERROR(__xludf.DUMMYFUNCTION("""COMPUTED_VALUE"""),"المالية")</f>
        <v>المالية</v>
      </c>
      <c r="G287" s="26" t="str">
        <f ca="1">IFERROR(__xludf.DUMMYFUNCTION("""COMPUTED_VALUE"""),"الطابق الارضي")</f>
        <v>الطابق الارضي</v>
      </c>
      <c r="H287" s="26" t="str">
        <f ca="1">IFERROR(__xludf.DUMMYFUNCTION("""COMPUTED_VALUE"""),"تعليق القطعة في الواجهة")</f>
        <v>تعليق القطعة في الواجهة</v>
      </c>
      <c r="I287" s="26"/>
      <c r="J287" s="26" t="s">
        <v>16</v>
      </c>
      <c r="K287" s="26" t="s">
        <v>13</v>
      </c>
      <c r="L287" s="55">
        <v>46141.30868717593</v>
      </c>
      <c r="M287" s="26"/>
      <c r="N287" s="4" t="s">
        <v>121</v>
      </c>
    </row>
    <row r="288" spans="1:14" ht="75" customHeight="1" thickTop="1" thickBot="1">
      <c r="A288" s="26">
        <v>286</v>
      </c>
      <c r="B288" s="55">
        <f ca="1">IFERROR(__xludf.DUMMYFUNCTION("""COMPUTED_VALUE"""),46140.3582601388)</f>
        <v>46140.358260138797</v>
      </c>
      <c r="C288" s="56" t="str">
        <f ca="1">IFERROR(__xludf.DUMMYFUNCTION("""COMPUTED_VALUE"""),"المعملجي")</f>
        <v>المعملجي</v>
      </c>
      <c r="D288" s="56" t="str">
        <f ca="1">IFERROR(__xludf.DUMMYFUNCTION("""COMPUTED_VALUE"""),"سجاد تربية")</f>
        <v>سجاد تربية</v>
      </c>
      <c r="E288" s="26" t="str">
        <f ca="1">IFERROR(__xludf.DUMMYFUNCTION("""COMPUTED_VALUE"""),"قسم التربية والتعليم العالي")</f>
        <v>قسم التربية والتعليم العالي</v>
      </c>
      <c r="F288" s="26" t="str">
        <f ca="1">IFERROR(__xludf.DUMMYFUNCTION("""COMPUTED_VALUE"""),"I- ابتدائية الساقي للبنين (السادسة)")</f>
        <v>I- ابتدائية الساقي للبنين (السادسة)</v>
      </c>
      <c r="G288" s="26" t="str">
        <f ca="1">IFERROR(__xludf.DUMMYFUNCTION("""COMPUTED_VALUE"""),"الطابق الارضي")</f>
        <v>الطابق الارضي</v>
      </c>
      <c r="H288" s="26" t="str">
        <f ca="1">IFERROR(__xludf.DUMMYFUNCTION("""COMPUTED_VALUE"""),"صيانة مصعد")</f>
        <v>صيانة مصعد</v>
      </c>
      <c r="I288" s="26"/>
      <c r="J288" s="26" t="s">
        <v>3910</v>
      </c>
      <c r="K288" s="26" t="s">
        <v>13</v>
      </c>
      <c r="L288" s="55">
        <v>46144.395873287038</v>
      </c>
      <c r="M288" s="26"/>
      <c r="N288" s="4" t="s">
        <v>130</v>
      </c>
    </row>
    <row r="289" spans="1:14" ht="75" customHeight="1" thickTop="1" thickBot="1">
      <c r="A289" s="34">
        <v>287</v>
      </c>
      <c r="B289" s="55">
        <f ca="1">IFERROR(__xludf.DUMMYFUNCTION("""COMPUTED_VALUE"""),46140.3589096527)</f>
        <v>46140.358909652699</v>
      </c>
      <c r="C289" s="56" t="str">
        <f ca="1">IFERROR(__xludf.DUMMYFUNCTION("""COMPUTED_VALUE"""),"المعملجي")</f>
        <v>المعملجي</v>
      </c>
      <c r="D289" s="56" t="str">
        <f ca="1">IFERROR(__xludf.DUMMYFUNCTION("""COMPUTED_VALUE"""),"سجاد تربية")</f>
        <v>سجاد تربية</v>
      </c>
      <c r="E289" s="26" t="str">
        <f ca="1">IFERROR(__xludf.DUMMYFUNCTION("""COMPUTED_VALUE"""),"قسم التربية والتعليم العالي")</f>
        <v>قسم التربية والتعليم العالي</v>
      </c>
      <c r="F289" s="26" t="str">
        <f ca="1">IFERROR(__xludf.DUMMYFUNCTION("""COMPUTED_VALUE"""),"A- المركز الثقافي")</f>
        <v>A- المركز الثقافي</v>
      </c>
      <c r="G289" s="26" t="str">
        <f ca="1">IFERROR(__xludf.DUMMYFUNCTION("""COMPUTED_VALUE"""),"الطابق الثالث")</f>
        <v>الطابق الثالث</v>
      </c>
      <c r="H289" s="26" t="str">
        <f ca="1">IFERROR(__xludf.DUMMYFUNCTION("""COMPUTED_VALUE"""),"صيانة نرمايد في الكاونتر ")</f>
        <v xml:space="preserve">صيانة نرمايد في الكاونتر </v>
      </c>
      <c r="I289" s="26"/>
      <c r="J289" s="26" t="s">
        <v>16</v>
      </c>
      <c r="K289" s="26" t="s">
        <v>13</v>
      </c>
      <c r="L289" s="55">
        <v>46142.420930266206</v>
      </c>
      <c r="M289" s="26"/>
      <c r="N289" s="4" t="s">
        <v>130</v>
      </c>
    </row>
    <row r="290" spans="1:14" ht="75" customHeight="1" thickTop="1" thickBot="1">
      <c r="A290" s="26">
        <v>288</v>
      </c>
      <c r="B290" s="55">
        <f ca="1">IFERROR(__xludf.DUMMYFUNCTION("""COMPUTED_VALUE"""),46140.4848875115)</f>
        <v>46140.484887511499</v>
      </c>
      <c r="C290" s="56" t="str">
        <f ca="1">IFERROR(__xludf.DUMMYFUNCTION("""COMPUTED_VALUE"""),"المعملجي")</f>
        <v>المعملجي</v>
      </c>
      <c r="D290" s="56" t="str">
        <f ca="1">IFERROR(__xludf.DUMMYFUNCTION("""COMPUTED_VALUE"""),"سجاد تربية")</f>
        <v>سجاد تربية</v>
      </c>
      <c r="E290" s="26" t="str">
        <f ca="1">IFERROR(__xludf.DUMMYFUNCTION("""COMPUTED_VALUE"""),"قسم التربية والتعليم العالي")</f>
        <v>قسم التربية والتعليم العالي</v>
      </c>
      <c r="F290" s="26" t="str">
        <f ca="1">IFERROR(__xludf.DUMMYFUNCTION("""COMPUTED_VALUE"""),"G- روضة الجود")</f>
        <v>G- روضة الجود</v>
      </c>
      <c r="G290" s="26" t="str">
        <f ca="1">IFERROR(__xludf.DUMMYFUNCTION("""COMPUTED_VALUE"""),"الطابق الارضي")</f>
        <v>الطابق الارضي</v>
      </c>
      <c r="H290" s="26" t="str">
        <f ca="1">IFERROR(__xludf.DUMMYFUNCTION("""COMPUTED_VALUE"""),"معالجة صوت في الدكتات ")</f>
        <v xml:space="preserve">معالجة صوت في الدكتات </v>
      </c>
      <c r="I290" s="26"/>
      <c r="J290" s="26" t="s">
        <v>15</v>
      </c>
      <c r="K290" s="26" t="s">
        <v>13</v>
      </c>
      <c r="L290" s="55">
        <v>46141.308853298615</v>
      </c>
      <c r="M290" s="26"/>
      <c r="N290" s="4" t="s">
        <v>121</v>
      </c>
    </row>
    <row r="291" spans="1:14" ht="75" customHeight="1" thickTop="1" thickBot="1">
      <c r="A291" s="34">
        <v>289</v>
      </c>
      <c r="B291" s="55">
        <f ca="1">IFERROR(__xludf.DUMMYFUNCTION("""COMPUTED_VALUE"""),46140.4857537268)</f>
        <v>46140.485753726804</v>
      </c>
      <c r="C291" s="56" t="str">
        <f ca="1">IFERROR(__xludf.DUMMYFUNCTION("""COMPUTED_VALUE"""),"المعملجي")</f>
        <v>المعملجي</v>
      </c>
      <c r="D291" s="56" t="str">
        <f ca="1">IFERROR(__xludf.DUMMYFUNCTION("""COMPUTED_VALUE"""),"سجاد تربية")</f>
        <v>سجاد تربية</v>
      </c>
      <c r="E291" s="26" t="str">
        <f ca="1">IFERROR(__xludf.DUMMYFUNCTION("""COMPUTED_VALUE"""),"قسم التربية والتعليم العالي")</f>
        <v>قسم التربية والتعليم العالي</v>
      </c>
      <c r="F291" s="26" t="str">
        <f ca="1">IFERROR(__xludf.DUMMYFUNCTION("""COMPUTED_VALUE"""),"F-  ابتدائية جود العميد للبنات (الرابعة)")</f>
        <v>F-  ابتدائية جود العميد للبنات (الرابعة)</v>
      </c>
      <c r="G291" s="26" t="str">
        <f ca="1">IFERROR(__xludf.DUMMYFUNCTION("""COMPUTED_VALUE"""),"المصلى ")</f>
        <v xml:space="preserve">المصلى </v>
      </c>
      <c r="H291" s="26" t="str">
        <f ca="1">IFERROR(__xludf.DUMMYFUNCTION("""COMPUTED_VALUE"""),"صيانة مقبض شباك ")</f>
        <v xml:space="preserve">صيانة مقبض شباك </v>
      </c>
      <c r="I291" s="26"/>
      <c r="J291" s="26" t="s">
        <v>16</v>
      </c>
      <c r="K291" s="26" t="s">
        <v>13</v>
      </c>
      <c r="L291" s="55"/>
      <c r="M291" s="26"/>
      <c r="N291" s="4" t="s">
        <v>121</v>
      </c>
    </row>
    <row r="292" spans="1:14" ht="75" customHeight="1" thickTop="1" thickBot="1">
      <c r="A292" s="26">
        <v>290</v>
      </c>
      <c r="B292" s="55">
        <f ca="1">IFERROR(__xludf.DUMMYFUNCTION("""COMPUTED_VALUE"""),46140.4866526041)</f>
        <v>46140.486652604101</v>
      </c>
      <c r="C292" s="56" t="str">
        <f ca="1">IFERROR(__xludf.DUMMYFUNCTION("""COMPUTED_VALUE"""),"المعملجي")</f>
        <v>المعملجي</v>
      </c>
      <c r="D292" s="56" t="str">
        <f ca="1">IFERROR(__xludf.DUMMYFUNCTION("""COMPUTED_VALUE"""),"سجاد تربية")</f>
        <v>سجاد تربية</v>
      </c>
      <c r="E292" s="26" t="str">
        <f ca="1">IFERROR(__xludf.DUMMYFUNCTION("""COMPUTED_VALUE"""),"قسم التربية والتعليم العالي")</f>
        <v>قسم التربية والتعليم العالي</v>
      </c>
      <c r="F292" s="26" t="str">
        <f ca="1">IFERROR(__xludf.DUMMYFUNCTION("""COMPUTED_VALUE"""),"F-  ابتدائية جود العميد للبنات (الرابعة)")</f>
        <v>F-  ابتدائية جود العميد للبنات (الرابعة)</v>
      </c>
      <c r="G292" s="26" t="str">
        <f ca="1">IFERROR(__xludf.DUMMYFUNCTION("""COMPUTED_VALUE"""),"الطابق الثاني")</f>
        <v>الطابق الثاني</v>
      </c>
      <c r="H292" s="26" t="str">
        <f ca="1">IFERROR(__xludf.DUMMYFUNCTION("""COMPUTED_VALUE"""),"صيانة السقف الثانوي ")</f>
        <v xml:space="preserve">صيانة السقف الثانوي </v>
      </c>
      <c r="I292" s="26"/>
      <c r="J292" s="26" t="s">
        <v>16</v>
      </c>
      <c r="K292" s="26" t="s">
        <v>13</v>
      </c>
      <c r="L292" s="55">
        <v>46140.530031238421</v>
      </c>
      <c r="M292" s="26"/>
      <c r="N292" s="4" t="s">
        <v>121</v>
      </c>
    </row>
    <row r="293" spans="1:14" ht="75" customHeight="1" thickTop="1" thickBot="1">
      <c r="A293" s="34">
        <v>291</v>
      </c>
      <c r="B293" s="55">
        <f ca="1">IFERROR(__xludf.DUMMYFUNCTION("""COMPUTED_VALUE"""),46140.4873223263)</f>
        <v>46140.487322326298</v>
      </c>
      <c r="C293" s="56" t="str">
        <f ca="1">IFERROR(__xludf.DUMMYFUNCTION("""COMPUTED_VALUE"""),"المعملجي")</f>
        <v>المعملجي</v>
      </c>
      <c r="D293" s="56" t="str">
        <f ca="1">IFERROR(__xludf.DUMMYFUNCTION("""COMPUTED_VALUE"""),"سجاد تربية")</f>
        <v>سجاد تربية</v>
      </c>
      <c r="E293" s="26" t="str">
        <f ca="1">IFERROR(__xludf.DUMMYFUNCTION("""COMPUTED_VALUE"""),"قسم التربية والتعليم العالي")</f>
        <v>قسم التربية والتعليم العالي</v>
      </c>
      <c r="F293" s="26" t="str">
        <f ca="1">IFERROR(__xludf.DUMMYFUNCTION("""COMPUTED_VALUE"""),"A- المركز الثقافي")</f>
        <v>A- المركز الثقافي</v>
      </c>
      <c r="G293" s="26" t="str">
        <f ca="1">IFERROR(__xludf.DUMMYFUNCTION("""COMPUTED_VALUE"""),"وحدة المراقبة ")</f>
        <v xml:space="preserve">وحدة المراقبة </v>
      </c>
      <c r="H293" s="26" t="str">
        <f ca="1">IFERROR(__xludf.DUMMYFUNCTION("""COMPUTED_VALUE"""),"صيانة سبوت لايت")</f>
        <v>صيانة سبوت لايت</v>
      </c>
      <c r="I293" s="26"/>
      <c r="J293" s="26" t="s">
        <v>3910</v>
      </c>
      <c r="K293" s="26" t="s">
        <v>13</v>
      </c>
      <c r="L293" s="55">
        <v>46141.308896365736</v>
      </c>
      <c r="M293" s="26"/>
      <c r="N293" s="4" t="s">
        <v>121</v>
      </c>
    </row>
    <row r="294" spans="1:14" ht="75" customHeight="1" thickTop="1" thickBot="1">
      <c r="A294" s="26">
        <v>292</v>
      </c>
      <c r="B294" s="55">
        <f ca="1">IFERROR(__xludf.DUMMYFUNCTION("""COMPUTED_VALUE"""),46140.4887401967)</f>
        <v>46140.488740196699</v>
      </c>
      <c r="C294" s="56" t="str">
        <f ca="1">IFERROR(__xludf.DUMMYFUNCTION("""COMPUTED_VALUE"""),"المعملجي")</f>
        <v>المعملجي</v>
      </c>
      <c r="D294" s="56" t="str">
        <f ca="1">IFERROR(__xludf.DUMMYFUNCTION("""COMPUTED_VALUE"""),"سجاد تربية")</f>
        <v>سجاد تربية</v>
      </c>
      <c r="E294" s="26" t="str">
        <f ca="1">IFERROR(__xludf.DUMMYFUNCTION("""COMPUTED_VALUE"""),"قسم التربية والتعليم العالي")</f>
        <v>قسم التربية والتعليم العالي</v>
      </c>
      <c r="F294" s="26" t="str">
        <f ca="1">IFERROR(__xludf.DUMMYFUNCTION("""COMPUTED_VALUE"""),"A- المركز الثقافي")</f>
        <v>A- المركز الثقافي</v>
      </c>
      <c r="G294" s="26" t="str">
        <f ca="1">IFERROR(__xludf.DUMMYFUNCTION("""COMPUTED_VALUE"""),"غرفة الاستراحة في وحدة المراقبة ")</f>
        <v xml:space="preserve">غرفة الاستراحة في وحدة المراقبة </v>
      </c>
      <c r="H294" s="26" t="str">
        <f ca="1">IFERROR(__xludf.DUMMYFUNCTION("""COMPUTED_VALUE"""),"صيانة باب الخشب ")</f>
        <v xml:space="preserve">صيانة باب الخشب </v>
      </c>
      <c r="I294" s="26"/>
      <c r="J294" s="26" t="s">
        <v>16</v>
      </c>
      <c r="K294" s="26" t="s">
        <v>13</v>
      </c>
      <c r="L294" s="55"/>
      <c r="M294" s="26"/>
      <c r="N294" s="4" t="s">
        <v>121</v>
      </c>
    </row>
    <row r="295" spans="1:14" ht="75" customHeight="1" thickTop="1" thickBot="1">
      <c r="A295" s="34">
        <v>293</v>
      </c>
      <c r="B295" s="55">
        <f ca="1">IFERROR(__xludf.DUMMYFUNCTION("""COMPUTED_VALUE"""),46140.577685081)</f>
        <v>46140.577685081</v>
      </c>
      <c r="C295" s="56" t="str">
        <f ca="1">IFERROR(__xludf.DUMMYFUNCTION("""COMPUTED_VALUE"""),"المعملجي")</f>
        <v>المعملجي</v>
      </c>
      <c r="D295" s="56" t="str">
        <f ca="1">IFERROR(__xludf.DUMMYFUNCTION("""COMPUTED_VALUE"""),"سجاد تربية")</f>
        <v>سجاد تربية</v>
      </c>
      <c r="E295" s="26" t="str">
        <f ca="1">IFERROR(__xludf.DUMMYFUNCTION("""COMPUTED_VALUE"""),"قسم التربية والتعليم العالي")</f>
        <v>قسم التربية والتعليم العالي</v>
      </c>
      <c r="F295" s="26" t="str">
        <f ca="1">IFERROR(__xludf.DUMMYFUNCTION("""COMPUTED_VALUE"""),"A- المركز الثقافي")</f>
        <v>A- المركز الثقافي</v>
      </c>
      <c r="G295" s="26" t="str">
        <f ca="1">IFERROR(__xludf.DUMMYFUNCTION("""COMPUTED_VALUE"""),"الطابق الثاني")</f>
        <v>الطابق الثاني</v>
      </c>
      <c r="H295" s="26" t="str">
        <f ca="1">IFERROR(__xludf.DUMMYFUNCTION("""COMPUTED_VALUE"""),"السقف الثانوي يسرب ماء ")</f>
        <v xml:space="preserve">السقف الثانوي يسرب ماء </v>
      </c>
      <c r="I295" s="26"/>
      <c r="J295" s="26" t="s">
        <v>16</v>
      </c>
      <c r="K295" s="26" t="s">
        <v>13</v>
      </c>
      <c r="L295" s="55">
        <v>46149.538774166664</v>
      </c>
      <c r="M295" s="26"/>
      <c r="N295" s="4" t="s">
        <v>121</v>
      </c>
    </row>
    <row r="296" spans="1:14" ht="75" customHeight="1" thickTop="1" thickBot="1">
      <c r="A296" s="26">
        <v>294</v>
      </c>
      <c r="B296" s="55">
        <f ca="1">IFERROR(__xludf.DUMMYFUNCTION("""COMPUTED_VALUE"""),46141.3100222222)</f>
        <v>46141.310022222198</v>
      </c>
      <c r="C296" s="56" t="str">
        <f ca="1">IFERROR(__xludf.DUMMYFUNCTION("""COMPUTED_VALUE"""),"المعملجي")</f>
        <v>المعملجي</v>
      </c>
      <c r="D296" s="56" t="str">
        <f ca="1">IFERROR(__xludf.DUMMYFUNCTION("""COMPUTED_VALUE"""),"وحدة المدني")</f>
        <v>وحدة المدني</v>
      </c>
      <c r="E296" s="26" t="str">
        <f ca="1">IFERROR(__xludf.DUMMYFUNCTION("""COMPUTED_VALUE"""),"قسم المشاريع الهندسية")</f>
        <v>قسم المشاريع الهندسية</v>
      </c>
      <c r="F296" s="26" t="str">
        <f ca="1">IFERROR(__xludf.DUMMYFUNCTION("""COMPUTED_VALUE"""),"I- ابتدائية الساقي للبنين (السادسة)")</f>
        <v>I- ابتدائية الساقي للبنين (السادسة)</v>
      </c>
      <c r="G296" s="26" t="str">
        <f ca="1">IFERROR(__xludf.DUMMYFUNCTION("""COMPUTED_VALUE"""),"السطح")</f>
        <v>السطح</v>
      </c>
      <c r="H296" s="26" t="str">
        <f ca="1">IFERROR(__xludf.DUMMYFUNCTION("""COMPUTED_VALUE"""),"عمل هزارة باب غرفة المصعد")</f>
        <v>عمل هزارة باب غرفة المصعد</v>
      </c>
      <c r="I296" s="26"/>
      <c r="J296" s="26" t="s">
        <v>16</v>
      </c>
      <c r="K296" s="26" t="s">
        <v>13</v>
      </c>
      <c r="L296" s="55">
        <v>46141.312030173613</v>
      </c>
      <c r="M296" s="26"/>
      <c r="N296" s="4" t="s">
        <v>121</v>
      </c>
    </row>
    <row r="297" spans="1:14" ht="75" customHeight="1" thickTop="1" thickBot="1">
      <c r="A297" s="34">
        <v>295</v>
      </c>
      <c r="B297" s="55">
        <f ca="1">IFERROR(__xludf.DUMMYFUNCTION("""COMPUTED_VALUE"""),46141.3104616782)</f>
        <v>46141.3104616782</v>
      </c>
      <c r="C297" s="56" t="str">
        <f ca="1">IFERROR(__xludf.DUMMYFUNCTION("""COMPUTED_VALUE"""),"المعملجي")</f>
        <v>المعملجي</v>
      </c>
      <c r="D297" s="56" t="str">
        <f ca="1">IFERROR(__xludf.DUMMYFUNCTION("""COMPUTED_VALUE"""),"وحدة المدني")</f>
        <v>وحدة المدني</v>
      </c>
      <c r="E297" s="26" t="str">
        <f ca="1">IFERROR(__xludf.DUMMYFUNCTION("""COMPUTED_VALUE"""),"قسم المشاريع الهندسية")</f>
        <v>قسم المشاريع الهندسية</v>
      </c>
      <c r="F297" s="26" t="str">
        <f ca="1">IFERROR(__xludf.DUMMYFUNCTION("""COMPUTED_VALUE"""),"J- ابتدائية الساقي للبنين الجانب الثاني (السابعة)")</f>
        <v>J- ابتدائية الساقي للبنين الجانب الثاني (السابعة)</v>
      </c>
      <c r="G297" s="26" t="str">
        <f ca="1">IFERROR(__xludf.DUMMYFUNCTION("""COMPUTED_VALUE"""),"السطح")</f>
        <v>السطح</v>
      </c>
      <c r="H297" s="26" t="str">
        <f ca="1">IFERROR(__xludf.DUMMYFUNCTION("""COMPUTED_VALUE"""),"عمل هزارة باب غرفة المصعد ")</f>
        <v xml:space="preserve">عمل هزارة باب غرفة المصعد </v>
      </c>
      <c r="I297" s="26"/>
      <c r="J297" s="26" t="s">
        <v>16</v>
      </c>
      <c r="K297" s="26" t="s">
        <v>13</v>
      </c>
      <c r="L297" s="55"/>
      <c r="M297" s="26"/>
      <c r="N297" s="4" t="s">
        <v>121</v>
      </c>
    </row>
    <row r="298" spans="1:14" ht="75" customHeight="1" thickTop="1" thickBot="1">
      <c r="A298" s="26">
        <v>296</v>
      </c>
      <c r="B298" s="55">
        <f ca="1">IFERROR(__xludf.DUMMYFUNCTION("""COMPUTED_VALUE"""),46141.3108831018)</f>
        <v>46141.310883101803</v>
      </c>
      <c r="C298" s="56" t="str">
        <f ca="1">IFERROR(__xludf.DUMMYFUNCTION("""COMPUTED_VALUE"""),"المعملجي")</f>
        <v>المعملجي</v>
      </c>
      <c r="D298" s="56" t="str">
        <f ca="1">IFERROR(__xludf.DUMMYFUNCTION("""COMPUTED_VALUE"""),"وحدة المدني")</f>
        <v>وحدة المدني</v>
      </c>
      <c r="E298" s="26" t="str">
        <f ca="1">IFERROR(__xludf.DUMMYFUNCTION("""COMPUTED_VALUE"""),"قسم المشاريع الهندسية")</f>
        <v>قسم المشاريع الهندسية</v>
      </c>
      <c r="F298" s="26" t="str">
        <f ca="1">IFERROR(__xludf.DUMMYFUNCTION("""COMPUTED_VALUE"""),"C- ثانوية العميد بناية الاعدادية  (الاولى)")</f>
        <v>C- ثانوية العميد بناية الاعدادية  (الاولى)</v>
      </c>
      <c r="G298" s="26" t="str">
        <f ca="1">IFERROR(__xludf.DUMMYFUNCTION("""COMPUTED_VALUE"""),"الطابق الارضي, ZONE A")</f>
        <v>الطابق الارضي, ZONE A</v>
      </c>
      <c r="H298" s="26" t="str">
        <f ca="1">IFERROR(__xludf.DUMMYFUNCTION("""COMPUTED_VALUE"""),"تعليق بردة عدد 2 ")</f>
        <v xml:space="preserve">تعليق بردة عدد 2 </v>
      </c>
      <c r="I298" s="26"/>
      <c r="J298" s="26" t="s">
        <v>16</v>
      </c>
      <c r="K298" s="26" t="s">
        <v>13</v>
      </c>
      <c r="L298" s="55"/>
      <c r="M298" s="26"/>
      <c r="N298" s="4" t="s">
        <v>121</v>
      </c>
    </row>
    <row r="299" spans="1:14" ht="75" customHeight="1" thickTop="1" thickBot="1">
      <c r="A299" s="34">
        <v>297</v>
      </c>
      <c r="B299" s="55">
        <f ca="1">IFERROR(__xludf.DUMMYFUNCTION("""COMPUTED_VALUE"""),46141.3118533796)</f>
        <v>46141.311853379601</v>
      </c>
      <c r="C299" s="56" t="str">
        <f ca="1">IFERROR(__xludf.DUMMYFUNCTION("""COMPUTED_VALUE"""),"المعملجي")</f>
        <v>المعملجي</v>
      </c>
      <c r="D299" s="56" t="str">
        <f ca="1">IFERROR(__xludf.DUMMYFUNCTION("""COMPUTED_VALUE"""),"وحدة المدني")</f>
        <v>وحدة المدني</v>
      </c>
      <c r="E299" s="26" t="str">
        <f ca="1">IFERROR(__xludf.DUMMYFUNCTION("""COMPUTED_VALUE"""),"قسم المشاريع الهندسية")</f>
        <v>قسم المشاريع الهندسية</v>
      </c>
      <c r="F299" s="26" t="str">
        <f ca="1">IFERROR(__xludf.DUMMYFUNCTION("""COMPUTED_VALUE"""),"C- ثانوية العميد بناية الاعدادية  (الاولى)")</f>
        <v>C- ثانوية العميد بناية الاعدادية  (الاولى)</v>
      </c>
      <c r="G299" s="26" t="str">
        <f ca="1">IFERROR(__xludf.DUMMYFUNCTION("""COMPUTED_VALUE"""),"الطابق الثاني, ZONE B")</f>
        <v>الطابق الثاني, ZONE B</v>
      </c>
      <c r="H299" s="26" t="str">
        <f ca="1">IFERROR(__xludf.DUMMYFUNCTION("""COMPUTED_VALUE"""),"تنشيف صفوف عدد ٤ من مياه الامطار")</f>
        <v>تنشيف صفوف عدد ٤ من مياه الامطار</v>
      </c>
      <c r="I299" s="26"/>
      <c r="J299" s="26" t="s">
        <v>16</v>
      </c>
      <c r="K299" s="26" t="s">
        <v>13</v>
      </c>
      <c r="L299" s="55"/>
      <c r="M299" s="26"/>
      <c r="N299" s="4" t="s">
        <v>121</v>
      </c>
    </row>
    <row r="300" spans="1:14" ht="75" customHeight="1" thickTop="1" thickBot="1">
      <c r="A300" s="26">
        <v>298</v>
      </c>
      <c r="B300" s="55">
        <f ca="1">IFERROR(__xludf.DUMMYFUNCTION("""COMPUTED_VALUE"""),46141.313614699)</f>
        <v>46141.313614699</v>
      </c>
      <c r="C300" s="56" t="str">
        <f ca="1">IFERROR(__xludf.DUMMYFUNCTION("""COMPUTED_VALUE"""),"المعملجي")</f>
        <v>المعملجي</v>
      </c>
      <c r="D300" s="56" t="str">
        <f ca="1">IFERROR(__xludf.DUMMYFUNCTION("""COMPUTED_VALUE"""),"وحدة المدني")</f>
        <v>وحدة المدني</v>
      </c>
      <c r="E300" s="26" t="str">
        <f ca="1">IFERROR(__xludf.DUMMYFUNCTION("""COMPUTED_VALUE"""),"قسم المشاريع الهندسية")</f>
        <v>قسم المشاريع الهندسية</v>
      </c>
      <c r="F300" s="26" t="str">
        <f ca="1">IFERROR(__xludf.DUMMYFUNCTION("""COMPUTED_VALUE"""),"غرفة الكهرباء قرب المحطة")</f>
        <v>غرفة الكهرباء قرب المحطة</v>
      </c>
      <c r="G300" s="26" t="str">
        <f ca="1">IFERROR(__xludf.DUMMYFUNCTION("""COMPUTED_VALUE"""),"الطابق الارضي")</f>
        <v>الطابق الارضي</v>
      </c>
      <c r="H300" s="26" t="str">
        <f ca="1">IFERROR(__xludf.DUMMYFUNCTION("""COMPUTED_VALUE"""),"تطبيك مرمر")</f>
        <v>تطبيك مرمر</v>
      </c>
      <c r="I300" s="26"/>
      <c r="J300" s="26" t="s">
        <v>16</v>
      </c>
      <c r="K300" s="26" t="s">
        <v>13</v>
      </c>
      <c r="L300" s="55">
        <v>46141.313855486107</v>
      </c>
      <c r="M300" s="26"/>
      <c r="N300" s="4" t="s">
        <v>121</v>
      </c>
    </row>
    <row r="301" spans="1:14" ht="75" customHeight="1" thickTop="1" thickBot="1">
      <c r="A301" s="34">
        <v>299</v>
      </c>
      <c r="B301" s="55">
        <f ca="1">IFERROR(__xludf.DUMMYFUNCTION("""COMPUTED_VALUE"""),46141.3152423032)</f>
        <v>46141.315242303201</v>
      </c>
      <c r="C301" s="56" t="str">
        <f ca="1">IFERROR(__xludf.DUMMYFUNCTION("""COMPUTED_VALUE"""),"المعملجي")</f>
        <v>المعملجي</v>
      </c>
      <c r="D301" s="56" t="str">
        <f ca="1">IFERROR(__xludf.DUMMYFUNCTION("""COMPUTED_VALUE"""),"وحدة المدني")</f>
        <v>وحدة المدني</v>
      </c>
      <c r="E301" s="26" t="str">
        <f ca="1">IFERROR(__xludf.DUMMYFUNCTION("""COMPUTED_VALUE"""),"قسم المشاريع الهندسية")</f>
        <v>قسم المشاريع الهندسية</v>
      </c>
      <c r="F301" s="26" t="str">
        <f ca="1">IFERROR(__xludf.DUMMYFUNCTION("""COMPUTED_VALUE"""),"F-  ابتدائية جود العميد للبنات (الرابعة)")</f>
        <v>F-  ابتدائية جود العميد للبنات (الرابعة)</v>
      </c>
      <c r="G301" s="26" t="str">
        <f ca="1">IFERROR(__xludf.DUMMYFUNCTION("""COMPUTED_VALUE"""),"الطابق الارضي")</f>
        <v>الطابق الارضي</v>
      </c>
      <c r="H301" s="26" t="str">
        <f ca="1">IFERROR(__xludf.DUMMYFUNCTION("""COMPUTED_VALUE"""),"فتح وتطبيك مقرنص مقابل مدرسة جود العميد")</f>
        <v>فتح وتطبيك مقرنص مقابل مدرسة جود العميد</v>
      </c>
      <c r="I301" s="26"/>
      <c r="J301" s="26" t="s">
        <v>16</v>
      </c>
      <c r="K301" s="26" t="s">
        <v>13</v>
      </c>
      <c r="L301" s="55">
        <v>46141.315333182865</v>
      </c>
      <c r="M301" s="26"/>
      <c r="N301" s="4" t="s">
        <v>121</v>
      </c>
    </row>
    <row r="302" spans="1:14" ht="75" customHeight="1" thickTop="1" thickBot="1">
      <c r="A302" s="26">
        <v>300</v>
      </c>
      <c r="B302" s="55">
        <f ca="1">IFERROR(__xludf.DUMMYFUNCTION("""COMPUTED_VALUE"""),46141.3945768634)</f>
        <v>46141.3945768634</v>
      </c>
      <c r="C302" s="56" t="str">
        <f ca="1">IFERROR(__xludf.DUMMYFUNCTION("""COMPUTED_VALUE"""),"المعملجي")</f>
        <v>المعملجي</v>
      </c>
      <c r="D302" s="56" t="str">
        <f ca="1">IFERROR(__xludf.DUMMYFUNCTION("""COMPUTED_VALUE"""),"سجاد تربية")</f>
        <v>سجاد تربية</v>
      </c>
      <c r="E302" s="26" t="str">
        <f ca="1">IFERROR(__xludf.DUMMYFUNCTION("""COMPUTED_VALUE"""),"قسم التربية والتعليم العالي")</f>
        <v>قسم التربية والتعليم العالي</v>
      </c>
      <c r="F302" s="26" t="str">
        <f ca="1">IFERROR(__xludf.DUMMYFUNCTION("""COMPUTED_VALUE"""),"صحيات خارجية ")</f>
        <v xml:space="preserve">صحيات خارجية </v>
      </c>
      <c r="G302" s="26" t="str">
        <f ca="1">IFERROR(__xludf.DUMMYFUNCTION("""COMPUTED_VALUE"""),"صحيات مقابيل الاعدادية ")</f>
        <v xml:space="preserve">صحيات مقابيل الاعدادية </v>
      </c>
      <c r="H302" s="26" t="str">
        <f ca="1">IFERROR(__xludf.DUMMYFUNCTION("""COMPUTED_VALUE"""),"صيانة بوري مغسلة ")</f>
        <v xml:space="preserve">صيانة بوري مغسلة </v>
      </c>
      <c r="I302" s="26"/>
      <c r="J302" s="26" t="s">
        <v>14</v>
      </c>
      <c r="K302" s="26" t="s">
        <v>13</v>
      </c>
      <c r="L302" s="55">
        <v>46141.81260355324</v>
      </c>
      <c r="M302" s="26"/>
      <c r="N302" s="4" t="s">
        <v>121</v>
      </c>
    </row>
    <row r="303" spans="1:14" ht="75" customHeight="1" thickTop="1" thickBot="1">
      <c r="A303" s="34">
        <v>301</v>
      </c>
      <c r="B303" s="55">
        <f ca="1">IFERROR(__xludf.DUMMYFUNCTION("""COMPUTED_VALUE"""),46142.3070210763)</f>
        <v>46142.307021076303</v>
      </c>
      <c r="C303" s="56" t="str">
        <f ca="1">IFERROR(__xludf.DUMMYFUNCTION("""COMPUTED_VALUE"""),"المعملجي")</f>
        <v>المعملجي</v>
      </c>
      <c r="D303" s="56" t="str">
        <f ca="1">IFERROR(__xludf.DUMMYFUNCTION("""COMPUTED_VALUE"""),"وحدة المدني")</f>
        <v>وحدة المدني</v>
      </c>
      <c r="E303" s="26" t="str">
        <f ca="1">IFERROR(__xludf.DUMMYFUNCTION("""COMPUTED_VALUE"""),"قسم المشاريع الهندسية")</f>
        <v>قسم المشاريع الهندسية</v>
      </c>
      <c r="F303" s="26" t="str">
        <f ca="1">IFERROR(__xludf.DUMMYFUNCTION("""COMPUTED_VALUE"""),"A- المركز الثقافي")</f>
        <v>A- المركز الثقافي</v>
      </c>
      <c r="G303" s="26" t="str">
        <f ca="1">IFERROR(__xludf.DUMMYFUNCTION("""COMPUTED_VALUE"""),"الطابق الرابع")</f>
        <v>الطابق الرابع</v>
      </c>
      <c r="H303" s="26" t="str">
        <f ca="1">IFERROR(__xludf.DUMMYFUNCTION("""COMPUTED_VALUE"""),"ارجاع سقوف ثانوية ")</f>
        <v xml:space="preserve">ارجاع سقوف ثانوية </v>
      </c>
      <c r="I303" s="26"/>
      <c r="J303" s="26" t="s">
        <v>16</v>
      </c>
      <c r="K303" s="26" t="s">
        <v>13</v>
      </c>
      <c r="L303" s="55"/>
      <c r="M303" s="26"/>
      <c r="N303" s="4" t="s">
        <v>121</v>
      </c>
    </row>
    <row r="304" spans="1:14" ht="75" customHeight="1" thickTop="1" thickBot="1">
      <c r="A304" s="26">
        <v>302</v>
      </c>
      <c r="B304" s="55">
        <f ca="1">IFERROR(__xludf.DUMMYFUNCTION("""COMPUTED_VALUE"""),46142.3080321296)</f>
        <v>46142.3080321296</v>
      </c>
      <c r="C304" s="56" t="str">
        <f ca="1">IFERROR(__xludf.DUMMYFUNCTION("""COMPUTED_VALUE"""),"المعملجي")</f>
        <v>المعملجي</v>
      </c>
      <c r="D304" s="56" t="str">
        <f ca="1">IFERROR(__xludf.DUMMYFUNCTION("""COMPUTED_VALUE"""),"وحدة المدني")</f>
        <v>وحدة المدني</v>
      </c>
      <c r="E304" s="26" t="str">
        <f ca="1">IFERROR(__xludf.DUMMYFUNCTION("""COMPUTED_VALUE"""),"قسم المشاريع الهندسية")</f>
        <v>قسم المشاريع الهندسية</v>
      </c>
      <c r="F304" s="26" t="str">
        <f ca="1">IFERROR(__xludf.DUMMYFUNCTION("""COMPUTED_VALUE"""),"A- المركز الثقافي")</f>
        <v>A- المركز الثقافي</v>
      </c>
      <c r="G304" s="26" t="str">
        <f ca="1">IFERROR(__xludf.DUMMYFUNCTION("""COMPUTED_VALUE"""),"الطابق الثاني")</f>
        <v>الطابق الثاني</v>
      </c>
      <c r="H304" s="26" t="str">
        <f ca="1">IFERROR(__xludf.DUMMYFUNCTION("""COMPUTED_VALUE"""),"تركيب قطعة لوح ")</f>
        <v xml:space="preserve">تركيب قطعة لوح </v>
      </c>
      <c r="I304" s="26"/>
      <c r="J304" s="26" t="s">
        <v>16</v>
      </c>
      <c r="K304" s="26" t="s">
        <v>13</v>
      </c>
      <c r="L304" s="55"/>
      <c r="M304" s="26"/>
      <c r="N304" s="4" t="s">
        <v>121</v>
      </c>
    </row>
    <row r="305" spans="1:14" ht="75" customHeight="1" thickTop="1" thickBot="1">
      <c r="A305" s="34">
        <v>303</v>
      </c>
      <c r="B305" s="55">
        <f ca="1">IFERROR(__xludf.DUMMYFUNCTION("""COMPUTED_VALUE"""),46142.308628831)</f>
        <v>46142.308628831001</v>
      </c>
      <c r="C305" s="56" t="str">
        <f ca="1">IFERROR(__xludf.DUMMYFUNCTION("""COMPUTED_VALUE"""),"المعملجي")</f>
        <v>المعملجي</v>
      </c>
      <c r="D305" s="56" t="str">
        <f ca="1">IFERROR(__xludf.DUMMYFUNCTION("""COMPUTED_VALUE"""),"وحدة المدني")</f>
        <v>وحدة المدني</v>
      </c>
      <c r="E305" s="26" t="str">
        <f ca="1">IFERROR(__xludf.DUMMYFUNCTION("""COMPUTED_VALUE"""),"قسم المشاريع الهندسية")</f>
        <v>قسم المشاريع الهندسية</v>
      </c>
      <c r="F305" s="26" t="str">
        <f ca="1">IFERROR(__xludf.DUMMYFUNCTION("""COMPUTED_VALUE"""),"A- المركز الثقافي")</f>
        <v>A- المركز الثقافي</v>
      </c>
      <c r="G305" s="26" t="str">
        <f ca="1">IFERROR(__xludf.DUMMYFUNCTION("""COMPUTED_VALUE"""),"الطابق الثاني")</f>
        <v>الطابق الثاني</v>
      </c>
      <c r="H305" s="26" t="str">
        <f ca="1">IFERROR(__xludf.DUMMYFUNCTION("""COMPUTED_VALUE"""),"تركيب بردة ")</f>
        <v xml:space="preserve">تركيب بردة </v>
      </c>
      <c r="I305" s="26"/>
      <c r="J305" s="26" t="s">
        <v>16</v>
      </c>
      <c r="K305" s="26" t="s">
        <v>13</v>
      </c>
      <c r="L305" s="55"/>
      <c r="M305" s="26"/>
      <c r="N305" s="4" t="s">
        <v>121</v>
      </c>
    </row>
    <row r="306" spans="1:14" ht="75" customHeight="1" thickTop="1" thickBot="1">
      <c r="A306" s="26">
        <v>304</v>
      </c>
      <c r="B306" s="55">
        <f ca="1">IFERROR(__xludf.DUMMYFUNCTION("""COMPUTED_VALUE"""),46142.3105835185)</f>
        <v>46142.310583518498</v>
      </c>
      <c r="C306" s="56" t="str">
        <f ca="1">IFERROR(__xludf.DUMMYFUNCTION("""COMPUTED_VALUE"""),"المعملجي")</f>
        <v>المعملجي</v>
      </c>
      <c r="D306" s="56" t="str">
        <f ca="1">IFERROR(__xludf.DUMMYFUNCTION("""COMPUTED_VALUE"""),"سجاد تربية")</f>
        <v>سجاد تربية</v>
      </c>
      <c r="E306" s="26" t="str">
        <f ca="1">IFERROR(__xludf.DUMMYFUNCTION("""COMPUTED_VALUE"""),"قسم التربية والتعليم العالي")</f>
        <v>قسم التربية والتعليم العالي</v>
      </c>
      <c r="F306" s="26" t="str">
        <f ca="1">IFERROR(__xludf.DUMMYFUNCTION("""COMPUTED_VALUE"""),"A- المركز الثقافي")</f>
        <v>A- المركز الثقافي</v>
      </c>
      <c r="G306" s="26" t="str">
        <f ca="1">IFERROR(__xludf.DUMMYFUNCTION("""COMPUTED_VALUE"""),"الطابق الرابع")</f>
        <v>الطابق الرابع</v>
      </c>
      <c r="H306" s="26" t="str">
        <f ca="1">IFERROR(__xludf.DUMMYFUNCTION("""COMPUTED_VALUE"""),"تبديل فإن VRF عدد    4")</f>
        <v>تبديل فإن VRF عدد    4</v>
      </c>
      <c r="I306" s="26"/>
      <c r="J306" s="26" t="s">
        <v>15</v>
      </c>
      <c r="K306" s="26" t="s">
        <v>13</v>
      </c>
      <c r="L306" s="55"/>
      <c r="M306" s="26"/>
      <c r="N306" s="4" t="s">
        <v>121</v>
      </c>
    </row>
    <row r="307" spans="1:14" ht="75" customHeight="1" thickTop="1" thickBot="1">
      <c r="A307" s="34">
        <v>305</v>
      </c>
      <c r="B307" s="55">
        <f ca="1">IFERROR(__xludf.DUMMYFUNCTION("""COMPUTED_VALUE"""),46142.3115333333)</f>
        <v>46142.311533333297</v>
      </c>
      <c r="C307" s="56" t="str">
        <f ca="1">IFERROR(__xludf.DUMMYFUNCTION("""COMPUTED_VALUE"""),"المعملجي")</f>
        <v>المعملجي</v>
      </c>
      <c r="D307" s="56" t="str">
        <f ca="1">IFERROR(__xludf.DUMMYFUNCTION("""COMPUTED_VALUE"""),"سجاد تربية")</f>
        <v>سجاد تربية</v>
      </c>
      <c r="E307" s="26" t="str">
        <f ca="1">IFERROR(__xludf.DUMMYFUNCTION("""COMPUTED_VALUE"""),"قسم التربية والتعليم العالي")</f>
        <v>قسم التربية والتعليم العالي</v>
      </c>
      <c r="F307" s="26" t="str">
        <f ca="1">IFERROR(__xludf.DUMMYFUNCTION("""COMPUTED_VALUE"""),"A- المركز الثقافي")</f>
        <v>A- المركز الثقافي</v>
      </c>
      <c r="G307" s="26" t="str">
        <f ca="1">IFERROR(__xludf.DUMMYFUNCTION("""COMPUTED_VALUE"""),"الطابق الرابع")</f>
        <v>الطابق الرابع</v>
      </c>
      <c r="H307" s="26" t="str">
        <f ca="1">IFERROR(__xludf.DUMMYFUNCTION("""COMPUTED_VALUE"""),"فتح سبلت كاسيت ")</f>
        <v xml:space="preserve">فتح سبلت كاسيت </v>
      </c>
      <c r="I307" s="26"/>
      <c r="J307" s="26" t="s">
        <v>15</v>
      </c>
      <c r="K307" s="26" t="s">
        <v>13</v>
      </c>
      <c r="L307" s="55"/>
      <c r="M307" s="26"/>
      <c r="N307" s="4" t="s">
        <v>121</v>
      </c>
    </row>
    <row r="308" spans="1:14" ht="75" customHeight="1" thickTop="1" thickBot="1">
      <c r="A308" s="26">
        <v>306</v>
      </c>
      <c r="B308" s="55">
        <f ca="1">IFERROR(__xludf.DUMMYFUNCTION("""COMPUTED_VALUE"""),46142.3129119791)</f>
        <v>46142.312911979097</v>
      </c>
      <c r="C308" s="56" t="str">
        <f ca="1">IFERROR(__xludf.DUMMYFUNCTION("""COMPUTED_VALUE"""),"المعملجي")</f>
        <v>المعملجي</v>
      </c>
      <c r="D308" s="56" t="str">
        <f ca="1">IFERROR(__xludf.DUMMYFUNCTION("""COMPUTED_VALUE"""),"وحدة التبريد")</f>
        <v>وحدة التبريد</v>
      </c>
      <c r="E308" s="26" t="str">
        <f ca="1">IFERROR(__xludf.DUMMYFUNCTION("""COMPUTED_VALUE"""),"قسم المشاريع الهندسية")</f>
        <v>قسم المشاريع الهندسية</v>
      </c>
      <c r="F308" s="26" t="str">
        <f ca="1">IFERROR(__xludf.DUMMYFUNCTION("""COMPUTED_VALUE"""),"A- المركز الثقافي")</f>
        <v>A- المركز الثقافي</v>
      </c>
      <c r="G308" s="26" t="str">
        <f ca="1">IFERROR(__xludf.DUMMYFUNCTION("""COMPUTED_VALUE"""),"الطابق الرابع")</f>
        <v>الطابق الرابع</v>
      </c>
      <c r="H308" s="26" t="str">
        <f ca="1">IFERROR(__xludf.DUMMYFUNCTION("""COMPUTED_VALUE"""),"تأسيس أنبوب فضلة للسبلت غرفة الكامرات")</f>
        <v>تأسيس أنبوب فضلة للسبلت غرفة الكامرات</v>
      </c>
      <c r="I308" s="26"/>
      <c r="J308" s="26" t="s">
        <v>14</v>
      </c>
      <c r="K308" s="26" t="s">
        <v>13</v>
      </c>
      <c r="L308" s="55"/>
      <c r="M308" s="26"/>
      <c r="N308" s="4" t="s">
        <v>121</v>
      </c>
    </row>
    <row r="309" spans="1:14" ht="75" customHeight="1" thickTop="1" thickBot="1">
      <c r="A309" s="34">
        <v>307</v>
      </c>
      <c r="B309" s="55">
        <f ca="1">IFERROR(__xludf.DUMMYFUNCTION("""COMPUTED_VALUE"""),46142.3135615625)</f>
        <v>46142.3135615625</v>
      </c>
      <c r="C309" s="56" t="str">
        <f ca="1">IFERROR(__xludf.DUMMYFUNCTION("""COMPUTED_VALUE"""),"المعملجي")</f>
        <v>المعملجي</v>
      </c>
      <c r="D309" s="56" t="str">
        <f ca="1">IFERROR(__xludf.DUMMYFUNCTION("""COMPUTED_VALUE"""),"سجاد تربية")</f>
        <v>سجاد تربية</v>
      </c>
      <c r="E309" s="26" t="str">
        <f ca="1">IFERROR(__xludf.DUMMYFUNCTION("""COMPUTED_VALUE"""),"قسم التربية والتعليم العالي")</f>
        <v>قسم التربية والتعليم العالي</v>
      </c>
      <c r="F309" s="26" t="str">
        <f ca="1">IFERROR(__xludf.DUMMYFUNCTION("""COMPUTED_VALUE"""),"A- المركز الثقافي")</f>
        <v>A- المركز الثقافي</v>
      </c>
      <c r="G309" s="26" t="str">
        <f ca="1">IFERROR(__xludf.DUMMYFUNCTION("""COMPUTED_VALUE"""),"الطابق الرابع")</f>
        <v>الطابق الرابع</v>
      </c>
      <c r="H309" s="26" t="str">
        <f ca="1">IFERROR(__xludf.DUMMYFUNCTION("""COMPUTED_VALUE"""),"تنصيب سبلت كاسيت في غرفة الكامرات ")</f>
        <v xml:space="preserve">تنصيب سبلت كاسيت في غرفة الكامرات </v>
      </c>
      <c r="I309" s="26"/>
      <c r="J309" s="26" t="s">
        <v>15</v>
      </c>
      <c r="K309" s="26" t="s">
        <v>13</v>
      </c>
      <c r="L309" s="55"/>
      <c r="M309" s="26"/>
      <c r="N309" s="4" t="s">
        <v>121</v>
      </c>
    </row>
    <row r="310" spans="1:14" ht="75" customHeight="1" thickTop="1" thickBot="1">
      <c r="A310" s="26">
        <v>308</v>
      </c>
      <c r="B310" s="55">
        <f ca="1">IFERROR(__xludf.DUMMYFUNCTION("""COMPUTED_VALUE"""),46142.3147740972)</f>
        <v>46142.314774097198</v>
      </c>
      <c r="C310" s="56" t="str">
        <f ca="1">IFERROR(__xludf.DUMMYFUNCTION("""COMPUTED_VALUE"""),"المعملجي")</f>
        <v>المعملجي</v>
      </c>
      <c r="D310" s="56" t="str">
        <f ca="1">IFERROR(__xludf.DUMMYFUNCTION("""COMPUTED_VALUE"""),"وحدة الميكانيك")</f>
        <v>وحدة الميكانيك</v>
      </c>
      <c r="E310" s="26" t="str">
        <f ca="1">IFERROR(__xludf.DUMMYFUNCTION("""COMPUTED_VALUE"""),"قسم المشاريع الهندسية")</f>
        <v>قسم المشاريع الهندسية</v>
      </c>
      <c r="F310" s="26" t="str">
        <f ca="1">IFERROR(__xludf.DUMMYFUNCTION("""COMPUTED_VALUE"""),"D- ثانوية العميد بناية المتوسطة  (الثانية)")</f>
        <v>D- ثانوية العميد بناية المتوسطة  (الثانية)</v>
      </c>
      <c r="G310" s="26" t="str">
        <f ca="1">IFERROR(__xludf.DUMMYFUNCTION("""COMPUTED_VALUE"""),"الطابق الارضي")</f>
        <v>الطابق الارضي</v>
      </c>
      <c r="H310" s="26" t="str">
        <f ca="1">IFERROR(__xludf.DUMMYFUNCTION("""COMPUTED_VALUE"""),"صيانة كاك ماء خلف البناية الثانية ")</f>
        <v xml:space="preserve">صيانة كاك ماء خلف البناية الثانية </v>
      </c>
      <c r="I310" s="26"/>
      <c r="J310" s="26" t="s">
        <v>14</v>
      </c>
      <c r="K310" s="26" t="s">
        <v>13</v>
      </c>
      <c r="L310" s="55"/>
      <c r="M310" s="26"/>
      <c r="N310" s="4" t="s">
        <v>121</v>
      </c>
    </row>
    <row r="311" spans="1:14" ht="75" customHeight="1" thickTop="1" thickBot="1">
      <c r="A311" s="34">
        <v>309</v>
      </c>
      <c r="B311" s="55">
        <f ca="1">IFERROR(__xludf.DUMMYFUNCTION("""COMPUTED_VALUE"""),46142.3163815509)</f>
        <v>46142.316381550903</v>
      </c>
      <c r="C311" s="56" t="str">
        <f ca="1">IFERROR(__xludf.DUMMYFUNCTION("""COMPUTED_VALUE"""),"المعملجي")</f>
        <v>المعملجي</v>
      </c>
      <c r="D311" s="56" t="str">
        <f ca="1">IFERROR(__xludf.DUMMYFUNCTION("""COMPUTED_VALUE"""),"وحدة الميكانيك")</f>
        <v>وحدة الميكانيك</v>
      </c>
      <c r="E311" s="26" t="str">
        <f ca="1">IFERROR(__xludf.DUMMYFUNCTION("""COMPUTED_VALUE"""),"قسم المشاريع الهندسية")</f>
        <v>قسم المشاريع الهندسية</v>
      </c>
      <c r="F311" s="26" t="str">
        <f ca="1">IFERROR(__xludf.DUMMYFUNCTION("""COMPUTED_VALUE"""),"G- روضة الجود, F-  ابتدائية جود العميد للبنات (الرابعة), H- ابتدائية القمر للبنات (الخامسة)")</f>
        <v>G- روضة الجود, F-  ابتدائية جود العميد للبنات (الرابعة), H- ابتدائية القمر للبنات (الخامسة)</v>
      </c>
      <c r="G311" s="26" t="str">
        <f ca="1">IFERROR(__xludf.DUMMYFUNCTION("""COMPUTED_VALUE"""),"السطح")</f>
        <v>السطح</v>
      </c>
      <c r="H311" s="26" t="str">
        <f ca="1">IFERROR(__xludf.DUMMYFUNCTION("""COMPUTED_VALUE"""),"غسل غرفة محطة الماء RO")</f>
        <v>غسل غرفة محطة الماء RO</v>
      </c>
      <c r="I311" s="26"/>
      <c r="J311" s="26" t="s">
        <v>14</v>
      </c>
      <c r="K311" s="26" t="s">
        <v>13</v>
      </c>
      <c r="L311" s="55"/>
      <c r="M311" s="26"/>
      <c r="N311" s="4" t="s">
        <v>121</v>
      </c>
    </row>
    <row r="312" spans="1:14" ht="75" customHeight="1" thickTop="1" thickBot="1">
      <c r="A312" s="26">
        <v>310</v>
      </c>
      <c r="B312" s="55">
        <f ca="1">IFERROR(__xludf.DUMMYFUNCTION("""COMPUTED_VALUE"""),46142.3173167708)</f>
        <v>46142.317316770801</v>
      </c>
      <c r="C312" s="56" t="str">
        <f ca="1">IFERROR(__xludf.DUMMYFUNCTION("""COMPUTED_VALUE"""),"المعملجي")</f>
        <v>المعملجي</v>
      </c>
      <c r="D312" s="56" t="str">
        <f ca="1">IFERROR(__xludf.DUMMYFUNCTION("""COMPUTED_VALUE"""),"وحدة الميكانيك")</f>
        <v>وحدة الميكانيك</v>
      </c>
      <c r="E312" s="26" t="str">
        <f ca="1">IFERROR(__xludf.DUMMYFUNCTION("""COMPUTED_VALUE"""),"قسم المشاريع الهندسية")</f>
        <v>قسم المشاريع الهندسية</v>
      </c>
      <c r="F312" s="26" t="str">
        <f ca="1">IFERROR(__xludf.DUMMYFUNCTION("""COMPUTED_VALUE"""),"G- روضة الجود")</f>
        <v>G- روضة الجود</v>
      </c>
      <c r="G312" s="26" t="str">
        <f ca="1">IFERROR(__xludf.DUMMYFUNCTION("""COMPUTED_VALUE"""),"السطح")</f>
        <v>السطح</v>
      </c>
      <c r="H312" s="26" t="str">
        <f ca="1">IFERROR(__xludf.DUMMYFUNCTION("""COMPUTED_VALUE"""),"تشغيل منظومة الماء RO")</f>
        <v>تشغيل منظومة الماء RO</v>
      </c>
      <c r="I312" s="26"/>
      <c r="J312" s="26" t="s">
        <v>14</v>
      </c>
      <c r="K312" s="26" t="s">
        <v>13</v>
      </c>
      <c r="L312" s="55"/>
      <c r="M312" s="26"/>
      <c r="N312" s="4" t="s">
        <v>121</v>
      </c>
    </row>
    <row r="313" spans="1:14" ht="75" customHeight="1" thickTop="1" thickBot="1">
      <c r="A313" s="34">
        <v>311</v>
      </c>
      <c r="B313" s="55">
        <f ca="1">IFERROR(__xludf.DUMMYFUNCTION("""COMPUTED_VALUE"""),46142.3182320486)</f>
        <v>46142.318232048601</v>
      </c>
      <c r="C313" s="56" t="str">
        <f ca="1">IFERROR(__xludf.DUMMYFUNCTION("""COMPUTED_VALUE"""),"المعملجي")</f>
        <v>المعملجي</v>
      </c>
      <c r="D313" s="56" t="str">
        <f ca="1">IFERROR(__xludf.DUMMYFUNCTION("""COMPUTED_VALUE"""),"وحدة الميكانيك")</f>
        <v>وحدة الميكانيك</v>
      </c>
      <c r="E313" s="26" t="str">
        <f ca="1">IFERROR(__xludf.DUMMYFUNCTION("""COMPUTED_VALUE"""),"قسم المشاريع الهندسية")</f>
        <v>قسم المشاريع الهندسية</v>
      </c>
      <c r="F313" s="26" t="str">
        <f ca="1">IFERROR(__xludf.DUMMYFUNCTION("""COMPUTED_VALUE"""),"G- روضة الجود")</f>
        <v>G- روضة الجود</v>
      </c>
      <c r="G313" s="26" t="str">
        <f ca="1">IFERROR(__xludf.DUMMYFUNCTION("""COMPUTED_VALUE"""),"السطح")</f>
        <v>السطح</v>
      </c>
      <c r="H313" s="26" t="str">
        <f ca="1">IFERROR(__xludf.DUMMYFUNCTION("""COMPUTED_VALUE"""),"Ro تشغيل منظومة الماء ")</f>
        <v xml:space="preserve">Ro تشغيل منظومة الماء </v>
      </c>
      <c r="I313" s="26"/>
      <c r="J313" s="26" t="s">
        <v>14</v>
      </c>
      <c r="K313" s="26" t="s">
        <v>13</v>
      </c>
      <c r="L313" s="55"/>
      <c r="M313" s="26"/>
      <c r="N313" s="4" t="s">
        <v>121</v>
      </c>
    </row>
    <row r="314" spans="1:14" ht="75" customHeight="1" thickTop="1" thickBot="1">
      <c r="A314" s="26">
        <v>312</v>
      </c>
      <c r="B314" s="55">
        <f ca="1">IFERROR(__xludf.DUMMYFUNCTION("""COMPUTED_VALUE"""),46142.343159375)</f>
        <v>46142.343159374999</v>
      </c>
      <c r="C314" s="56" t="str">
        <f ca="1">IFERROR(__xludf.DUMMYFUNCTION("""COMPUTED_VALUE"""),"المعملجي")</f>
        <v>المعملجي</v>
      </c>
      <c r="D314" s="56" t="str">
        <f ca="1">IFERROR(__xludf.DUMMYFUNCTION("""COMPUTED_VALUE"""),"سجاد تربية")</f>
        <v>سجاد تربية</v>
      </c>
      <c r="E314" s="26" t="str">
        <f ca="1">IFERROR(__xludf.DUMMYFUNCTION("""COMPUTED_VALUE"""),"قسم التربية والتعليم العالي")</f>
        <v>قسم التربية والتعليم العالي</v>
      </c>
      <c r="F314" s="26" t="str">
        <f ca="1">IFERROR(__xludf.DUMMYFUNCTION("""COMPUTED_VALUE"""),"B- روضة القمر")</f>
        <v>B- روضة القمر</v>
      </c>
      <c r="G314" s="26" t="str">
        <f ca="1">IFERROR(__xludf.DUMMYFUNCTION("""COMPUTED_VALUE"""),"الطابق الارضي")</f>
        <v>الطابق الارضي</v>
      </c>
      <c r="H314" s="26" t="str">
        <f ca="1">IFERROR(__xludf.DUMMYFUNCTION("""COMPUTED_VALUE"""),"صيانة الباب الرئيسية ")</f>
        <v xml:space="preserve">صيانة الباب الرئيسية </v>
      </c>
      <c r="I314" s="26"/>
      <c r="J314" s="26" t="s">
        <v>16</v>
      </c>
      <c r="K314" s="26" t="s">
        <v>13</v>
      </c>
      <c r="L314" s="55">
        <v>46142.469404722222</v>
      </c>
      <c r="M314" s="26"/>
      <c r="N314" s="4" t="s">
        <v>121</v>
      </c>
    </row>
    <row r="315" spans="1:14" ht="75" customHeight="1" thickTop="1" thickBot="1">
      <c r="A315" s="34">
        <v>313</v>
      </c>
      <c r="B315" s="55">
        <f ca="1">IFERROR(__xludf.DUMMYFUNCTION("""COMPUTED_VALUE"""),46142.3472162268)</f>
        <v>46142.347216226801</v>
      </c>
      <c r="C315" s="56" t="str">
        <f ca="1">IFERROR(__xludf.DUMMYFUNCTION("""COMPUTED_VALUE"""),"المعملجي")</f>
        <v>المعملجي</v>
      </c>
      <c r="D315" s="56" t="str">
        <f ca="1">IFERROR(__xludf.DUMMYFUNCTION("""COMPUTED_VALUE"""),"سجاد تربية")</f>
        <v>سجاد تربية</v>
      </c>
      <c r="E315" s="26" t="str">
        <f ca="1">IFERROR(__xludf.DUMMYFUNCTION("""COMPUTED_VALUE"""),"قسم التربية والتعليم العالي")</f>
        <v>قسم التربية والتعليم العالي</v>
      </c>
      <c r="F315" s="26" t="str">
        <f ca="1">IFERROR(__xludf.DUMMYFUNCTION("""COMPUTED_VALUE"""),"B- روضة القمر, G- روضة الجود, E- ابتدائية العميد للبنات (الثالثة)")</f>
        <v>B- روضة القمر, G- روضة الجود, E- ابتدائية العميد للبنات (الثالثة)</v>
      </c>
      <c r="G315" s="26" t="str">
        <f ca="1">IFERROR(__xludf.DUMMYFUNCTION("""COMPUTED_VALUE"""),"الطابق الارضي")</f>
        <v>الطابق الارضي</v>
      </c>
      <c r="H315" s="26" t="str">
        <f ca="1">IFERROR(__xludf.DUMMYFUNCTION("""COMPUTED_VALUE"""),"لايوجد ماء في الصحيات ")</f>
        <v xml:space="preserve">لايوجد ماء في الصحيات </v>
      </c>
      <c r="I315" s="26"/>
      <c r="J315" s="26" t="s">
        <v>14</v>
      </c>
      <c r="K315" s="26" t="s">
        <v>13</v>
      </c>
      <c r="L315" s="55">
        <v>46142.367389525461</v>
      </c>
      <c r="M315" s="26"/>
      <c r="N315" s="4" t="s">
        <v>121</v>
      </c>
    </row>
    <row r="316" spans="1:14" ht="75" customHeight="1" thickTop="1" thickBot="1">
      <c r="A316" s="26">
        <v>314</v>
      </c>
      <c r="B316" s="55">
        <f ca="1">IFERROR(__xludf.DUMMYFUNCTION("""COMPUTED_VALUE"""),46142.3487895717)</f>
        <v>46142.348789571697</v>
      </c>
      <c r="C316" s="56" t="str">
        <f ca="1">IFERROR(__xludf.DUMMYFUNCTION("""COMPUTED_VALUE"""),"المعملجي")</f>
        <v>المعملجي</v>
      </c>
      <c r="D316" s="56" t="str">
        <f ca="1">IFERROR(__xludf.DUMMYFUNCTION("""COMPUTED_VALUE"""),"سجاد تربية")</f>
        <v>سجاد تربية</v>
      </c>
      <c r="E316" s="26" t="str">
        <f ca="1">IFERROR(__xludf.DUMMYFUNCTION("""COMPUTED_VALUE"""),"قسم التربية والتعليم العالي")</f>
        <v>قسم التربية والتعليم العالي</v>
      </c>
      <c r="F316" s="26" t="str">
        <f ca="1">IFERROR(__xludf.DUMMYFUNCTION("""COMPUTED_VALUE"""),"A- المركز الثقافي, رئاسة القسم ")</f>
        <v xml:space="preserve">A- المركز الثقافي, رئاسة القسم </v>
      </c>
      <c r="G316" s="26" t="str">
        <f ca="1">IFERROR(__xludf.DUMMYFUNCTION("""COMPUTED_VALUE"""),"الطابق الارضي")</f>
        <v>الطابق الارضي</v>
      </c>
      <c r="H316" s="26" t="str">
        <f ca="1">IFERROR(__xludf.DUMMYFUNCTION("""COMPUTED_VALUE"""),"صيانة سبلت ")</f>
        <v xml:space="preserve">صيانة سبلت </v>
      </c>
      <c r="I316" s="26"/>
      <c r="J316" s="26" t="s">
        <v>15</v>
      </c>
      <c r="K316" s="26" t="s">
        <v>13</v>
      </c>
      <c r="L316" s="55">
        <v>46158.37329491898</v>
      </c>
      <c r="M316" s="26"/>
      <c r="N316" s="4" t="s">
        <v>121</v>
      </c>
    </row>
    <row r="317" spans="1:14" ht="75" customHeight="1" thickTop="1" thickBot="1">
      <c r="A317" s="34">
        <v>315</v>
      </c>
      <c r="B317" s="55">
        <f ca="1">IFERROR(__xludf.DUMMYFUNCTION("""COMPUTED_VALUE"""),46142.3497335879)</f>
        <v>46142.3497335879</v>
      </c>
      <c r="C317" s="56" t="str">
        <f ca="1">IFERROR(__xludf.DUMMYFUNCTION("""COMPUTED_VALUE"""),"المعملجي")</f>
        <v>المعملجي</v>
      </c>
      <c r="D317" s="56" t="str">
        <f ca="1">IFERROR(__xludf.DUMMYFUNCTION("""COMPUTED_VALUE"""),"وحدة الكهرباء")</f>
        <v>وحدة الكهرباء</v>
      </c>
      <c r="E317" s="26" t="str">
        <f ca="1">IFERROR(__xludf.DUMMYFUNCTION("""COMPUTED_VALUE"""),"قسم المشاريع الهندسية")</f>
        <v>قسم المشاريع الهندسية</v>
      </c>
      <c r="F317" s="26" t="str">
        <f ca="1">IFERROR(__xludf.DUMMYFUNCTION("""COMPUTED_VALUE"""),"A- المركز الثقافي")</f>
        <v>A- المركز الثقافي</v>
      </c>
      <c r="G317" s="26" t="str">
        <f ca="1">IFERROR(__xludf.DUMMYFUNCTION("""COMPUTED_VALUE"""),"الطابق الارضي")</f>
        <v>الطابق الارضي</v>
      </c>
      <c r="H317" s="26" t="str">
        <f ca="1">IFERROR(__xludf.DUMMYFUNCTION("""COMPUTED_VALUE"""),"أضافة بوش لمضخة (Emergency Diesel Run)  ")</f>
        <v xml:space="preserve">أضافة بوش لمضخة (Emergency Diesel Run)  </v>
      </c>
      <c r="I317" s="26"/>
      <c r="J317" s="26" t="s">
        <v>3910</v>
      </c>
      <c r="K317" s="26" t="s">
        <v>13</v>
      </c>
      <c r="L317" s="55">
        <v>46142.392420011573</v>
      </c>
      <c r="M317" s="26"/>
      <c r="N317" s="4" t="s">
        <v>121</v>
      </c>
    </row>
    <row r="318" spans="1:14" ht="75" customHeight="1" thickTop="1" thickBot="1">
      <c r="A318" s="26">
        <v>316</v>
      </c>
      <c r="B318" s="55">
        <f ca="1">IFERROR(__xludf.DUMMYFUNCTION("""COMPUTED_VALUE"""),46142.3553119328)</f>
        <v>46142.355311932799</v>
      </c>
      <c r="C318" s="56" t="str">
        <f ca="1">IFERROR(__xludf.DUMMYFUNCTION("""COMPUTED_VALUE"""),"المعملجي")</f>
        <v>المعملجي</v>
      </c>
      <c r="D318" s="56" t="str">
        <f ca="1">IFERROR(__xludf.DUMMYFUNCTION("""COMPUTED_VALUE"""),"وحدة الكهرباء")</f>
        <v>وحدة الكهرباء</v>
      </c>
      <c r="E318" s="26" t="str">
        <f ca="1">IFERROR(__xludf.DUMMYFUNCTION("""COMPUTED_VALUE"""),"قسم المشاريع الهندسية")</f>
        <v>قسم المشاريع الهندسية</v>
      </c>
      <c r="F318" s="26" t="str">
        <f ca="1">IFERROR(__xludf.DUMMYFUNCTION("""COMPUTED_VALUE"""),"I- ابتدائية الساقي للبنين (السادسة)")</f>
        <v>I- ابتدائية الساقي للبنين (السادسة)</v>
      </c>
      <c r="G318" s="26" t="str">
        <f ca="1">IFERROR(__xludf.DUMMYFUNCTION("""COMPUTED_VALUE"""),"الطابق الارضي, ZONE B")</f>
        <v>الطابق الارضي, ZONE B</v>
      </c>
      <c r="H318" s="26" t="str">
        <f ca="1">IFERROR(__xludf.DUMMYFUNCTION("""COMPUTED_VALUE"""),"فحص  UPS  السادسة بعد إطفاء الكهرباء عنهُ.")</f>
        <v>فحص  UPS  السادسة بعد إطفاء الكهرباء عنهُ.</v>
      </c>
      <c r="I318" s="26"/>
      <c r="J318" s="26" t="s">
        <v>3910</v>
      </c>
      <c r="K318" s="26" t="s">
        <v>13</v>
      </c>
      <c r="L318" s="55">
        <v>46142.392431365741</v>
      </c>
      <c r="M318" s="26"/>
      <c r="N318" s="4" t="s">
        <v>121</v>
      </c>
    </row>
    <row r="319" spans="1:14" ht="75" customHeight="1" thickTop="1" thickBot="1">
      <c r="A319" s="34">
        <v>317</v>
      </c>
      <c r="B319" s="55">
        <f ca="1">IFERROR(__xludf.DUMMYFUNCTION("""COMPUTED_VALUE"""),46142.3566002083)</f>
        <v>46142.356600208303</v>
      </c>
      <c r="C319" s="56" t="str">
        <f ca="1">IFERROR(__xludf.DUMMYFUNCTION("""COMPUTED_VALUE"""),"المعملجي")</f>
        <v>المعملجي</v>
      </c>
      <c r="D319" s="56" t="str">
        <f ca="1">IFERROR(__xludf.DUMMYFUNCTION("""COMPUTED_VALUE"""),"وحدة الكهرباء")</f>
        <v>وحدة الكهرباء</v>
      </c>
      <c r="E319" s="26" t="str">
        <f ca="1">IFERROR(__xludf.DUMMYFUNCTION("""COMPUTED_VALUE"""),"قسم المشاريع الهندسية")</f>
        <v>قسم المشاريع الهندسية</v>
      </c>
      <c r="F319" s="26" t="str">
        <f ca="1">IFERROR(__xludf.DUMMYFUNCTION("""COMPUTED_VALUE"""),"E- ابتدائية العميد للبنات (الثالثة)")</f>
        <v>E- ابتدائية العميد للبنات (الثالثة)</v>
      </c>
      <c r="G319" s="26" t="str">
        <f ca="1">IFERROR(__xludf.DUMMYFUNCTION("""COMPUTED_VALUE"""),"الطابق الارضي, ZONE A, ZONE B")</f>
        <v>الطابق الارضي, ZONE A, ZONE B</v>
      </c>
      <c r="H319" s="26" t="str">
        <f ca="1">IFERROR(__xludf.DUMMYFUNCTION("""COMPUTED_VALUE"""),"مد كيبل 6*4 ملم  بدل من الكيبل التالف")</f>
        <v>مد كيبل 6*4 ملم  بدل من الكيبل التالف</v>
      </c>
      <c r="I319" s="26"/>
      <c r="J319" s="26" t="s">
        <v>3910</v>
      </c>
      <c r="K319" s="26" t="s">
        <v>13</v>
      </c>
      <c r="L319" s="55">
        <v>46142.392440115742</v>
      </c>
      <c r="M319" s="26"/>
      <c r="N319" s="4" t="s">
        <v>121</v>
      </c>
    </row>
    <row r="320" spans="1:14" ht="75" customHeight="1" thickTop="1" thickBot="1">
      <c r="A320" s="26">
        <v>318</v>
      </c>
      <c r="B320" s="55">
        <f ca="1">IFERROR(__xludf.DUMMYFUNCTION("""COMPUTED_VALUE"""),46142.3574301967)</f>
        <v>46142.357430196702</v>
      </c>
      <c r="C320" s="56" t="str">
        <f ca="1">IFERROR(__xludf.DUMMYFUNCTION("""COMPUTED_VALUE"""),"المعملجي")</f>
        <v>المعملجي</v>
      </c>
      <c r="D320" s="56" t="str">
        <f ca="1">IFERROR(__xludf.DUMMYFUNCTION("""COMPUTED_VALUE"""),"وحدة الكهرباء")</f>
        <v>وحدة الكهرباء</v>
      </c>
      <c r="E320" s="26" t="str">
        <f ca="1">IFERROR(__xludf.DUMMYFUNCTION("""COMPUTED_VALUE"""),"قسم المشاريع الهندسية")</f>
        <v>قسم المشاريع الهندسية</v>
      </c>
      <c r="F320" s="26" t="str">
        <f ca="1">IFERROR(__xludf.DUMMYFUNCTION("""COMPUTED_VALUE"""),"J- جامعة العميد (السابعة)")</f>
        <v>J- جامعة العميد (السابعة)</v>
      </c>
      <c r="G320" s="26" t="str">
        <f ca="1">IFERROR(__xludf.DUMMYFUNCTION("""COMPUTED_VALUE"""),"الطابق الارضي, ZONE B")</f>
        <v>الطابق الارضي, ZONE B</v>
      </c>
      <c r="H320" s="26" t="str">
        <f ca="1">IFERROR(__xludf.DUMMYFUNCTION("""COMPUTED_VALUE"""),"فحص  UPS  المدرسة بعد إطفاء الكهرباء عنهُ.")</f>
        <v>فحص  UPS  المدرسة بعد إطفاء الكهرباء عنهُ.</v>
      </c>
      <c r="I320" s="26"/>
      <c r="J320" s="26" t="s">
        <v>3910</v>
      </c>
      <c r="K320" s="26" t="s">
        <v>13</v>
      </c>
      <c r="L320" s="55">
        <v>46142.392446365746</v>
      </c>
      <c r="M320" s="26"/>
      <c r="N320" s="4" t="s">
        <v>121</v>
      </c>
    </row>
    <row r="321" spans="1:14" ht="75" customHeight="1" thickTop="1" thickBot="1">
      <c r="A321" s="34">
        <v>319</v>
      </c>
      <c r="B321" s="55">
        <f ca="1">IFERROR(__xludf.DUMMYFUNCTION("""COMPUTED_VALUE"""),46142.3584137615)</f>
        <v>46142.358413761503</v>
      </c>
      <c r="C321" s="56" t="str">
        <f ca="1">IFERROR(__xludf.DUMMYFUNCTION("""COMPUTED_VALUE"""),"المعملجي")</f>
        <v>المعملجي</v>
      </c>
      <c r="D321" s="56" t="str">
        <f ca="1">IFERROR(__xludf.DUMMYFUNCTION("""COMPUTED_VALUE"""),"وحدة الكهرباء")</f>
        <v>وحدة الكهرباء</v>
      </c>
      <c r="E321" s="26" t="str">
        <f ca="1">IFERROR(__xludf.DUMMYFUNCTION("""COMPUTED_VALUE"""),"قسم المشاريع الهندسية")</f>
        <v>قسم المشاريع الهندسية</v>
      </c>
      <c r="F321" s="26" t="str">
        <f ca="1">IFERROR(__xludf.DUMMYFUNCTION("""COMPUTED_VALUE"""),"A- المركز الثقافي")</f>
        <v>A- المركز الثقافي</v>
      </c>
      <c r="G321" s="26" t="str">
        <f ca="1">IFERROR(__xludf.DUMMYFUNCTION("""COMPUTED_VALUE"""),"رئاسة القسم")</f>
        <v>رئاسة القسم</v>
      </c>
      <c r="H321" s="26" t="str">
        <f ca="1">IFERROR(__xludf.DUMMYFUNCTION("""COMPUTED_VALUE"""),"تم أضافة بلك سويچ عدد 2 لتغذية جهاز مجفف أيدي في الحمامات")</f>
        <v>تم أضافة بلك سويچ عدد 2 لتغذية جهاز مجفف أيدي في الحمامات</v>
      </c>
      <c r="I321" s="26"/>
      <c r="J321" s="26" t="s">
        <v>3910</v>
      </c>
      <c r="K321" s="26" t="s">
        <v>13</v>
      </c>
      <c r="L321" s="55">
        <v>46142.392453298613</v>
      </c>
      <c r="M321" s="26"/>
      <c r="N321" s="4" t="s">
        <v>121</v>
      </c>
    </row>
    <row r="322" spans="1:14" s="25" customFormat="1" ht="75" customHeight="1" thickTop="1" thickBot="1">
      <c r="A322" s="26">
        <v>320</v>
      </c>
      <c r="B322" s="55">
        <f ca="1">IFERROR(__xludf.DUMMYFUNCTION("""COMPUTED_VALUE"""),46142.3595982523)</f>
        <v>46142.359598252297</v>
      </c>
      <c r="C322" s="56" t="str">
        <f ca="1">IFERROR(__xludf.DUMMYFUNCTION("""COMPUTED_VALUE"""),"المعملجي")</f>
        <v>المعملجي</v>
      </c>
      <c r="D322" s="56" t="str">
        <f ca="1">IFERROR(__xludf.DUMMYFUNCTION("""COMPUTED_VALUE"""),"وحدة الكهرباء")</f>
        <v>وحدة الكهرباء</v>
      </c>
      <c r="E322" s="26" t="str">
        <f ca="1">IFERROR(__xludf.DUMMYFUNCTION("""COMPUTED_VALUE"""),"قسم المشاريع الهندسية")</f>
        <v>قسم المشاريع الهندسية</v>
      </c>
      <c r="F322" s="26" t="str">
        <f ca="1">IFERROR(__xludf.DUMMYFUNCTION("""COMPUTED_VALUE"""),"J- جامعة العميد (السابعة)")</f>
        <v>J- جامعة العميد (السابعة)</v>
      </c>
      <c r="G322" s="26" t="str">
        <f ca="1">IFERROR(__xludf.DUMMYFUNCTION("""COMPUTED_VALUE"""),"الطابق الارضي, ZONE B")</f>
        <v>الطابق الارضي, ZONE B</v>
      </c>
      <c r="H322" s="26" t="str">
        <f ca="1">IFERROR(__xludf.DUMMYFUNCTION("""COMPUTED_VALUE"""),"تحويل تشغيل الانارة للطابق الأرضي في المدرسة الى خارج غرفة الكهرباء")</f>
        <v>تحويل تشغيل الانارة للطابق الأرضي في المدرسة الى خارج غرفة الكهرباء</v>
      </c>
      <c r="I322" s="26"/>
      <c r="J322" s="26" t="s">
        <v>3910</v>
      </c>
      <c r="K322" s="26" t="s">
        <v>13</v>
      </c>
      <c r="L322" s="55">
        <v>46142.39247637731</v>
      </c>
      <c r="M322" s="26"/>
      <c r="N322" s="4"/>
    </row>
    <row r="323" spans="1:14" ht="75" customHeight="1" thickTop="1" thickBot="1">
      <c r="A323" s="34">
        <v>321</v>
      </c>
      <c r="B323" s="55">
        <f ca="1">IFERROR(__xludf.DUMMYFUNCTION("""COMPUTED_VALUE"""),46142.3604701041)</f>
        <v>46142.360470104097</v>
      </c>
      <c r="C323" s="56" t="str">
        <f ca="1">IFERROR(__xludf.DUMMYFUNCTION("""COMPUTED_VALUE"""),"المعملجي")</f>
        <v>المعملجي</v>
      </c>
      <c r="D323" s="56" t="str">
        <f ca="1">IFERROR(__xludf.DUMMYFUNCTION("""COMPUTED_VALUE"""),"وحدة الكهرباء")</f>
        <v>وحدة الكهرباء</v>
      </c>
      <c r="E323" s="26" t="str">
        <f ca="1">IFERROR(__xludf.DUMMYFUNCTION("""COMPUTED_VALUE"""),"قسم المشاريع الهندسية")</f>
        <v>قسم المشاريع الهندسية</v>
      </c>
      <c r="F323" s="26" t="str">
        <f ca="1">IFERROR(__xludf.DUMMYFUNCTION("""COMPUTED_VALUE"""),"C- ثانوية العميد بناية الاعدادية  (الاولى)")</f>
        <v>C- ثانوية العميد بناية الاعدادية  (الاولى)</v>
      </c>
      <c r="G323" s="26"/>
      <c r="H323" s="26" t="str">
        <f ca="1">IFERROR(__xludf.DUMMYFUNCTION("""COMPUTED_VALUE"""),"بعد جرد انارة البناية تم العثور على منشورية عاطلة وتم صيانتها")</f>
        <v>بعد جرد انارة البناية تم العثور على منشورية عاطلة وتم صيانتها</v>
      </c>
      <c r="I323" s="26"/>
      <c r="J323" s="26" t="s">
        <v>3910</v>
      </c>
      <c r="K323" s="26" t="s">
        <v>13</v>
      </c>
      <c r="L323" s="55">
        <v>46142.392475439818</v>
      </c>
      <c r="M323" s="26"/>
      <c r="N323" s="29"/>
    </row>
    <row r="324" spans="1:14" ht="75" customHeight="1" thickTop="1" thickBot="1">
      <c r="A324" s="26">
        <v>322</v>
      </c>
      <c r="B324" s="55">
        <f ca="1">IFERROR(__xludf.DUMMYFUNCTION("""COMPUTED_VALUE"""),46142.3610139583)</f>
        <v>46142.361013958303</v>
      </c>
      <c r="C324" s="56" t="str">
        <f ca="1">IFERROR(__xludf.DUMMYFUNCTION("""COMPUTED_VALUE"""),"المعملجي")</f>
        <v>المعملجي</v>
      </c>
      <c r="D324" s="56" t="str">
        <f ca="1">IFERROR(__xludf.DUMMYFUNCTION("""COMPUTED_VALUE"""),"وحدة الكهرباء")</f>
        <v>وحدة الكهرباء</v>
      </c>
      <c r="E324" s="26" t="str">
        <f ca="1">IFERROR(__xludf.DUMMYFUNCTION("""COMPUTED_VALUE"""),"قسم المشاريع الهندسية")</f>
        <v>قسم المشاريع الهندسية</v>
      </c>
      <c r="F324" s="26" t="str">
        <f ca="1">IFERROR(__xludf.DUMMYFUNCTION("""COMPUTED_VALUE"""),".")</f>
        <v>.</v>
      </c>
      <c r="G324" s="26"/>
      <c r="H324" s="26" t="str">
        <f ca="1">IFERROR(__xludf.DUMMYFUNCTION("""COMPUTED_VALUE"""),"تم صيانة انارة منشورية بلحالم الاجزاء المتضررة")</f>
        <v>تم صيانة انارة منشورية بلحالم الاجزاء المتضررة</v>
      </c>
      <c r="I324" s="26"/>
      <c r="J324" s="26" t="s">
        <v>3910</v>
      </c>
      <c r="K324" s="26" t="s">
        <v>13</v>
      </c>
      <c r="L324" s="55">
        <v>46142.392491979168</v>
      </c>
      <c r="M324" s="26"/>
      <c r="N324" s="29"/>
    </row>
    <row r="325" spans="1:14" ht="75" customHeight="1" thickTop="1" thickBot="1">
      <c r="A325" s="34">
        <v>323</v>
      </c>
      <c r="B325" s="55">
        <f ca="1">IFERROR(__xludf.DUMMYFUNCTION("""COMPUTED_VALUE"""),46142.3619448032)</f>
        <v>46142.361944803197</v>
      </c>
      <c r="C325" s="56" t="str">
        <f ca="1">IFERROR(__xludf.DUMMYFUNCTION("""COMPUTED_VALUE"""),"المعملجي")</f>
        <v>المعملجي</v>
      </c>
      <c r="D325" s="56" t="str">
        <f ca="1">IFERROR(__xludf.DUMMYFUNCTION("""COMPUTED_VALUE"""),"وحدة الكهرباء")</f>
        <v>وحدة الكهرباء</v>
      </c>
      <c r="E325" s="26" t="str">
        <f ca="1">IFERROR(__xludf.DUMMYFUNCTION("""COMPUTED_VALUE"""),"قسم المشاريع الهندسية")</f>
        <v>قسم المشاريع الهندسية</v>
      </c>
      <c r="F325" s="26" t="str">
        <f ca="1">IFERROR(__xludf.DUMMYFUNCTION("""COMPUTED_VALUE"""),"شعبة الصيانة")</f>
        <v>شعبة الصيانة</v>
      </c>
      <c r="G325" s="26" t="str">
        <f ca="1">IFERROR(__xludf.DUMMYFUNCTION("""COMPUTED_VALUE"""),"وحدة المولدات")</f>
        <v>وحدة المولدات</v>
      </c>
      <c r="H325" s="26" t="str">
        <f ca="1">IFERROR(__xludf.DUMMYFUNCTION("""COMPUTED_VALUE"""),"استبدال ماشة للسيار ")</f>
        <v xml:space="preserve">استبدال ماشة للسيار </v>
      </c>
      <c r="I325" s="26"/>
      <c r="J325" s="26" t="s">
        <v>3910</v>
      </c>
      <c r="K325" s="26" t="s">
        <v>13</v>
      </c>
      <c r="L325" s="55">
        <v>46142.392497303241</v>
      </c>
      <c r="M325" s="26"/>
      <c r="N325" s="29"/>
    </row>
    <row r="326" spans="1:14" ht="75" customHeight="1" thickTop="1" thickBot="1">
      <c r="A326" s="26">
        <v>324</v>
      </c>
      <c r="B326" s="55">
        <f ca="1">IFERROR(__xludf.DUMMYFUNCTION("""COMPUTED_VALUE"""),46142.3648938425)</f>
        <v>46142.364893842503</v>
      </c>
      <c r="C326" s="56" t="str">
        <f ca="1">IFERROR(__xludf.DUMMYFUNCTION("""COMPUTED_VALUE"""),"المعملجي")</f>
        <v>المعملجي</v>
      </c>
      <c r="D326" s="56" t="str">
        <f ca="1">IFERROR(__xludf.DUMMYFUNCTION("""COMPUTED_VALUE"""),"وحدة الكهرباء")</f>
        <v>وحدة الكهرباء</v>
      </c>
      <c r="E326" s="26" t="str">
        <f ca="1">IFERROR(__xludf.DUMMYFUNCTION("""COMPUTED_VALUE"""),"قسم المشاريع الهندسية")</f>
        <v>قسم المشاريع الهندسية</v>
      </c>
      <c r="F326" s="26" t="str">
        <f ca="1">IFERROR(__xludf.DUMMYFUNCTION("""COMPUTED_VALUE"""),"B- روضة القمر")</f>
        <v>B- روضة القمر</v>
      </c>
      <c r="G326" s="26" t="str">
        <f ca="1">IFERROR(__xludf.DUMMYFUNCTION("""COMPUTED_VALUE"""),"الصحيات الخارجية ")</f>
        <v xml:space="preserve">الصحيات الخارجية </v>
      </c>
      <c r="H326" s="26" t="str">
        <f ca="1">IFERROR(__xludf.DUMMYFUNCTION("""COMPUTED_VALUE"""),"صيانة انارة سبوت لايت")</f>
        <v>صيانة انارة سبوت لايت</v>
      </c>
      <c r="I326" s="26"/>
      <c r="J326" s="26" t="s">
        <v>3910</v>
      </c>
      <c r="K326" s="26" t="s">
        <v>13</v>
      </c>
      <c r="L326" s="55">
        <v>46142.392503182869</v>
      </c>
      <c r="M326" s="26"/>
      <c r="N326" s="29"/>
    </row>
    <row r="327" spans="1:14" ht="75" customHeight="1" thickTop="1" thickBot="1">
      <c r="A327" s="34">
        <v>325</v>
      </c>
      <c r="B327" s="55">
        <f ca="1">IFERROR(__xludf.DUMMYFUNCTION("""COMPUTED_VALUE"""),46142.3673101157)</f>
        <v>46142.367310115696</v>
      </c>
      <c r="C327" s="56" t="str">
        <f ca="1">IFERROR(__xludf.DUMMYFUNCTION("""COMPUTED_VALUE"""),"المعملجي")</f>
        <v>المعملجي</v>
      </c>
      <c r="D327" s="56" t="str">
        <f ca="1">IFERROR(__xludf.DUMMYFUNCTION("""COMPUTED_VALUE"""),"وحدة الكهرباء")</f>
        <v>وحدة الكهرباء</v>
      </c>
      <c r="E327" s="26" t="str">
        <f ca="1">IFERROR(__xludf.DUMMYFUNCTION("""COMPUTED_VALUE"""),"قسم المشاريع الهندسية")</f>
        <v>قسم المشاريع الهندسية</v>
      </c>
      <c r="F327" s="26" t="str">
        <f ca="1">IFERROR(__xludf.DUMMYFUNCTION("""COMPUTED_VALUE"""),"E- ابتدائية العميد للبنات (الثالثة), F-  ابتدائية جود العميد للبنات (الرابعة)")</f>
        <v>E- ابتدائية العميد للبنات (الثالثة), F-  ابتدائية جود العميد للبنات (الرابعة)</v>
      </c>
      <c r="G327" s="26"/>
      <c r="H327" s="26" t="str">
        <f ca="1">IFERROR(__xludf.DUMMYFUNCTION("""COMPUTED_VALUE"""),"صيانة منشورية عد ٣ وسبوت لايت عدد ١ ")</f>
        <v xml:space="preserve">صيانة منشورية عد ٣ وسبوت لايت عدد ١ </v>
      </c>
      <c r="I327" s="26"/>
      <c r="J327" s="26" t="s">
        <v>3910</v>
      </c>
      <c r="K327" s="26" t="s">
        <v>13</v>
      </c>
      <c r="L327" s="55">
        <v>46142.392515057873</v>
      </c>
      <c r="M327" s="26"/>
      <c r="N327" s="29"/>
    </row>
    <row r="328" spans="1:14" ht="75" customHeight="1" thickTop="1" thickBot="1">
      <c r="A328" s="26">
        <v>326</v>
      </c>
      <c r="B328" s="55">
        <f ca="1">IFERROR(__xludf.DUMMYFUNCTION("""COMPUTED_VALUE"""),46142.3679953588)</f>
        <v>46142.3679953588</v>
      </c>
      <c r="C328" s="56" t="str">
        <f ca="1">IFERROR(__xludf.DUMMYFUNCTION("""COMPUTED_VALUE"""),"المعملجي")</f>
        <v>المعملجي</v>
      </c>
      <c r="D328" s="56" t="str">
        <f ca="1">IFERROR(__xludf.DUMMYFUNCTION("""COMPUTED_VALUE"""),"وحدة الكهرباء")</f>
        <v>وحدة الكهرباء</v>
      </c>
      <c r="E328" s="26" t="str">
        <f ca="1">IFERROR(__xludf.DUMMYFUNCTION("""COMPUTED_VALUE"""),"قسم المشاريع الهندسية")</f>
        <v>قسم المشاريع الهندسية</v>
      </c>
      <c r="F328" s="26" t="str">
        <f ca="1">IFERROR(__xludf.DUMMYFUNCTION("""COMPUTED_VALUE"""),"A- المركز الثقافي")</f>
        <v>A- المركز الثقافي</v>
      </c>
      <c r="G328" s="26"/>
      <c r="H328" s="26" t="str">
        <f ca="1">IFERROR(__xludf.DUMMYFUNCTION("""COMPUTED_VALUE"""),"تثبيت قانصة حشرات")</f>
        <v>تثبيت قانصة حشرات</v>
      </c>
      <c r="I328" s="26"/>
      <c r="J328" s="26" t="s">
        <v>3910</v>
      </c>
      <c r="K328" s="26" t="s">
        <v>13</v>
      </c>
      <c r="L328" s="55">
        <v>46142.392524085648</v>
      </c>
      <c r="M328" s="26"/>
      <c r="N328" s="29"/>
    </row>
    <row r="329" spans="1:14" ht="75" customHeight="1" thickTop="1" thickBot="1">
      <c r="A329" s="34">
        <v>327</v>
      </c>
      <c r="B329" s="55">
        <f ca="1">IFERROR(__xludf.DUMMYFUNCTION("""COMPUTED_VALUE"""),46142.3696427314)</f>
        <v>46142.369642731399</v>
      </c>
      <c r="C329" s="56" t="str">
        <f ca="1">IFERROR(__xludf.DUMMYFUNCTION("""COMPUTED_VALUE"""),"المعملجي")</f>
        <v>المعملجي</v>
      </c>
      <c r="D329" s="56" t="str">
        <f ca="1">IFERROR(__xludf.DUMMYFUNCTION("""COMPUTED_VALUE"""),"وحدة الكهرباء")</f>
        <v>وحدة الكهرباء</v>
      </c>
      <c r="E329" s="26" t="str">
        <f ca="1">IFERROR(__xludf.DUMMYFUNCTION("""COMPUTED_VALUE"""),"قسم التربية والتعليم العالي")</f>
        <v>قسم التربية والتعليم العالي</v>
      </c>
      <c r="F329" s="26" t="str">
        <f ca="1">IFERROR(__xludf.DUMMYFUNCTION("""COMPUTED_VALUE"""),"B- روضة القمر, G- روضة الجود")</f>
        <v>B- روضة القمر, G- روضة الجود</v>
      </c>
      <c r="G329" s="26"/>
      <c r="H329" s="26" t="str">
        <f ca="1">IFERROR(__xludf.DUMMYFUNCTION("""COMPUTED_VALUE"""),"صيانة منشورية عدد 3 ")</f>
        <v xml:space="preserve">صيانة منشورية عدد 3 </v>
      </c>
      <c r="I329" s="26"/>
      <c r="J329" s="26" t="s">
        <v>3910</v>
      </c>
      <c r="K329" s="26" t="s">
        <v>13</v>
      </c>
      <c r="L329" s="55">
        <v>46142.392527685181</v>
      </c>
      <c r="M329" s="26"/>
      <c r="N329" s="29"/>
    </row>
    <row r="330" spans="1:14" ht="75" customHeight="1" thickTop="1" thickBot="1">
      <c r="A330" s="26">
        <v>328</v>
      </c>
      <c r="B330" s="55">
        <f ca="1">IFERROR(__xludf.DUMMYFUNCTION("""COMPUTED_VALUE"""),46142.3703665509)</f>
        <v>46142.370366550902</v>
      </c>
      <c r="C330" s="56" t="str">
        <f ca="1">IFERROR(__xludf.DUMMYFUNCTION("""COMPUTED_VALUE"""),"المعملجي")</f>
        <v>المعملجي</v>
      </c>
      <c r="D330" s="56" t="str">
        <f ca="1">IFERROR(__xludf.DUMMYFUNCTION("""COMPUTED_VALUE"""),"وحدة الكهرباء")</f>
        <v>وحدة الكهرباء</v>
      </c>
      <c r="E330" s="26" t="str">
        <f ca="1">IFERROR(__xludf.DUMMYFUNCTION("""COMPUTED_VALUE"""),"قسم المشاريع الهندسية")</f>
        <v>قسم المشاريع الهندسية</v>
      </c>
      <c r="F330" s="26" t="str">
        <f ca="1">IFERROR(__xludf.DUMMYFUNCTION("""COMPUTED_VALUE"""),"H- ابتدائية القمر للبنات (الخامسة)")</f>
        <v>H- ابتدائية القمر للبنات (الخامسة)</v>
      </c>
      <c r="G330" s="26"/>
      <c r="H330" s="26" t="str">
        <f ca="1">IFERROR(__xludf.DUMMYFUNCTION("""COMPUTED_VALUE"""),"استبدال محولة عدد 3")</f>
        <v>استبدال محولة عدد 3</v>
      </c>
      <c r="I330" s="26"/>
      <c r="J330" s="26" t="s">
        <v>3910</v>
      </c>
      <c r="K330" s="26" t="s">
        <v>13</v>
      </c>
      <c r="L330" s="55">
        <v>46142.392537118052</v>
      </c>
      <c r="M330" s="26"/>
      <c r="N330" s="29"/>
    </row>
    <row r="331" spans="1:14" ht="75" customHeight="1" thickTop="1" thickBot="1">
      <c r="A331" s="34">
        <v>329</v>
      </c>
      <c r="B331" s="55">
        <f ca="1">IFERROR(__xludf.DUMMYFUNCTION("""COMPUTED_VALUE"""),46142.371775405)</f>
        <v>46142.371775405001</v>
      </c>
      <c r="C331" s="56" t="str">
        <f ca="1">IFERROR(__xludf.DUMMYFUNCTION("""COMPUTED_VALUE"""),"المعملجي")</f>
        <v>المعملجي</v>
      </c>
      <c r="D331" s="56" t="str">
        <f ca="1">IFERROR(__xludf.DUMMYFUNCTION("""COMPUTED_VALUE"""),"وحدة الكهرباء")</f>
        <v>وحدة الكهرباء</v>
      </c>
      <c r="E331" s="26" t="str">
        <f ca="1">IFERROR(__xludf.DUMMYFUNCTION("""COMPUTED_VALUE"""),"قسم المشاريع الهندسية")</f>
        <v>قسم المشاريع الهندسية</v>
      </c>
      <c r="F331" s="26" t="str">
        <f ca="1">IFERROR(__xludf.DUMMYFUNCTION("""COMPUTED_VALUE"""),"شعبة الصيانة")</f>
        <v>شعبة الصيانة</v>
      </c>
      <c r="G331" s="26" t="str">
        <f ca="1">IFERROR(__xludf.DUMMYFUNCTION("""COMPUTED_VALUE"""),"وحدة الميكانيك")</f>
        <v>وحدة الميكانيك</v>
      </c>
      <c r="H331" s="26" t="str">
        <f ca="1">IFERROR(__xludf.DUMMYFUNCTION("""COMPUTED_VALUE"""),"توصيل تغذية لمفرغة هواء جديدة واستبدال البلك سويج")</f>
        <v>توصيل تغذية لمفرغة هواء جديدة واستبدال البلك سويج</v>
      </c>
      <c r="I331" s="26"/>
      <c r="J331" s="26" t="s">
        <v>3910</v>
      </c>
      <c r="K331" s="26" t="s">
        <v>13</v>
      </c>
      <c r="L331" s="55">
        <v>46142.39254079861</v>
      </c>
      <c r="M331" s="26"/>
      <c r="N331" s="29"/>
    </row>
    <row r="332" spans="1:14" ht="75" customHeight="1" thickTop="1" thickBot="1">
      <c r="A332" s="26">
        <v>330</v>
      </c>
      <c r="B332" s="55">
        <f ca="1">IFERROR(__xludf.DUMMYFUNCTION("""COMPUTED_VALUE"""),46142.3730237037)</f>
        <v>46142.373023703702</v>
      </c>
      <c r="C332" s="56" t="str">
        <f ca="1">IFERROR(__xludf.DUMMYFUNCTION("""COMPUTED_VALUE"""),"المعملجي")</f>
        <v>المعملجي</v>
      </c>
      <c r="D332" s="56" t="str">
        <f ca="1">IFERROR(__xludf.DUMMYFUNCTION("""COMPUTED_VALUE"""),"وحدة الكهرباء")</f>
        <v>وحدة الكهرباء</v>
      </c>
      <c r="E332" s="26" t="str">
        <f ca="1">IFERROR(__xludf.DUMMYFUNCTION("""COMPUTED_VALUE"""),"قسم المشاريع الهندسية")</f>
        <v>قسم المشاريع الهندسية</v>
      </c>
      <c r="F332" s="26" t="str">
        <f ca="1">IFERROR(__xludf.DUMMYFUNCTION("""COMPUTED_VALUE"""),"شعبة الصيانة")</f>
        <v>شعبة الصيانة</v>
      </c>
      <c r="G332" s="26" t="str">
        <f ca="1">IFERROR(__xludf.DUMMYFUNCTION("""COMPUTED_VALUE"""),"مضخة الحريق")</f>
        <v>مضخة الحريق</v>
      </c>
      <c r="H332" s="26" t="str">
        <f ca="1">IFERROR(__xludf.DUMMYFUNCTION("""COMPUTED_VALUE"""),"اعادة ربط ماطور المضخة واعادته الى الخدمة بعد توقفه ")</f>
        <v xml:space="preserve">اعادة ربط ماطور المضخة واعادته الى الخدمة بعد توقفه </v>
      </c>
      <c r="I332" s="26"/>
      <c r="J332" s="26" t="s">
        <v>3910</v>
      </c>
      <c r="K332" s="26" t="s">
        <v>13</v>
      </c>
      <c r="L332" s="55">
        <v>46142.392545879629</v>
      </c>
      <c r="M332" s="26"/>
      <c r="N332" s="29"/>
    </row>
    <row r="333" spans="1:14" ht="75" customHeight="1" thickTop="1" thickBot="1">
      <c r="A333" s="34">
        <v>331</v>
      </c>
      <c r="B333" s="55">
        <f ca="1">IFERROR(__xludf.DUMMYFUNCTION("""COMPUTED_VALUE"""),46142.3748496296)</f>
        <v>46142.374849629603</v>
      </c>
      <c r="C333" s="56" t="str">
        <f ca="1">IFERROR(__xludf.DUMMYFUNCTION("""COMPUTED_VALUE"""),"المعملجي")</f>
        <v>المعملجي</v>
      </c>
      <c r="D333" s="56" t="str">
        <f ca="1">IFERROR(__xludf.DUMMYFUNCTION("""COMPUTED_VALUE"""),"وحدة الكهرباء")</f>
        <v>وحدة الكهرباء</v>
      </c>
      <c r="E333" s="26" t="str">
        <f ca="1">IFERROR(__xludf.DUMMYFUNCTION("""COMPUTED_VALUE"""),"قسم المشاريع الهندسية")</f>
        <v>قسم المشاريع الهندسية</v>
      </c>
      <c r="F333" s="26" t="str">
        <f ca="1">IFERROR(__xludf.DUMMYFUNCTION("""COMPUTED_VALUE"""),"C- ثانوية العميد بناية الاعدادية  (الاولى)")</f>
        <v>C- ثانوية العميد بناية الاعدادية  (الاولى)</v>
      </c>
      <c r="G333" s="26" t="str">
        <f ca="1">IFERROR(__xludf.DUMMYFUNCTION("""COMPUTED_VALUE"""),"الطابق الارضي, ZONE B, غرفة الكهرباء")</f>
        <v>الطابق الارضي, ZONE B, غرفة الكهرباء</v>
      </c>
      <c r="H333" s="26" t="str">
        <f ca="1">IFERROR(__xludf.DUMMYFUNCTION("""COMPUTED_VALUE"""),"فحص كفاءة بطاريات ups اثناء  تشغيل الشاشات")</f>
        <v>فحص كفاءة بطاريات ups اثناء  تشغيل الشاشات</v>
      </c>
      <c r="I333" s="26"/>
      <c r="J333" s="26" t="s">
        <v>3910</v>
      </c>
      <c r="K333" s="26" t="s">
        <v>13</v>
      </c>
      <c r="L333" s="55">
        <v>46142.392549236116</v>
      </c>
      <c r="M333" s="26"/>
      <c r="N333" s="29"/>
    </row>
    <row r="334" spans="1:14" ht="75" customHeight="1" thickTop="1" thickBot="1">
      <c r="A334" s="26">
        <v>332</v>
      </c>
      <c r="B334" s="55">
        <f ca="1">IFERROR(__xludf.DUMMYFUNCTION("""COMPUTED_VALUE"""),46142.378483368)</f>
        <v>46142.378483367997</v>
      </c>
      <c r="C334" s="56" t="str">
        <f ca="1">IFERROR(__xludf.DUMMYFUNCTION("""COMPUTED_VALUE"""),"المعملجي")</f>
        <v>المعملجي</v>
      </c>
      <c r="D334" s="56" t="str">
        <f ca="1">IFERROR(__xludf.DUMMYFUNCTION("""COMPUTED_VALUE"""),"وحدة الكهرباء")</f>
        <v>وحدة الكهرباء</v>
      </c>
      <c r="E334" s="26" t="str">
        <f ca="1">IFERROR(__xludf.DUMMYFUNCTION("""COMPUTED_VALUE"""),"قسم المشاريع الهندسية")</f>
        <v>قسم المشاريع الهندسية</v>
      </c>
      <c r="F334" s="26" t="str">
        <f ca="1">IFERROR(__xludf.DUMMYFUNCTION("""COMPUTED_VALUE"""),"D- ثانوية العميد بناية المتوسطة  (الثانية)")</f>
        <v>D- ثانوية العميد بناية المتوسطة  (الثانية)</v>
      </c>
      <c r="G334" s="26" t="str">
        <f ca="1">IFERROR(__xludf.DUMMYFUNCTION("""COMPUTED_VALUE"""),"الطابق الارضي, ZONE B, غرفة الكهرباء")</f>
        <v>الطابق الارضي, ZONE B, غرفة الكهرباء</v>
      </c>
      <c r="H334" s="26" t="str">
        <f ca="1">IFERROR(__xludf.DUMMYFUNCTION("""COMPUTED_VALUE"""),"فحصه اثناء تشغلي الشاشات  ups")</f>
        <v>فحصه اثناء تشغلي الشاشات  ups</v>
      </c>
      <c r="I334" s="26"/>
      <c r="J334" s="26" t="s">
        <v>3910</v>
      </c>
      <c r="K334" s="26" t="s">
        <v>13</v>
      </c>
      <c r="L334" s="55">
        <v>46142.392567071758</v>
      </c>
      <c r="M334" s="26"/>
      <c r="N334" s="29"/>
    </row>
    <row r="335" spans="1:14" ht="75" customHeight="1" thickTop="1" thickBot="1">
      <c r="A335" s="34">
        <v>333</v>
      </c>
      <c r="B335" s="55">
        <f ca="1">IFERROR(__xludf.DUMMYFUNCTION("""COMPUTED_VALUE"""),46142.3792275231)</f>
        <v>46142.379227523103</v>
      </c>
      <c r="C335" s="56" t="str">
        <f ca="1">IFERROR(__xludf.DUMMYFUNCTION("""COMPUTED_VALUE"""),"المعملجي")</f>
        <v>المعملجي</v>
      </c>
      <c r="D335" s="56" t="str">
        <f ca="1">IFERROR(__xludf.DUMMYFUNCTION("""COMPUTED_VALUE"""),"وحدة الكهرباء")</f>
        <v>وحدة الكهرباء</v>
      </c>
      <c r="E335" s="26" t="str">
        <f ca="1">IFERROR(__xludf.DUMMYFUNCTION("""COMPUTED_VALUE"""),"قسم المشاريع الهندسية")</f>
        <v>قسم المشاريع الهندسية</v>
      </c>
      <c r="F335" s="26" t="str">
        <f ca="1">IFERROR(__xludf.DUMMYFUNCTION("""COMPUTED_VALUE"""),"A- المركز الثقافي")</f>
        <v>A- المركز الثقافي</v>
      </c>
      <c r="G335" s="26" t="str">
        <f ca="1">IFERROR(__xludf.DUMMYFUNCTION("""COMPUTED_VALUE"""),"قاطع برج الاتصالات")</f>
        <v>قاطع برج الاتصالات</v>
      </c>
      <c r="H335" s="26" t="str">
        <f ca="1">IFERROR(__xludf.DUMMYFUNCTION("""COMPUTED_VALUE"""),"إعادة تشغيل القاطع الخاص ببرج الإتصالات بعد الانطفاء نتيجة صعقة")</f>
        <v>إعادة تشغيل القاطع الخاص ببرج الإتصالات بعد الانطفاء نتيجة صعقة</v>
      </c>
      <c r="I335" s="26"/>
      <c r="J335" s="26" t="s">
        <v>3910</v>
      </c>
      <c r="K335" s="26" t="s">
        <v>13</v>
      </c>
      <c r="L335" s="55">
        <v>46142.392562615743</v>
      </c>
      <c r="M335" s="26"/>
      <c r="N335" s="29"/>
    </row>
    <row r="336" spans="1:14" ht="75" customHeight="1" thickTop="1" thickBot="1">
      <c r="A336" s="26">
        <v>334</v>
      </c>
      <c r="B336" s="55">
        <f ca="1">IFERROR(__xludf.DUMMYFUNCTION("""COMPUTED_VALUE"""),46142.3795410185)</f>
        <v>46142.379541018498</v>
      </c>
      <c r="C336" s="56" t="str">
        <f ca="1">IFERROR(__xludf.DUMMYFUNCTION("""COMPUTED_VALUE"""),"المعملجي")</f>
        <v>المعملجي</v>
      </c>
      <c r="D336" s="56" t="str">
        <f ca="1">IFERROR(__xludf.DUMMYFUNCTION("""COMPUTED_VALUE"""),"وحدة الكهرباء")</f>
        <v>وحدة الكهرباء</v>
      </c>
      <c r="E336" s="26" t="str">
        <f ca="1">IFERROR(__xludf.DUMMYFUNCTION("""COMPUTED_VALUE"""),"قسم المشاريع الهندسية")</f>
        <v>قسم المشاريع الهندسية</v>
      </c>
      <c r="F336" s="26" t="str">
        <f ca="1">IFERROR(__xludf.DUMMYFUNCTION("""COMPUTED_VALUE"""),"H- ابتدائية القمر للبنات (الخامسة)")</f>
        <v>H- ابتدائية القمر للبنات (الخامسة)</v>
      </c>
      <c r="G336" s="26" t="str">
        <f ca="1">IFERROR(__xludf.DUMMYFUNCTION("""COMPUTED_VALUE"""),"الطابق الثاني, ZONE A")</f>
        <v>الطابق الثاني, ZONE A</v>
      </c>
      <c r="H336" s="26" t="str">
        <f ca="1">IFERROR(__xludf.DUMMYFUNCTION("""COMPUTED_VALUE"""),"تم إستبدال كبسة مصعد المدرسة الخامسة من قِبلْ الشركة")</f>
        <v>تم إستبدال كبسة مصعد المدرسة الخامسة من قِبلْ الشركة</v>
      </c>
      <c r="I336" s="26"/>
      <c r="J336" s="26" t="s">
        <v>3910</v>
      </c>
      <c r="K336" s="26" t="s">
        <v>13</v>
      </c>
      <c r="L336" s="55">
        <v>46142.392567905088</v>
      </c>
      <c r="M336" s="26"/>
      <c r="N336" s="29"/>
    </row>
    <row r="337" spans="1:14" ht="75" customHeight="1" thickTop="1" thickBot="1">
      <c r="A337" s="34">
        <v>335</v>
      </c>
      <c r="B337" s="55">
        <f ca="1">IFERROR(__xludf.DUMMYFUNCTION("""COMPUTED_VALUE"""),46142.380229375)</f>
        <v>46142.380229374998</v>
      </c>
      <c r="C337" s="56" t="str">
        <f ca="1">IFERROR(__xludf.DUMMYFUNCTION("""COMPUTED_VALUE"""),"المعملجي")</f>
        <v>المعملجي</v>
      </c>
      <c r="D337" s="56" t="str">
        <f ca="1">IFERROR(__xludf.DUMMYFUNCTION("""COMPUTED_VALUE"""),"وحدة الكهرباء")</f>
        <v>وحدة الكهرباء</v>
      </c>
      <c r="E337" s="26" t="str">
        <f ca="1">IFERROR(__xludf.DUMMYFUNCTION("""COMPUTED_VALUE"""),"قسم المشاريع الهندسية")</f>
        <v>قسم المشاريع الهندسية</v>
      </c>
      <c r="F337" s="26" t="str">
        <f ca="1">IFERROR(__xludf.DUMMYFUNCTION("""COMPUTED_VALUE"""),"J- جامعة العميد (السابعة)")</f>
        <v>J- جامعة العميد (السابعة)</v>
      </c>
      <c r="G337" s="26"/>
      <c r="H337" s="26" t="str">
        <f ca="1">IFERROR(__xludf.DUMMYFUNCTION("""COMPUTED_VALUE"""),"استبدال محولة انارة منشورية عدد 5")</f>
        <v>استبدال محولة انارة منشورية عدد 5</v>
      </c>
      <c r="I337" s="26"/>
      <c r="J337" s="26" t="s">
        <v>3910</v>
      </c>
      <c r="K337" s="26" t="s">
        <v>13</v>
      </c>
      <c r="L337" s="55">
        <v>46142.392576539351</v>
      </c>
      <c r="M337" s="26"/>
      <c r="N337" s="29"/>
    </row>
    <row r="338" spans="1:14" ht="75" customHeight="1" thickTop="1" thickBot="1">
      <c r="A338" s="26">
        <v>336</v>
      </c>
      <c r="B338" s="55">
        <f ca="1">IFERROR(__xludf.DUMMYFUNCTION("""COMPUTED_VALUE"""),46142.3814682638)</f>
        <v>46142.381468263797</v>
      </c>
      <c r="C338" s="56" t="str">
        <f ca="1">IFERROR(__xludf.DUMMYFUNCTION("""COMPUTED_VALUE"""),"المعملجي")</f>
        <v>المعملجي</v>
      </c>
      <c r="D338" s="56" t="str">
        <f ca="1">IFERROR(__xludf.DUMMYFUNCTION("""COMPUTED_VALUE"""),"وحدة الكهرباء")</f>
        <v>وحدة الكهرباء</v>
      </c>
      <c r="E338" s="26" t="str">
        <f ca="1">IFERROR(__xludf.DUMMYFUNCTION("""COMPUTED_VALUE"""),"قسم المشاريع الهندسية")</f>
        <v>قسم المشاريع الهندسية</v>
      </c>
      <c r="F338" s="26" t="str">
        <f ca="1">IFERROR(__xludf.DUMMYFUNCTION("""COMPUTED_VALUE"""),"E- ابتدائية العميد للبنات (الثالثة)")</f>
        <v>E- ابتدائية العميد للبنات (الثالثة)</v>
      </c>
      <c r="G338" s="26" t="str">
        <f ca="1">IFERROR(__xludf.DUMMYFUNCTION("""COMPUTED_VALUE"""),"الطابق الارضي, ZONE B, غرفة الكهرباء")</f>
        <v>الطابق الارضي, ZONE B, غرفة الكهرباء</v>
      </c>
      <c r="H338" s="26" t="str">
        <f ca="1">IFERROR(__xludf.DUMMYFUNCTION("""COMPUTED_VALUE"""),"UPS فحصه اثناء تشغيل الشاشات")</f>
        <v>UPS فحصه اثناء تشغيل الشاشات</v>
      </c>
      <c r="I338" s="26"/>
      <c r="J338" s="26" t="s">
        <v>3910</v>
      </c>
      <c r="K338" s="26" t="s">
        <v>13</v>
      </c>
      <c r="L338" s="55">
        <v>46142.392602025458</v>
      </c>
      <c r="M338" s="26"/>
      <c r="N338" s="29"/>
    </row>
    <row r="339" spans="1:14" ht="75" customHeight="1" thickTop="1" thickBot="1">
      <c r="A339" s="34">
        <v>337</v>
      </c>
      <c r="B339" s="55">
        <f ca="1">IFERROR(__xludf.DUMMYFUNCTION("""COMPUTED_VALUE"""),46142.3818029513)</f>
        <v>46142.381802951299</v>
      </c>
      <c r="C339" s="56" t="str">
        <f ca="1">IFERROR(__xludf.DUMMYFUNCTION("""COMPUTED_VALUE"""),"المعملجي")</f>
        <v>المعملجي</v>
      </c>
      <c r="D339" s="56" t="str">
        <f ca="1">IFERROR(__xludf.DUMMYFUNCTION("""COMPUTED_VALUE"""),"سجاد تربية")</f>
        <v>سجاد تربية</v>
      </c>
      <c r="E339" s="26" t="str">
        <f ca="1">IFERROR(__xludf.DUMMYFUNCTION("""COMPUTED_VALUE"""),"قسم التربية والتعليم العالي")</f>
        <v>قسم التربية والتعليم العالي</v>
      </c>
      <c r="F339" s="26" t="str">
        <f ca="1">IFERROR(__xludf.DUMMYFUNCTION("""COMPUTED_VALUE"""),"B- روضة القمر")</f>
        <v>B- روضة القمر</v>
      </c>
      <c r="G339" s="26" t="str">
        <f ca="1">IFERROR(__xludf.DUMMYFUNCTION("""COMPUTED_VALUE"""),"صف النجوم ")</f>
        <v xml:space="preserve">صف النجوم </v>
      </c>
      <c r="H339" s="26" t="str">
        <f ca="1">IFERROR(__xludf.DUMMYFUNCTION("""COMPUTED_VALUE"""),"صيانة باب حمام ")</f>
        <v xml:space="preserve">صيانة باب حمام </v>
      </c>
      <c r="I339" s="26"/>
      <c r="J339" s="26" t="s">
        <v>16</v>
      </c>
      <c r="K339" s="26" t="s">
        <v>13</v>
      </c>
      <c r="L339" s="55">
        <v>46142.426541851848</v>
      </c>
      <c r="M339" s="26"/>
      <c r="N339" s="29"/>
    </row>
    <row r="340" spans="1:14" ht="75" customHeight="1" thickTop="1" thickBot="1">
      <c r="A340" s="26">
        <v>338</v>
      </c>
      <c r="B340" s="55">
        <f ca="1">IFERROR(__xludf.DUMMYFUNCTION("""COMPUTED_VALUE"""),46142.3832592129)</f>
        <v>46142.383259212897</v>
      </c>
      <c r="C340" s="56" t="str">
        <f ca="1">IFERROR(__xludf.DUMMYFUNCTION("""COMPUTED_VALUE"""),"المعملجي")</f>
        <v>المعملجي</v>
      </c>
      <c r="D340" s="56" t="str">
        <f ca="1">IFERROR(__xludf.DUMMYFUNCTION("""COMPUTED_VALUE"""),"وحدة الكهرباء")</f>
        <v>وحدة الكهرباء</v>
      </c>
      <c r="E340" s="26" t="str">
        <f ca="1">IFERROR(__xludf.DUMMYFUNCTION("""COMPUTED_VALUE"""),"قسم المشاريع الهندسية")</f>
        <v>قسم المشاريع الهندسية</v>
      </c>
      <c r="F340" s="26" t="str">
        <f ca="1">IFERROR(__xludf.DUMMYFUNCTION("""COMPUTED_VALUE"""),"A- المركز الثقافي")</f>
        <v>A- المركز الثقافي</v>
      </c>
      <c r="G340" s="26" t="str">
        <f ca="1">IFERROR(__xludf.DUMMYFUNCTION("""COMPUTED_VALUE"""),"الطابق الارضي, DATA CENTER")</f>
        <v>الطابق الارضي, DATA CENTER</v>
      </c>
      <c r="H340" s="26" t="str">
        <f ca="1">IFERROR(__xludf.DUMMYFUNCTION("""COMPUTED_VALUE"""),"اعادة خدمة Fiber Optic
 الى برج الإتصالات")</f>
        <v>اعادة خدمة Fiber Optic
 الى برج الإتصالات</v>
      </c>
      <c r="I340" s="26"/>
      <c r="J340" s="26" t="s">
        <v>3910</v>
      </c>
      <c r="K340" s="26" t="s">
        <v>13</v>
      </c>
      <c r="L340" s="55">
        <v>46142.392644918982</v>
      </c>
      <c r="M340" s="26"/>
      <c r="N340" s="29"/>
    </row>
    <row r="341" spans="1:14" ht="75" customHeight="1" thickTop="1" thickBot="1">
      <c r="A341" s="34">
        <v>339</v>
      </c>
      <c r="B341" s="55">
        <f ca="1">IFERROR(__xludf.DUMMYFUNCTION("""COMPUTED_VALUE"""),46142.3839867708)</f>
        <v>46142.383986770801</v>
      </c>
      <c r="C341" s="56" t="str">
        <f ca="1">IFERROR(__xludf.DUMMYFUNCTION("""COMPUTED_VALUE"""),"المعملجي")</f>
        <v>المعملجي</v>
      </c>
      <c r="D341" s="56" t="str">
        <f ca="1">IFERROR(__xludf.DUMMYFUNCTION("""COMPUTED_VALUE"""),"وحدة الكهرباء")</f>
        <v>وحدة الكهرباء</v>
      </c>
      <c r="E341" s="26" t="str">
        <f ca="1">IFERROR(__xludf.DUMMYFUNCTION("""COMPUTED_VALUE"""),"قسم المشاريع الهندسية")</f>
        <v>قسم المشاريع الهندسية</v>
      </c>
      <c r="F341" s="26" t="str">
        <f ca="1">IFERROR(__xludf.DUMMYFUNCTION("""COMPUTED_VALUE"""),"B- روضة القمر")</f>
        <v>B- روضة القمر</v>
      </c>
      <c r="G341" s="26" t="str">
        <f ca="1">IFERROR(__xludf.DUMMYFUNCTION("""COMPUTED_VALUE"""),"الاستعلامات")</f>
        <v>الاستعلامات</v>
      </c>
      <c r="H341" s="26" t="str">
        <f ca="1">IFERROR(__xludf.DUMMYFUNCTION("""COMPUTED_VALUE"""),"صيانة بلك سوج 13 امبير")</f>
        <v>صيانة بلك سوج 13 امبير</v>
      </c>
      <c r="I341" s="26"/>
      <c r="J341" s="26" t="s">
        <v>3910</v>
      </c>
      <c r="K341" s="26" t="s">
        <v>13</v>
      </c>
      <c r="L341" s="55">
        <v>46142.392622939813</v>
      </c>
      <c r="M341" s="26"/>
      <c r="N341" s="29"/>
    </row>
    <row r="342" spans="1:14" ht="75" customHeight="1" thickTop="1" thickBot="1">
      <c r="A342" s="26">
        <v>340</v>
      </c>
      <c r="B342" s="55">
        <f ca="1">IFERROR(__xludf.DUMMYFUNCTION("""COMPUTED_VALUE"""),46142.3849448263)</f>
        <v>46142.384944826299</v>
      </c>
      <c r="C342" s="56" t="str">
        <f ca="1">IFERROR(__xludf.DUMMYFUNCTION("""COMPUTED_VALUE"""),"المعملجي")</f>
        <v>المعملجي</v>
      </c>
      <c r="D342" s="56" t="str">
        <f ca="1">IFERROR(__xludf.DUMMYFUNCTION("""COMPUTED_VALUE"""),"وحدة الكهرباء")</f>
        <v>وحدة الكهرباء</v>
      </c>
      <c r="E342" s="26" t="str">
        <f ca="1">IFERROR(__xludf.DUMMYFUNCTION("""COMPUTED_VALUE"""),"قسم المشاريع الهندسية")</f>
        <v>قسم المشاريع الهندسية</v>
      </c>
      <c r="F342" s="26" t="str">
        <f ca="1">IFERROR(__xludf.DUMMYFUNCTION("""COMPUTED_VALUE"""),"شعبة الصيانة")</f>
        <v>شعبة الصيانة</v>
      </c>
      <c r="G342" s="26"/>
      <c r="H342" s="26" t="str">
        <f ca="1">IFERROR(__xludf.DUMMYFUNCTION("""COMPUTED_VALUE"""),"تجهيز سيار الى الشركة ")</f>
        <v xml:space="preserve">تجهيز سيار الى الشركة </v>
      </c>
      <c r="I342" s="26"/>
      <c r="J342" s="26" t="s">
        <v>3910</v>
      </c>
      <c r="K342" s="26" t="s">
        <v>13</v>
      </c>
      <c r="L342" s="55">
        <v>46142.392631759256</v>
      </c>
      <c r="M342" s="26"/>
      <c r="N342" s="29"/>
    </row>
    <row r="343" spans="1:14" ht="75" customHeight="1" thickTop="1" thickBot="1">
      <c r="A343" s="34">
        <v>341</v>
      </c>
      <c r="B343" s="55">
        <f ca="1">IFERROR(__xludf.DUMMYFUNCTION("""COMPUTED_VALUE"""),46142.3854012152)</f>
        <v>46142.385401215201</v>
      </c>
      <c r="C343" s="56" t="str">
        <f ca="1">IFERROR(__xludf.DUMMYFUNCTION("""COMPUTED_VALUE"""),"المعملجي")</f>
        <v>المعملجي</v>
      </c>
      <c r="D343" s="56" t="str">
        <f ca="1">IFERROR(__xludf.DUMMYFUNCTION("""COMPUTED_VALUE"""),"وحدة الكهرباء")</f>
        <v>وحدة الكهرباء</v>
      </c>
      <c r="E343" s="26" t="str">
        <f ca="1">IFERROR(__xludf.DUMMYFUNCTION("""COMPUTED_VALUE"""),"قسم المشاريع الهندسية")</f>
        <v>قسم المشاريع الهندسية</v>
      </c>
      <c r="F343" s="26" t="str">
        <f ca="1">IFERROR(__xludf.DUMMYFUNCTION("""COMPUTED_VALUE"""),"B- روضة القمر")</f>
        <v>B- روضة القمر</v>
      </c>
      <c r="G343" s="26"/>
      <c r="H343" s="26" t="str">
        <f ca="1">IFERROR(__xludf.DUMMYFUNCTION("""COMPUTED_VALUE"""),"عمل ماشة لمسدس السلكون")</f>
        <v>عمل ماشة لمسدس السلكون</v>
      </c>
      <c r="I343" s="26"/>
      <c r="J343" s="26" t="s">
        <v>3910</v>
      </c>
      <c r="K343" s="26" t="s">
        <v>13</v>
      </c>
      <c r="L343" s="55">
        <v>46142.392665671301</v>
      </c>
      <c r="M343" s="26"/>
      <c r="N343" s="29"/>
    </row>
    <row r="344" spans="1:14" ht="75" customHeight="1" thickTop="1" thickBot="1">
      <c r="A344" s="26">
        <v>342</v>
      </c>
      <c r="B344" s="55">
        <f ca="1">IFERROR(__xludf.DUMMYFUNCTION("""COMPUTED_VALUE"""),46142.3861088888)</f>
        <v>46142.386108888801</v>
      </c>
      <c r="C344" s="56" t="str">
        <f ca="1">IFERROR(__xludf.DUMMYFUNCTION("""COMPUTED_VALUE"""),"المعملجي")</f>
        <v>المعملجي</v>
      </c>
      <c r="D344" s="56" t="str">
        <f ca="1">IFERROR(__xludf.DUMMYFUNCTION("""COMPUTED_VALUE"""),"وحدة الكهرباء")</f>
        <v>وحدة الكهرباء</v>
      </c>
      <c r="E344" s="26" t="str">
        <f ca="1">IFERROR(__xludf.DUMMYFUNCTION("""COMPUTED_VALUE"""),"قسم المشاريع الهندسية")</f>
        <v>قسم المشاريع الهندسية</v>
      </c>
      <c r="F344" s="26" t="str">
        <f ca="1">IFERROR(__xludf.DUMMYFUNCTION("""COMPUTED_VALUE"""),"الاستعلامات الرئيسية")</f>
        <v>الاستعلامات الرئيسية</v>
      </c>
      <c r="G344" s="26"/>
      <c r="H344" s="26" t="str">
        <f ca="1">IFERROR(__xludf.DUMMYFUNCTION("""COMPUTED_VALUE"""),"تحويل خط التغذية الخاص بـ سبلت الشركة الأمنية الى خط الطاقة الشمسية")</f>
        <v>تحويل خط التغذية الخاص بـ سبلت الشركة الأمنية الى خط الطاقة الشمسية</v>
      </c>
      <c r="I344" s="26"/>
      <c r="J344" s="26" t="s">
        <v>3910</v>
      </c>
      <c r="K344" s="26" t="s">
        <v>13</v>
      </c>
      <c r="L344" s="55">
        <v>46142.392680370365</v>
      </c>
      <c r="M344" s="26"/>
      <c r="N344" s="29"/>
    </row>
    <row r="345" spans="1:14" ht="75" customHeight="1" thickTop="1" thickBot="1">
      <c r="A345" s="34">
        <v>343</v>
      </c>
      <c r="B345" s="55">
        <f ca="1">IFERROR(__xludf.DUMMYFUNCTION("""COMPUTED_VALUE"""),46142.3870745486)</f>
        <v>46142.387074548598</v>
      </c>
      <c r="C345" s="56" t="str">
        <f ca="1">IFERROR(__xludf.DUMMYFUNCTION("""COMPUTED_VALUE"""),"المعملجي")</f>
        <v>المعملجي</v>
      </c>
      <c r="D345" s="56" t="str">
        <f ca="1">IFERROR(__xludf.DUMMYFUNCTION("""COMPUTED_VALUE"""),"وحدة الكهرباء")</f>
        <v>وحدة الكهرباء</v>
      </c>
      <c r="E345" s="26" t="str">
        <f ca="1">IFERROR(__xludf.DUMMYFUNCTION("""COMPUTED_VALUE"""),"قسم المشاريع الهندسية")</f>
        <v>قسم المشاريع الهندسية</v>
      </c>
      <c r="F345" s="26" t="str">
        <f ca="1">IFERROR(__xludf.DUMMYFUNCTION("""COMPUTED_VALUE"""),"C- ثانوية العميد بناية الاعدادية  (الاولى)")</f>
        <v>C- ثانوية العميد بناية الاعدادية  (الاولى)</v>
      </c>
      <c r="G345" s="26"/>
      <c r="H345" s="26" t="str">
        <f ca="1">IFERROR(__xludf.DUMMYFUNCTION("""COMPUTED_VALUE"""),"تفعيل الجدولة في التبريد المركزي بعد الاختبار
")</f>
        <v xml:space="preserve">تفعيل الجدولة في التبريد المركزي بعد الاختبار
</v>
      </c>
      <c r="I345" s="26"/>
      <c r="J345" s="26" t="s">
        <v>3910</v>
      </c>
      <c r="K345" s="26" t="s">
        <v>13</v>
      </c>
      <c r="L345" s="55">
        <v>46142.392689398148</v>
      </c>
      <c r="M345" s="26"/>
      <c r="N345" s="29"/>
    </row>
    <row r="346" spans="1:14" ht="75" customHeight="1" thickTop="1" thickBot="1">
      <c r="A346" s="26">
        <v>344</v>
      </c>
      <c r="B346" s="55">
        <f ca="1">IFERROR(__xludf.DUMMYFUNCTION("""COMPUTED_VALUE"""),46142.3872816898)</f>
        <v>46142.3872816898</v>
      </c>
      <c r="C346" s="56" t="str">
        <f ca="1">IFERROR(__xludf.DUMMYFUNCTION("""COMPUTED_VALUE"""),"المعملجي")</f>
        <v>المعملجي</v>
      </c>
      <c r="D346" s="56" t="str">
        <f ca="1">IFERROR(__xludf.DUMMYFUNCTION("""COMPUTED_VALUE"""),"وحدة الكهرباء")</f>
        <v>وحدة الكهرباء</v>
      </c>
      <c r="E346" s="26" t="str">
        <f ca="1">IFERROR(__xludf.DUMMYFUNCTION("""COMPUTED_VALUE"""),"قسم المشاريع الهندسية")</f>
        <v>قسم المشاريع الهندسية</v>
      </c>
      <c r="F346" s="26" t="str">
        <f ca="1">IFERROR(__xludf.DUMMYFUNCTION("""COMPUTED_VALUE"""),"D- ثانوية العميد بناية المتوسطة  (الثانية)")</f>
        <v>D- ثانوية العميد بناية المتوسطة  (الثانية)</v>
      </c>
      <c r="G346" s="26"/>
      <c r="H346" s="26" t="str">
        <f ca="1">IFERROR(__xludf.DUMMYFUNCTION("""COMPUTED_VALUE"""),"تفعيل الجدولة في التبريد المركزي بعد الاختبار
")</f>
        <v xml:space="preserve">تفعيل الجدولة في التبريد المركزي بعد الاختبار
</v>
      </c>
      <c r="I346" s="26"/>
      <c r="J346" s="26" t="s">
        <v>3910</v>
      </c>
      <c r="K346" s="26" t="s">
        <v>13</v>
      </c>
      <c r="L346" s="55">
        <v>46142.392698275464</v>
      </c>
      <c r="M346" s="26"/>
      <c r="N346" s="29"/>
    </row>
    <row r="347" spans="1:14" ht="75" customHeight="1" thickTop="1" thickBot="1">
      <c r="A347" s="34">
        <v>345</v>
      </c>
      <c r="B347" s="55">
        <f ca="1">IFERROR(__xludf.DUMMYFUNCTION("""COMPUTED_VALUE"""),46142.387448206)</f>
        <v>46142.387448205998</v>
      </c>
      <c r="C347" s="56" t="str">
        <f ca="1">IFERROR(__xludf.DUMMYFUNCTION("""COMPUTED_VALUE"""),"المعملجي")</f>
        <v>المعملجي</v>
      </c>
      <c r="D347" s="56" t="str">
        <f ca="1">IFERROR(__xludf.DUMMYFUNCTION("""COMPUTED_VALUE"""),"وحدة الكهرباء")</f>
        <v>وحدة الكهرباء</v>
      </c>
      <c r="E347" s="26" t="str">
        <f ca="1">IFERROR(__xludf.DUMMYFUNCTION("""COMPUTED_VALUE"""),"قسم المشاريع الهندسية")</f>
        <v>قسم المشاريع الهندسية</v>
      </c>
      <c r="F347" s="26" t="str">
        <f ca="1">IFERROR(__xludf.DUMMYFUNCTION("""COMPUTED_VALUE"""),"E- ابتدائية العميد للبنات (الثالثة)")</f>
        <v>E- ابتدائية العميد للبنات (الثالثة)</v>
      </c>
      <c r="G347" s="26"/>
      <c r="H347" s="26" t="str">
        <f ca="1">IFERROR(__xludf.DUMMYFUNCTION("""COMPUTED_VALUE"""),"تفعيل الجدولة في التبريد المركزي بعد الاختبار
")</f>
        <v xml:space="preserve">تفعيل الجدولة في التبريد المركزي بعد الاختبار
</v>
      </c>
      <c r="I347" s="26"/>
      <c r="J347" s="26" t="s">
        <v>3910</v>
      </c>
      <c r="K347" s="26" t="s">
        <v>13</v>
      </c>
      <c r="L347" s="55">
        <v>46142.392706562503</v>
      </c>
      <c r="M347" s="26"/>
      <c r="N347" s="29"/>
    </row>
    <row r="348" spans="1:14" ht="75" customHeight="1" thickTop="1" thickBot="1">
      <c r="A348" s="26">
        <v>346</v>
      </c>
      <c r="B348" s="55">
        <f ca="1">IFERROR(__xludf.DUMMYFUNCTION("""COMPUTED_VALUE"""),46142.3876383101)</f>
        <v>46142.387638310101</v>
      </c>
      <c r="C348" s="56" t="str">
        <f ca="1">IFERROR(__xludf.DUMMYFUNCTION("""COMPUTED_VALUE"""),"المعملجي")</f>
        <v>المعملجي</v>
      </c>
      <c r="D348" s="56" t="str">
        <f ca="1">IFERROR(__xludf.DUMMYFUNCTION("""COMPUTED_VALUE"""),"وحدة الكهرباء")</f>
        <v>وحدة الكهرباء</v>
      </c>
      <c r="E348" s="26" t="str">
        <f ca="1">IFERROR(__xludf.DUMMYFUNCTION("""COMPUTED_VALUE"""),"قسم المشاريع الهندسية")</f>
        <v>قسم المشاريع الهندسية</v>
      </c>
      <c r="F348" s="26" t="str">
        <f ca="1">IFERROR(__xludf.DUMMYFUNCTION("""COMPUTED_VALUE"""),"F-  ابتدائية جود العميد للبنات (الرابعة)")</f>
        <v>F-  ابتدائية جود العميد للبنات (الرابعة)</v>
      </c>
      <c r="G348" s="26"/>
      <c r="H348" s="26" t="str">
        <f ca="1">IFERROR(__xludf.DUMMYFUNCTION("""COMPUTED_VALUE"""),"تفعيل الجدولة في التبريد المركزي بعد الاختبار
 ")</f>
        <v xml:space="preserve">تفعيل الجدولة في التبريد المركزي بعد الاختبار
 </v>
      </c>
      <c r="I348" s="26"/>
      <c r="J348" s="26" t="s">
        <v>3910</v>
      </c>
      <c r="K348" s="26" t="s">
        <v>13</v>
      </c>
      <c r="L348" s="55">
        <v>46142.392724421297</v>
      </c>
      <c r="M348" s="26"/>
      <c r="N348" s="29"/>
    </row>
    <row r="349" spans="1:14" ht="75" customHeight="1" thickTop="1" thickBot="1">
      <c r="A349" s="34">
        <v>347</v>
      </c>
      <c r="B349" s="55">
        <f ca="1">IFERROR(__xludf.DUMMYFUNCTION("""COMPUTED_VALUE"""),46142.3878628009)</f>
        <v>46142.387862800897</v>
      </c>
      <c r="C349" s="56" t="str">
        <f ca="1">IFERROR(__xludf.DUMMYFUNCTION("""COMPUTED_VALUE"""),"المعملجي")</f>
        <v>المعملجي</v>
      </c>
      <c r="D349" s="56" t="str">
        <f ca="1">IFERROR(__xludf.DUMMYFUNCTION("""COMPUTED_VALUE"""),"وحدة الكهرباء")</f>
        <v>وحدة الكهرباء</v>
      </c>
      <c r="E349" s="26" t="str">
        <f ca="1">IFERROR(__xludf.DUMMYFUNCTION("""COMPUTED_VALUE"""),"قسم المشاريع الهندسية")</f>
        <v>قسم المشاريع الهندسية</v>
      </c>
      <c r="F349" s="26" t="str">
        <f ca="1">IFERROR(__xludf.DUMMYFUNCTION("""COMPUTED_VALUE"""),"H- ابتدائية القمر للبنات (الخامسة)")</f>
        <v>H- ابتدائية القمر للبنات (الخامسة)</v>
      </c>
      <c r="G349" s="26"/>
      <c r="H349" s="26" t="str">
        <f ca="1">IFERROR(__xludf.DUMMYFUNCTION("""COMPUTED_VALUE"""),"تفعيل الجدولة في التبريد المركزي بعد الاختبار
 ")</f>
        <v xml:space="preserve">تفعيل الجدولة في التبريد المركزي بعد الاختبار
 </v>
      </c>
      <c r="I349" s="26"/>
      <c r="J349" s="26" t="s">
        <v>3910</v>
      </c>
      <c r="K349" s="26" t="s">
        <v>13</v>
      </c>
      <c r="L349" s="55">
        <v>46142.392726238424</v>
      </c>
      <c r="M349" s="26"/>
      <c r="N349" s="29"/>
    </row>
    <row r="350" spans="1:14" ht="75" customHeight="1" thickTop="1" thickBot="1">
      <c r="A350" s="26">
        <v>348</v>
      </c>
      <c r="B350" s="55">
        <f ca="1">IFERROR(__xludf.DUMMYFUNCTION("""COMPUTED_VALUE"""),46142.3898656597)</f>
        <v>46142.389865659701</v>
      </c>
      <c r="C350" s="56" t="str">
        <f ca="1">IFERROR(__xludf.DUMMYFUNCTION("""COMPUTED_VALUE"""),"المعملجي")</f>
        <v>المعملجي</v>
      </c>
      <c r="D350" s="56" t="str">
        <f ca="1">IFERROR(__xludf.DUMMYFUNCTION("""COMPUTED_VALUE"""),"وحدة الكهرباء")</f>
        <v>وحدة الكهرباء</v>
      </c>
      <c r="E350" s="26" t="str">
        <f ca="1">IFERROR(__xludf.DUMMYFUNCTION("""COMPUTED_VALUE"""),"قسم المشاريع الهندسية")</f>
        <v>قسم المشاريع الهندسية</v>
      </c>
      <c r="F350" s="26" t="str">
        <f ca="1">IFERROR(__xludf.DUMMYFUNCTION("""COMPUTED_VALUE"""),"I- ابتدائية الساقي للبنين (السادسة)")</f>
        <v>I- ابتدائية الساقي للبنين (السادسة)</v>
      </c>
      <c r="G350" s="26"/>
      <c r="H350" s="26" t="str">
        <f ca="1">IFERROR(__xludf.DUMMYFUNCTION("""COMPUTED_VALUE"""),"تبديل محولات عدد 5  لمنشوريات وصيانة 6 اخريات")</f>
        <v>تبديل محولات عدد 5  لمنشوريات وصيانة 6 اخريات</v>
      </c>
      <c r="I350" s="26"/>
      <c r="J350" s="26" t="s">
        <v>3910</v>
      </c>
      <c r="K350" s="26" t="s">
        <v>13</v>
      </c>
      <c r="L350" s="55">
        <v>46142.392735879628</v>
      </c>
      <c r="M350" s="26"/>
      <c r="N350" s="29"/>
    </row>
    <row r="351" spans="1:14" ht="75" customHeight="1" thickTop="1" thickBot="1">
      <c r="A351" s="34">
        <v>349</v>
      </c>
      <c r="B351" s="55">
        <f ca="1">IFERROR(__xludf.DUMMYFUNCTION("""COMPUTED_VALUE"""),46142.3902726273)</f>
        <v>46142.390272627301</v>
      </c>
      <c r="C351" s="56" t="str">
        <f ca="1">IFERROR(__xludf.DUMMYFUNCTION("""COMPUTED_VALUE"""),"المعملجي")</f>
        <v>المعملجي</v>
      </c>
      <c r="D351" s="56" t="str">
        <f ca="1">IFERROR(__xludf.DUMMYFUNCTION("""COMPUTED_VALUE"""),"وحدة الكهرباء")</f>
        <v>وحدة الكهرباء</v>
      </c>
      <c r="E351" s="26" t="str">
        <f ca="1">IFERROR(__xludf.DUMMYFUNCTION("""COMPUTED_VALUE"""),"قسم المشاريع الهندسية")</f>
        <v>قسم المشاريع الهندسية</v>
      </c>
      <c r="F351" s="26" t="str">
        <f ca="1">IFERROR(__xludf.DUMMYFUNCTION("""COMPUTED_VALUE"""),"A- المركز الثقافي")</f>
        <v>A- المركز الثقافي</v>
      </c>
      <c r="G351" s="26"/>
      <c r="H351" s="26" t="str">
        <f ca="1">IFERROR(__xludf.DUMMYFUNCTION("""COMPUTED_VALUE"""),"اعادة تشبيت كيبل البلاجكتور")</f>
        <v>اعادة تشبيت كيبل البلاجكتور</v>
      </c>
      <c r="I351" s="26"/>
      <c r="J351" s="26" t="s">
        <v>3910</v>
      </c>
      <c r="K351" s="26" t="s">
        <v>13</v>
      </c>
      <c r="L351" s="55">
        <v>46142.392742928241</v>
      </c>
      <c r="M351" s="26"/>
      <c r="N351" s="29"/>
    </row>
    <row r="352" spans="1:14" ht="75" customHeight="1" thickTop="1" thickBot="1">
      <c r="A352" s="26">
        <v>350</v>
      </c>
      <c r="B352" s="55">
        <f ca="1">IFERROR(__xludf.DUMMYFUNCTION("""COMPUTED_VALUE"""),46142.390815162)</f>
        <v>46142.390815161998</v>
      </c>
      <c r="C352" s="56" t="str">
        <f ca="1">IFERROR(__xludf.DUMMYFUNCTION("""COMPUTED_VALUE"""),"المعملجي")</f>
        <v>المعملجي</v>
      </c>
      <c r="D352" s="56" t="str">
        <f ca="1">IFERROR(__xludf.DUMMYFUNCTION("""COMPUTED_VALUE"""),"وحدة الكهرباء")</f>
        <v>وحدة الكهرباء</v>
      </c>
      <c r="E352" s="26" t="str">
        <f ca="1">IFERROR(__xludf.DUMMYFUNCTION("""COMPUTED_VALUE"""),"قسم المشاريع الهندسية")</f>
        <v>قسم المشاريع الهندسية</v>
      </c>
      <c r="F352" s="26" t="str">
        <f ca="1">IFERROR(__xludf.DUMMYFUNCTION("""COMPUTED_VALUE"""),"كل المجمع")</f>
        <v>كل المجمع</v>
      </c>
      <c r="G352" s="26"/>
      <c r="H352" s="26" t="str">
        <f ca="1">IFERROR(__xludf.DUMMYFUNCTION("""COMPUTED_VALUE"""),"تسجيل قراءات المحولات من ضمن الخطة الشهرية لاحتساب استهلاك المجمع من الكهرباء الوطني.")</f>
        <v>تسجيل قراءات المحولات من ضمن الخطة الشهرية لاحتساب استهلاك المجمع من الكهرباء الوطني.</v>
      </c>
      <c r="I352" s="26"/>
      <c r="J352" s="26" t="s">
        <v>3910</v>
      </c>
      <c r="K352" s="26" t="s">
        <v>13</v>
      </c>
      <c r="L352" s="55">
        <v>46142.392753275461</v>
      </c>
      <c r="M352" s="26"/>
      <c r="N352" s="29"/>
    </row>
    <row r="353" spans="1:14" ht="75" customHeight="1" thickTop="1" thickBot="1">
      <c r="A353" s="34">
        <v>351</v>
      </c>
      <c r="B353" s="55">
        <f ca="1">IFERROR(__xludf.DUMMYFUNCTION("""COMPUTED_VALUE"""),46142.3915018518)</f>
        <v>46142.391501851802</v>
      </c>
      <c r="C353" s="56" t="str">
        <f ca="1">IFERROR(__xludf.DUMMYFUNCTION("""COMPUTED_VALUE"""),"المعملجي")</f>
        <v>المعملجي</v>
      </c>
      <c r="D353" s="56" t="str">
        <f ca="1">IFERROR(__xludf.DUMMYFUNCTION("""COMPUTED_VALUE"""),"وحدة الكهرباء")</f>
        <v>وحدة الكهرباء</v>
      </c>
      <c r="E353" s="26" t="str">
        <f ca="1">IFERROR(__xludf.DUMMYFUNCTION("""COMPUTED_VALUE"""),"قسم المشاريع الهندسية")</f>
        <v>قسم المشاريع الهندسية</v>
      </c>
      <c r="F353" s="26" t="str">
        <f ca="1">IFERROR(__xludf.DUMMYFUNCTION("""COMPUTED_VALUE"""),"البيوت الخارجية")</f>
        <v>البيوت الخارجية</v>
      </c>
      <c r="G353" s="26" t="str">
        <f ca="1">IFERROR(__xludf.DUMMYFUNCTION("""COMPUTED_VALUE"""),"كرفان الامنية")</f>
        <v>كرفان الامنية</v>
      </c>
      <c r="H353" s="26" t="str">
        <f ca="1">IFERROR(__xludf.DUMMYFUNCTION("""COMPUTED_VALUE"""),"استبدال بلك سويج")</f>
        <v>استبدال بلك سويج</v>
      </c>
      <c r="I353" s="26"/>
      <c r="J353" s="26" t="s">
        <v>3910</v>
      </c>
      <c r="K353" s="26" t="s">
        <v>13</v>
      </c>
      <c r="L353" s="55">
        <v>46142.392764131946</v>
      </c>
      <c r="M353" s="26"/>
      <c r="N353" s="29"/>
    </row>
    <row r="354" spans="1:14" ht="75" customHeight="1" thickTop="1" thickBot="1">
      <c r="A354" s="26">
        <v>352</v>
      </c>
      <c r="B354" s="55">
        <f ca="1">IFERROR(__xludf.DUMMYFUNCTION("""COMPUTED_VALUE"""),46142.3921600115)</f>
        <v>46142.392160011499</v>
      </c>
      <c r="C354" s="56" t="str">
        <f ca="1">IFERROR(__xludf.DUMMYFUNCTION("""COMPUTED_VALUE"""),"المعملجي")</f>
        <v>المعملجي</v>
      </c>
      <c r="D354" s="56" t="str">
        <f ca="1">IFERROR(__xludf.DUMMYFUNCTION("""COMPUTED_VALUE"""),"وحدة الكهرباء")</f>
        <v>وحدة الكهرباء</v>
      </c>
      <c r="E354" s="26" t="str">
        <f ca="1">IFERROR(__xludf.DUMMYFUNCTION("""COMPUTED_VALUE"""),"قسم المشاريع الهندسية")</f>
        <v>قسم المشاريع الهندسية</v>
      </c>
      <c r="F354" s="26" t="str">
        <f ca="1">IFERROR(__xludf.DUMMYFUNCTION("""COMPUTED_VALUE"""),"A- المركز الثقافي")</f>
        <v>A- المركز الثقافي</v>
      </c>
      <c r="G354" s="26"/>
      <c r="H354" s="26" t="str">
        <f ca="1">IFERROR(__xludf.DUMMYFUNCTION("""COMPUTED_VALUE"""),"إصلاح المكنسة الكهربائية التابعة لشعبتنا")</f>
        <v>إصلاح المكنسة الكهربائية التابعة لشعبتنا</v>
      </c>
      <c r="I354" s="26"/>
      <c r="J354" s="26" t="s">
        <v>3910</v>
      </c>
      <c r="K354" s="26" t="s">
        <v>13</v>
      </c>
      <c r="L354" s="55">
        <v>46142.392773194442</v>
      </c>
      <c r="M354" s="26"/>
      <c r="N354" s="29"/>
    </row>
    <row r="355" spans="1:14" ht="75" customHeight="1" thickTop="1" thickBot="1">
      <c r="A355" s="34">
        <v>353</v>
      </c>
      <c r="B355" s="55">
        <f ca="1">IFERROR(__xludf.DUMMYFUNCTION("""COMPUTED_VALUE"""),46142.4679858332)</f>
        <v>46142.467985833297</v>
      </c>
      <c r="C355" s="56" t="str">
        <f ca="1">IFERROR(__xludf.DUMMYFUNCTION("""COMPUTED_VALUE"""),"المعملجي")</f>
        <v>المعملجي</v>
      </c>
      <c r="D355" s="56" t="str">
        <f ca="1">IFERROR(__xludf.DUMMYFUNCTION("""COMPUTED_VALUE"""),"سجاد تربية")</f>
        <v>سجاد تربية</v>
      </c>
      <c r="E355" s="26" t="str">
        <f ca="1">IFERROR(__xludf.DUMMYFUNCTION("""COMPUTED_VALUE"""),"قسم التربية والتعليم العالي")</f>
        <v>قسم التربية والتعليم العالي</v>
      </c>
      <c r="F355" s="26" t="str">
        <f ca="1">IFERROR(__xludf.DUMMYFUNCTION("""COMPUTED_VALUE"""),"كرفان وحدة الخدمات المدرسية (أبو سجاد)")</f>
        <v>كرفان وحدة الخدمات المدرسية (أبو سجاد)</v>
      </c>
      <c r="G355" s="26" t="str">
        <f ca="1">IFERROR(__xludf.DUMMYFUNCTION("""COMPUTED_VALUE"""),"/")</f>
        <v>/</v>
      </c>
      <c r="H355" s="26" t="str">
        <f ca="1">IFERROR(__xludf.DUMMYFUNCTION("""COMPUTED_VALUE"""),"صيانة سبلت ")</f>
        <v xml:space="preserve">صيانة سبلت </v>
      </c>
      <c r="I355" s="26"/>
      <c r="J355" s="26" t="s">
        <v>15</v>
      </c>
      <c r="K355" s="26" t="s">
        <v>13</v>
      </c>
      <c r="L355" s="55">
        <v>46144.396050173615</v>
      </c>
      <c r="M355" s="26"/>
      <c r="N355" s="29"/>
    </row>
    <row r="356" spans="1:14" ht="75" customHeight="1" thickTop="1" thickBot="1">
      <c r="A356" s="26">
        <v>354</v>
      </c>
      <c r="B356" s="55">
        <f ca="1">IFERROR(__xludf.DUMMYFUNCTION("""COMPUTED_VALUE"""),46142.4683124189)</f>
        <v>46142.468312418903</v>
      </c>
      <c r="C356" s="56" t="str">
        <f ca="1">IFERROR(__xludf.DUMMYFUNCTION("""COMPUTED_VALUE"""),"المعملجي")</f>
        <v>المعملجي</v>
      </c>
      <c r="D356" s="56" t="str">
        <f ca="1">IFERROR(__xludf.DUMMYFUNCTION("""COMPUTED_VALUE"""),"سجاد تربية")</f>
        <v>سجاد تربية</v>
      </c>
      <c r="E356" s="26" t="str">
        <f ca="1">IFERROR(__xludf.DUMMYFUNCTION("""COMPUTED_VALUE"""),"قسم التربية والتعليم العالي")</f>
        <v>قسم التربية والتعليم العالي</v>
      </c>
      <c r="F356" s="26" t="str">
        <f ca="1">IFERROR(__xludf.DUMMYFUNCTION("""COMPUTED_VALUE"""),"I- ابتدائية الساقي للبنين (السادسة)")</f>
        <v>I- ابتدائية الساقي للبنين (السادسة)</v>
      </c>
      <c r="G356" s="26" t="str">
        <f ca="1">IFERROR(__xludf.DUMMYFUNCTION("""COMPUTED_VALUE"""),"الطابق الاول")</f>
        <v>الطابق الاول</v>
      </c>
      <c r="H356" s="26" t="str">
        <f ca="1">IFERROR(__xludf.DUMMYFUNCTION("""COMPUTED_VALUE"""),"صيانة رحلات ")</f>
        <v xml:space="preserve">صيانة رحلات </v>
      </c>
      <c r="I356" s="26"/>
      <c r="J356" s="26" t="s">
        <v>16</v>
      </c>
      <c r="K356" s="26" t="s">
        <v>13</v>
      </c>
      <c r="L356" s="55">
        <v>46144.483160081014</v>
      </c>
      <c r="M356" s="26"/>
      <c r="N356" s="29"/>
    </row>
    <row r="357" spans="1:14" ht="75" customHeight="1" thickTop="1" thickBot="1">
      <c r="A357" s="34">
        <v>355</v>
      </c>
      <c r="B357" s="55">
        <f ca="1">IFERROR(__xludf.DUMMYFUNCTION("""COMPUTED_VALUE"""),46142.4687984143)</f>
        <v>46142.468798414302</v>
      </c>
      <c r="C357" s="56" t="str">
        <f ca="1">IFERROR(__xludf.DUMMYFUNCTION("""COMPUTED_VALUE"""),"المعملجي")</f>
        <v>المعملجي</v>
      </c>
      <c r="D357" s="56" t="str">
        <f ca="1">IFERROR(__xludf.DUMMYFUNCTION("""COMPUTED_VALUE"""),"سجاد تربية")</f>
        <v>سجاد تربية</v>
      </c>
      <c r="E357" s="26" t="str">
        <f ca="1">IFERROR(__xludf.DUMMYFUNCTION("""COMPUTED_VALUE"""),"قسم التربية والتعليم العالي")</f>
        <v>قسم التربية والتعليم العالي</v>
      </c>
      <c r="F357" s="26" t="str">
        <f ca="1">IFERROR(__xludf.DUMMYFUNCTION("""COMPUTED_VALUE"""),"الاستعلامات الرئيسية")</f>
        <v>الاستعلامات الرئيسية</v>
      </c>
      <c r="G357" s="26" t="str">
        <f ca="1">IFERROR(__xludf.DUMMYFUNCTION("""COMPUTED_VALUE"""),"الطابق الارضي")</f>
        <v>الطابق الارضي</v>
      </c>
      <c r="H357" s="26" t="str">
        <f ca="1">IFERROR(__xludf.DUMMYFUNCTION("""COMPUTED_VALUE"""),"صيانة مغسلة ")</f>
        <v xml:space="preserve">صيانة مغسلة </v>
      </c>
      <c r="I357" s="26"/>
      <c r="J357" s="26" t="s">
        <v>14</v>
      </c>
      <c r="K357" s="26" t="s">
        <v>13</v>
      </c>
      <c r="L357" s="55">
        <v>46142.492587407411</v>
      </c>
      <c r="M357" s="26"/>
      <c r="N357" s="29"/>
    </row>
    <row r="358" spans="1:14" ht="75" customHeight="1" thickTop="1" thickBot="1">
      <c r="A358" s="26">
        <v>356</v>
      </c>
      <c r="B358" s="55">
        <f ca="1">IFERROR(__xludf.DUMMYFUNCTION("""COMPUTED_VALUE"""),46142.471009074)</f>
        <v>46142.471009073997</v>
      </c>
      <c r="C358" s="56" t="str">
        <f ca="1">IFERROR(__xludf.DUMMYFUNCTION("""COMPUTED_VALUE"""),"المعملجي")</f>
        <v>المعملجي</v>
      </c>
      <c r="D358" s="56" t="str">
        <f ca="1">IFERROR(__xludf.DUMMYFUNCTION("""COMPUTED_VALUE"""),"وحدة المدني")</f>
        <v>وحدة المدني</v>
      </c>
      <c r="E358" s="26" t="str">
        <f ca="1">IFERROR(__xludf.DUMMYFUNCTION("""COMPUTED_VALUE"""),"قسم المشاريع الهندسية")</f>
        <v>قسم المشاريع الهندسية</v>
      </c>
      <c r="F358" s="26" t="str">
        <f ca="1">IFERROR(__xludf.DUMMYFUNCTION("""COMPUTED_VALUE"""),"A- المركز الثقافي")</f>
        <v>A- المركز الثقافي</v>
      </c>
      <c r="G358" s="26" t="str">
        <f ca="1">IFERROR(__xludf.DUMMYFUNCTION("""COMPUTED_VALUE"""),"الطابق الاول")</f>
        <v>الطابق الاول</v>
      </c>
      <c r="H358" s="26" t="str">
        <f ca="1">IFERROR(__xludf.DUMMYFUNCTION("""COMPUTED_VALUE"""),"سد فتحات سبلت كنتوري عدد 2 ")</f>
        <v xml:space="preserve">سد فتحات سبلت كنتوري عدد 2 </v>
      </c>
      <c r="I358" s="26"/>
      <c r="J358" s="26" t="s">
        <v>16</v>
      </c>
      <c r="K358" s="26" t="s">
        <v>13</v>
      </c>
      <c r="L358" s="55">
        <v>46142.471263518513</v>
      </c>
      <c r="M358" s="26"/>
      <c r="N358" s="29"/>
    </row>
    <row r="359" spans="1:14" ht="75" customHeight="1" thickTop="1" thickBot="1">
      <c r="A359" s="34">
        <v>357</v>
      </c>
      <c r="B359" s="55">
        <f ca="1">IFERROR(__xludf.DUMMYFUNCTION("""COMPUTED_VALUE"""),46142.5266565277)</f>
        <v>46142.526656527698</v>
      </c>
      <c r="C359" s="56" t="str">
        <f ca="1">IFERROR(__xludf.DUMMYFUNCTION("""COMPUTED_VALUE"""),"المعملجي")</f>
        <v>المعملجي</v>
      </c>
      <c r="D359" s="56" t="str">
        <f ca="1">IFERROR(__xludf.DUMMYFUNCTION("""COMPUTED_VALUE"""),"سجاد تربية")</f>
        <v>سجاد تربية</v>
      </c>
      <c r="E359" s="26" t="str">
        <f ca="1">IFERROR(__xludf.DUMMYFUNCTION("""COMPUTED_VALUE"""),"قسم التربية والتعليم العالي")</f>
        <v>قسم التربية والتعليم العالي</v>
      </c>
      <c r="F359" s="26" t="str">
        <f ca="1">IFERROR(__xludf.DUMMYFUNCTION("""COMPUTED_VALUE"""),"B- روضة القمر")</f>
        <v>B- روضة القمر</v>
      </c>
      <c r="G359" s="26" t="str">
        <f ca="1">IFERROR(__xludf.DUMMYFUNCTION("""COMPUTED_VALUE"""),"الطابق الارضي, الطابق الاول")</f>
        <v>الطابق الارضي, الطابق الاول</v>
      </c>
      <c r="H359" s="26" t="str">
        <f ca="1">IFERROR(__xludf.DUMMYFUNCTION("""COMPUTED_VALUE"""),"صيانة ميز عدد 2")</f>
        <v>صيانة ميز عدد 2</v>
      </c>
      <c r="I359" s="26"/>
      <c r="J359" s="26" t="s">
        <v>16</v>
      </c>
      <c r="K359" s="26" t="s">
        <v>13</v>
      </c>
      <c r="L359" s="55">
        <v>46142.527261365743</v>
      </c>
      <c r="M359" s="26"/>
    </row>
    <row r="360" spans="1:14" ht="75" customHeight="1" thickTop="1" thickBot="1">
      <c r="A360" s="26">
        <v>358</v>
      </c>
      <c r="B360" s="55">
        <f ca="1">IFERROR(__xludf.DUMMYFUNCTION("""COMPUTED_VALUE"""),46145.3585376273)</f>
        <v>46145.358537627297</v>
      </c>
      <c r="C360" s="56" t="str">
        <f ca="1">IFERROR(__xludf.DUMMYFUNCTION("""COMPUTED_VALUE"""),"المعملجي")</f>
        <v>المعملجي</v>
      </c>
      <c r="D360" s="56" t="str">
        <f ca="1">IFERROR(__xludf.DUMMYFUNCTION("""COMPUTED_VALUE"""),"سجاد تربية")</f>
        <v>سجاد تربية</v>
      </c>
      <c r="E360" s="26" t="str">
        <f ca="1">IFERROR(__xludf.DUMMYFUNCTION("""COMPUTED_VALUE"""),"قسم التربية والتعليم العالي")</f>
        <v>قسم التربية والتعليم العالي</v>
      </c>
      <c r="F360" s="26" t="str">
        <f ca="1">IFERROR(__xludf.DUMMYFUNCTION("""COMPUTED_VALUE"""),"B- روضة القمر")</f>
        <v>B- روضة القمر</v>
      </c>
      <c r="G360" s="26" t="str">
        <f ca="1">IFERROR(__xludf.DUMMYFUNCTION("""COMPUTED_VALUE"""),"الطابق الارضي")</f>
        <v>الطابق الارضي</v>
      </c>
      <c r="H360" s="26" t="str">
        <f ca="1">IFERROR(__xludf.DUMMYFUNCTION("""COMPUTED_VALUE"""),"لايوجد ماء في منظومة الماء")</f>
        <v>لايوجد ماء في منظومة الماء</v>
      </c>
      <c r="I360" s="26"/>
      <c r="J360" s="26" t="s">
        <v>14</v>
      </c>
      <c r="K360" s="26" t="s">
        <v>13</v>
      </c>
      <c r="L360" s="55">
        <v>46145.398281886577</v>
      </c>
      <c r="M360" s="26"/>
    </row>
    <row r="361" spans="1:14" ht="75" customHeight="1" thickTop="1" thickBot="1">
      <c r="A361" s="34">
        <v>359</v>
      </c>
      <c r="B361" s="55">
        <f ca="1">IFERROR(__xludf.DUMMYFUNCTION("""COMPUTED_VALUE"""),46145.3622380671)</f>
        <v>46145.3622380671</v>
      </c>
      <c r="C361" s="56" t="str">
        <f ca="1">IFERROR(__xludf.DUMMYFUNCTION("""COMPUTED_VALUE"""),"المعملجي")</f>
        <v>المعملجي</v>
      </c>
      <c r="D361" s="56" t="str">
        <f ca="1">IFERROR(__xludf.DUMMYFUNCTION("""COMPUTED_VALUE"""),"سجاد تربية")</f>
        <v>سجاد تربية</v>
      </c>
      <c r="E361" s="26" t="str">
        <f ca="1">IFERROR(__xludf.DUMMYFUNCTION("""COMPUTED_VALUE"""),"قسم التربية والتعليم العالي")</f>
        <v>قسم التربية والتعليم العالي</v>
      </c>
      <c r="F361" s="26" t="str">
        <f ca="1">IFERROR(__xludf.DUMMYFUNCTION("""COMPUTED_VALUE"""),"مقابل قاعة السراج ")</f>
        <v xml:space="preserve">مقابل قاعة السراج </v>
      </c>
      <c r="G361" s="26" t="str">
        <f ca="1">IFERROR(__xludf.DUMMYFUNCTION("""COMPUTED_VALUE"""),"/")</f>
        <v>/</v>
      </c>
      <c r="H361" s="26" t="str">
        <f ca="1">IFERROR(__xludf.DUMMYFUNCTION("""COMPUTED_VALUE"""),"صيانة قبق منهولة ")</f>
        <v xml:space="preserve">صيانة قبق منهولة </v>
      </c>
      <c r="I361" s="26"/>
      <c r="J361" s="26" t="s">
        <v>14</v>
      </c>
      <c r="K361" s="26" t="s">
        <v>13</v>
      </c>
      <c r="L361" s="55">
        <v>46145.555922870371</v>
      </c>
      <c r="M361" s="26"/>
    </row>
    <row r="362" spans="1:14" ht="75" customHeight="1" thickTop="1" thickBot="1">
      <c r="A362" s="26">
        <v>360</v>
      </c>
      <c r="B362" s="55">
        <f ca="1">IFERROR(__xludf.DUMMYFUNCTION("""COMPUTED_VALUE"""),46146.3663842245)</f>
        <v>46146.366384224501</v>
      </c>
      <c r="C362" s="56" t="str">
        <f ca="1">IFERROR(__xludf.DUMMYFUNCTION("""COMPUTED_VALUE"""),"المعملجي")</f>
        <v>المعملجي</v>
      </c>
      <c r="D362" s="56" t="str">
        <f ca="1">IFERROR(__xludf.DUMMYFUNCTION("""COMPUTED_VALUE"""),"وحدة المدني")</f>
        <v>وحدة المدني</v>
      </c>
      <c r="E362" s="26" t="str">
        <f ca="1">IFERROR(__xludf.DUMMYFUNCTION("""COMPUTED_VALUE"""),"قسم المشاريع الهندسية")</f>
        <v>قسم المشاريع الهندسية</v>
      </c>
      <c r="F362" s="26" t="str">
        <f ca="1">IFERROR(__xludf.DUMMYFUNCTION("""COMPUTED_VALUE"""),"A- المركز الثقافي")</f>
        <v>A- المركز الثقافي</v>
      </c>
      <c r="G362" s="26" t="str">
        <f ca="1">IFERROR(__xludf.DUMMYFUNCTION("""COMPUTED_VALUE"""),"الطابق الثالث, السطح")</f>
        <v>الطابق الثالث, السطح</v>
      </c>
      <c r="H362" s="26" t="str">
        <f ca="1">IFERROR(__xludf.DUMMYFUNCTION("""COMPUTED_VALUE"""),"شربته سطح المصلى ")</f>
        <v xml:space="preserve">شربته سطح المصلى </v>
      </c>
      <c r="I362" s="26"/>
      <c r="J362" s="26" t="s">
        <v>16</v>
      </c>
      <c r="K362" s="26" t="s">
        <v>13</v>
      </c>
      <c r="L362" s="55"/>
      <c r="M362" s="26"/>
    </row>
    <row r="363" spans="1:14" ht="75" customHeight="1" thickTop="1" thickBot="1">
      <c r="A363" s="34">
        <v>361</v>
      </c>
      <c r="B363" s="55">
        <f ca="1">IFERROR(__xludf.DUMMYFUNCTION("""COMPUTED_VALUE"""),46146.3672182638)</f>
        <v>46146.367218263797</v>
      </c>
      <c r="C363" s="56" t="str">
        <f ca="1">IFERROR(__xludf.DUMMYFUNCTION("""COMPUTED_VALUE"""),"المعملجي")</f>
        <v>المعملجي</v>
      </c>
      <c r="D363" s="56" t="str">
        <f ca="1">IFERROR(__xludf.DUMMYFUNCTION("""COMPUTED_VALUE"""),"وحدة المدني")</f>
        <v>وحدة المدني</v>
      </c>
      <c r="E363" s="26" t="str">
        <f ca="1">IFERROR(__xludf.DUMMYFUNCTION("""COMPUTED_VALUE"""),"قسم المشاريع الهندسية")</f>
        <v>قسم المشاريع الهندسية</v>
      </c>
      <c r="F363" s="26" t="str">
        <f ca="1">IFERROR(__xludf.DUMMYFUNCTION("""COMPUTED_VALUE"""),"E- ابتدائية العميد للبنات (الثالثة)")</f>
        <v>E- ابتدائية العميد للبنات (الثالثة)</v>
      </c>
      <c r="G363" s="26" t="str">
        <f ca="1">IFERROR(__xludf.DUMMYFUNCTION("""COMPUTED_VALUE"""),"الطابق الاول, ZONE B")</f>
        <v>الطابق الاول, ZONE B</v>
      </c>
      <c r="H363" s="26" t="str">
        <f ca="1">IFERROR(__xludf.DUMMYFUNCTION("""COMPUTED_VALUE"""),"تبديل لبة باب المنيوم ")</f>
        <v xml:space="preserve">تبديل لبة باب المنيوم </v>
      </c>
      <c r="I363" s="26"/>
      <c r="J363" s="26" t="s">
        <v>16</v>
      </c>
      <c r="K363" s="26" t="s">
        <v>13</v>
      </c>
      <c r="L363" s="55"/>
      <c r="M363" s="26"/>
    </row>
    <row r="364" spans="1:14" ht="75" customHeight="1" thickTop="1" thickBot="1">
      <c r="A364" s="26">
        <v>362</v>
      </c>
      <c r="B364" s="55">
        <f ca="1">IFERROR(__xludf.DUMMYFUNCTION("""COMPUTED_VALUE"""),46146.368744074)</f>
        <v>46146.368744074003</v>
      </c>
      <c r="C364" s="56" t="str">
        <f ca="1">IFERROR(__xludf.DUMMYFUNCTION("""COMPUTED_VALUE"""),"المعملجي")</f>
        <v>المعملجي</v>
      </c>
      <c r="D364" s="56" t="str">
        <f ca="1">IFERROR(__xludf.DUMMYFUNCTION("""COMPUTED_VALUE"""),"وحدة الميكانيك")</f>
        <v>وحدة الميكانيك</v>
      </c>
      <c r="E364" s="26" t="str">
        <f ca="1">IFERROR(__xludf.DUMMYFUNCTION("""COMPUTED_VALUE"""),"قسم المشاريع الهندسية")</f>
        <v>قسم المشاريع الهندسية</v>
      </c>
      <c r="F364" s="26" t="str">
        <f ca="1">IFERROR(__xludf.DUMMYFUNCTION("""COMPUTED_VALUE"""),"الحدائق ")</f>
        <v xml:space="preserve">الحدائق </v>
      </c>
      <c r="G364" s="26" t="str">
        <f ca="1">IFERROR(__xludf.DUMMYFUNCTION("""COMPUTED_VALUE"""),"الطابق الارضي")</f>
        <v>الطابق الارضي</v>
      </c>
      <c r="H364" s="26" t="str">
        <f ca="1">IFERROR(__xludf.DUMMYFUNCTION("""COMPUTED_VALUE"""),"تبديل كاك عدد 3")</f>
        <v>تبديل كاك عدد 3</v>
      </c>
      <c r="I364" s="26"/>
      <c r="J364" s="26" t="s">
        <v>14</v>
      </c>
      <c r="K364" s="26" t="s">
        <v>13</v>
      </c>
      <c r="L364" s="55"/>
      <c r="M364" s="26"/>
    </row>
    <row r="365" spans="1:14" ht="75" customHeight="1" thickTop="1" thickBot="1">
      <c r="A365" s="34">
        <v>363</v>
      </c>
      <c r="B365" s="55">
        <f ca="1">IFERROR(__xludf.DUMMYFUNCTION("""COMPUTED_VALUE"""),46146.3698625925)</f>
        <v>46146.369862592503</v>
      </c>
      <c r="C365" s="56" t="str">
        <f ca="1">IFERROR(__xludf.DUMMYFUNCTION("""COMPUTED_VALUE"""),"المعملجي")</f>
        <v>المعملجي</v>
      </c>
      <c r="D365" s="56" t="str">
        <f ca="1">IFERROR(__xludf.DUMMYFUNCTION("""COMPUTED_VALUE"""),"وحدة الميكانيك")</f>
        <v>وحدة الميكانيك</v>
      </c>
      <c r="E365" s="26" t="str">
        <f ca="1">IFERROR(__xludf.DUMMYFUNCTION("""COMPUTED_VALUE"""),"قسم المشاريع الهندسية")</f>
        <v>قسم المشاريع الهندسية</v>
      </c>
      <c r="F365" s="26" t="str">
        <f ca="1">IFERROR(__xludf.DUMMYFUNCTION("""COMPUTED_VALUE"""),"A- المركز الثقافي, B- روضة القمر")</f>
        <v>A- المركز الثقافي, B- روضة القمر</v>
      </c>
      <c r="G365" s="26" t="str">
        <f ca="1">IFERROR(__xludf.DUMMYFUNCTION("""COMPUTED_VALUE"""),"السطح")</f>
        <v>السطح</v>
      </c>
      <c r="H365" s="26" t="str">
        <f ca="1">IFERROR(__xludf.DUMMYFUNCTION("""COMPUTED_VALUE"""),"ملئ خزان الكاز لمنظومة الاطفاء")</f>
        <v>ملئ خزان الكاز لمنظومة الاطفاء</v>
      </c>
      <c r="I365" s="26"/>
      <c r="J365" s="26" t="s">
        <v>14</v>
      </c>
      <c r="K365" s="26" t="s">
        <v>13</v>
      </c>
      <c r="L365" s="55"/>
      <c r="M365" s="26"/>
    </row>
    <row r="366" spans="1:14" ht="75" customHeight="1" thickTop="1" thickBot="1">
      <c r="A366" s="26">
        <v>364</v>
      </c>
      <c r="B366" s="55">
        <f ca="1">IFERROR(__xludf.DUMMYFUNCTION("""COMPUTED_VALUE"""),46146.3705936342)</f>
        <v>46146.370593634201</v>
      </c>
      <c r="C366" s="56" t="str">
        <f ca="1">IFERROR(__xludf.DUMMYFUNCTION("""COMPUTED_VALUE"""),"المعملجي")</f>
        <v>المعملجي</v>
      </c>
      <c r="D366" s="56" t="str">
        <f ca="1">IFERROR(__xludf.DUMMYFUNCTION("""COMPUTED_VALUE"""),"وحدة الميكانيك")</f>
        <v>وحدة الميكانيك</v>
      </c>
      <c r="E366" s="26" t="str">
        <f ca="1">IFERROR(__xludf.DUMMYFUNCTION("""COMPUTED_VALUE"""),"قسم المشاريع الهندسية")</f>
        <v>قسم المشاريع الهندسية</v>
      </c>
      <c r="F366" s="26" t="str">
        <f ca="1">IFERROR(__xludf.DUMMYFUNCTION("""COMPUTED_VALUE"""),"C-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f>
        <v>C- ثانوية العميد بناية الاعدادية  (الاولى), D- ثانوية العميد بناية المتوسطة  (الثانية), E- ابتدائية العميد للبنات (الثالثة), F-  ابتدائية جود العميد للبنات (الرابعة), H- ابتدائية القمر للبنات (الخامسة)</v>
      </c>
      <c r="G366" s="26" t="str">
        <f ca="1">IFERROR(__xludf.DUMMYFUNCTION("""COMPUTED_VALUE"""),"السطح")</f>
        <v>السطح</v>
      </c>
      <c r="H366" s="26" t="str">
        <f ca="1">IFERROR(__xludf.DUMMYFUNCTION("""COMPUTED_VALUE"""),"فحص منظومات الماء Ro")</f>
        <v>فحص منظومات الماء Ro</v>
      </c>
      <c r="I366" s="26"/>
      <c r="J366" s="26" t="s">
        <v>14</v>
      </c>
      <c r="K366" s="26" t="s">
        <v>13</v>
      </c>
      <c r="L366" s="55"/>
      <c r="M366" s="26"/>
    </row>
    <row r="367" spans="1:14" ht="75" customHeight="1" thickTop="1" thickBot="1">
      <c r="A367" s="34">
        <v>365</v>
      </c>
      <c r="B367" s="55">
        <f ca="1">IFERROR(__xludf.DUMMYFUNCTION("""COMPUTED_VALUE"""),46146.3716116202)</f>
        <v>46146.3716116203</v>
      </c>
      <c r="C367" s="56" t="str">
        <f ca="1">IFERROR(__xludf.DUMMYFUNCTION("""COMPUTED_VALUE"""),"المعملجي")</f>
        <v>المعملجي</v>
      </c>
      <c r="D367" s="56" t="str">
        <f ca="1">IFERROR(__xludf.DUMMYFUNCTION("""COMPUTED_VALUE"""),"وحدة الميكانيك")</f>
        <v>وحدة الميكانيك</v>
      </c>
      <c r="E367" s="26" t="str">
        <f ca="1">IFERROR(__xludf.DUMMYFUNCTION("""COMPUTED_VALUE"""),"قسم المشاريع الهندسية")</f>
        <v>قسم المشاريع الهندسية</v>
      </c>
      <c r="F367" s="26"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G367" s="26" t="str">
        <f ca="1">IFERROR(__xludf.DUMMYFUNCTION("""COMPUTED_VALUE"""),"السطح")</f>
        <v>السطح</v>
      </c>
      <c r="H367" s="26" t="str">
        <f ca="1">IFERROR(__xludf.DUMMYFUNCTION("""COMPUTED_VALUE"""),"ملئ خزان الكاز لمنظومة الاطفاء ")</f>
        <v xml:space="preserve">ملئ خزان الكاز لمنظومة الاطفاء </v>
      </c>
      <c r="I367" s="26"/>
      <c r="J367" s="26" t="s">
        <v>14</v>
      </c>
      <c r="K367" s="26" t="s">
        <v>13</v>
      </c>
      <c r="L367" s="55"/>
      <c r="M367" s="26"/>
    </row>
    <row r="368" spans="1:14" ht="75" customHeight="1" thickTop="1" thickBot="1">
      <c r="A368" s="26">
        <v>366</v>
      </c>
      <c r="B368" s="55">
        <f ca="1">IFERROR(__xludf.DUMMYFUNCTION("""COMPUTED_VALUE"""),46146.4010801851)</f>
        <v>46146.401080185096</v>
      </c>
      <c r="C368" s="56" t="str">
        <f ca="1">IFERROR(__xludf.DUMMYFUNCTION("""COMPUTED_VALUE"""),"المعملجي")</f>
        <v>المعملجي</v>
      </c>
      <c r="D368" s="56" t="str">
        <f ca="1">IFERROR(__xludf.DUMMYFUNCTION("""COMPUTED_VALUE"""),"سجاد تربية")</f>
        <v>سجاد تربية</v>
      </c>
      <c r="E368" s="26" t="str">
        <f ca="1">IFERROR(__xludf.DUMMYFUNCTION("""COMPUTED_VALUE"""),"قسم التربية والتعليم العالي")</f>
        <v>قسم التربية والتعليم العالي</v>
      </c>
      <c r="F368" s="26" t="str">
        <f ca="1">IFERROR(__xludf.DUMMYFUNCTION("""COMPUTED_VALUE"""),"الاستعلامات الرئيسية")</f>
        <v>الاستعلامات الرئيسية</v>
      </c>
      <c r="G368" s="26" t="str">
        <f ca="1">IFERROR(__xludf.DUMMYFUNCTION("""COMPUTED_VALUE"""),"غرفة الادارة ")</f>
        <v xml:space="preserve">غرفة الادارة </v>
      </c>
      <c r="H368" s="26" t="str">
        <f ca="1">IFERROR(__xludf.DUMMYFUNCTION("""COMPUTED_VALUE"""),"صيانة سبلت ")</f>
        <v xml:space="preserve">صيانة سبلت </v>
      </c>
      <c r="I368" s="26"/>
      <c r="J368" s="26" t="s">
        <v>15</v>
      </c>
      <c r="K368" s="26" t="s">
        <v>13</v>
      </c>
      <c r="L368" s="55">
        <v>46146.473179976849</v>
      </c>
      <c r="M368" s="26"/>
    </row>
    <row r="369" spans="1:13" ht="75" customHeight="1" thickTop="1" thickBot="1">
      <c r="A369" s="34">
        <v>367</v>
      </c>
      <c r="B369" s="55">
        <f ca="1">IFERROR(__xludf.DUMMYFUNCTION("""COMPUTED_VALUE"""),46146.4021946296)</f>
        <v>46146.402194629598</v>
      </c>
      <c r="C369" s="56" t="str">
        <f ca="1">IFERROR(__xludf.DUMMYFUNCTION("""COMPUTED_VALUE"""),"المعملجي")</f>
        <v>المعملجي</v>
      </c>
      <c r="D369" s="56" t="str">
        <f ca="1">IFERROR(__xludf.DUMMYFUNCTION("""COMPUTED_VALUE"""),"سجاد تربية")</f>
        <v>سجاد تربية</v>
      </c>
      <c r="E369" s="26" t="str">
        <f ca="1">IFERROR(__xludf.DUMMYFUNCTION("""COMPUTED_VALUE"""),"قسم التربية والتعليم العالي")</f>
        <v>قسم التربية والتعليم العالي</v>
      </c>
      <c r="F369" s="26" t="str">
        <f ca="1">IFERROR(__xludf.DUMMYFUNCTION("""COMPUTED_VALUE"""),"الاستعلامات الرئيسية")</f>
        <v>الاستعلامات الرئيسية</v>
      </c>
      <c r="G369" s="26" t="str">
        <f ca="1">IFERROR(__xludf.DUMMYFUNCTION("""COMPUTED_VALUE"""),"الباب الرئيسية ")</f>
        <v xml:space="preserve">الباب الرئيسية </v>
      </c>
      <c r="H369" s="26" t="str">
        <f ca="1">IFERROR(__xludf.DUMMYFUNCTION("""COMPUTED_VALUE"""),"صيانة الباب الرئيسية ")</f>
        <v xml:space="preserve">صيانة الباب الرئيسية </v>
      </c>
      <c r="I369" s="26"/>
      <c r="J369" s="26" t="s">
        <v>3910</v>
      </c>
      <c r="K369" s="26" t="s">
        <v>13</v>
      </c>
      <c r="L369" s="55">
        <v>46149.538600567132</v>
      </c>
      <c r="M369" s="26"/>
    </row>
    <row r="370" spans="1:13" ht="75" customHeight="1" thickTop="1" thickBot="1">
      <c r="A370" s="26">
        <v>368</v>
      </c>
      <c r="B370" s="55">
        <f ca="1">IFERROR(__xludf.DUMMYFUNCTION("""COMPUTED_VALUE"""),46146.5076254745)</f>
        <v>46146.5076254745</v>
      </c>
      <c r="C370" s="56" t="str">
        <f ca="1">IFERROR(__xludf.DUMMYFUNCTION("""COMPUTED_VALUE"""),"المعملجي")</f>
        <v>المعملجي</v>
      </c>
      <c r="D370" s="56" t="str">
        <f ca="1">IFERROR(__xludf.DUMMYFUNCTION("""COMPUTED_VALUE"""),"سجاد تربية")</f>
        <v>سجاد تربية</v>
      </c>
      <c r="E370" s="26" t="str">
        <f ca="1">IFERROR(__xludf.DUMMYFUNCTION("""COMPUTED_VALUE"""),"قسم التربية والتعليم العالي")</f>
        <v>قسم التربية والتعليم العالي</v>
      </c>
      <c r="F370" s="26" t="str">
        <f ca="1">IFERROR(__xludf.DUMMYFUNCTION("""COMPUTED_VALUE"""),"B- روضة القمر")</f>
        <v>B- روضة القمر</v>
      </c>
      <c r="G370" s="26" t="str">
        <f ca="1">IFERROR(__xludf.DUMMYFUNCTION("""COMPUTED_VALUE"""),"الطابق الارضي")</f>
        <v>الطابق الارضي</v>
      </c>
      <c r="H370" s="26" t="str">
        <f ca="1">IFERROR(__xludf.DUMMYFUNCTION("""COMPUTED_VALUE"""),"صيانة حنفية ماء المنظومة ")</f>
        <v xml:space="preserve">صيانة حنفية ماء المنظومة </v>
      </c>
      <c r="I370" s="26"/>
      <c r="J370" s="26" t="s">
        <v>14</v>
      </c>
      <c r="K370" s="26" t="s">
        <v>13</v>
      </c>
      <c r="L370" s="55">
        <v>46147.338993263889</v>
      </c>
      <c r="M370" s="26"/>
    </row>
    <row r="371" spans="1:13" ht="75" customHeight="1" thickTop="1" thickBot="1">
      <c r="A371" s="34">
        <v>369</v>
      </c>
      <c r="B371" s="55">
        <f ca="1">IFERROR(__xludf.DUMMYFUNCTION("""COMPUTED_VALUE"""),46146.515113287)</f>
        <v>46146.515113287001</v>
      </c>
      <c r="C371" s="56" t="str">
        <f ca="1">IFERROR(__xludf.DUMMYFUNCTION("""COMPUTED_VALUE"""),"المعملجي")</f>
        <v>المعملجي</v>
      </c>
      <c r="D371" s="56" t="str">
        <f ca="1">IFERROR(__xludf.DUMMYFUNCTION("""COMPUTED_VALUE"""),"سجاد تربية")</f>
        <v>سجاد تربية</v>
      </c>
      <c r="E371" s="26" t="str">
        <f ca="1">IFERROR(__xludf.DUMMYFUNCTION("""COMPUTED_VALUE"""),"قسم التربية والتعليم العالي")</f>
        <v>قسم التربية والتعليم العالي</v>
      </c>
      <c r="F371" s="26" t="str">
        <f ca="1">IFERROR(__xludf.DUMMYFUNCTION("""COMPUTED_VALUE"""),"G- روضة الجود")</f>
        <v>G- روضة الجود</v>
      </c>
      <c r="G371" s="26" t="str">
        <f ca="1">IFERROR(__xludf.DUMMYFUNCTION("""COMPUTED_VALUE"""),"صف الزهور ")</f>
        <v xml:space="preserve">صف الزهور </v>
      </c>
      <c r="H371" s="26" t="str">
        <f ca="1">IFERROR(__xludf.DUMMYFUNCTION("""COMPUTED_VALUE"""),"صيانة نقطة كهرباء ")</f>
        <v xml:space="preserve">صيانة نقطة كهرباء </v>
      </c>
      <c r="I371" s="26"/>
      <c r="J371" s="26" t="s">
        <v>3910</v>
      </c>
      <c r="K371" s="26" t="s">
        <v>13</v>
      </c>
      <c r="L371" s="55">
        <v>46147.458988842598</v>
      </c>
      <c r="M371" s="26"/>
    </row>
    <row r="372" spans="1:13" ht="75" customHeight="1" thickTop="1" thickBot="1">
      <c r="A372" s="26">
        <v>370</v>
      </c>
      <c r="B372" s="55">
        <f ca="1">IFERROR(__xludf.DUMMYFUNCTION("""COMPUTED_VALUE"""),46146.515700949)</f>
        <v>46146.515700948999</v>
      </c>
      <c r="C372" s="56" t="str">
        <f ca="1">IFERROR(__xludf.DUMMYFUNCTION("""COMPUTED_VALUE"""),"المعملجي")</f>
        <v>المعملجي</v>
      </c>
      <c r="D372" s="56" t="str">
        <f ca="1">IFERROR(__xludf.DUMMYFUNCTION("""COMPUTED_VALUE"""),"سجاد تربية")</f>
        <v>سجاد تربية</v>
      </c>
      <c r="E372" s="26" t="str">
        <f ca="1">IFERROR(__xludf.DUMMYFUNCTION("""COMPUTED_VALUE"""),"قسم التربية والتعليم العالي")</f>
        <v>قسم التربية والتعليم العالي</v>
      </c>
      <c r="F372" s="26" t="str">
        <f ca="1">IFERROR(__xludf.DUMMYFUNCTION("""COMPUTED_VALUE"""),"A- المركز الثقافي")</f>
        <v>A- المركز الثقافي</v>
      </c>
      <c r="G372" s="26" t="str">
        <f ca="1">IFERROR(__xludf.DUMMYFUNCTION("""COMPUTED_VALUE"""),"الطابق الثاني")</f>
        <v>الطابق الثاني</v>
      </c>
      <c r="H372" s="26" t="str">
        <f ca="1">IFERROR(__xludf.DUMMYFUNCTION("""COMPUTED_VALUE"""),"صيانة نرمايد في الكاونتر ")</f>
        <v xml:space="preserve">صيانة نرمايد في الكاونتر </v>
      </c>
      <c r="I372" s="26"/>
      <c r="J372" s="26" t="s">
        <v>16</v>
      </c>
      <c r="K372" s="26" t="s">
        <v>13</v>
      </c>
      <c r="L372" s="55">
        <v>46147.576613136574</v>
      </c>
      <c r="M372" s="26"/>
    </row>
    <row r="373" spans="1:13" ht="75" customHeight="1" thickTop="1" thickBot="1">
      <c r="A373" s="34">
        <v>371</v>
      </c>
      <c r="B373" s="55">
        <f ca="1">IFERROR(__xludf.DUMMYFUNCTION("""COMPUTED_VALUE"""),46147.3849478819)</f>
        <v>46147.384947881903</v>
      </c>
      <c r="C373" s="56" t="str">
        <f ca="1">IFERROR(__xludf.DUMMYFUNCTION("""COMPUTED_VALUE"""),"المعملجي")</f>
        <v>المعملجي</v>
      </c>
      <c r="D373" s="56" t="str">
        <f ca="1">IFERROR(__xludf.DUMMYFUNCTION("""COMPUTED_VALUE"""),"سجاد تربية")</f>
        <v>سجاد تربية</v>
      </c>
      <c r="E373" s="26" t="str">
        <f ca="1">IFERROR(__xludf.DUMMYFUNCTION("""COMPUTED_VALUE"""),"قسم المشاريع الهندسية, قسم التربية والتعليم العالي")</f>
        <v>قسم المشاريع الهندسية, قسم التربية والتعليم العالي</v>
      </c>
      <c r="F373" s="26" t="str">
        <f ca="1">IFERROR(__xludf.DUMMYFUNCTION("""COMPUTED_VALUE"""),"I- ابتدائية الساقي للبنين (السادسة)")</f>
        <v>I- ابتدائية الساقي للبنين (السادسة)</v>
      </c>
      <c r="G373" s="26" t="str">
        <f ca="1">IFERROR(__xludf.DUMMYFUNCTION("""COMPUTED_VALUE"""),"الطابق الاول")</f>
        <v>الطابق الاول</v>
      </c>
      <c r="H373" s="26" t="str">
        <f ca="1">IFERROR(__xludf.DUMMYFUNCTION("""COMPUTED_VALUE"""),"صيانة يدة باب ")</f>
        <v xml:space="preserve">صيانة يدة باب </v>
      </c>
      <c r="I373" s="26"/>
      <c r="J373" s="26" t="s">
        <v>16</v>
      </c>
      <c r="K373" s="26" t="s">
        <v>13</v>
      </c>
      <c r="L373" s="55">
        <v>46147.45864542824</v>
      </c>
      <c r="M373" s="26"/>
    </row>
    <row r="374" spans="1:13" ht="75" customHeight="1" thickTop="1" thickBot="1">
      <c r="A374" s="26">
        <v>372</v>
      </c>
      <c r="B374" s="55">
        <f ca="1">IFERROR(__xludf.DUMMYFUNCTION("""COMPUTED_VALUE"""),46147.3853994791)</f>
        <v>46147.385399479099</v>
      </c>
      <c r="C374" s="56" t="str">
        <f ca="1">IFERROR(__xludf.DUMMYFUNCTION("""COMPUTED_VALUE"""),"المعملجي")</f>
        <v>المعملجي</v>
      </c>
      <c r="D374" s="56" t="str">
        <f ca="1">IFERROR(__xludf.DUMMYFUNCTION("""COMPUTED_VALUE"""),"سجاد تربية")</f>
        <v>سجاد تربية</v>
      </c>
      <c r="E374" s="26" t="str">
        <f ca="1">IFERROR(__xludf.DUMMYFUNCTION("""COMPUTED_VALUE"""),"قسم التربية والتعليم العالي")</f>
        <v>قسم التربية والتعليم العالي</v>
      </c>
      <c r="F374" s="26" t="str">
        <f ca="1">IFERROR(__xludf.DUMMYFUNCTION("""COMPUTED_VALUE"""),"J- ابتدائية الساقي للبنين الجانب الثاني (السابعة)")</f>
        <v>J- ابتدائية الساقي للبنين الجانب الثاني (السابعة)</v>
      </c>
      <c r="G374" s="26" t="str">
        <f ca="1">IFERROR(__xludf.DUMMYFUNCTION("""COMPUTED_VALUE"""),"الطابق الارضي")</f>
        <v>الطابق الارضي</v>
      </c>
      <c r="H374" s="26" t="str">
        <f ca="1">IFERROR(__xludf.DUMMYFUNCTION("""COMPUTED_VALUE"""),"صيانة رحلات")</f>
        <v>صيانة رحلات</v>
      </c>
      <c r="I374" s="26"/>
      <c r="J374" s="26" t="s">
        <v>16</v>
      </c>
      <c r="K374" s="26" t="s">
        <v>13</v>
      </c>
      <c r="L374" s="55">
        <v>46147.458620648147</v>
      </c>
      <c r="M374" s="26"/>
    </row>
    <row r="375" spans="1:13" ht="75" customHeight="1" thickTop="1" thickBot="1">
      <c r="A375" s="34">
        <v>373</v>
      </c>
      <c r="B375" s="55">
        <f ca="1">IFERROR(__xludf.DUMMYFUNCTION("""COMPUTED_VALUE"""),46147.3861954166)</f>
        <v>46147.386195416599</v>
      </c>
      <c r="C375" s="56" t="str">
        <f ca="1">IFERROR(__xludf.DUMMYFUNCTION("""COMPUTED_VALUE"""),"المعملجي")</f>
        <v>المعملجي</v>
      </c>
      <c r="D375" s="56" t="str">
        <f ca="1">IFERROR(__xludf.DUMMYFUNCTION("""COMPUTED_VALUE"""),"سجاد تربية")</f>
        <v>سجاد تربية</v>
      </c>
      <c r="E375" s="26" t="str">
        <f ca="1">IFERROR(__xludf.DUMMYFUNCTION("""COMPUTED_VALUE"""),"قسم التربية والتعليم العالي")</f>
        <v>قسم التربية والتعليم العالي</v>
      </c>
      <c r="F375" s="26" t="str">
        <f ca="1">IFERROR(__xludf.DUMMYFUNCTION("""COMPUTED_VALUE"""),"B- روضة القمر")</f>
        <v>B- روضة القمر</v>
      </c>
      <c r="G375" s="26" t="str">
        <f ca="1">IFERROR(__xludf.DUMMYFUNCTION("""COMPUTED_VALUE"""),"السطح")</f>
        <v>السطح</v>
      </c>
      <c r="H375" s="26" t="str">
        <f ca="1">IFERROR(__xludf.DUMMYFUNCTION("""COMPUTED_VALUE"""),"لا يوجد ماء Ro")</f>
        <v>لا يوجد ماء Ro</v>
      </c>
      <c r="I375" s="26"/>
      <c r="J375" s="26" t="s">
        <v>14</v>
      </c>
      <c r="K375" s="26" t="s">
        <v>13</v>
      </c>
      <c r="L375" s="55">
        <v>46147.388722337964</v>
      </c>
      <c r="M375" s="26"/>
    </row>
    <row r="376" spans="1:13" ht="75" customHeight="1" thickTop="1" thickBot="1">
      <c r="A376" s="26">
        <v>374</v>
      </c>
      <c r="B376" s="55">
        <f ca="1">IFERROR(__xludf.DUMMYFUNCTION("""COMPUTED_VALUE"""),46147.3873833912)</f>
        <v>46147.3873833912</v>
      </c>
      <c r="C376" s="56" t="str">
        <f ca="1">IFERROR(__xludf.DUMMYFUNCTION("""COMPUTED_VALUE"""),"المعملجي")</f>
        <v>المعملجي</v>
      </c>
      <c r="D376" s="56" t="str">
        <f ca="1">IFERROR(__xludf.DUMMYFUNCTION("""COMPUTED_VALUE"""),"سجاد تربية")</f>
        <v>سجاد تربية</v>
      </c>
      <c r="E376" s="26" t="str">
        <f ca="1">IFERROR(__xludf.DUMMYFUNCTION("""COMPUTED_VALUE"""),"قسم التربية والتعليم العالي")</f>
        <v>قسم التربية والتعليم العالي</v>
      </c>
      <c r="F376" s="26" t="str">
        <f ca="1">IFERROR(__xludf.DUMMYFUNCTION("""COMPUTED_VALUE"""),"الاستعلامات الرئيسية")</f>
        <v>الاستعلامات الرئيسية</v>
      </c>
      <c r="G376" s="26" t="str">
        <f ca="1">IFERROR(__xludf.DUMMYFUNCTION("""COMPUTED_VALUE"""),"الطابق الارضي")</f>
        <v>الطابق الارضي</v>
      </c>
      <c r="H376" s="26" t="str">
        <f ca="1">IFERROR(__xludf.DUMMYFUNCTION("""COMPUTED_VALUE"""),"شد ساعة جدارية")</f>
        <v>شد ساعة جدارية</v>
      </c>
      <c r="I376" s="26"/>
      <c r="J376" s="26" t="s">
        <v>16</v>
      </c>
      <c r="K376" s="26" t="s">
        <v>13</v>
      </c>
      <c r="L376" s="55">
        <v>46147.388611423608</v>
      </c>
      <c r="M376" s="26"/>
    </row>
    <row r="377" spans="1:13" ht="75" customHeight="1" thickTop="1" thickBot="1">
      <c r="A377" s="34">
        <v>375</v>
      </c>
      <c r="B377" s="55">
        <f ca="1">IFERROR(__xludf.DUMMYFUNCTION("""COMPUTED_VALUE"""),46147.3884829166)</f>
        <v>46147.388482916598</v>
      </c>
      <c r="C377" s="56" t="str">
        <f ca="1">IFERROR(__xludf.DUMMYFUNCTION("""COMPUTED_VALUE"""),"المعملجي")</f>
        <v>المعملجي</v>
      </c>
      <c r="D377" s="56" t="str">
        <f ca="1">IFERROR(__xludf.DUMMYFUNCTION("""COMPUTED_VALUE"""),"وحدة المدني")</f>
        <v>وحدة المدني</v>
      </c>
      <c r="E377" s="26" t="str">
        <f ca="1">IFERROR(__xludf.DUMMYFUNCTION("""COMPUTED_VALUE"""),"قسم المشاريع الهندسية")</f>
        <v>قسم المشاريع الهندسية</v>
      </c>
      <c r="F377" s="26" t="str">
        <f ca="1">IFERROR(__xludf.DUMMYFUNCTION("""COMPUTED_VALUE"""),"A- المركز الثقافي")</f>
        <v>A- المركز الثقافي</v>
      </c>
      <c r="G377" s="26" t="str">
        <f ca="1">IFERROR(__xludf.DUMMYFUNCTION("""COMPUTED_VALUE"""),"الطابق الثالث")</f>
        <v>الطابق الثالث</v>
      </c>
      <c r="H377" s="26" t="str">
        <f ca="1">IFERROR(__xludf.DUMMYFUNCTION("""COMPUTED_VALUE"""),"شربته سطح المصلى ")</f>
        <v xml:space="preserve">شربته سطح المصلى </v>
      </c>
      <c r="I377" s="26"/>
      <c r="J377" s="26" t="s">
        <v>16</v>
      </c>
      <c r="K377" s="26" t="s">
        <v>13</v>
      </c>
      <c r="L377" s="55">
        <v>46147.388623877312</v>
      </c>
      <c r="M377" s="26"/>
    </row>
    <row r="378" spans="1:13" ht="75" customHeight="1" thickTop="1" thickBot="1">
      <c r="A378" s="26">
        <v>376</v>
      </c>
      <c r="B378" s="55">
        <f ca="1">IFERROR(__xludf.DUMMYFUNCTION("""COMPUTED_VALUE"""),46147.5473356944)</f>
        <v>46147.547335694398</v>
      </c>
      <c r="C378" s="56" t="str">
        <f ca="1">IFERROR(__xludf.DUMMYFUNCTION("""COMPUTED_VALUE"""),"المعملجي")</f>
        <v>المعملجي</v>
      </c>
      <c r="D378" s="56" t="str">
        <f ca="1">IFERROR(__xludf.DUMMYFUNCTION("""COMPUTED_VALUE"""),"سجاد تربية")</f>
        <v>سجاد تربية</v>
      </c>
      <c r="E378" s="26" t="str">
        <f ca="1">IFERROR(__xludf.DUMMYFUNCTION("""COMPUTED_VALUE"""),"قسم التربية والتعليم العالي")</f>
        <v>قسم التربية والتعليم العالي</v>
      </c>
      <c r="F378" s="26" t="str">
        <f ca="1">IFERROR(__xludf.DUMMYFUNCTION("""COMPUTED_VALUE"""),"D- ثانوية العميد بناية المتوسطة  (الثانية)")</f>
        <v>D- ثانوية العميد بناية المتوسطة  (الثانية)</v>
      </c>
      <c r="G378" s="26" t="str">
        <f ca="1">IFERROR(__xludf.DUMMYFUNCTION("""COMPUTED_VALUE"""),"الطابق الثاني")</f>
        <v>الطابق الثاني</v>
      </c>
      <c r="H378" s="26" t="str">
        <f ca="1">IFERROR(__xludf.DUMMYFUNCTION("""COMPUTED_VALUE"""),"صيانة قاطع كهرباء ")</f>
        <v xml:space="preserve">صيانة قاطع كهرباء </v>
      </c>
      <c r="I378" s="26"/>
      <c r="J378" s="26" t="s">
        <v>3910</v>
      </c>
      <c r="K378" s="26" t="s">
        <v>13</v>
      </c>
      <c r="L378" s="55">
        <v>46147.576668703703</v>
      </c>
      <c r="M378" s="26"/>
    </row>
    <row r="379" spans="1:13" ht="75" customHeight="1" thickTop="1" thickBot="1">
      <c r="A379" s="34">
        <v>377</v>
      </c>
      <c r="B379" s="55">
        <f ca="1">IFERROR(__xludf.DUMMYFUNCTION("""COMPUTED_VALUE"""),46147.5480410185)</f>
        <v>46147.548041018497</v>
      </c>
      <c r="C379" s="56" t="str">
        <f ca="1">IFERROR(__xludf.DUMMYFUNCTION("""COMPUTED_VALUE"""),"المعملجي")</f>
        <v>المعملجي</v>
      </c>
      <c r="D379" s="56" t="str">
        <f ca="1">IFERROR(__xludf.DUMMYFUNCTION("""COMPUTED_VALUE"""),"سجاد تربية")</f>
        <v>سجاد تربية</v>
      </c>
      <c r="E379" s="26" t="str">
        <f ca="1">IFERROR(__xludf.DUMMYFUNCTION("""COMPUTED_VALUE"""),"قسم التربية والتعليم العالي")</f>
        <v>قسم التربية والتعليم العالي</v>
      </c>
      <c r="F379" s="26" t="str">
        <f ca="1">IFERROR(__xludf.DUMMYFUNCTION("""COMPUTED_VALUE"""),"D- ثانوية العميد بناية المتوسطة  (الثانية)")</f>
        <v>D- ثانوية العميد بناية المتوسطة  (الثانية)</v>
      </c>
      <c r="G379" s="26" t="str">
        <f ca="1">IFERROR(__xludf.DUMMYFUNCTION("""COMPUTED_VALUE"""),"الطابق الثاني")</f>
        <v>الطابق الثاني</v>
      </c>
      <c r="H379" s="26" t="str">
        <f ca="1">IFERROR(__xludf.DUMMYFUNCTION("""COMPUTED_VALUE"""),"صيانة يدأت شبابيك")</f>
        <v>صيانة يدأت شبابيك</v>
      </c>
      <c r="I379" s="26"/>
      <c r="J379" s="26" t="s">
        <v>16</v>
      </c>
      <c r="K379" s="26" t="s">
        <v>13</v>
      </c>
      <c r="L379" s="55">
        <v>46148.376151979166</v>
      </c>
      <c r="M379" s="26"/>
    </row>
    <row r="380" spans="1:13" ht="75" customHeight="1" thickTop="1" thickBot="1">
      <c r="A380" s="26">
        <v>378</v>
      </c>
      <c r="B380" s="55">
        <f ca="1">IFERROR(__xludf.DUMMYFUNCTION("""COMPUTED_VALUE"""),46147.5775692129)</f>
        <v>46147.577569212903</v>
      </c>
      <c r="C380" s="56" t="str">
        <f ca="1">IFERROR(__xludf.DUMMYFUNCTION("""COMPUTED_VALUE"""),"المعملجي")</f>
        <v>المعملجي</v>
      </c>
      <c r="D380" s="56" t="str">
        <f ca="1">IFERROR(__xludf.DUMMYFUNCTION("""COMPUTED_VALUE"""),"سجاد تربية")</f>
        <v>سجاد تربية</v>
      </c>
      <c r="E380" s="26" t="str">
        <f ca="1">IFERROR(__xludf.DUMMYFUNCTION("""COMPUTED_VALUE"""),"قسم التربية والتعليم العالي")</f>
        <v>قسم التربية والتعليم العالي</v>
      </c>
      <c r="F380" s="26" t="str">
        <f ca="1">IFERROR(__xludf.DUMMYFUNCTION("""COMPUTED_VALUE"""),"A- المركز الثقافي")</f>
        <v>A- المركز الثقافي</v>
      </c>
      <c r="G380" s="26" t="str">
        <f ca="1">IFERROR(__xludf.DUMMYFUNCTION("""COMPUTED_VALUE"""),"الطابق الاول")</f>
        <v>الطابق الاول</v>
      </c>
      <c r="H380" s="26" t="str">
        <f ca="1">IFERROR(__xludf.DUMMYFUNCTION("""COMPUTED_VALUE"""),"تعليق ساعة جدارية")</f>
        <v>تعليق ساعة جدارية</v>
      </c>
      <c r="I380" s="26"/>
      <c r="J380" s="26" t="s">
        <v>16</v>
      </c>
      <c r="K380" s="26" t="s">
        <v>13</v>
      </c>
      <c r="L380" s="55">
        <v>46147.578634895835</v>
      </c>
      <c r="M380" s="26"/>
    </row>
    <row r="381" spans="1:13" ht="75" customHeight="1" thickTop="1" thickBot="1">
      <c r="A381" s="34">
        <v>379</v>
      </c>
      <c r="B381" s="55">
        <f ca="1">IFERROR(__xludf.DUMMYFUNCTION("""COMPUTED_VALUE"""),46147.57849853)</f>
        <v>46147.578498529998</v>
      </c>
      <c r="C381" s="56" t="str">
        <f ca="1">IFERROR(__xludf.DUMMYFUNCTION("""COMPUTED_VALUE"""),"المعملجي")</f>
        <v>المعملجي</v>
      </c>
      <c r="D381" s="56" t="str">
        <f ca="1">IFERROR(__xludf.DUMMYFUNCTION("""COMPUTED_VALUE"""),"سجاد تربية")</f>
        <v>سجاد تربية</v>
      </c>
      <c r="E381" s="26" t="str">
        <f ca="1">IFERROR(__xludf.DUMMYFUNCTION("""COMPUTED_VALUE"""),"قسم التربية والتعليم العالي")</f>
        <v>قسم التربية والتعليم العالي</v>
      </c>
      <c r="F381" s="26" t="str">
        <f ca="1">IFERROR(__xludf.DUMMYFUNCTION("""COMPUTED_VALUE"""),"I- ابتدائية الساقي للبنين (السادسة)")</f>
        <v>I- ابتدائية الساقي للبنين (السادسة)</v>
      </c>
      <c r="G381" s="26" t="str">
        <f ca="1">IFERROR(__xludf.DUMMYFUNCTION("""COMPUTED_VALUE"""),"الطابق الاول")</f>
        <v>الطابق الاول</v>
      </c>
      <c r="H381" s="26" t="str">
        <f ca="1">IFERROR(__xludf.DUMMYFUNCTION("""COMPUTED_VALUE"""),"صيانة بردة")</f>
        <v>صيانة بردة</v>
      </c>
      <c r="I381" s="26"/>
      <c r="J381" s="26" t="s">
        <v>16</v>
      </c>
      <c r="K381" s="26" t="s">
        <v>13</v>
      </c>
      <c r="L381" s="55">
        <v>46147.578653321762</v>
      </c>
      <c r="M381" s="26"/>
    </row>
    <row r="382" spans="1:13" ht="75" customHeight="1" thickTop="1" thickBot="1">
      <c r="A382" s="26">
        <v>380</v>
      </c>
      <c r="B382" s="55">
        <f ca="1">IFERROR(__xludf.DUMMYFUNCTION("""COMPUTED_VALUE"""),46148.3794387731)</f>
        <v>46148.379438773103</v>
      </c>
      <c r="C382" s="56" t="str">
        <f ca="1">IFERROR(__xludf.DUMMYFUNCTION("""COMPUTED_VALUE"""),"المعملجي")</f>
        <v>المعملجي</v>
      </c>
      <c r="D382" s="56" t="str">
        <f ca="1">IFERROR(__xludf.DUMMYFUNCTION("""COMPUTED_VALUE"""),"سجاد تربية")</f>
        <v>سجاد تربية</v>
      </c>
      <c r="E382" s="26" t="str">
        <f ca="1">IFERROR(__xludf.DUMMYFUNCTION("""COMPUTED_VALUE"""),"قسم التربية والتعليم العالي")</f>
        <v>قسم التربية والتعليم العالي</v>
      </c>
      <c r="F382" s="26" t="str">
        <f ca="1">IFERROR(__xludf.DUMMYFUNCTION("""COMPUTED_VALUE"""),"B- روضة القمر")</f>
        <v>B- روضة القمر</v>
      </c>
      <c r="G382" s="26" t="str">
        <f ca="1">IFERROR(__xludf.DUMMYFUNCTION("""COMPUTED_VALUE"""),"الطابق الاول")</f>
        <v>الطابق الاول</v>
      </c>
      <c r="H382" s="26" t="str">
        <f ca="1">IFERROR(__xludf.DUMMYFUNCTION("""COMPUTED_VALUE"""),"لا يوجد كهرباء صف الزهور ")</f>
        <v xml:space="preserve">لا يوجد كهرباء صف الزهور </v>
      </c>
      <c r="I382" s="26"/>
      <c r="J382" s="26" t="s">
        <v>3910</v>
      </c>
      <c r="K382" s="26" t="s">
        <v>13</v>
      </c>
      <c r="L382" s="55">
        <v>46148.462091493057</v>
      </c>
      <c r="M382" s="26"/>
    </row>
    <row r="383" spans="1:13" ht="75" customHeight="1" thickTop="1" thickBot="1">
      <c r="A383" s="34">
        <v>381</v>
      </c>
      <c r="B383" s="55">
        <f ca="1">IFERROR(__xludf.DUMMYFUNCTION("""COMPUTED_VALUE"""),46148.3800059953)</f>
        <v>46148.380005995299</v>
      </c>
      <c r="C383" s="56" t="str">
        <f ca="1">IFERROR(__xludf.DUMMYFUNCTION("""COMPUTED_VALUE"""),"المعملجي")</f>
        <v>المعملجي</v>
      </c>
      <c r="D383" s="56" t="str">
        <f ca="1">IFERROR(__xludf.DUMMYFUNCTION("""COMPUTED_VALUE"""),"سجاد تربية")</f>
        <v>سجاد تربية</v>
      </c>
      <c r="E383" s="26" t="str">
        <f ca="1">IFERROR(__xludf.DUMMYFUNCTION("""COMPUTED_VALUE"""),"قسم التربية والتعليم العالي")</f>
        <v>قسم التربية والتعليم العالي</v>
      </c>
      <c r="F383" s="26" t="str">
        <f ca="1">IFERROR(__xludf.DUMMYFUNCTION("""COMPUTED_VALUE"""),"A- المركز الثقافي")</f>
        <v>A- المركز الثقافي</v>
      </c>
      <c r="G383" s="26" t="str">
        <f ca="1">IFERROR(__xludf.DUMMYFUNCTION("""COMPUTED_VALUE"""),"قاعة المؤتمرات ")</f>
        <v xml:space="preserve">قاعة المؤتمرات </v>
      </c>
      <c r="H383" s="26" t="str">
        <f ca="1">IFERROR(__xludf.DUMMYFUNCTION("""COMPUTED_VALUE"""),"التبريد لا يعمل")</f>
        <v>التبريد لا يعمل</v>
      </c>
      <c r="I383" s="26"/>
      <c r="J383" s="26" t="s">
        <v>15</v>
      </c>
      <c r="K383" s="26" t="s">
        <v>13</v>
      </c>
      <c r="L383" s="55">
        <v>46148.462122025463</v>
      </c>
      <c r="M383" s="26"/>
    </row>
    <row r="384" spans="1:13" ht="75" customHeight="1" thickTop="1" thickBot="1">
      <c r="A384" s="26">
        <v>382</v>
      </c>
      <c r="B384" s="55">
        <f ca="1">IFERROR(__xludf.DUMMYFUNCTION("""COMPUTED_VALUE"""),46148.4650380439)</f>
        <v>46148.465038043898</v>
      </c>
      <c r="C384" s="56" t="str">
        <f ca="1">IFERROR(__xludf.DUMMYFUNCTION("""COMPUTED_VALUE"""),"المعملجي")</f>
        <v>المعملجي</v>
      </c>
      <c r="D384" s="56" t="str">
        <f ca="1">IFERROR(__xludf.DUMMYFUNCTION("""COMPUTED_VALUE"""),"سجاد تربية")</f>
        <v>سجاد تربية</v>
      </c>
      <c r="E384" s="26" t="str">
        <f ca="1">IFERROR(__xludf.DUMMYFUNCTION("""COMPUTED_VALUE"""),"قسم التربية والتعليم العالي")</f>
        <v>قسم التربية والتعليم العالي</v>
      </c>
      <c r="F384" s="26" t="str">
        <f ca="1">IFERROR(__xludf.DUMMYFUNCTION("""COMPUTED_VALUE"""),"D- ثانوية العميد بناية المتوسطة  (الثانية)")</f>
        <v>D- ثانوية العميد بناية المتوسطة  (الثانية)</v>
      </c>
      <c r="G384" s="26" t="str">
        <f ca="1">IFERROR(__xludf.DUMMYFUNCTION("""COMPUTED_VALUE"""),"الطابق الثاني")</f>
        <v>الطابق الثاني</v>
      </c>
      <c r="H384" s="26" t="str">
        <f ca="1">IFERROR(__xludf.DUMMYFUNCTION("""COMPUTED_VALUE"""),"صيانة إنارة الحمامات")</f>
        <v>صيانة إنارة الحمامات</v>
      </c>
      <c r="I384" s="26"/>
      <c r="J384" s="26" t="s">
        <v>3910</v>
      </c>
      <c r="K384" s="26" t="s">
        <v>13</v>
      </c>
      <c r="L384" s="55">
        <v>46148.488851898146</v>
      </c>
      <c r="M384" s="26"/>
    </row>
    <row r="385" spans="1:13" ht="75" customHeight="1" thickTop="1" thickBot="1">
      <c r="A385" s="34">
        <v>383</v>
      </c>
      <c r="B385" s="55">
        <f ca="1">IFERROR(__xludf.DUMMYFUNCTION("""COMPUTED_VALUE"""),46148.4653500463)</f>
        <v>46148.465350046303</v>
      </c>
      <c r="C385" s="56" t="str">
        <f ca="1">IFERROR(__xludf.DUMMYFUNCTION("""COMPUTED_VALUE"""),"المعملجي")</f>
        <v>المعملجي</v>
      </c>
      <c r="D385" s="56" t="str">
        <f ca="1">IFERROR(__xludf.DUMMYFUNCTION("""COMPUTED_VALUE"""),"سجاد تربية")</f>
        <v>سجاد تربية</v>
      </c>
      <c r="E385" s="26" t="str">
        <f ca="1">IFERROR(__xludf.DUMMYFUNCTION("""COMPUTED_VALUE"""),"قسم التربية والتعليم العالي")</f>
        <v>قسم التربية والتعليم العالي</v>
      </c>
      <c r="F385" s="26" t="str">
        <f ca="1">IFERROR(__xludf.DUMMYFUNCTION("""COMPUTED_VALUE"""),"D- ثانوية العميد بناية المتوسطة  (الثانية)")</f>
        <v>D- ثانوية العميد بناية المتوسطة  (الثانية)</v>
      </c>
      <c r="G385" s="26" t="str">
        <f ca="1">IFERROR(__xludf.DUMMYFUNCTION("""COMPUTED_VALUE"""),"الطابق الثاني")</f>
        <v>الطابق الثاني</v>
      </c>
      <c r="H385" s="26" t="str">
        <f ca="1">IFERROR(__xludf.DUMMYFUNCTION("""COMPUTED_VALUE"""),"صيانة يدة شباك ")</f>
        <v xml:space="preserve">صيانة يدة شباك </v>
      </c>
      <c r="I385" s="26"/>
      <c r="J385" s="26" t="s">
        <v>16</v>
      </c>
      <c r="K385" s="26" t="s">
        <v>13</v>
      </c>
      <c r="L385" s="55">
        <v>46148.488863344908</v>
      </c>
      <c r="M385" s="26"/>
    </row>
    <row r="386" spans="1:13" ht="75" customHeight="1" thickTop="1" thickBot="1">
      <c r="A386" s="26">
        <v>384</v>
      </c>
      <c r="B386" s="55">
        <f ca="1">IFERROR(__xludf.DUMMYFUNCTION("""COMPUTED_VALUE"""),46148.5336933564)</f>
        <v>46148.533693356403</v>
      </c>
      <c r="C386" s="56" t="str">
        <f ca="1">IFERROR(__xludf.DUMMYFUNCTION("""COMPUTED_VALUE"""),"المعملجي")</f>
        <v>المعملجي</v>
      </c>
      <c r="D386" s="56" t="str">
        <f ca="1">IFERROR(__xludf.DUMMYFUNCTION("""COMPUTED_VALUE"""),"سجاد تربية")</f>
        <v>سجاد تربية</v>
      </c>
      <c r="E386" s="26" t="str">
        <f ca="1">IFERROR(__xludf.DUMMYFUNCTION("""COMPUTED_VALUE"""),"قسم التربية والتعليم العالي")</f>
        <v>قسم التربية والتعليم العالي</v>
      </c>
      <c r="F386" s="26" t="str">
        <f ca="1">IFERROR(__xludf.DUMMYFUNCTION("""COMPUTED_VALUE"""),"J- جامعة العميد (السابعة)")</f>
        <v>J- جامعة العميد (السابعة)</v>
      </c>
      <c r="G386" s="26" t="str">
        <f ca="1">IFERROR(__xludf.DUMMYFUNCTION("""COMPUTED_VALUE"""),"الطابق الارضي")</f>
        <v>الطابق الارضي</v>
      </c>
      <c r="H386" s="26" t="str">
        <f ca="1">IFERROR(__xludf.DUMMYFUNCTION("""COMPUTED_VALUE"""),"تعليك لوحات عدد 7")</f>
        <v>تعليك لوحات عدد 7</v>
      </c>
      <c r="I386" s="26"/>
      <c r="J386" s="26" t="s">
        <v>16</v>
      </c>
      <c r="K386" s="26" t="s">
        <v>13</v>
      </c>
      <c r="L386" s="55">
        <v>46148.669342337962</v>
      </c>
      <c r="M386" s="26"/>
    </row>
    <row r="387" spans="1:13" ht="75" customHeight="1" thickTop="1" thickBot="1">
      <c r="A387" s="34">
        <v>385</v>
      </c>
      <c r="B387" s="55">
        <f ca="1">IFERROR(__xludf.DUMMYFUNCTION("""COMPUTED_VALUE"""),46148.5340055671)</f>
        <v>46148.534005567097</v>
      </c>
      <c r="C387" s="56" t="str">
        <f ca="1">IFERROR(__xludf.DUMMYFUNCTION("""COMPUTED_VALUE"""),"المعملجي")</f>
        <v>المعملجي</v>
      </c>
      <c r="D387" s="56" t="str">
        <f ca="1">IFERROR(__xludf.DUMMYFUNCTION("""COMPUTED_VALUE"""),"سجاد تربية")</f>
        <v>سجاد تربية</v>
      </c>
      <c r="E387" s="26" t="str">
        <f ca="1">IFERROR(__xludf.DUMMYFUNCTION("""COMPUTED_VALUE"""),"قسم التربية والتعليم العالي")</f>
        <v>قسم التربية والتعليم العالي</v>
      </c>
      <c r="F387" s="26" t="str">
        <f ca="1">IFERROR(__xludf.DUMMYFUNCTION("""COMPUTED_VALUE"""),"B- روضة القمر")</f>
        <v>B- روضة القمر</v>
      </c>
      <c r="G387" s="26" t="str">
        <f ca="1">IFERROR(__xludf.DUMMYFUNCTION("""COMPUTED_VALUE"""),"الطابق الارضي")</f>
        <v>الطابق الارضي</v>
      </c>
      <c r="H387" s="26" t="str">
        <f ca="1">IFERROR(__xludf.DUMMYFUNCTION("""COMPUTED_VALUE"""),"تبديل لبة باب ")</f>
        <v xml:space="preserve">تبديل لبة باب </v>
      </c>
      <c r="I387" s="26"/>
      <c r="J387" s="26" t="s">
        <v>16</v>
      </c>
      <c r="K387" s="26" t="s">
        <v>13</v>
      </c>
      <c r="L387" s="55">
        <v>46148.669370902775</v>
      </c>
      <c r="M387" s="26"/>
    </row>
    <row r="388" spans="1:13" ht="75" customHeight="1" thickTop="1" thickBot="1">
      <c r="A388" s="26">
        <v>386</v>
      </c>
      <c r="B388" s="55">
        <f ca="1">IFERROR(__xludf.DUMMYFUNCTION("""COMPUTED_VALUE"""),46149.3211056597)</f>
        <v>46149.321105659699</v>
      </c>
      <c r="C388" s="56" t="str">
        <f ca="1">IFERROR(__xludf.DUMMYFUNCTION("""COMPUTED_VALUE"""),"المعملجي")</f>
        <v>المعملجي</v>
      </c>
      <c r="D388" s="56" t="str">
        <f ca="1">IFERROR(__xludf.DUMMYFUNCTION("""COMPUTED_VALUE"""),"سجاد تربية")</f>
        <v>سجاد تربية</v>
      </c>
      <c r="E388" s="26" t="str">
        <f ca="1">IFERROR(__xludf.DUMMYFUNCTION("""COMPUTED_VALUE"""),"قسم التربية والتعليم العالي")</f>
        <v>قسم التربية والتعليم العالي</v>
      </c>
      <c r="F388" s="26" t="str">
        <f ca="1">IFERROR(__xludf.DUMMYFUNCTION("""COMPUTED_VALUE"""),"B- روضة القمر")</f>
        <v>B- روضة القمر</v>
      </c>
      <c r="G388" s="26" t="str">
        <f ca="1">IFERROR(__xludf.DUMMYFUNCTION("""COMPUTED_VALUE"""),"الطابق الثاني")</f>
        <v>الطابق الثاني</v>
      </c>
      <c r="H388" s="26" t="str">
        <f ca="1">IFERROR(__xludf.DUMMYFUNCTION("""COMPUTED_VALUE"""),"لا يوجد ماء في الحمامات")</f>
        <v>لا يوجد ماء في الحمامات</v>
      </c>
      <c r="I388" s="26"/>
      <c r="J388" s="26" t="s">
        <v>14</v>
      </c>
      <c r="K388" s="26" t="s">
        <v>13</v>
      </c>
      <c r="L388" s="55">
        <v>46149.346673842592</v>
      </c>
      <c r="M388" s="26"/>
    </row>
    <row r="389" spans="1:13" ht="75" customHeight="1" thickTop="1" thickBot="1">
      <c r="A389" s="34">
        <v>387</v>
      </c>
      <c r="B389" s="55">
        <f ca="1">IFERROR(__xludf.DUMMYFUNCTION("""COMPUTED_VALUE"""),46149.3469716782)</f>
        <v>46149.346971678198</v>
      </c>
      <c r="C389" s="56" t="str">
        <f ca="1">IFERROR(__xludf.DUMMYFUNCTION("""COMPUTED_VALUE"""),"المعملجي")</f>
        <v>المعملجي</v>
      </c>
      <c r="D389" s="56" t="str">
        <f ca="1">IFERROR(__xludf.DUMMYFUNCTION("""COMPUTED_VALUE"""),"سجاد تربية")</f>
        <v>سجاد تربية</v>
      </c>
      <c r="E389" s="26" t="str">
        <f ca="1">IFERROR(__xludf.DUMMYFUNCTION("""COMPUTED_VALUE"""),"قسم التربية والتعليم العالي")</f>
        <v>قسم التربية والتعليم العالي</v>
      </c>
      <c r="F389" s="26" t="str">
        <f ca="1">IFERROR(__xludf.DUMMYFUNCTION("""COMPUTED_VALUE"""),"A- المركز الثقافي")</f>
        <v>A- المركز الثقافي</v>
      </c>
      <c r="G389" s="26" t="str">
        <f ca="1">IFERROR(__xludf.DUMMYFUNCTION("""COMPUTED_VALUE"""),"الطابق الارضي")</f>
        <v>الطابق الارضي</v>
      </c>
      <c r="H389" s="26" t="str">
        <f ca="1">IFERROR(__xludf.DUMMYFUNCTION("""COMPUTED_VALUE"""),"لا يوجد كهرباء ")</f>
        <v xml:space="preserve">لا يوجد كهرباء </v>
      </c>
      <c r="I389" s="26"/>
      <c r="J389" s="26" t="s">
        <v>3910</v>
      </c>
      <c r="K389" s="26" t="s">
        <v>13</v>
      </c>
      <c r="L389" s="55">
        <v>46149.53707633102</v>
      </c>
      <c r="M389" s="26"/>
    </row>
    <row r="390" spans="1:13" ht="75" customHeight="1" thickTop="1" thickBot="1">
      <c r="A390" s="26">
        <v>388</v>
      </c>
      <c r="B390" s="55">
        <f ca="1">IFERROR(__xludf.DUMMYFUNCTION("""COMPUTED_VALUE"""),46149.5377095949)</f>
        <v>46149.537709594901</v>
      </c>
      <c r="C390" s="56" t="str">
        <f ca="1">IFERROR(__xludf.DUMMYFUNCTION("""COMPUTED_VALUE"""),"المعملجي")</f>
        <v>المعملجي</v>
      </c>
      <c r="D390" s="56" t="str">
        <f ca="1">IFERROR(__xludf.DUMMYFUNCTION("""COMPUTED_VALUE"""),"سجاد تربية")</f>
        <v>سجاد تربية</v>
      </c>
      <c r="E390" s="26" t="str">
        <f ca="1">IFERROR(__xludf.DUMMYFUNCTION("""COMPUTED_VALUE"""),"قسم التربية والتعليم العالي")</f>
        <v>قسم التربية والتعليم العالي</v>
      </c>
      <c r="F390" s="26" t="str">
        <f ca="1">IFERROR(__xludf.DUMMYFUNCTION("""COMPUTED_VALUE"""),"A- المركز الثقافي")</f>
        <v>A- المركز الثقافي</v>
      </c>
      <c r="G390" s="26" t="str">
        <f ca="1">IFERROR(__xludf.DUMMYFUNCTION("""COMPUTED_VALUE"""),"الطابق الارضي")</f>
        <v>الطابق الارضي</v>
      </c>
      <c r="H390" s="26" t="str">
        <f ca="1">IFERROR(__xludf.DUMMYFUNCTION("""COMPUTED_VALUE"""),"تبديل قفل")</f>
        <v>تبديل قفل</v>
      </c>
      <c r="I390" s="26"/>
      <c r="J390" s="26" t="s">
        <v>16</v>
      </c>
      <c r="K390" s="26" t="s">
        <v>13</v>
      </c>
      <c r="L390" s="55"/>
      <c r="M390" s="26"/>
    </row>
    <row r="391" spans="1:13" ht="75" customHeight="1" thickTop="1" thickBot="1">
      <c r="A391" s="34">
        <v>389</v>
      </c>
      <c r="B391" s="55">
        <f ca="1">IFERROR(__xludf.DUMMYFUNCTION("""COMPUTED_VALUE"""),46149.5383018402)</f>
        <v>46149.538301840199</v>
      </c>
      <c r="C391" s="56" t="str">
        <f ca="1">IFERROR(__xludf.DUMMYFUNCTION("""COMPUTED_VALUE"""),"المعملجي")</f>
        <v>المعملجي</v>
      </c>
      <c r="D391" s="56" t="str">
        <f ca="1">IFERROR(__xludf.DUMMYFUNCTION("""COMPUTED_VALUE"""),"وحدة المدني")</f>
        <v>وحدة المدني</v>
      </c>
      <c r="E391" s="26" t="str">
        <f ca="1">IFERROR(__xludf.DUMMYFUNCTION("""COMPUTED_VALUE"""),"قسم المشاريع الهندسية")</f>
        <v>قسم المشاريع الهندسية</v>
      </c>
      <c r="F391" s="26" t="str">
        <f ca="1">IFERROR(__xludf.DUMMYFUNCTION("""COMPUTED_VALUE"""),"B- روضة القمر")</f>
        <v>B- روضة القمر</v>
      </c>
      <c r="G391" s="26" t="str">
        <f ca="1">IFERROR(__xludf.DUMMYFUNCTION("""COMPUTED_VALUE"""),"الطابق الارضي")</f>
        <v>الطابق الارضي</v>
      </c>
      <c r="H391" s="26" t="str">
        <f ca="1">IFERROR(__xludf.DUMMYFUNCTION("""COMPUTED_VALUE"""),"معالجة المرمر بمادة الاستاف")</f>
        <v>معالجة المرمر بمادة الاستاف</v>
      </c>
      <c r="I391" s="26"/>
      <c r="J391" s="26" t="s">
        <v>16</v>
      </c>
      <c r="K391" s="26" t="s">
        <v>13</v>
      </c>
      <c r="L391" s="55"/>
      <c r="M391" s="26"/>
    </row>
    <row r="392" spans="1:13" ht="75" customHeight="1" thickTop="1" thickBot="1">
      <c r="A392" s="26">
        <v>390</v>
      </c>
      <c r="B392" s="55">
        <f ca="1">IFERROR(__xludf.DUMMYFUNCTION("""COMPUTED_VALUE"""),46151.3610540856)</f>
        <v>46151.361054085603</v>
      </c>
      <c r="C392" s="56" t="str">
        <f ca="1">IFERROR(__xludf.DUMMYFUNCTION("""COMPUTED_VALUE"""),"المعملجي")</f>
        <v>المعملجي</v>
      </c>
      <c r="D392" s="56" t="str">
        <f ca="1">IFERROR(__xludf.DUMMYFUNCTION("""COMPUTED_VALUE"""),"وحدة المدني")</f>
        <v>وحدة المدني</v>
      </c>
      <c r="E392" s="26" t="str">
        <f ca="1">IFERROR(__xludf.DUMMYFUNCTION("""COMPUTED_VALUE"""),"قسم المشاريع الهندسية")</f>
        <v>قسم المشاريع الهندسية</v>
      </c>
      <c r="F392" s="26" t="str">
        <f ca="1">IFERROR(__xludf.DUMMYFUNCTION("""COMPUTED_VALUE"""),"A- المركز الثقافي")</f>
        <v>A- المركز الثقافي</v>
      </c>
      <c r="G392" s="26" t="str">
        <f ca="1">IFERROR(__xludf.DUMMYFUNCTION("""COMPUTED_VALUE"""),"الطابق الثالث")</f>
        <v>الطابق الثالث</v>
      </c>
      <c r="H392" s="26" t="str">
        <f ca="1">IFERROR(__xludf.DUMMYFUNCTION("""COMPUTED_VALUE"""),"اعمال شربته السطح ")</f>
        <v xml:space="preserve">اعمال شربته السطح </v>
      </c>
      <c r="I392" s="26"/>
      <c r="J392" s="26" t="s">
        <v>16</v>
      </c>
      <c r="K392" s="26" t="s">
        <v>13</v>
      </c>
      <c r="L392" s="55">
        <v>46151.361772094911</v>
      </c>
      <c r="M392" s="26"/>
    </row>
    <row r="393" spans="1:13" ht="75" customHeight="1" thickTop="1" thickBot="1">
      <c r="A393" s="34">
        <v>391</v>
      </c>
      <c r="B393" s="55">
        <f ca="1">IFERROR(__xludf.DUMMYFUNCTION("""COMPUTED_VALUE"""),46151.4915837384)</f>
        <v>46151.491583738403</v>
      </c>
      <c r="C393" s="56" t="str">
        <f ca="1">IFERROR(__xludf.DUMMYFUNCTION("""COMPUTED_VALUE"""),"المعملجي")</f>
        <v>المعملجي</v>
      </c>
      <c r="D393" s="56" t="str">
        <f ca="1">IFERROR(__xludf.DUMMYFUNCTION("""COMPUTED_VALUE"""),"وحدة المدني")</f>
        <v>وحدة المدني</v>
      </c>
      <c r="E393" s="26" t="str">
        <f ca="1">IFERROR(__xludf.DUMMYFUNCTION("""COMPUTED_VALUE"""),"قسم المشاريع الهندسية")</f>
        <v>قسم المشاريع الهندسية</v>
      </c>
      <c r="F393" s="26" t="str">
        <f ca="1">IFERROR(__xludf.DUMMYFUNCTION("""COMPUTED_VALUE"""),"C- ثانوية العميد بناية الاعدادية  (الاولى)")</f>
        <v>C- ثانوية العميد بناية الاعدادية  (الاولى)</v>
      </c>
      <c r="G393" s="26" t="str">
        <f ca="1">IFERROR(__xludf.DUMMYFUNCTION("""COMPUTED_VALUE"""),"السطح")</f>
        <v>السطح</v>
      </c>
      <c r="H393" s="26" t="str">
        <f ca="1">IFERROR(__xludf.DUMMYFUNCTION("""COMPUTED_VALUE"""),"فتح وصيانة سيفونات عدد 3 ")</f>
        <v xml:space="preserve">فتح وصيانة سيفونات عدد 3 </v>
      </c>
      <c r="I393" s="26"/>
      <c r="J393" s="26" t="s">
        <v>16</v>
      </c>
      <c r="K393" s="26" t="s">
        <v>13</v>
      </c>
      <c r="L393" s="55">
        <v>46152.368931956022</v>
      </c>
      <c r="M393" s="26"/>
    </row>
    <row r="394" spans="1:13" ht="75" customHeight="1" thickTop="1" thickBot="1">
      <c r="A394" s="26">
        <v>392</v>
      </c>
      <c r="B394" s="55">
        <f ca="1">IFERROR(__xludf.DUMMYFUNCTION("""COMPUTED_VALUE"""),46151.5186242708)</f>
        <v>46151.518624270801</v>
      </c>
      <c r="C394" s="56" t="str">
        <f ca="1">IFERROR(__xludf.DUMMYFUNCTION("""COMPUTED_VALUE"""),"المعملجي")</f>
        <v>المعملجي</v>
      </c>
      <c r="D394" s="56" t="str">
        <f ca="1">IFERROR(__xludf.DUMMYFUNCTION("""COMPUTED_VALUE"""),"سجاد تربية")</f>
        <v>سجاد تربية</v>
      </c>
      <c r="E394" s="26" t="str">
        <f ca="1">IFERROR(__xludf.DUMMYFUNCTION("""COMPUTED_VALUE"""),"قسم التربية والتعليم العالي")</f>
        <v>قسم التربية والتعليم العالي</v>
      </c>
      <c r="F394" s="26" t="str">
        <f ca="1">IFERROR(__xludf.DUMMYFUNCTION("""COMPUTED_VALUE"""),"A- المركز الثقافي")</f>
        <v>A- المركز الثقافي</v>
      </c>
      <c r="G394" s="26" t="str">
        <f ca="1">IFERROR(__xludf.DUMMYFUNCTION("""COMPUTED_VALUE"""),"الطابق الرابع")</f>
        <v>الطابق الرابع</v>
      </c>
      <c r="H394" s="26" t="str">
        <f ca="1">IFERROR(__xludf.DUMMYFUNCTION("""COMPUTED_VALUE"""),"شد عرباين طعام")</f>
        <v>شد عرباين طعام</v>
      </c>
      <c r="I394" s="26"/>
      <c r="J394" s="26" t="s">
        <v>16</v>
      </c>
      <c r="K394" s="26" t="s">
        <v>13</v>
      </c>
      <c r="L394" s="55">
        <v>46152.368974236109</v>
      </c>
      <c r="M394" s="26"/>
    </row>
    <row r="395" spans="1:13" ht="75" customHeight="1" thickTop="1" thickBot="1">
      <c r="A395" s="34">
        <v>393</v>
      </c>
      <c r="B395" s="55">
        <f ca="1">IFERROR(__xludf.DUMMYFUNCTION("""COMPUTED_VALUE"""),46152.368614537)</f>
        <v>46152.368614537001</v>
      </c>
      <c r="C395" s="56" t="str">
        <f ca="1">IFERROR(__xludf.DUMMYFUNCTION("""COMPUTED_VALUE"""),"المعملجي")</f>
        <v>المعملجي</v>
      </c>
      <c r="D395" s="56" t="str">
        <f ca="1">IFERROR(__xludf.DUMMYFUNCTION("""COMPUTED_VALUE"""),"سجاد تربية")</f>
        <v>سجاد تربية</v>
      </c>
      <c r="E395" s="26" t="str">
        <f ca="1">IFERROR(__xludf.DUMMYFUNCTION("""COMPUTED_VALUE"""),"قسم التربية والتعليم العالي")</f>
        <v>قسم التربية والتعليم العالي</v>
      </c>
      <c r="F395" s="26" t="str">
        <f ca="1">IFERROR(__xludf.DUMMYFUNCTION("""COMPUTED_VALUE"""),"D- ثانوية العميد بناية المتوسطة  (الثانية)")</f>
        <v>D- ثانوية العميد بناية المتوسطة  (الثانية)</v>
      </c>
      <c r="G395" s="26" t="str">
        <f ca="1">IFERROR(__xludf.DUMMYFUNCTION("""COMPUTED_VALUE"""),"الطابق الارضي")</f>
        <v>الطابق الارضي</v>
      </c>
      <c r="H395" s="26" t="str">
        <f ca="1">IFERROR(__xludf.DUMMYFUNCTION("""COMPUTED_VALUE"""),"صيانة حائط ")</f>
        <v xml:space="preserve">صيانة حائط </v>
      </c>
      <c r="I395" s="26"/>
      <c r="J395" s="26" t="s">
        <v>16</v>
      </c>
      <c r="K395" s="26" t="s">
        <v>13</v>
      </c>
      <c r="L395" s="55">
        <v>46152.368993599535</v>
      </c>
      <c r="M395" s="26"/>
    </row>
    <row r="396" spans="1:13" ht="75" customHeight="1" thickTop="1" thickBot="1">
      <c r="A396" s="26">
        <v>394</v>
      </c>
      <c r="B396" s="55">
        <f ca="1">IFERROR(__xludf.DUMMYFUNCTION("""COMPUTED_VALUE"""),46152.3823235532)</f>
        <v>46152.382323553204</v>
      </c>
      <c r="C396" s="56" t="str">
        <f ca="1">IFERROR(__xludf.DUMMYFUNCTION("""COMPUTED_VALUE"""),"المعملجي")</f>
        <v>المعملجي</v>
      </c>
      <c r="D396" s="56" t="str">
        <f ca="1">IFERROR(__xludf.DUMMYFUNCTION("""COMPUTED_VALUE"""),"سجاد تربية")</f>
        <v>سجاد تربية</v>
      </c>
      <c r="E396" s="26" t="str">
        <f ca="1">IFERROR(__xludf.DUMMYFUNCTION("""COMPUTED_VALUE"""),"قسم التربية والتعليم العالي")</f>
        <v>قسم التربية والتعليم العالي</v>
      </c>
      <c r="F396" s="26" t="str">
        <f ca="1">IFERROR(__xludf.DUMMYFUNCTION("""COMPUTED_VALUE"""),"الصحيات مقابل الالعاب ")</f>
        <v xml:space="preserve">الصحيات مقابل الالعاب </v>
      </c>
      <c r="G396" s="26" t="str">
        <f ca="1">IFERROR(__xludf.DUMMYFUNCTION("""COMPUTED_VALUE"""),"الطابق الارضي")</f>
        <v>الطابق الارضي</v>
      </c>
      <c r="H396" s="26" t="str">
        <f ca="1">IFERROR(__xludf.DUMMYFUNCTION("""COMPUTED_VALUE"""),"لا يوجد ماء")</f>
        <v>لا يوجد ماء</v>
      </c>
      <c r="I396" s="26"/>
      <c r="J396" s="26" t="s">
        <v>14</v>
      </c>
      <c r="K396" s="26" t="s">
        <v>13</v>
      </c>
      <c r="L396" s="55">
        <v>46152.414767048613</v>
      </c>
      <c r="M396" s="26"/>
    </row>
    <row r="397" spans="1:13" ht="75" customHeight="1" thickTop="1" thickBot="1">
      <c r="A397" s="34">
        <v>395</v>
      </c>
      <c r="B397" s="55">
        <f ca="1">IFERROR(__xludf.DUMMYFUNCTION("""COMPUTED_VALUE"""),46152.4318134953)</f>
        <v>46152.431813495299</v>
      </c>
      <c r="C397" s="56" t="str">
        <f ca="1">IFERROR(__xludf.DUMMYFUNCTION("""COMPUTED_VALUE"""),"المعملجي")</f>
        <v>المعملجي</v>
      </c>
      <c r="D397" s="56" t="str">
        <f ca="1">IFERROR(__xludf.DUMMYFUNCTION("""COMPUTED_VALUE"""),"سجاد تربية")</f>
        <v>سجاد تربية</v>
      </c>
      <c r="E397" s="26" t="str">
        <f ca="1">IFERROR(__xludf.DUMMYFUNCTION("""COMPUTED_VALUE"""),"قسم التربية والتعليم العالي")</f>
        <v>قسم التربية والتعليم العالي</v>
      </c>
      <c r="F397" s="26" t="str">
        <f ca="1">IFERROR(__xludf.DUMMYFUNCTION("""COMPUTED_VALUE"""),"A- المركز الثقافي")</f>
        <v>A- المركز الثقافي</v>
      </c>
      <c r="G397" s="26" t="str">
        <f ca="1">IFERROR(__xludf.DUMMYFUNCTION("""COMPUTED_VALUE"""),"الطابق الارضي")</f>
        <v>الطابق الارضي</v>
      </c>
      <c r="H397" s="26" t="str">
        <f ca="1">IFERROR(__xludf.DUMMYFUNCTION("""COMPUTED_VALUE"""),"ارجاع سقوف ثانوية في المطبخ")</f>
        <v>ارجاع سقوف ثانوية في المطبخ</v>
      </c>
      <c r="I397" s="26"/>
      <c r="J397" s="26" t="s">
        <v>16</v>
      </c>
      <c r="K397" s="26" t="s">
        <v>13</v>
      </c>
      <c r="L397" s="55"/>
      <c r="M397" s="26"/>
    </row>
    <row r="398" spans="1:13" ht="75" customHeight="1" thickTop="1" thickBot="1">
      <c r="A398" s="26">
        <v>396</v>
      </c>
      <c r="B398" s="55">
        <f ca="1">IFERROR(__xludf.DUMMYFUNCTION("""COMPUTED_VALUE"""),46152.4324596412)</f>
        <v>46152.432459641197</v>
      </c>
      <c r="C398" s="56" t="str">
        <f ca="1">IFERROR(__xludf.DUMMYFUNCTION("""COMPUTED_VALUE"""),"المعملجي")</f>
        <v>المعملجي</v>
      </c>
      <c r="D398" s="56" t="str">
        <f ca="1">IFERROR(__xludf.DUMMYFUNCTION("""COMPUTED_VALUE"""),"سجاد تربية")</f>
        <v>سجاد تربية</v>
      </c>
      <c r="E398" s="26" t="str">
        <f ca="1">IFERROR(__xludf.DUMMYFUNCTION("""COMPUTED_VALUE"""),"قسم التربية والتعليم العالي")</f>
        <v>قسم التربية والتعليم العالي</v>
      </c>
      <c r="F398" s="26" t="str">
        <f ca="1">IFERROR(__xludf.DUMMYFUNCTION("""COMPUTED_VALUE"""),"A- المركز الثقافي")</f>
        <v>A- المركز الثقافي</v>
      </c>
      <c r="G398" s="26" t="str">
        <f ca="1">IFERROR(__xludf.DUMMYFUNCTION("""COMPUTED_VALUE"""),"الطابق الارضي")</f>
        <v>الطابق الارضي</v>
      </c>
      <c r="H398" s="26" t="str">
        <f ca="1">IFERROR(__xludf.DUMMYFUNCTION("""COMPUTED_VALUE"""),"إضافة سيكوتين لكاونتر المطبخ")</f>
        <v>إضافة سيكوتين لكاونتر المطبخ</v>
      </c>
      <c r="I398" s="26"/>
      <c r="J398" s="26" t="s">
        <v>16</v>
      </c>
      <c r="K398" s="26" t="s">
        <v>13</v>
      </c>
      <c r="L398" s="55"/>
      <c r="M398" s="26"/>
    </row>
    <row r="399" spans="1:13" ht="75" customHeight="1" thickTop="1" thickBot="1">
      <c r="A399" s="34">
        <v>397</v>
      </c>
      <c r="B399" s="55">
        <f ca="1">IFERROR(__xludf.DUMMYFUNCTION("""COMPUTED_VALUE"""),46152.4348333912)</f>
        <v>46152.434833391198</v>
      </c>
      <c r="C399" s="56" t="str">
        <f ca="1">IFERROR(__xludf.DUMMYFUNCTION("""COMPUTED_VALUE"""),"المعملجي")</f>
        <v>المعملجي</v>
      </c>
      <c r="D399" s="56" t="str">
        <f ca="1">IFERROR(__xludf.DUMMYFUNCTION("""COMPUTED_VALUE"""),"وحدة الميكانيك")</f>
        <v>وحدة الميكانيك</v>
      </c>
      <c r="E399" s="26" t="str">
        <f ca="1">IFERROR(__xludf.DUMMYFUNCTION("""COMPUTED_VALUE"""),"قسم المشاريع الهندسية")</f>
        <v>قسم المشاريع الهندسية</v>
      </c>
      <c r="F399" s="26"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G399" s="26" t="str">
        <f ca="1">IFERROR(__xludf.DUMMYFUNCTION("""COMPUTED_VALUE"""),"السطح")</f>
        <v>السطح</v>
      </c>
      <c r="H399" s="26" t="str">
        <f ca="1">IFERROR(__xludf.DUMMYFUNCTION("""COMPUTED_VALUE"""),"غسل مضخة الاطفاء الثانوية ")</f>
        <v xml:space="preserve">غسل مضخة الاطفاء الثانوية </v>
      </c>
      <c r="I399" s="26"/>
      <c r="J399" s="26" t="s">
        <v>14</v>
      </c>
      <c r="K399" s="26" t="s">
        <v>13</v>
      </c>
      <c r="L399" s="55"/>
      <c r="M399" s="26"/>
    </row>
    <row r="400" spans="1:13" ht="75" customHeight="1" thickTop="1" thickBot="1">
      <c r="A400" s="26">
        <v>398</v>
      </c>
      <c r="B400" s="55">
        <f ca="1">IFERROR(__xludf.DUMMYFUNCTION("""COMPUTED_VALUE"""),46152.4352338888)</f>
        <v>46152.435233888798</v>
      </c>
      <c r="C400" s="56" t="str">
        <f ca="1">IFERROR(__xludf.DUMMYFUNCTION("""COMPUTED_VALUE"""),"المعملجي")</f>
        <v>المعملجي</v>
      </c>
      <c r="D400" s="56" t="str">
        <f ca="1">IFERROR(__xludf.DUMMYFUNCTION("""COMPUTED_VALUE"""),"وحدة الميكانيك")</f>
        <v>وحدة الميكانيك</v>
      </c>
      <c r="E400" s="26" t="str">
        <f ca="1">IFERROR(__xludf.DUMMYFUNCTION("""COMPUTED_VALUE"""),"قسم المشاريع الهندسية")</f>
        <v>قسم المشاريع الهندسية</v>
      </c>
      <c r="F400" s="26" t="str">
        <f ca="1">IFERROR(__xludf.DUMMYFUNCTION("""COMPUTED_VALUE"""),"E- ابتدائية العميد للبنات (الثالثة), F-  ابتدائية جود العميد للبنات (الرابعة)")</f>
        <v>E- ابتدائية العميد للبنات (الثالثة), F-  ابتدائية جود العميد للبنات (الرابعة)</v>
      </c>
      <c r="G400" s="26" t="str">
        <f ca="1">IFERROR(__xludf.DUMMYFUNCTION("""COMPUTED_VALUE"""),"السطح")</f>
        <v>السطح</v>
      </c>
      <c r="H400" s="26" t="str">
        <f ca="1">IFERROR(__xludf.DUMMYFUNCTION("""COMPUTED_VALUE"""),"غسل مضخة الاطفاء الثانوية ")</f>
        <v xml:space="preserve">غسل مضخة الاطفاء الثانوية </v>
      </c>
      <c r="I400" s="26"/>
      <c r="J400" s="26" t="s">
        <v>14</v>
      </c>
      <c r="K400" s="26" t="s">
        <v>13</v>
      </c>
      <c r="L400" s="55"/>
      <c r="M400" s="26"/>
    </row>
    <row r="401" spans="1:13" ht="75" customHeight="1" thickTop="1" thickBot="1">
      <c r="A401" s="34">
        <v>399</v>
      </c>
      <c r="B401" s="55">
        <f ca="1">IFERROR(__xludf.DUMMYFUNCTION("""COMPUTED_VALUE"""),46152.4356188425)</f>
        <v>46152.435618842501</v>
      </c>
      <c r="C401" s="56" t="str">
        <f ca="1">IFERROR(__xludf.DUMMYFUNCTION("""COMPUTED_VALUE"""),"المعملجي")</f>
        <v>المعملجي</v>
      </c>
      <c r="D401" s="56" t="str">
        <f ca="1">IFERROR(__xludf.DUMMYFUNCTION("""COMPUTED_VALUE"""),"وحدة الميكانيك")</f>
        <v>وحدة الميكانيك</v>
      </c>
      <c r="E401" s="26" t="str">
        <f ca="1">IFERROR(__xludf.DUMMYFUNCTION("""COMPUTED_VALUE"""),"قسم المشاريع الهندسية")</f>
        <v>قسم المشاريع الهندسية</v>
      </c>
      <c r="F401" s="26" t="str">
        <f ca="1">IFERROR(__xludf.DUMMYFUNCTION("""COMPUTED_VALUE"""),"H- ابتدائية القمر للبنات (الخامسة), I- ابتدائية الساقي للبنين (السادسة)")</f>
        <v>H- ابتدائية القمر للبنات (الخامسة), I- ابتدائية الساقي للبنين (السادسة)</v>
      </c>
      <c r="G401" s="26" t="str">
        <f ca="1">IFERROR(__xludf.DUMMYFUNCTION("""COMPUTED_VALUE"""),"السطح")</f>
        <v>السطح</v>
      </c>
      <c r="H401" s="26" t="str">
        <f ca="1">IFERROR(__xludf.DUMMYFUNCTION("""COMPUTED_VALUE"""),"غسل مضخة الاطفاء الثانوية ")</f>
        <v xml:space="preserve">غسل مضخة الاطفاء الثانوية </v>
      </c>
      <c r="I401" s="26"/>
      <c r="J401" s="26" t="s">
        <v>14</v>
      </c>
      <c r="K401" s="26" t="s">
        <v>13</v>
      </c>
      <c r="L401" s="55"/>
      <c r="M401" s="26"/>
    </row>
    <row r="402" spans="1:13" ht="75" customHeight="1" thickTop="1" thickBot="1">
      <c r="A402" s="26">
        <v>400</v>
      </c>
      <c r="B402" s="55">
        <f ca="1">IFERROR(__xludf.DUMMYFUNCTION("""COMPUTED_VALUE"""),46152.4358927661)</f>
        <v>46152.435892766101</v>
      </c>
      <c r="C402" s="56" t="str">
        <f ca="1">IFERROR(__xludf.DUMMYFUNCTION("""COMPUTED_VALUE"""),"المعملجي")</f>
        <v>المعملجي</v>
      </c>
      <c r="D402" s="56" t="str">
        <f ca="1">IFERROR(__xludf.DUMMYFUNCTION("""COMPUTED_VALUE"""),"وحدة الميكانيك")</f>
        <v>وحدة الميكانيك</v>
      </c>
      <c r="E402" s="26" t="str">
        <f ca="1">IFERROR(__xludf.DUMMYFUNCTION("""COMPUTED_VALUE"""),"قسم المشاريع الهندسية")</f>
        <v>قسم المشاريع الهندسية</v>
      </c>
      <c r="F402" s="26" t="str">
        <f ca="1">IFERROR(__xludf.DUMMYFUNCTION("""COMPUTED_VALUE"""),"B- روضة القمر, G- روضة الجود")</f>
        <v>B- روضة القمر, G- روضة الجود</v>
      </c>
      <c r="G402" s="26" t="str">
        <f ca="1">IFERROR(__xludf.DUMMYFUNCTION("""COMPUTED_VALUE"""),"السطح")</f>
        <v>السطح</v>
      </c>
      <c r="H402" s="26" t="str">
        <f ca="1">IFERROR(__xludf.DUMMYFUNCTION("""COMPUTED_VALUE"""),"غسل مضخة الاطفاء الثانوية ")</f>
        <v xml:space="preserve">غسل مضخة الاطفاء الثانوية </v>
      </c>
      <c r="I402" s="26"/>
      <c r="J402" s="26" t="s">
        <v>14</v>
      </c>
      <c r="K402" s="26" t="s">
        <v>13</v>
      </c>
      <c r="L402" s="55"/>
      <c r="M402" s="26"/>
    </row>
    <row r="403" spans="1:13" ht="75" customHeight="1" thickTop="1" thickBot="1">
      <c r="A403" s="34">
        <v>401</v>
      </c>
      <c r="B403" s="55">
        <f ca="1">IFERROR(__xludf.DUMMYFUNCTION("""COMPUTED_VALUE"""),46152.4362606597)</f>
        <v>46152.436260659699</v>
      </c>
      <c r="C403" s="56" t="str">
        <f ca="1">IFERROR(__xludf.DUMMYFUNCTION("""COMPUTED_VALUE"""),"المعملجي")</f>
        <v>المعملجي</v>
      </c>
      <c r="D403" s="56" t="str">
        <f ca="1">IFERROR(__xludf.DUMMYFUNCTION("""COMPUTED_VALUE"""),"وحدة الميكانيك")</f>
        <v>وحدة الميكانيك</v>
      </c>
      <c r="E403" s="26" t="str">
        <f ca="1">IFERROR(__xludf.DUMMYFUNCTION("""COMPUTED_VALUE"""),"قسم المشاريع الهندسية")</f>
        <v>قسم المشاريع الهندسية</v>
      </c>
      <c r="F403" s="26" t="str">
        <f ca="1">IFERROR(__xludf.DUMMYFUNCTION("""COMPUTED_VALUE"""),"A- المركز الثقافي")</f>
        <v>A- المركز الثقافي</v>
      </c>
      <c r="G403" s="26" t="str">
        <f ca="1">IFERROR(__xludf.DUMMYFUNCTION("""COMPUTED_VALUE"""),"السطح")</f>
        <v>السطح</v>
      </c>
      <c r="H403" s="26" t="str">
        <f ca="1">IFERROR(__xludf.DUMMYFUNCTION("""COMPUTED_VALUE"""),"غسل مضخة الاطفاء الثانوية ")</f>
        <v xml:space="preserve">غسل مضخة الاطفاء الثانوية </v>
      </c>
      <c r="I403" s="26"/>
      <c r="J403" s="26" t="s">
        <v>14</v>
      </c>
      <c r="K403" s="26" t="s">
        <v>13</v>
      </c>
      <c r="L403" s="55"/>
      <c r="M403" s="26"/>
    </row>
    <row r="404" spans="1:13" ht="75" customHeight="1" thickTop="1" thickBot="1">
      <c r="A404" s="26">
        <v>402</v>
      </c>
      <c r="B404" s="55">
        <f ca="1">IFERROR(__xludf.DUMMYFUNCTION("""COMPUTED_VALUE"""),46152.4494233796)</f>
        <v>46152.449423379599</v>
      </c>
      <c r="C404" s="56" t="str">
        <f ca="1">IFERROR(__xludf.DUMMYFUNCTION("""COMPUTED_VALUE"""),"المعملجي")</f>
        <v>المعملجي</v>
      </c>
      <c r="D404" s="56" t="str">
        <f ca="1">IFERROR(__xludf.DUMMYFUNCTION("""COMPUTED_VALUE"""),"وحدة الميكانيك")</f>
        <v>وحدة الميكانيك</v>
      </c>
      <c r="E404" s="26" t="str">
        <f ca="1">IFERROR(__xludf.DUMMYFUNCTION("""COMPUTED_VALUE"""),"قسم المشاريع الهندسية")</f>
        <v>قسم المشاريع الهندسية</v>
      </c>
      <c r="F404" s="26" t="str">
        <f ca="1">IFERROR(__xludf.DUMMYFUNCTION("""COMPUTED_VALUE"""),"B- روضة القمر, G- روضة الجود")</f>
        <v>B- روضة القمر, G- روضة الجود</v>
      </c>
      <c r="G404" s="26" t="str">
        <f ca="1">IFERROR(__xludf.DUMMYFUNCTION("""COMPUTED_VALUE"""),"السطح")</f>
        <v>السطح</v>
      </c>
      <c r="H404" s="26" t="str">
        <f ca="1">IFERROR(__xludf.DUMMYFUNCTION("""COMPUTED_VALUE"""),"غسل غرفة محطة الماء Ro")</f>
        <v>غسل غرفة محطة الماء Ro</v>
      </c>
      <c r="I404" s="26"/>
      <c r="J404" s="26" t="s">
        <v>14</v>
      </c>
      <c r="K404" s="26" t="s">
        <v>13</v>
      </c>
      <c r="L404" s="55"/>
      <c r="M404" s="26"/>
    </row>
    <row r="405" spans="1:13" ht="75" customHeight="1" thickTop="1" thickBot="1">
      <c r="A405" s="34">
        <v>403</v>
      </c>
      <c r="B405" s="55">
        <f ca="1">IFERROR(__xludf.DUMMYFUNCTION("""COMPUTED_VALUE"""),46152.4498301388)</f>
        <v>46152.449830138801</v>
      </c>
      <c r="C405" s="56" t="str">
        <f ca="1">IFERROR(__xludf.DUMMYFUNCTION("""COMPUTED_VALUE"""),"المعملجي")</f>
        <v>المعملجي</v>
      </c>
      <c r="D405" s="56" t="str">
        <f ca="1">IFERROR(__xludf.DUMMYFUNCTION("""COMPUTED_VALUE"""),"سجاد تربية")</f>
        <v>سجاد تربية</v>
      </c>
      <c r="E405" s="26" t="str">
        <f ca="1">IFERROR(__xludf.DUMMYFUNCTION("""COMPUTED_VALUE"""),"قسم التربية والتعليم العالي")</f>
        <v>قسم التربية والتعليم العالي</v>
      </c>
      <c r="F405" s="26" t="str">
        <f ca="1">IFERROR(__xludf.DUMMYFUNCTION("""COMPUTED_VALUE"""),"A- المركز الثقافي")</f>
        <v>A- المركز الثقافي</v>
      </c>
      <c r="G405" s="26" t="str">
        <f ca="1">IFERROR(__xludf.DUMMYFUNCTION("""COMPUTED_VALUE"""),"الطابق الارضي")</f>
        <v>الطابق الارضي</v>
      </c>
      <c r="H405" s="26" t="str">
        <f ca="1">IFERROR(__xludf.DUMMYFUNCTION("""COMPUTED_VALUE"""),"صيانة ميز خشب")</f>
        <v>صيانة ميز خشب</v>
      </c>
      <c r="I405" s="26"/>
      <c r="J405" s="26" t="s">
        <v>16</v>
      </c>
      <c r="K405" s="26" t="s">
        <v>13</v>
      </c>
      <c r="L405" s="55">
        <v>46152.542540335649</v>
      </c>
      <c r="M405" s="26"/>
    </row>
    <row r="406" spans="1:13" ht="75" customHeight="1" thickTop="1" thickBot="1">
      <c r="A406" s="26">
        <v>404</v>
      </c>
      <c r="B406" s="55">
        <f ca="1">IFERROR(__xludf.DUMMYFUNCTION("""COMPUTED_VALUE"""),46152.5146126157)</f>
        <v>46152.514612615698</v>
      </c>
      <c r="C406" s="56" t="str">
        <f ca="1">IFERROR(__xludf.DUMMYFUNCTION("""COMPUTED_VALUE"""),"المعملجي")</f>
        <v>المعملجي</v>
      </c>
      <c r="D406" s="56" t="str">
        <f ca="1">IFERROR(__xludf.DUMMYFUNCTION("""COMPUTED_VALUE"""),"سجاد تربية")</f>
        <v>سجاد تربية</v>
      </c>
      <c r="E406" s="26" t="str">
        <f ca="1">IFERROR(__xludf.DUMMYFUNCTION("""COMPUTED_VALUE"""),"قسم التربية والتعليم العالي")</f>
        <v>قسم التربية والتعليم العالي</v>
      </c>
      <c r="F406" s="26" t="str">
        <f ca="1">IFERROR(__xludf.DUMMYFUNCTION("""COMPUTED_VALUE"""),"E- ابتدائية العميد للبنات (الثالثة)")</f>
        <v>E- ابتدائية العميد للبنات (الثالثة)</v>
      </c>
      <c r="G406" s="26" t="str">
        <f ca="1">IFERROR(__xludf.DUMMYFUNCTION("""COMPUTED_VALUE"""),"الطابق الارضي")</f>
        <v>الطابق الارضي</v>
      </c>
      <c r="H406" s="26" t="str">
        <f ca="1">IFERROR(__xludf.DUMMYFUNCTION("""COMPUTED_VALUE"""),"تبديل قفل لوكر")</f>
        <v>تبديل قفل لوكر</v>
      </c>
      <c r="I406" s="26"/>
      <c r="J406" s="26" t="s">
        <v>16</v>
      </c>
      <c r="K406" s="26" t="s">
        <v>13</v>
      </c>
      <c r="L406" s="55">
        <v>46153.330727245368</v>
      </c>
      <c r="M406" s="26"/>
    </row>
    <row r="407" spans="1:13" ht="75" customHeight="1" thickTop="1" thickBot="1">
      <c r="A407" s="34">
        <v>405</v>
      </c>
      <c r="B407" s="55">
        <f ca="1">IFERROR(__xludf.DUMMYFUNCTION("""COMPUTED_VALUE"""),46153.3330221527)</f>
        <v>46153.333022152699</v>
      </c>
      <c r="C407" s="56" t="str">
        <f ca="1">IFERROR(__xludf.DUMMYFUNCTION("""COMPUTED_VALUE"""),"المعملجي")</f>
        <v>المعملجي</v>
      </c>
      <c r="D407" s="56" t="str">
        <f ca="1">IFERROR(__xludf.DUMMYFUNCTION("""COMPUTED_VALUE"""),"سجاد تربية")</f>
        <v>سجاد تربية</v>
      </c>
      <c r="E407" s="26" t="str">
        <f ca="1">IFERROR(__xludf.DUMMYFUNCTION("""COMPUTED_VALUE"""),"قسم التربية والتعليم العالي")</f>
        <v>قسم التربية والتعليم العالي</v>
      </c>
      <c r="F407" s="26" t="str">
        <f ca="1">IFERROR(__xludf.DUMMYFUNCTION("""COMPUTED_VALUE"""),"I- ابتدائية الساقي للبنين (السادسة), J- ابتدائية الساقي للبنين الجانب الثاني (السابعة)")</f>
        <v>I- ابتدائية الساقي للبنين (السادسة), J- ابتدائية الساقي للبنين الجانب الثاني (السابعة)</v>
      </c>
      <c r="G407" s="26" t="str">
        <f ca="1">IFERROR(__xludf.DUMMYFUNCTION("""COMPUTED_VALUE"""),"الطابق الارضي")</f>
        <v>الطابق الارضي</v>
      </c>
      <c r="H407" s="26" t="str">
        <f ca="1">IFERROR(__xludf.DUMMYFUNCTION("""COMPUTED_VALUE"""),"قفل باب الساحة الوسطية  صيانة كرسي معلم 
صيانة كرسي مختبر 
لصق تارتان الدرج 
البناية الثانية 
صيانة بردة ")</f>
        <v xml:space="preserve">قفل باب الساحة الوسطية  صيانة كرسي معلم 
صيانة كرسي مختبر 
لصق تارتان الدرج 
البناية الثانية 
صيانة بردة </v>
      </c>
      <c r="I407" s="26"/>
      <c r="J407" s="26" t="s">
        <v>16</v>
      </c>
      <c r="K407" s="26" t="s">
        <v>13</v>
      </c>
      <c r="L407" s="55">
        <v>46153.417613495374</v>
      </c>
      <c r="M407" s="26"/>
    </row>
    <row r="408" spans="1:13" ht="75" customHeight="1" thickTop="1" thickBot="1">
      <c r="A408" s="26">
        <v>406</v>
      </c>
      <c r="B408" s="55">
        <f ca="1">IFERROR(__xludf.DUMMYFUNCTION("""COMPUTED_VALUE"""),46153.3379374305)</f>
        <v>46153.3379374305</v>
      </c>
      <c r="C408" s="56" t="str">
        <f ca="1">IFERROR(__xludf.DUMMYFUNCTION("""COMPUTED_VALUE"""),"المعملجي")</f>
        <v>المعملجي</v>
      </c>
      <c r="D408" s="56" t="str">
        <f ca="1">IFERROR(__xludf.DUMMYFUNCTION("""COMPUTED_VALUE"""),"سجاد تربية")</f>
        <v>سجاد تربية</v>
      </c>
      <c r="E408" s="26" t="str">
        <f ca="1">IFERROR(__xludf.DUMMYFUNCTION("""COMPUTED_VALUE"""),"قسم التربية والتعليم العالي")</f>
        <v>قسم التربية والتعليم العالي</v>
      </c>
      <c r="F408" s="26" t="str">
        <f ca="1">IFERROR(__xludf.DUMMYFUNCTION("""COMPUTED_VALUE"""),"E- ابتدائية العميد للبنات (الثالثة)")</f>
        <v>E- ابتدائية العميد للبنات (الثالثة)</v>
      </c>
      <c r="G408" s="26" t="str">
        <f ca="1">IFERROR(__xludf.DUMMYFUNCTION("""COMPUTED_VALUE"""),"الطابق الثاني")</f>
        <v>الطابق الثاني</v>
      </c>
      <c r="H408" s="26" t="str">
        <f ca="1">IFERROR(__xludf.DUMMYFUNCTION("""COMPUTED_VALUE"""),"صيانة قاطع بين المصلى والمطعم")</f>
        <v>صيانة قاطع بين المصلى والمطعم</v>
      </c>
      <c r="I408" s="26"/>
      <c r="J408" s="26" t="s">
        <v>16</v>
      </c>
      <c r="K408" s="26" t="s">
        <v>13</v>
      </c>
      <c r="L408" s="55">
        <v>46153.417841631948</v>
      </c>
      <c r="M408" s="26"/>
    </row>
    <row r="409" spans="1:13" ht="75" customHeight="1" thickTop="1" thickBot="1">
      <c r="A409" s="34">
        <v>407</v>
      </c>
      <c r="B409" s="55">
        <f ca="1">IFERROR(__xludf.DUMMYFUNCTION("""COMPUTED_VALUE"""),46153.3387724537)</f>
        <v>46153.338772453702</v>
      </c>
      <c r="C409" s="56" t="str">
        <f ca="1">IFERROR(__xludf.DUMMYFUNCTION("""COMPUTED_VALUE"""),"المعملجي")</f>
        <v>المعملجي</v>
      </c>
      <c r="D409" s="56" t="str">
        <f ca="1">IFERROR(__xludf.DUMMYFUNCTION("""COMPUTED_VALUE"""),"سجاد تربية")</f>
        <v>سجاد تربية</v>
      </c>
      <c r="E409" s="26" t="str">
        <f ca="1">IFERROR(__xludf.DUMMYFUNCTION("""COMPUTED_VALUE"""),"قسم التربية والتعليم العالي")</f>
        <v>قسم التربية والتعليم العالي</v>
      </c>
      <c r="F409" s="26" t="str">
        <f ca="1">IFERROR(__xludf.DUMMYFUNCTION("""COMPUTED_VALUE"""),"I- ابتدائية الساقي للبنين (السادسة)")</f>
        <v>I- ابتدائية الساقي للبنين (السادسة)</v>
      </c>
      <c r="G409" s="26" t="str">
        <f ca="1">IFERROR(__xludf.DUMMYFUNCTION("""COMPUTED_VALUE"""),"الطابق الارضي")</f>
        <v>الطابق الارضي</v>
      </c>
      <c r="H409" s="26" t="str">
        <f ca="1">IFERROR(__xludf.DUMMYFUNCTION("""COMPUTED_VALUE"""),"صيانة كرسي معلم")</f>
        <v>صيانة كرسي معلم</v>
      </c>
      <c r="I409" s="26"/>
      <c r="J409" s="26" t="s">
        <v>16</v>
      </c>
      <c r="K409" s="26" t="s">
        <v>13</v>
      </c>
      <c r="L409" s="55">
        <v>46153.417941805557</v>
      </c>
      <c r="M409" s="26"/>
    </row>
    <row r="410" spans="1:13" ht="75" customHeight="1" thickTop="1" thickBot="1">
      <c r="A410" s="26">
        <v>408</v>
      </c>
      <c r="B410" s="55">
        <f ca="1">IFERROR(__xludf.DUMMYFUNCTION("""COMPUTED_VALUE"""),46153.3406912731)</f>
        <v>46153.340691273101</v>
      </c>
      <c r="C410" s="56" t="str">
        <f ca="1">IFERROR(__xludf.DUMMYFUNCTION("""COMPUTED_VALUE"""),"المعملجي")</f>
        <v>المعملجي</v>
      </c>
      <c r="D410" s="56" t="str">
        <f ca="1">IFERROR(__xludf.DUMMYFUNCTION("""COMPUTED_VALUE"""),"سجاد تربية")</f>
        <v>سجاد تربية</v>
      </c>
      <c r="E410" s="26" t="str">
        <f ca="1">IFERROR(__xludf.DUMMYFUNCTION("""COMPUTED_VALUE"""),"قسم التربية والتعليم العالي")</f>
        <v>قسم التربية والتعليم العالي</v>
      </c>
      <c r="F410" s="26" t="str">
        <f ca="1">IFERROR(__xludf.DUMMYFUNCTION("""COMPUTED_VALUE"""),"I- ابتدائية الساقي للبنين (السادسة)")</f>
        <v>I- ابتدائية الساقي للبنين (السادسة)</v>
      </c>
      <c r="G410" s="26" t="str">
        <f ca="1">IFERROR(__xludf.DUMMYFUNCTION("""COMPUTED_VALUE"""),"الطابق الاول")</f>
        <v>الطابق الاول</v>
      </c>
      <c r="H410" s="26" t="str">
        <f ca="1">IFERROR(__xludf.DUMMYFUNCTION("""COMPUTED_VALUE"""),"صيانة كرسي في المختبر")</f>
        <v>صيانة كرسي في المختبر</v>
      </c>
      <c r="I410" s="26"/>
      <c r="J410" s="26" t="s">
        <v>16</v>
      </c>
      <c r="K410" s="26" t="s">
        <v>13</v>
      </c>
      <c r="L410" s="55">
        <v>46153.418019398145</v>
      </c>
      <c r="M410" s="26"/>
    </row>
    <row r="411" spans="1:13" ht="75" customHeight="1" thickTop="1" thickBot="1">
      <c r="A411" s="34">
        <v>409</v>
      </c>
      <c r="B411" s="55">
        <f ca="1">IFERROR(__xludf.DUMMYFUNCTION("""COMPUTED_VALUE"""),46153.3424559953)</f>
        <v>46153.342455995298</v>
      </c>
      <c r="C411" s="56" t="str">
        <f ca="1">IFERROR(__xludf.DUMMYFUNCTION("""COMPUTED_VALUE"""),"المعملجي")</f>
        <v>المعملجي</v>
      </c>
      <c r="D411" s="56" t="str">
        <f ca="1">IFERROR(__xludf.DUMMYFUNCTION("""COMPUTED_VALUE"""),"سجاد تربية")</f>
        <v>سجاد تربية</v>
      </c>
      <c r="E411" s="26" t="str">
        <f ca="1">IFERROR(__xludf.DUMMYFUNCTION("""COMPUTED_VALUE"""),"قسم التربية والتعليم العالي")</f>
        <v>قسم التربية والتعليم العالي</v>
      </c>
      <c r="F411" s="26" t="str">
        <f ca="1">IFERROR(__xludf.DUMMYFUNCTION("""COMPUTED_VALUE"""),"J- جامعة العميد (السابعة)")</f>
        <v>J- جامعة العميد (السابعة)</v>
      </c>
      <c r="G411" s="26" t="str">
        <f ca="1">IFERROR(__xludf.DUMMYFUNCTION("""COMPUTED_VALUE"""),"الطابق الارضي")</f>
        <v>الطابق الارضي</v>
      </c>
      <c r="H411" s="26" t="str">
        <f ca="1">IFERROR(__xludf.DUMMYFUNCTION("""COMPUTED_VALUE"""),"لصق تارتان الدرج")</f>
        <v>لصق تارتان الدرج</v>
      </c>
      <c r="I411" s="26"/>
      <c r="J411" s="26" t="s">
        <v>16</v>
      </c>
      <c r="K411" s="26" t="s">
        <v>13</v>
      </c>
      <c r="L411" s="55">
        <v>46156.410191805553</v>
      </c>
      <c r="M411" s="26"/>
    </row>
    <row r="412" spans="1:13" ht="75" customHeight="1" thickTop="1" thickBot="1">
      <c r="A412" s="26">
        <v>410</v>
      </c>
      <c r="B412" s="55">
        <f ca="1">IFERROR(__xludf.DUMMYFUNCTION("""COMPUTED_VALUE"""),46153.3431551967)</f>
        <v>46153.343155196701</v>
      </c>
      <c r="C412" s="56" t="str">
        <f ca="1">IFERROR(__xludf.DUMMYFUNCTION("""COMPUTED_VALUE"""),"المعملجي")</f>
        <v>المعملجي</v>
      </c>
      <c r="D412" s="56" t="str">
        <f ca="1">IFERROR(__xludf.DUMMYFUNCTION("""COMPUTED_VALUE"""),"سجاد تربية")</f>
        <v>سجاد تربية</v>
      </c>
      <c r="E412" s="26" t="str">
        <f ca="1">IFERROR(__xludf.DUMMYFUNCTION("""COMPUTED_VALUE"""),"قسم التربية والتعليم العالي")</f>
        <v>قسم التربية والتعليم العالي</v>
      </c>
      <c r="F412" s="26" t="str">
        <f ca="1">IFERROR(__xludf.DUMMYFUNCTION("""COMPUTED_VALUE"""),"الصحيات مقابل المدرسة الاولى ")</f>
        <v xml:space="preserve">الصحيات مقابل المدرسة الاولى </v>
      </c>
      <c r="G412" s="26" t="str">
        <f ca="1">IFERROR(__xludf.DUMMYFUNCTION("""COMPUTED_VALUE"""),"الطابق الارضي")</f>
        <v>الطابق الارضي</v>
      </c>
      <c r="H412" s="26" t="str">
        <f ca="1">IFERROR(__xludf.DUMMYFUNCTION("""COMPUTED_VALUE"""),"صيانة انارة")</f>
        <v>صيانة انارة</v>
      </c>
      <c r="I412" s="26"/>
      <c r="J412" s="26" t="s">
        <v>3910</v>
      </c>
      <c r="K412" s="26" t="s">
        <v>13</v>
      </c>
      <c r="L412" s="55">
        <v>46153.418177500003</v>
      </c>
      <c r="M412" s="26"/>
    </row>
    <row r="413" spans="1:13" ht="75" customHeight="1" thickTop="1" thickBot="1">
      <c r="A413" s="34">
        <v>411</v>
      </c>
      <c r="B413" s="55">
        <f ca="1">IFERROR(__xludf.DUMMYFUNCTION("""COMPUTED_VALUE"""),46153.3436255902)</f>
        <v>46153.343625590198</v>
      </c>
      <c r="C413" s="56" t="str">
        <f ca="1">IFERROR(__xludf.DUMMYFUNCTION("""COMPUTED_VALUE"""),"المعملجي")</f>
        <v>المعملجي</v>
      </c>
      <c r="D413" s="56" t="str">
        <f ca="1">IFERROR(__xludf.DUMMYFUNCTION("""COMPUTED_VALUE"""),"سجاد تربية")</f>
        <v>سجاد تربية</v>
      </c>
      <c r="E413" s="26" t="str">
        <f ca="1">IFERROR(__xludf.DUMMYFUNCTION("""COMPUTED_VALUE"""),"قسم التربية والتعليم العالي")</f>
        <v>قسم التربية والتعليم العالي</v>
      </c>
      <c r="F413" s="26" t="str">
        <f ca="1">IFERROR(__xludf.DUMMYFUNCTION("""COMPUTED_VALUE"""),"الصحيات مقابل المدرسة الاولى ")</f>
        <v xml:space="preserve">الصحيات مقابل المدرسة الاولى </v>
      </c>
      <c r="G413" s="26" t="str">
        <f ca="1">IFERROR(__xludf.DUMMYFUNCTION("""COMPUTED_VALUE"""),"الطابق الارضي")</f>
        <v>الطابق الارضي</v>
      </c>
      <c r="H413" s="26" t="str">
        <f ca="1">IFERROR(__xludf.DUMMYFUNCTION("""COMPUTED_VALUE"""),"صيانة باب المنيوم ")</f>
        <v xml:space="preserve">صيانة باب المنيوم </v>
      </c>
      <c r="I413" s="26"/>
      <c r="J413" s="26" t="s">
        <v>16</v>
      </c>
      <c r="K413" s="26" t="s">
        <v>13</v>
      </c>
      <c r="L413" s="55">
        <v>46153.418454074075</v>
      </c>
      <c r="M413" s="26"/>
    </row>
    <row r="414" spans="1:13" ht="75" customHeight="1" thickTop="1" thickBot="1">
      <c r="A414" s="26">
        <v>412</v>
      </c>
      <c r="B414" s="55">
        <f ca="1">IFERROR(__xludf.DUMMYFUNCTION("""COMPUTED_VALUE"""),46153.5671462847)</f>
        <v>46153.567146284702</v>
      </c>
      <c r="C414" s="56" t="str">
        <f ca="1">IFERROR(__xludf.DUMMYFUNCTION("""COMPUTED_VALUE"""),"المعملجي")</f>
        <v>المعملجي</v>
      </c>
      <c r="D414" s="56" t="str">
        <f ca="1">IFERROR(__xludf.DUMMYFUNCTION("""COMPUTED_VALUE"""),"سجاد تربية")</f>
        <v>سجاد تربية</v>
      </c>
      <c r="E414" s="26" t="str">
        <f ca="1">IFERROR(__xludf.DUMMYFUNCTION("""COMPUTED_VALUE"""),"قسم التربية والتعليم العالي")</f>
        <v>قسم التربية والتعليم العالي</v>
      </c>
      <c r="F414" s="26" t="str">
        <f ca="1">IFERROR(__xludf.DUMMYFUNCTION("""COMPUTED_VALUE"""),"I- ابتدائية الساقي للبنين (السادسة)")</f>
        <v>I- ابتدائية الساقي للبنين (السادسة)</v>
      </c>
      <c r="G414" s="26" t="str">
        <f ca="1">IFERROR(__xludf.DUMMYFUNCTION("""COMPUTED_VALUE"""),"الطابق الارضي")</f>
        <v>الطابق الارضي</v>
      </c>
      <c r="H414" s="26" t="str">
        <f ca="1">IFERROR(__xludf.DUMMYFUNCTION("""COMPUTED_VALUE"""),"صيانة طبلات عدد 6")</f>
        <v>صيانة طبلات عدد 6</v>
      </c>
      <c r="I414" s="26"/>
      <c r="J414" s="26" t="s">
        <v>16</v>
      </c>
      <c r="K414" s="26" t="s">
        <v>13</v>
      </c>
      <c r="L414" s="55"/>
      <c r="M414" s="26"/>
    </row>
    <row r="415" spans="1:13" ht="75" customHeight="1" thickTop="1" thickBot="1">
      <c r="A415" s="34">
        <v>413</v>
      </c>
      <c r="B415" s="55">
        <f ca="1">IFERROR(__xludf.DUMMYFUNCTION("""COMPUTED_VALUE"""),46153.5690003356)</f>
        <v>46153.569000335599</v>
      </c>
      <c r="C415" s="56" t="str">
        <f ca="1">IFERROR(__xludf.DUMMYFUNCTION("""COMPUTED_VALUE"""),"المعملجي")</f>
        <v>المعملجي</v>
      </c>
      <c r="D415" s="56" t="str">
        <f ca="1">IFERROR(__xludf.DUMMYFUNCTION("""COMPUTED_VALUE"""),"سجاد تربية")</f>
        <v>سجاد تربية</v>
      </c>
      <c r="E415" s="26" t="str">
        <f ca="1">IFERROR(__xludf.DUMMYFUNCTION("""COMPUTED_VALUE"""),"قسم التربية والتعليم العالي")</f>
        <v>قسم التربية والتعليم العالي</v>
      </c>
      <c r="F415" s="26" t="str">
        <f ca="1">IFERROR(__xludf.DUMMYFUNCTION("""COMPUTED_VALUE"""),"I- ابتدائية الساقي للبنين (السادسة)")</f>
        <v>I- ابتدائية الساقي للبنين (السادسة)</v>
      </c>
      <c r="G415" s="26" t="str">
        <f ca="1">IFERROR(__xludf.DUMMYFUNCTION("""COMPUTED_VALUE"""),"الطابق الارضي")</f>
        <v>الطابق الارضي</v>
      </c>
      <c r="H415" s="26" t="str">
        <f ca="1">IFERROR(__xludf.DUMMYFUNCTION("""COMPUTED_VALUE"""),"صيانة باب المنيوم الداخلية")</f>
        <v>صيانة باب المنيوم الداخلية</v>
      </c>
      <c r="I415" s="26"/>
      <c r="J415" s="26" t="s">
        <v>16</v>
      </c>
      <c r="K415" s="26" t="s">
        <v>13</v>
      </c>
      <c r="L415" s="55"/>
      <c r="M415" s="26"/>
    </row>
    <row r="416" spans="1:13" ht="75" customHeight="1" thickTop="1" thickBot="1">
      <c r="A416" s="26">
        <v>414</v>
      </c>
      <c r="B416" s="55">
        <f ca="1">IFERROR(__xludf.DUMMYFUNCTION("""COMPUTED_VALUE"""),46153.5694862152)</f>
        <v>46153.569486215201</v>
      </c>
      <c r="C416" s="56" t="str">
        <f ca="1">IFERROR(__xludf.DUMMYFUNCTION("""COMPUTED_VALUE"""),"المعملجي")</f>
        <v>المعملجي</v>
      </c>
      <c r="D416" s="56" t="str">
        <f ca="1">IFERROR(__xludf.DUMMYFUNCTION("""COMPUTED_VALUE"""),"سجاد تربية")</f>
        <v>سجاد تربية</v>
      </c>
      <c r="E416" s="26" t="str">
        <f ca="1">IFERROR(__xludf.DUMMYFUNCTION("""COMPUTED_VALUE"""),"قسم التربية والتعليم العالي")</f>
        <v>قسم التربية والتعليم العالي</v>
      </c>
      <c r="F416" s="26" t="str">
        <f ca="1">IFERROR(__xludf.DUMMYFUNCTION("""COMPUTED_VALUE"""),"I- ابتدائية الساقي للبنين (السادسة)")</f>
        <v>I- ابتدائية الساقي للبنين (السادسة)</v>
      </c>
      <c r="G416" s="26" t="str">
        <f ca="1">IFERROR(__xludf.DUMMYFUNCTION("""COMPUTED_VALUE"""),"الطابق الارضي")</f>
        <v>الطابق الارضي</v>
      </c>
      <c r="H416" s="26" t="str">
        <f ca="1">IFERROR(__xludf.DUMMYFUNCTION("""COMPUTED_VALUE"""),"صيانة باب المنيوم بين الزونين")</f>
        <v>صيانة باب المنيوم بين الزونين</v>
      </c>
      <c r="I416" s="26"/>
      <c r="J416" s="26" t="s">
        <v>16</v>
      </c>
      <c r="K416" s="26" t="s">
        <v>13</v>
      </c>
      <c r="L416" s="55"/>
      <c r="M416" s="26"/>
    </row>
    <row r="417" spans="1:13" ht="75" customHeight="1" thickTop="1" thickBot="1">
      <c r="A417" s="34">
        <v>415</v>
      </c>
      <c r="B417" s="55">
        <f ca="1">IFERROR(__xludf.DUMMYFUNCTION("""COMPUTED_VALUE"""),46153.569902905)</f>
        <v>46153.569902905001</v>
      </c>
      <c r="C417" s="56" t="str">
        <f ca="1">IFERROR(__xludf.DUMMYFUNCTION("""COMPUTED_VALUE"""),"المعملجي")</f>
        <v>المعملجي</v>
      </c>
      <c r="D417" s="56" t="str">
        <f ca="1">IFERROR(__xludf.DUMMYFUNCTION("""COMPUTED_VALUE"""),"سجاد تربية")</f>
        <v>سجاد تربية</v>
      </c>
      <c r="E417" s="26" t="str">
        <f ca="1">IFERROR(__xludf.DUMMYFUNCTION("""COMPUTED_VALUE"""),"قسم التربية والتعليم العالي")</f>
        <v>قسم التربية والتعليم العالي</v>
      </c>
      <c r="F417" s="26" t="str">
        <f ca="1">IFERROR(__xludf.DUMMYFUNCTION("""COMPUTED_VALUE"""),"F-  ابتدائية جود العميد للبنات (الرابعة)")</f>
        <v>F-  ابتدائية جود العميد للبنات (الرابعة)</v>
      </c>
      <c r="G417" s="26" t="str">
        <f ca="1">IFERROR(__xludf.DUMMYFUNCTION("""COMPUTED_VALUE"""),"الطابق الارضي, ZONE B")</f>
        <v>الطابق الارضي, ZONE B</v>
      </c>
      <c r="H417" s="26" t="str">
        <f ca="1">IFERROR(__xludf.DUMMYFUNCTION("""COMPUTED_VALUE"""),"ارجاع سقوف ثانوية عدد 9")</f>
        <v>ارجاع سقوف ثانوية عدد 9</v>
      </c>
      <c r="I417" s="26"/>
      <c r="J417" s="26" t="s">
        <v>16</v>
      </c>
      <c r="K417" s="26" t="s">
        <v>13</v>
      </c>
      <c r="L417" s="55"/>
      <c r="M417" s="26"/>
    </row>
    <row r="418" spans="1:13" ht="75" customHeight="1" thickTop="1" thickBot="1">
      <c r="A418" s="26">
        <v>416</v>
      </c>
      <c r="B418" s="55">
        <f ca="1">IFERROR(__xludf.DUMMYFUNCTION("""COMPUTED_VALUE"""),46153.5705862962)</f>
        <v>46153.570586296199</v>
      </c>
      <c r="C418" s="56" t="str">
        <f ca="1">IFERROR(__xludf.DUMMYFUNCTION("""COMPUTED_VALUE"""),"المعملجي")</f>
        <v>المعملجي</v>
      </c>
      <c r="D418" s="56" t="str">
        <f ca="1">IFERROR(__xludf.DUMMYFUNCTION("""COMPUTED_VALUE"""),"سجاد تربية")</f>
        <v>سجاد تربية</v>
      </c>
      <c r="E418" s="26" t="str">
        <f ca="1">IFERROR(__xludf.DUMMYFUNCTION("""COMPUTED_VALUE"""),"قسم التربية والتعليم العالي")</f>
        <v>قسم التربية والتعليم العالي</v>
      </c>
      <c r="F418" s="26" t="str">
        <f ca="1">IFERROR(__xludf.DUMMYFUNCTION("""COMPUTED_VALUE"""),"F-  ابتدائية جود العميد للبنات (الرابعة)")</f>
        <v>F-  ابتدائية جود العميد للبنات (الرابعة)</v>
      </c>
      <c r="G418" s="26" t="str">
        <f ca="1">IFERROR(__xludf.DUMMYFUNCTION("""COMPUTED_VALUE"""),"الطابق الارضي")</f>
        <v>الطابق الارضي</v>
      </c>
      <c r="H418" s="26" t="str">
        <f ca="1">IFERROR(__xludf.DUMMYFUNCTION("""COMPUTED_VALUE"""),"صيانة بردة الصف الاول د ")</f>
        <v xml:space="preserve">صيانة بردة الصف الاول د </v>
      </c>
      <c r="I418" s="26"/>
      <c r="J418" s="26" t="s">
        <v>16</v>
      </c>
      <c r="K418" s="26" t="s">
        <v>13</v>
      </c>
      <c r="L418" s="55"/>
      <c r="M418" s="26"/>
    </row>
    <row r="419" spans="1:13" ht="75" customHeight="1" thickTop="1" thickBot="1">
      <c r="A419" s="34">
        <v>417</v>
      </c>
      <c r="B419" s="55">
        <f ca="1">IFERROR(__xludf.DUMMYFUNCTION("""COMPUTED_VALUE"""),46153.5712135648)</f>
        <v>46153.571213564799</v>
      </c>
      <c r="C419" s="56" t="str">
        <f ca="1">IFERROR(__xludf.DUMMYFUNCTION("""COMPUTED_VALUE"""),"المعملجي")</f>
        <v>المعملجي</v>
      </c>
      <c r="D419" s="56" t="str">
        <f ca="1">IFERROR(__xludf.DUMMYFUNCTION("""COMPUTED_VALUE"""),"سجاد تربية")</f>
        <v>سجاد تربية</v>
      </c>
      <c r="E419" s="26" t="str">
        <f ca="1">IFERROR(__xludf.DUMMYFUNCTION("""COMPUTED_VALUE"""),"قسم التربية والتعليم العالي")</f>
        <v>قسم التربية والتعليم العالي</v>
      </c>
      <c r="F419" s="26" t="str">
        <f ca="1">IFERROR(__xludf.DUMMYFUNCTION("""COMPUTED_VALUE"""),"F-  ابتدائية جود العميد للبنات (الرابعة)")</f>
        <v>F-  ابتدائية جود العميد للبنات (الرابعة)</v>
      </c>
      <c r="G419" s="26" t="str">
        <f ca="1">IFERROR(__xludf.DUMMYFUNCTION("""COMPUTED_VALUE"""),"الطابق الارضي")</f>
        <v>الطابق الارضي</v>
      </c>
      <c r="H419" s="26" t="str">
        <f ca="1">IFERROR(__xludf.DUMMYFUNCTION("""COMPUTED_VALUE"""),"ارجاع قطع هزارة الزون B")</f>
        <v>ارجاع قطع هزارة الزون B</v>
      </c>
      <c r="I419" s="26"/>
      <c r="J419" s="26" t="s">
        <v>16</v>
      </c>
      <c r="K419" s="26" t="s">
        <v>13</v>
      </c>
      <c r="L419" s="55"/>
      <c r="M419" s="26"/>
    </row>
    <row r="420" spans="1:13" ht="75" customHeight="1" thickTop="1" thickBot="1">
      <c r="A420" s="26">
        <v>418</v>
      </c>
      <c r="B420" s="55">
        <f ca="1">IFERROR(__xludf.DUMMYFUNCTION("""COMPUTED_VALUE"""),46153.5717571759)</f>
        <v>46153.571757175901</v>
      </c>
      <c r="C420" s="56" t="str">
        <f ca="1">IFERROR(__xludf.DUMMYFUNCTION("""COMPUTED_VALUE"""),"المعملجي")</f>
        <v>المعملجي</v>
      </c>
      <c r="D420" s="56" t="str">
        <f ca="1">IFERROR(__xludf.DUMMYFUNCTION("""COMPUTED_VALUE"""),"سجاد تربية")</f>
        <v>سجاد تربية</v>
      </c>
      <c r="E420" s="26" t="str">
        <f ca="1">IFERROR(__xludf.DUMMYFUNCTION("""COMPUTED_VALUE"""),"قسم التربية والتعليم العالي")</f>
        <v>قسم التربية والتعليم العالي</v>
      </c>
      <c r="F420" s="26" t="str">
        <f ca="1">IFERROR(__xludf.DUMMYFUNCTION("""COMPUTED_VALUE"""),"F-  ابتدائية جود العميد للبنات (الرابعة)")</f>
        <v>F-  ابتدائية جود العميد للبنات (الرابعة)</v>
      </c>
      <c r="G420" s="26" t="str">
        <f ca="1">IFERROR(__xludf.DUMMYFUNCTION("""COMPUTED_VALUE"""),"الطابق الثاني, ZONE A")</f>
        <v>الطابق الثاني, ZONE A</v>
      </c>
      <c r="H420" s="26" t="str">
        <f ca="1">IFERROR(__xludf.DUMMYFUNCTION("""COMPUTED_VALUE"""),"صيانة بردة في المصلى ")</f>
        <v xml:space="preserve">صيانة بردة في المصلى </v>
      </c>
      <c r="I420" s="26"/>
      <c r="J420" s="26" t="s">
        <v>16</v>
      </c>
      <c r="K420" s="26" t="s">
        <v>13</v>
      </c>
      <c r="L420" s="55"/>
      <c r="M420" s="26"/>
    </row>
    <row r="421" spans="1:13" ht="75" customHeight="1" thickTop="1" thickBot="1">
      <c r="A421" s="34">
        <v>419</v>
      </c>
      <c r="B421" s="55">
        <f ca="1">IFERROR(__xludf.DUMMYFUNCTION("""COMPUTED_VALUE"""),46153.5724779861)</f>
        <v>46153.572477986098</v>
      </c>
      <c r="C421" s="56" t="str">
        <f ca="1">IFERROR(__xludf.DUMMYFUNCTION("""COMPUTED_VALUE"""),"المعملجي")</f>
        <v>المعملجي</v>
      </c>
      <c r="D421" s="56" t="str">
        <f ca="1">IFERROR(__xludf.DUMMYFUNCTION("""COMPUTED_VALUE"""),"سجاد تربية")</f>
        <v>سجاد تربية</v>
      </c>
      <c r="E421" s="26" t="str">
        <f ca="1">IFERROR(__xludf.DUMMYFUNCTION("""COMPUTED_VALUE"""),"قسم التربية والتعليم العالي")</f>
        <v>قسم التربية والتعليم العالي</v>
      </c>
      <c r="F421" s="26" t="str">
        <f ca="1">IFERROR(__xludf.DUMMYFUNCTION("""COMPUTED_VALUE"""),"F-  ابتدائية جود العميد للبنات (الرابعة)")</f>
        <v>F-  ابتدائية جود العميد للبنات (الرابعة)</v>
      </c>
      <c r="G421" s="26" t="str">
        <f ca="1">IFERROR(__xludf.DUMMYFUNCTION("""COMPUTED_VALUE"""),"الطابق الاول")</f>
        <v>الطابق الاول</v>
      </c>
      <c r="H421" s="26" t="str">
        <f ca="1">IFERROR(__xludf.DUMMYFUNCTION("""COMPUTED_VALUE"""),"صيانة يدة شباك حديد صف الاول ص")</f>
        <v>صيانة يدة شباك حديد صف الاول ص</v>
      </c>
      <c r="I421" s="26"/>
      <c r="J421" s="26" t="s">
        <v>16</v>
      </c>
      <c r="K421" s="26" t="s">
        <v>13</v>
      </c>
      <c r="L421" s="55"/>
      <c r="M421" s="26"/>
    </row>
    <row r="422" spans="1:13" ht="75" customHeight="1" thickTop="1" thickBot="1">
      <c r="A422" s="26">
        <v>420</v>
      </c>
      <c r="B422" s="55">
        <f ca="1">IFERROR(__xludf.DUMMYFUNCTION("""COMPUTED_VALUE"""),46153.5730552893)</f>
        <v>46153.5730552893</v>
      </c>
      <c r="C422" s="56" t="str">
        <f ca="1">IFERROR(__xludf.DUMMYFUNCTION("""COMPUTED_VALUE"""),"المعملجي")</f>
        <v>المعملجي</v>
      </c>
      <c r="D422" s="56" t="str">
        <f ca="1">IFERROR(__xludf.DUMMYFUNCTION("""COMPUTED_VALUE"""),"سجاد تربية")</f>
        <v>سجاد تربية</v>
      </c>
      <c r="E422" s="26" t="str">
        <f ca="1">IFERROR(__xludf.DUMMYFUNCTION("""COMPUTED_VALUE"""),"قسم التربية والتعليم العالي")</f>
        <v>قسم التربية والتعليم العالي</v>
      </c>
      <c r="F422" s="26" t="str">
        <f ca="1">IFERROR(__xludf.DUMMYFUNCTION("""COMPUTED_VALUE"""),"F-  ابتدائية جود العميد للبنات (الرابعة)")</f>
        <v>F-  ابتدائية جود العميد للبنات (الرابعة)</v>
      </c>
      <c r="G422" s="26" t="str">
        <f ca="1">IFERROR(__xludf.DUMMYFUNCTION("""COMPUTED_VALUE"""),"الطابق الاول")</f>
        <v>الطابق الاول</v>
      </c>
      <c r="H422" s="26" t="str">
        <f ca="1">IFERROR(__xludf.DUMMYFUNCTION("""COMPUTED_VALUE"""),"صيانة يدة شباك حديد صف الاول ب")</f>
        <v>صيانة يدة شباك حديد صف الاول ب</v>
      </c>
      <c r="I422" s="26"/>
      <c r="J422" s="26" t="s">
        <v>16</v>
      </c>
      <c r="K422" s="26" t="s">
        <v>13</v>
      </c>
      <c r="L422" s="55"/>
      <c r="M422" s="26"/>
    </row>
    <row r="423" spans="1:13" ht="75" customHeight="1" thickTop="1" thickBot="1">
      <c r="A423" s="34">
        <v>421</v>
      </c>
      <c r="B423" s="55">
        <f ca="1">IFERROR(__xludf.DUMMYFUNCTION("""COMPUTED_VALUE"""),46153.5738049305)</f>
        <v>46153.5738049305</v>
      </c>
      <c r="C423" s="56" t="str">
        <f ca="1">IFERROR(__xludf.DUMMYFUNCTION("""COMPUTED_VALUE"""),"المعملجي")</f>
        <v>المعملجي</v>
      </c>
      <c r="D423" s="56" t="str">
        <f ca="1">IFERROR(__xludf.DUMMYFUNCTION("""COMPUTED_VALUE"""),"سجاد تربية")</f>
        <v>سجاد تربية</v>
      </c>
      <c r="E423" s="26" t="str">
        <f ca="1">IFERROR(__xludf.DUMMYFUNCTION("""COMPUTED_VALUE"""),"قسم التربية والتعليم العالي")</f>
        <v>قسم التربية والتعليم العالي</v>
      </c>
      <c r="F423" s="26" t="str">
        <f ca="1">IFERROR(__xludf.DUMMYFUNCTION("""COMPUTED_VALUE"""),"F-  ابتدائية جود العميد للبنات (الرابعة)")</f>
        <v>F-  ابتدائية جود العميد للبنات (الرابعة)</v>
      </c>
      <c r="G423" s="26" t="str">
        <f ca="1">IFERROR(__xludf.DUMMYFUNCTION("""COMPUTED_VALUE"""),"الطابق الاول")</f>
        <v>الطابق الاول</v>
      </c>
      <c r="H423" s="26" t="str">
        <f ca="1">IFERROR(__xludf.DUMMYFUNCTION("""COMPUTED_VALUE"""),"صيانة يدة شباك حديد صف الرابع أ")</f>
        <v>صيانة يدة شباك حديد صف الرابع أ</v>
      </c>
      <c r="I423" s="26"/>
      <c r="J423" s="26" t="s">
        <v>16</v>
      </c>
      <c r="K423" s="26" t="s">
        <v>13</v>
      </c>
      <c r="L423" s="55"/>
      <c r="M423" s="26"/>
    </row>
    <row r="424" spans="1:13" ht="75" customHeight="1" thickTop="1" thickBot="1">
      <c r="A424" s="26">
        <v>422</v>
      </c>
      <c r="B424" s="55">
        <f ca="1">IFERROR(__xludf.DUMMYFUNCTION("""COMPUTED_VALUE"""),46153.5745442708)</f>
        <v>46153.574544270799</v>
      </c>
      <c r="C424" s="56" t="str">
        <f ca="1">IFERROR(__xludf.DUMMYFUNCTION("""COMPUTED_VALUE"""),"المعملجي")</f>
        <v>المعملجي</v>
      </c>
      <c r="D424" s="56" t="str">
        <f ca="1">IFERROR(__xludf.DUMMYFUNCTION("""COMPUTED_VALUE"""),"سجاد تربية")</f>
        <v>سجاد تربية</v>
      </c>
      <c r="E424" s="26" t="str">
        <f ca="1">IFERROR(__xludf.DUMMYFUNCTION("""COMPUTED_VALUE"""),"قسم التربية والتعليم العالي")</f>
        <v>قسم التربية والتعليم العالي</v>
      </c>
      <c r="F424" s="26" t="str">
        <f ca="1">IFERROR(__xludf.DUMMYFUNCTION("""COMPUTED_VALUE"""),"الصحيات مقابل المدرسة الاولى ")</f>
        <v xml:space="preserve">الصحيات مقابل المدرسة الاولى </v>
      </c>
      <c r="G424" s="26" t="str">
        <f ca="1">IFERROR(__xludf.DUMMYFUNCTION("""COMPUTED_VALUE"""),"الطابق الارضي")</f>
        <v>الطابق الارضي</v>
      </c>
      <c r="H424" s="26" t="str">
        <f ca="1">IFERROR(__xludf.DUMMYFUNCTION("""COMPUTED_VALUE"""),"صيانة باب المنيوم عدد 5")</f>
        <v>صيانة باب المنيوم عدد 5</v>
      </c>
      <c r="I424" s="26"/>
      <c r="J424" s="26" t="s">
        <v>16</v>
      </c>
      <c r="K424" s="26" t="s">
        <v>13</v>
      </c>
      <c r="L424" s="55"/>
      <c r="M424" s="26"/>
    </row>
    <row r="425" spans="1:13" ht="75" customHeight="1" thickTop="1" thickBot="1">
      <c r="A425" s="34">
        <v>423</v>
      </c>
      <c r="B425" s="55">
        <f ca="1">IFERROR(__xludf.DUMMYFUNCTION("""COMPUTED_VALUE"""),46153.5750673379)</f>
        <v>46153.575067337901</v>
      </c>
      <c r="C425" s="56" t="str">
        <f ca="1">IFERROR(__xludf.DUMMYFUNCTION("""COMPUTED_VALUE"""),"المعملجي")</f>
        <v>المعملجي</v>
      </c>
      <c r="D425" s="56" t="str">
        <f ca="1">IFERROR(__xludf.DUMMYFUNCTION("""COMPUTED_VALUE"""),"سجاد تربية")</f>
        <v>سجاد تربية</v>
      </c>
      <c r="E425" s="26" t="str">
        <f ca="1">IFERROR(__xludf.DUMMYFUNCTION("""COMPUTED_VALUE"""),"قسم التربية والتعليم العالي")</f>
        <v>قسم التربية والتعليم العالي</v>
      </c>
      <c r="F425" s="26" t="str">
        <f ca="1">IFERROR(__xludf.DUMMYFUNCTION("""COMPUTED_VALUE"""),"F-  ابتدائية جود العميد للبنات (الرابعة)")</f>
        <v>F-  ابتدائية جود العميد للبنات (الرابعة)</v>
      </c>
      <c r="G425" s="26" t="str">
        <f ca="1">IFERROR(__xludf.DUMMYFUNCTION("""COMPUTED_VALUE"""),"الطابق الارضي")</f>
        <v>الطابق الارضي</v>
      </c>
      <c r="H425" s="26" t="str">
        <f ca="1">IFERROR(__xludf.DUMMYFUNCTION("""COMPUTED_VALUE"""),"صيانة لوحة تعريفية ")</f>
        <v xml:space="preserve">صيانة لوحة تعريفية </v>
      </c>
      <c r="I425" s="26"/>
      <c r="J425" s="26" t="s">
        <v>16</v>
      </c>
      <c r="K425" s="26" t="s">
        <v>13</v>
      </c>
      <c r="L425" s="55"/>
      <c r="M425" s="26"/>
    </row>
    <row r="426" spans="1:13" ht="75" customHeight="1" thickTop="1" thickBot="1">
      <c r="A426" s="26">
        <v>424</v>
      </c>
      <c r="B426" s="55">
        <f ca="1">IFERROR(__xludf.DUMMYFUNCTION("""COMPUTED_VALUE"""),46153.5767656597)</f>
        <v>46153.576765659702</v>
      </c>
      <c r="C426" s="56" t="str">
        <f ca="1">IFERROR(__xludf.DUMMYFUNCTION("""COMPUTED_VALUE"""),"المعملجي")</f>
        <v>المعملجي</v>
      </c>
      <c r="D426" s="56" t="str">
        <f ca="1">IFERROR(__xludf.DUMMYFUNCTION("""COMPUTED_VALUE"""),"سجاد تربية")</f>
        <v>سجاد تربية</v>
      </c>
      <c r="E426" s="26" t="str">
        <f ca="1">IFERROR(__xludf.DUMMYFUNCTION("""COMPUTED_VALUE"""),"قسم التربية والتعليم العالي")</f>
        <v>قسم التربية والتعليم العالي</v>
      </c>
      <c r="F426" s="26" t="str">
        <f ca="1">IFERROR(__xludf.DUMMYFUNCTION("""COMPUTED_VALUE"""),"F-  ابتدائية جود العميد للبنات (الرابعة)")</f>
        <v>F-  ابتدائية جود العميد للبنات (الرابعة)</v>
      </c>
      <c r="G426" s="26" t="str">
        <f ca="1">IFERROR(__xludf.DUMMYFUNCTION("""COMPUTED_VALUE"""),"ZONE B")</f>
        <v>ZONE B</v>
      </c>
      <c r="H426" s="26" t="str">
        <f ca="1">IFERROR(__xludf.DUMMYFUNCTION("""COMPUTED_VALUE"""),"صيانة يدة شباك صف الرابع أ")</f>
        <v>صيانة يدة شباك صف الرابع أ</v>
      </c>
      <c r="I426" s="26"/>
      <c r="J426" s="26" t="s">
        <v>16</v>
      </c>
      <c r="K426" s="26" t="s">
        <v>13</v>
      </c>
      <c r="L426" s="55"/>
      <c r="M426" s="26"/>
    </row>
    <row r="427" spans="1:13" ht="75" customHeight="1" thickTop="1" thickBot="1">
      <c r="A427" s="34">
        <v>425</v>
      </c>
      <c r="B427" s="55">
        <f ca="1">IFERROR(__xludf.DUMMYFUNCTION("""COMPUTED_VALUE"""),46153.5772657638)</f>
        <v>46153.577265763801</v>
      </c>
      <c r="C427" s="56" t="str">
        <f ca="1">IFERROR(__xludf.DUMMYFUNCTION("""COMPUTED_VALUE"""),"المعملجي")</f>
        <v>المعملجي</v>
      </c>
      <c r="D427" s="56" t="str">
        <f ca="1">IFERROR(__xludf.DUMMYFUNCTION("""COMPUTED_VALUE"""),"سجاد تربية")</f>
        <v>سجاد تربية</v>
      </c>
      <c r="E427" s="26" t="str">
        <f ca="1">IFERROR(__xludf.DUMMYFUNCTION("""COMPUTED_VALUE"""),"قسم التربية والتعليم العالي")</f>
        <v>قسم التربية والتعليم العالي</v>
      </c>
      <c r="F427" s="26" t="str">
        <f ca="1">IFERROR(__xludf.DUMMYFUNCTION("""COMPUTED_VALUE"""),"F-  ابتدائية جود العميد للبنات (الرابعة)")</f>
        <v>F-  ابتدائية جود العميد للبنات (الرابعة)</v>
      </c>
      <c r="G427" s="26" t="str">
        <f ca="1">IFERROR(__xludf.DUMMYFUNCTION("""COMPUTED_VALUE"""),"الطابق الارضي")</f>
        <v>الطابق الارضي</v>
      </c>
      <c r="H427" s="26" t="str">
        <f ca="1">IFERROR(__xludf.DUMMYFUNCTION("""COMPUTED_VALUE"""),"تبديل قفل لوكر غرفة الإدارة ")</f>
        <v xml:space="preserve">تبديل قفل لوكر غرفة الإدارة </v>
      </c>
      <c r="I427" s="26"/>
      <c r="J427" s="26" t="s">
        <v>16</v>
      </c>
      <c r="K427" s="26" t="s">
        <v>13</v>
      </c>
      <c r="L427" s="55">
        <v>46153.57772627315</v>
      </c>
      <c r="M427" s="26"/>
    </row>
    <row r="428" spans="1:13" ht="75" customHeight="1" thickTop="1" thickBot="1">
      <c r="A428" s="26">
        <v>426</v>
      </c>
      <c r="B428" s="55">
        <f ca="1">IFERROR(__xludf.DUMMYFUNCTION("""COMPUTED_VALUE"""),46153.5791412615)</f>
        <v>46153.5791412615</v>
      </c>
      <c r="C428" s="56" t="str">
        <f ca="1">IFERROR(__xludf.DUMMYFUNCTION("""COMPUTED_VALUE"""),"المعملجي")</f>
        <v>المعملجي</v>
      </c>
      <c r="D428" s="56" t="str">
        <f ca="1">IFERROR(__xludf.DUMMYFUNCTION("""COMPUTED_VALUE"""),"سجاد تربية")</f>
        <v>سجاد تربية</v>
      </c>
      <c r="E428" s="26" t="str">
        <f ca="1">IFERROR(__xludf.DUMMYFUNCTION("""COMPUTED_VALUE"""),"قسم التربية والتعليم العالي")</f>
        <v>قسم التربية والتعليم العالي</v>
      </c>
      <c r="F428" s="26" t="str">
        <f ca="1">IFERROR(__xludf.DUMMYFUNCTION("""COMPUTED_VALUE"""),"F-  ابتدائية جود العميد للبنات (الرابعة)")</f>
        <v>F-  ابتدائية جود العميد للبنات (الرابعة)</v>
      </c>
      <c r="G428" s="26" t="str">
        <f ca="1">IFERROR(__xludf.DUMMYFUNCTION("""COMPUTED_VALUE"""),"الطابق الارضي, ZONE B")</f>
        <v>الطابق الارضي, ZONE B</v>
      </c>
      <c r="H428" s="26" t="str">
        <f ca="1">IFERROR(__xludf.DUMMYFUNCTION("""COMPUTED_VALUE"""),"إضافة مسدس شطاف عدد 7")</f>
        <v>إضافة مسدس شطاف عدد 7</v>
      </c>
      <c r="I428" s="26"/>
      <c r="J428" s="26" t="s">
        <v>14</v>
      </c>
      <c r="K428" s="26" t="s">
        <v>13</v>
      </c>
      <c r="L428" s="55"/>
      <c r="M428" s="26"/>
    </row>
    <row r="429" spans="1:13" ht="75" customHeight="1" thickTop="1" thickBot="1">
      <c r="A429" s="34">
        <v>427</v>
      </c>
      <c r="B429" s="55">
        <f ca="1">IFERROR(__xludf.DUMMYFUNCTION("""COMPUTED_VALUE"""),46153.5796357291)</f>
        <v>46153.579635729096</v>
      </c>
      <c r="C429" s="56" t="str">
        <f ca="1">IFERROR(__xludf.DUMMYFUNCTION("""COMPUTED_VALUE"""),"المعملجي")</f>
        <v>المعملجي</v>
      </c>
      <c r="D429" s="56" t="str">
        <f ca="1">IFERROR(__xludf.DUMMYFUNCTION("""COMPUTED_VALUE"""),"سجاد تربية")</f>
        <v>سجاد تربية</v>
      </c>
      <c r="E429" s="26" t="str">
        <f ca="1">IFERROR(__xludf.DUMMYFUNCTION("""COMPUTED_VALUE"""),"قسم التربية والتعليم العالي")</f>
        <v>قسم التربية والتعليم العالي</v>
      </c>
      <c r="F429" s="26" t="str">
        <f ca="1">IFERROR(__xludf.DUMMYFUNCTION("""COMPUTED_VALUE"""),"F-  ابتدائية جود العميد للبنات (الرابعة)")</f>
        <v>F-  ابتدائية جود العميد للبنات (الرابعة)</v>
      </c>
      <c r="G429" s="26" t="str">
        <f ca="1">IFERROR(__xludf.DUMMYFUNCTION("""COMPUTED_VALUE"""),"الطابق الارضي, ZONE B")</f>
        <v>الطابق الارضي, ZONE B</v>
      </c>
      <c r="H429" s="26" t="str">
        <f ca="1">IFERROR(__xludf.DUMMYFUNCTION("""COMPUTED_VALUE"""),"تبديل كاك براد ماء عدد 3")</f>
        <v>تبديل كاك براد ماء عدد 3</v>
      </c>
      <c r="I429" s="26"/>
      <c r="J429" s="26" t="s">
        <v>14</v>
      </c>
      <c r="K429" s="26" t="s">
        <v>13</v>
      </c>
      <c r="L429" s="55"/>
      <c r="M429" s="26"/>
    </row>
    <row r="430" spans="1:13" ht="75" customHeight="1" thickTop="1" thickBot="1">
      <c r="A430" s="26">
        <v>428</v>
      </c>
      <c r="B430" s="55">
        <f ca="1">IFERROR(__xludf.DUMMYFUNCTION("""COMPUTED_VALUE"""),46153.5801144213)</f>
        <v>46153.580114421296</v>
      </c>
      <c r="C430" s="56" t="str">
        <f ca="1">IFERROR(__xludf.DUMMYFUNCTION("""COMPUTED_VALUE"""),"المعملجي")</f>
        <v>المعملجي</v>
      </c>
      <c r="D430" s="56" t="str">
        <f ca="1">IFERROR(__xludf.DUMMYFUNCTION("""COMPUTED_VALUE"""),"سجاد تربية")</f>
        <v>سجاد تربية</v>
      </c>
      <c r="E430" s="26" t="str">
        <f ca="1">IFERROR(__xludf.DUMMYFUNCTION("""COMPUTED_VALUE"""),"قسم التربية والتعليم العالي")</f>
        <v>قسم التربية والتعليم العالي</v>
      </c>
      <c r="F430" s="26" t="str">
        <f ca="1">IFERROR(__xludf.DUMMYFUNCTION("""COMPUTED_VALUE"""),"F-  ابتدائية جود العميد للبنات (الرابعة)")</f>
        <v>F-  ابتدائية جود العميد للبنات (الرابعة)</v>
      </c>
      <c r="G430" s="26" t="str">
        <f ca="1">IFERROR(__xludf.DUMMYFUNCTION("""COMPUTED_VALUE"""),"الطابق الاول, ZONE B")</f>
        <v>الطابق الاول, ZONE B</v>
      </c>
      <c r="H430" s="26" t="str">
        <f ca="1">IFERROR(__xludf.DUMMYFUNCTION("""COMPUTED_VALUE"""),"تبديل صوندة شطاف عدد 5")</f>
        <v>تبديل صوندة شطاف عدد 5</v>
      </c>
      <c r="I430" s="26"/>
      <c r="J430" s="26" t="s">
        <v>14</v>
      </c>
      <c r="K430" s="26" t="s">
        <v>13</v>
      </c>
      <c r="L430" s="55"/>
      <c r="M430" s="26"/>
    </row>
    <row r="431" spans="1:13" ht="75" customHeight="1" thickTop="1" thickBot="1">
      <c r="A431" s="34">
        <v>429</v>
      </c>
      <c r="B431" s="55">
        <f ca="1">IFERROR(__xludf.DUMMYFUNCTION("""COMPUTED_VALUE"""),46153.5805947685)</f>
        <v>46153.5805947685</v>
      </c>
      <c r="C431" s="56" t="str">
        <f ca="1">IFERROR(__xludf.DUMMYFUNCTION("""COMPUTED_VALUE"""),"المعملجي")</f>
        <v>المعملجي</v>
      </c>
      <c r="D431" s="56" t="str">
        <f ca="1">IFERROR(__xludf.DUMMYFUNCTION("""COMPUTED_VALUE"""),"سجاد تربية")</f>
        <v>سجاد تربية</v>
      </c>
      <c r="E431" s="26" t="str">
        <f ca="1">IFERROR(__xludf.DUMMYFUNCTION("""COMPUTED_VALUE"""),"قسم التربية والتعليم العالي")</f>
        <v>قسم التربية والتعليم العالي</v>
      </c>
      <c r="F431" s="26" t="str">
        <f ca="1">IFERROR(__xludf.DUMMYFUNCTION("""COMPUTED_VALUE"""),"F-  ابتدائية جود العميد للبنات (الرابعة)")</f>
        <v>F-  ابتدائية جود العميد للبنات (الرابعة)</v>
      </c>
      <c r="G431" s="26" t="str">
        <f ca="1">IFERROR(__xludf.DUMMYFUNCTION("""COMPUTED_VALUE"""),"الطابق الاول, ZONE A")</f>
        <v>الطابق الاول, ZONE A</v>
      </c>
      <c r="H431" s="26" t="str">
        <f ca="1">IFERROR(__xludf.DUMMYFUNCTION("""COMPUTED_VALUE"""),"فتح انسداد في الصحيات")</f>
        <v>فتح انسداد في الصحيات</v>
      </c>
      <c r="I431" s="26"/>
      <c r="J431" s="26" t="s">
        <v>14</v>
      </c>
      <c r="K431" s="26" t="s">
        <v>13</v>
      </c>
      <c r="L431" s="55"/>
      <c r="M431" s="26"/>
    </row>
    <row r="432" spans="1:13" ht="75" customHeight="1" thickTop="1" thickBot="1">
      <c r="A432" s="26">
        <v>430</v>
      </c>
      <c r="B432" s="55">
        <f ca="1">IFERROR(__xludf.DUMMYFUNCTION("""COMPUTED_VALUE"""),46153.5810401736)</f>
        <v>46153.581040173602</v>
      </c>
      <c r="C432" s="56" t="str">
        <f ca="1">IFERROR(__xludf.DUMMYFUNCTION("""COMPUTED_VALUE"""),"المعملجي")</f>
        <v>المعملجي</v>
      </c>
      <c r="D432" s="56" t="str">
        <f ca="1">IFERROR(__xludf.DUMMYFUNCTION("""COMPUTED_VALUE"""),"سجاد تربية")</f>
        <v>سجاد تربية</v>
      </c>
      <c r="E432" s="26" t="str">
        <f ca="1">IFERROR(__xludf.DUMMYFUNCTION("""COMPUTED_VALUE"""),"قسم التربية والتعليم العالي")</f>
        <v>قسم التربية والتعليم العالي</v>
      </c>
      <c r="F432" s="26" t="str">
        <f ca="1">IFERROR(__xludf.DUMMYFUNCTION("""COMPUTED_VALUE"""),"F-  ابتدائية جود العميد للبنات (الرابعة)")</f>
        <v>F-  ابتدائية جود العميد للبنات (الرابعة)</v>
      </c>
      <c r="G432" s="26" t="str">
        <f ca="1">IFERROR(__xludf.DUMMYFUNCTION("""COMPUTED_VALUE"""),"الطابق الثاني, ZONE A")</f>
        <v>الطابق الثاني, ZONE A</v>
      </c>
      <c r="H432" s="26" t="str">
        <f ca="1">IFERROR(__xludf.DUMMYFUNCTION("""COMPUTED_VALUE"""),"فتح انسداد ")</f>
        <v xml:space="preserve">فتح انسداد </v>
      </c>
      <c r="I432" s="26"/>
      <c r="J432" s="26" t="s">
        <v>14</v>
      </c>
      <c r="K432" s="26" t="s">
        <v>13</v>
      </c>
      <c r="L432" s="55"/>
      <c r="M432" s="26"/>
    </row>
    <row r="433" spans="1:13" ht="75" customHeight="1" thickTop="1" thickBot="1">
      <c r="A433" s="34">
        <v>431</v>
      </c>
      <c r="B433" s="55">
        <f ca="1">IFERROR(__xludf.DUMMYFUNCTION("""COMPUTED_VALUE"""),46153.5815303356)</f>
        <v>46153.581530335599</v>
      </c>
      <c r="C433" s="56" t="str">
        <f ca="1">IFERROR(__xludf.DUMMYFUNCTION("""COMPUTED_VALUE"""),"المعملجي")</f>
        <v>المعملجي</v>
      </c>
      <c r="D433" s="56" t="str">
        <f ca="1">IFERROR(__xludf.DUMMYFUNCTION("""COMPUTED_VALUE"""),"سجاد تربية")</f>
        <v>سجاد تربية</v>
      </c>
      <c r="E433" s="26" t="str">
        <f ca="1">IFERROR(__xludf.DUMMYFUNCTION("""COMPUTED_VALUE"""),"قسم التربية والتعليم العالي")</f>
        <v>قسم التربية والتعليم العالي</v>
      </c>
      <c r="F433" s="26" t="str">
        <f ca="1">IFERROR(__xludf.DUMMYFUNCTION("""COMPUTED_VALUE"""),"F-  ابتدائية جود العميد للبنات (الرابعة)")</f>
        <v>F-  ابتدائية جود العميد للبنات (الرابعة)</v>
      </c>
      <c r="G433" s="26" t="str">
        <f ca="1">IFERROR(__xludf.DUMMYFUNCTION("""COMPUTED_VALUE"""),"الطابق الارضي, ZONE B")</f>
        <v>الطابق الارضي, ZONE B</v>
      </c>
      <c r="H433" s="26" t="str">
        <f ca="1">IFERROR(__xludf.DUMMYFUNCTION("""COMPUTED_VALUE"""),"صيانة براد ماء ")</f>
        <v xml:space="preserve">صيانة براد ماء </v>
      </c>
      <c r="I433" s="26"/>
      <c r="J433" s="26" t="s">
        <v>14</v>
      </c>
      <c r="K433" s="26" t="s">
        <v>13</v>
      </c>
      <c r="L433" s="55"/>
      <c r="M433" s="26"/>
    </row>
    <row r="434" spans="1:13" ht="75" customHeight="1" thickTop="1" thickBot="1">
      <c r="A434" s="26">
        <v>432</v>
      </c>
      <c r="B434" s="55">
        <f ca="1">IFERROR(__xludf.DUMMYFUNCTION("""COMPUTED_VALUE"""),46153.5835015162)</f>
        <v>46153.583501516201</v>
      </c>
      <c r="C434" s="56" t="str">
        <f ca="1">IFERROR(__xludf.DUMMYFUNCTION("""COMPUTED_VALUE"""),"المعملجي")</f>
        <v>المعملجي</v>
      </c>
      <c r="D434" s="56" t="str">
        <f ca="1">IFERROR(__xludf.DUMMYFUNCTION("""COMPUTED_VALUE"""),"سجاد تربية")</f>
        <v>سجاد تربية</v>
      </c>
      <c r="E434" s="26" t="str">
        <f ca="1">IFERROR(__xludf.DUMMYFUNCTION("""COMPUTED_VALUE"""),"قسم التربية والتعليم العالي")</f>
        <v>قسم التربية والتعليم العالي</v>
      </c>
      <c r="F434" s="26" t="str">
        <f ca="1">IFERROR(__xludf.DUMMYFUNCTION("""COMPUTED_VALUE"""),"F-  ابتدائية جود العميد للبنات (الرابعة)")</f>
        <v>F-  ابتدائية جود العميد للبنات (الرابعة)</v>
      </c>
      <c r="G434" s="26" t="str">
        <f ca="1">IFERROR(__xludf.DUMMYFUNCTION("""COMPUTED_VALUE"""),"الطابق الاول, ZONE A")</f>
        <v>الطابق الاول, ZONE A</v>
      </c>
      <c r="H434" s="26" t="str">
        <f ca="1">IFERROR(__xludf.DUMMYFUNCTION("""COMPUTED_VALUE"""),"صيانة غربي")</f>
        <v>صيانة غربي</v>
      </c>
      <c r="I434" s="26"/>
      <c r="J434" s="26" t="s">
        <v>14</v>
      </c>
      <c r="K434" s="26" t="s">
        <v>13</v>
      </c>
      <c r="L434" s="55">
        <v>46153.734882372686</v>
      </c>
      <c r="M434" s="26"/>
    </row>
    <row r="435" spans="1:13" ht="75" customHeight="1" thickTop="1" thickBot="1">
      <c r="A435" s="34">
        <v>433</v>
      </c>
      <c r="B435" s="55">
        <f ca="1">IFERROR(__xludf.DUMMYFUNCTION("""COMPUTED_VALUE"""),46154.338434456)</f>
        <v>46154.338434456004</v>
      </c>
      <c r="C435" s="56" t="str">
        <f ca="1">IFERROR(__xludf.DUMMYFUNCTION("""COMPUTED_VALUE"""),"المعملجي")</f>
        <v>المعملجي</v>
      </c>
      <c r="D435" s="56" t="str">
        <f ca="1">IFERROR(__xludf.DUMMYFUNCTION("""COMPUTED_VALUE"""),"سجاد تربية")</f>
        <v>سجاد تربية</v>
      </c>
      <c r="E435" s="26" t="str">
        <f ca="1">IFERROR(__xludf.DUMMYFUNCTION("""COMPUTED_VALUE"""),"قسم التربية والتعليم العالي")</f>
        <v>قسم التربية والتعليم العالي</v>
      </c>
      <c r="F435" s="26" t="str">
        <f ca="1">IFERROR(__xludf.DUMMYFUNCTION("""COMPUTED_VALUE"""),"A- المركز الثقافي")</f>
        <v>A- المركز الثقافي</v>
      </c>
      <c r="G435" s="26" t="str">
        <f ca="1">IFERROR(__xludf.DUMMYFUNCTION("""COMPUTED_VALUE"""),"الطابق الارضي")</f>
        <v>الطابق الارضي</v>
      </c>
      <c r="H435" s="26" t="str">
        <f ca="1">IFERROR(__xludf.DUMMYFUNCTION("""COMPUTED_VALUE"""),"صيانة إنارة ")</f>
        <v xml:space="preserve">صيانة إنارة </v>
      </c>
      <c r="I435" s="26"/>
      <c r="J435" s="26" t="s">
        <v>3910</v>
      </c>
      <c r="K435" s="26" t="s">
        <v>13</v>
      </c>
      <c r="L435" s="55">
        <v>46154.385801481483</v>
      </c>
      <c r="M435" s="26"/>
    </row>
    <row r="436" spans="1:13" ht="75" customHeight="1" thickTop="1" thickBot="1">
      <c r="A436" s="26">
        <v>434</v>
      </c>
      <c r="B436" s="55">
        <f ca="1">IFERROR(__xludf.DUMMYFUNCTION("""COMPUTED_VALUE"""),46154.3607051967)</f>
        <v>46154.360705196697</v>
      </c>
      <c r="C436" s="56" t="str">
        <f ca="1">IFERROR(__xludf.DUMMYFUNCTION("""COMPUTED_VALUE"""),"المعملجي")</f>
        <v>المعملجي</v>
      </c>
      <c r="D436" s="56" t="str">
        <f ca="1">IFERROR(__xludf.DUMMYFUNCTION("""COMPUTED_VALUE"""),"سجاد تربية")</f>
        <v>سجاد تربية</v>
      </c>
      <c r="E436" s="26" t="str">
        <f ca="1">IFERROR(__xludf.DUMMYFUNCTION("""COMPUTED_VALUE"""),"قسم التربية والتعليم العالي")</f>
        <v>قسم التربية والتعليم العالي</v>
      </c>
      <c r="F436" s="26" t="str">
        <f ca="1">IFERROR(__xludf.DUMMYFUNCTION("""COMPUTED_VALUE"""),"E- ابتدائية العميد للبنات (الثالثة)")</f>
        <v>E- ابتدائية العميد للبنات (الثالثة)</v>
      </c>
      <c r="G436" s="26" t="str">
        <f ca="1">IFERROR(__xludf.DUMMYFUNCTION("""COMPUTED_VALUE"""),"الطابق الارضي")</f>
        <v>الطابق الارضي</v>
      </c>
      <c r="H436" s="26" t="str">
        <f ca="1">IFERROR(__xludf.DUMMYFUNCTION("""COMPUTED_VALUE"""),"تبريد لا يعمل")</f>
        <v>تبريد لا يعمل</v>
      </c>
      <c r="I436" s="26"/>
      <c r="J436" s="26" t="s">
        <v>15</v>
      </c>
      <c r="K436" s="26" t="s">
        <v>13</v>
      </c>
      <c r="L436" s="55">
        <v>46154.443559722218</v>
      </c>
      <c r="M436" s="26"/>
    </row>
    <row r="437" spans="1:13" ht="75" customHeight="1" thickTop="1" thickBot="1">
      <c r="A437" s="34">
        <v>435</v>
      </c>
      <c r="B437" s="55">
        <f ca="1">IFERROR(__xludf.DUMMYFUNCTION("""COMPUTED_VALUE"""),46154.4439582638)</f>
        <v>46154.443958263801</v>
      </c>
      <c r="C437" s="56" t="str">
        <f ca="1">IFERROR(__xludf.DUMMYFUNCTION("""COMPUTED_VALUE"""),"المعملجي")</f>
        <v>المعملجي</v>
      </c>
      <c r="D437" s="56" t="str">
        <f ca="1">IFERROR(__xludf.DUMMYFUNCTION("""COMPUTED_VALUE"""),"سجاد تربية")</f>
        <v>سجاد تربية</v>
      </c>
      <c r="E437" s="26" t="str">
        <f ca="1">IFERROR(__xludf.DUMMYFUNCTION("""COMPUTED_VALUE"""),"قسم التربية والتعليم العالي")</f>
        <v>قسم التربية والتعليم العالي</v>
      </c>
      <c r="F437" s="26" t="str">
        <f ca="1">IFERROR(__xludf.DUMMYFUNCTION("""COMPUTED_VALUE"""),"I- ابتدائية الساقي للبنين (السادسة)")</f>
        <v>I- ابتدائية الساقي للبنين (السادسة)</v>
      </c>
      <c r="G437" s="26" t="str">
        <f ca="1">IFERROR(__xludf.DUMMYFUNCTION("""COMPUTED_VALUE"""),"الطابق الارضي")</f>
        <v>الطابق الارضي</v>
      </c>
      <c r="H437" s="26" t="str">
        <f ca="1">IFERROR(__xludf.DUMMYFUNCTION("""COMPUTED_VALUE"""),"ترميم حائط")</f>
        <v>ترميم حائط</v>
      </c>
      <c r="I437" s="26"/>
      <c r="J437" s="26" t="s">
        <v>16</v>
      </c>
      <c r="K437" s="26" t="s">
        <v>13</v>
      </c>
      <c r="L437" s="55">
        <v>46154.488432615741</v>
      </c>
      <c r="M437" s="26"/>
    </row>
    <row r="438" spans="1:13" ht="75" customHeight="1" thickTop="1" thickBot="1">
      <c r="A438" s="26">
        <v>436</v>
      </c>
      <c r="B438" s="55">
        <f ca="1">IFERROR(__xludf.DUMMYFUNCTION("""COMPUTED_VALUE"""),46154.4892123842)</f>
        <v>46154.4892123842</v>
      </c>
      <c r="C438" s="56" t="str">
        <f ca="1">IFERROR(__xludf.DUMMYFUNCTION("""COMPUTED_VALUE"""),"المعملجي")</f>
        <v>المعملجي</v>
      </c>
      <c r="D438" s="56" t="str">
        <f ca="1">IFERROR(__xludf.DUMMYFUNCTION("""COMPUTED_VALUE"""),"وحدة الميكانيك")</f>
        <v>وحدة الميكانيك</v>
      </c>
      <c r="E438" s="26" t="str">
        <f ca="1">IFERROR(__xludf.DUMMYFUNCTION("""COMPUTED_VALUE"""),"قسم المشاريع الهندسية")</f>
        <v>قسم المشاريع الهندسية</v>
      </c>
      <c r="F438" s="26" t="str">
        <f ca="1">IFERROR(__xludf.DUMMYFUNCTION("""COMPUTED_VALUE"""),"I- ابتدائية الساقي للبنين (السادسة)")</f>
        <v>I- ابتدائية الساقي للبنين (السادسة)</v>
      </c>
      <c r="G438" s="26" t="str">
        <f ca="1">IFERROR(__xludf.DUMMYFUNCTION("""COMPUTED_VALUE"""),"السطح")</f>
        <v>السطح</v>
      </c>
      <c r="H438" s="26" t="str">
        <f ca="1">IFERROR(__xludf.DUMMYFUNCTION("""COMPUTED_VALUE"""),"لا يوجد ماء Ro")</f>
        <v>لا يوجد ماء Ro</v>
      </c>
      <c r="I438" s="26"/>
      <c r="J438" s="26" t="s">
        <v>14</v>
      </c>
      <c r="K438" s="26" t="s">
        <v>13</v>
      </c>
      <c r="L438" s="55"/>
      <c r="M438" s="26"/>
    </row>
    <row r="439" spans="1:13" ht="75" customHeight="1" thickTop="1" thickBot="1">
      <c r="A439" s="34">
        <v>437</v>
      </c>
      <c r="B439" s="55">
        <f ca="1">IFERROR(__xludf.DUMMYFUNCTION("""COMPUTED_VALUE"""),46154.4895666782)</f>
        <v>46154.489566678203</v>
      </c>
      <c r="C439" s="56" t="str">
        <f ca="1">IFERROR(__xludf.DUMMYFUNCTION("""COMPUTED_VALUE"""),"المعملجي")</f>
        <v>المعملجي</v>
      </c>
      <c r="D439" s="56" t="str">
        <f ca="1">IFERROR(__xludf.DUMMYFUNCTION("""COMPUTED_VALUE"""),"وحدة الميكانيك")</f>
        <v>وحدة الميكانيك</v>
      </c>
      <c r="E439" s="26" t="str">
        <f ca="1">IFERROR(__xludf.DUMMYFUNCTION("""COMPUTED_VALUE"""),"قسم المشاريع الهندسية")</f>
        <v>قسم المشاريع الهندسية</v>
      </c>
      <c r="F439" s="26" t="str">
        <f ca="1">IFERROR(__xludf.DUMMYFUNCTION("""COMPUTED_VALUE"""),"I- ابتدائية الساقي للبنين (السادسة)")</f>
        <v>I- ابتدائية الساقي للبنين (السادسة)</v>
      </c>
      <c r="G439" s="26" t="str">
        <f ca="1">IFERROR(__xludf.DUMMYFUNCTION("""COMPUTED_VALUE"""),"السطح")</f>
        <v>السطح</v>
      </c>
      <c r="H439" s="26" t="str">
        <f ca="1">IFERROR(__xludf.DUMMYFUNCTION("""COMPUTED_VALUE"""),"غسل غرفة محطة الماء Ro")</f>
        <v>غسل غرفة محطة الماء Ro</v>
      </c>
      <c r="I439" s="26"/>
      <c r="J439" s="26" t="s">
        <v>14</v>
      </c>
      <c r="K439" s="26" t="s">
        <v>13</v>
      </c>
      <c r="L439" s="55"/>
      <c r="M439" s="26"/>
    </row>
    <row r="440" spans="1:13" ht="75" customHeight="1" thickTop="1" thickBot="1">
      <c r="A440" s="26">
        <v>438</v>
      </c>
      <c r="B440" s="55">
        <f ca="1">IFERROR(__xludf.DUMMYFUNCTION("""COMPUTED_VALUE"""),46154.4899521296)</f>
        <v>46154.489952129603</v>
      </c>
      <c r="C440" s="56" t="str">
        <f ca="1">IFERROR(__xludf.DUMMYFUNCTION("""COMPUTED_VALUE"""),"المعملجي")</f>
        <v>المعملجي</v>
      </c>
      <c r="D440" s="56" t="str">
        <f ca="1">IFERROR(__xludf.DUMMYFUNCTION("""COMPUTED_VALUE"""),"سجاد تربية")</f>
        <v>سجاد تربية</v>
      </c>
      <c r="E440" s="26" t="str">
        <f ca="1">IFERROR(__xludf.DUMMYFUNCTION("""COMPUTED_VALUE"""),"قسم التربية والتعليم العالي")</f>
        <v>قسم التربية والتعليم العالي</v>
      </c>
      <c r="F440" s="26" t="str">
        <f ca="1">IFERROR(__xludf.DUMMYFUNCTION("""COMPUTED_VALUE"""),"الاستعلامات الرئيسية")</f>
        <v>الاستعلامات الرئيسية</v>
      </c>
      <c r="G440" s="26" t="str">
        <f ca="1">IFERROR(__xludf.DUMMYFUNCTION("""COMPUTED_VALUE"""),"الطابق الارضي")</f>
        <v>الطابق الارضي</v>
      </c>
      <c r="H440" s="26" t="str">
        <f ca="1">IFERROR(__xludf.DUMMYFUNCTION("""COMPUTED_VALUE"""),"تبديل كاك زاوية ثنائي")</f>
        <v>تبديل كاك زاوية ثنائي</v>
      </c>
      <c r="I440" s="26"/>
      <c r="J440" s="26" t="s">
        <v>14</v>
      </c>
      <c r="K440" s="26" t="s">
        <v>13</v>
      </c>
      <c r="L440" s="55"/>
      <c r="M440" s="26"/>
    </row>
    <row r="441" spans="1:13" ht="75" customHeight="1" thickTop="1" thickBot="1">
      <c r="A441" s="34">
        <v>439</v>
      </c>
      <c r="B441" s="55">
        <f ca="1">IFERROR(__xludf.DUMMYFUNCTION("""COMPUTED_VALUE"""),46154.4910605439)</f>
        <v>46154.4910605439</v>
      </c>
      <c r="C441" s="56" t="str">
        <f ca="1">IFERROR(__xludf.DUMMYFUNCTION("""COMPUTED_VALUE"""),"المعملجي")</f>
        <v>المعملجي</v>
      </c>
      <c r="D441" s="56" t="str">
        <f ca="1">IFERROR(__xludf.DUMMYFUNCTION("""COMPUTED_VALUE"""),"سجاد تربية")</f>
        <v>سجاد تربية</v>
      </c>
      <c r="E441" s="26" t="str">
        <f ca="1">IFERROR(__xludf.DUMMYFUNCTION("""COMPUTED_VALUE"""),"قسم التربية والتعليم العالي")</f>
        <v>قسم التربية والتعليم العالي</v>
      </c>
      <c r="F441" s="26" t="str">
        <f ca="1">IFERROR(__xludf.DUMMYFUNCTION("""COMPUTED_VALUE"""),"الاستعلامات الرئيسية")</f>
        <v>الاستعلامات الرئيسية</v>
      </c>
      <c r="G441" s="26" t="str">
        <f ca="1">IFERROR(__xludf.DUMMYFUNCTION("""COMPUTED_VALUE"""),"الطابق الارضي")</f>
        <v>الطابق الارضي</v>
      </c>
      <c r="H441" s="26" t="str">
        <f ca="1">IFERROR(__xludf.DUMMYFUNCTION("""COMPUTED_VALUE"""),"تبديل خلاط ماء ")</f>
        <v xml:space="preserve">تبديل خلاط ماء </v>
      </c>
      <c r="I441" s="26"/>
      <c r="J441" s="26" t="s">
        <v>14</v>
      </c>
      <c r="K441" s="26" t="s">
        <v>13</v>
      </c>
      <c r="L441" s="55"/>
      <c r="M441" s="26"/>
    </row>
    <row r="442" spans="1:13" ht="75" customHeight="1" thickTop="1" thickBot="1">
      <c r="A442" s="26">
        <v>440</v>
      </c>
      <c r="B442" s="55">
        <f ca="1">IFERROR(__xludf.DUMMYFUNCTION("""COMPUTED_VALUE"""),46155.3230202199)</f>
        <v>46155.323020219897</v>
      </c>
      <c r="C442" s="56" t="str">
        <f ca="1">IFERROR(__xludf.DUMMYFUNCTION("""COMPUTED_VALUE"""),"المعملجي")</f>
        <v>المعملجي</v>
      </c>
      <c r="D442" s="56" t="str">
        <f ca="1">IFERROR(__xludf.DUMMYFUNCTION("""COMPUTED_VALUE"""),"وحدة الميكانيك")</f>
        <v>وحدة الميكانيك</v>
      </c>
      <c r="E442" s="26" t="str">
        <f ca="1">IFERROR(__xludf.DUMMYFUNCTION("""COMPUTED_VALUE"""),"قسم المشاريع الهندسية")</f>
        <v>قسم المشاريع الهندسية</v>
      </c>
      <c r="F442" s="26" t="str">
        <f ca="1">IFERROR(__xludf.DUMMYFUNCTION("""COMPUTED_VALUE"""),"A- المركز الثقافي, J- ابتدائية الساقي للبنين الجانب الثاني (السابعة)")</f>
        <v>A- المركز الثقافي, J- ابتدائية الساقي للبنين الجانب الثاني (السابعة)</v>
      </c>
      <c r="G442" s="26" t="str">
        <f ca="1">IFERROR(__xludf.DUMMYFUNCTION("""COMPUTED_VALUE"""),"السطح")</f>
        <v>السطح</v>
      </c>
      <c r="H442" s="26" t="str">
        <f ca="1">IFERROR(__xludf.DUMMYFUNCTION("""COMPUTED_VALUE"""),"غسل مظخة الاطفاء الثانوية ")</f>
        <v xml:space="preserve">غسل مظخة الاطفاء الثانوية </v>
      </c>
      <c r="I442" s="26"/>
      <c r="J442" s="26" t="s">
        <v>14</v>
      </c>
      <c r="K442" s="26" t="s">
        <v>13</v>
      </c>
      <c r="L442" s="55"/>
      <c r="M442" s="26"/>
    </row>
    <row r="443" spans="1:13" ht="75" customHeight="1" thickTop="1" thickBot="1">
      <c r="A443" s="34">
        <v>441</v>
      </c>
      <c r="B443" s="55">
        <f ca="1">IFERROR(__xludf.DUMMYFUNCTION("""COMPUTED_VALUE"""),46155.3236448611)</f>
        <v>46155.323644861099</v>
      </c>
      <c r="C443" s="56" t="str">
        <f ca="1">IFERROR(__xludf.DUMMYFUNCTION("""COMPUTED_VALUE"""),"المعملجي")</f>
        <v>المعملجي</v>
      </c>
      <c r="D443" s="56" t="str">
        <f ca="1">IFERROR(__xludf.DUMMYFUNCTION("""COMPUTED_VALUE"""),"وحدة الميكانيك")</f>
        <v>وحدة الميكانيك</v>
      </c>
      <c r="E443" s="26" t="str">
        <f ca="1">IFERROR(__xludf.DUMMYFUNCTION("""COMPUTED_VALUE"""),"قسم المشاريع الهندسية")</f>
        <v>قسم المشاريع الهندسية</v>
      </c>
      <c r="F443" s="26" t="str">
        <f ca="1">IFERROR(__xludf.DUMMYFUNCTION("""COMPUTED_VALUE"""),"H- ابتدائية القمر للبنات (الخامسة), J- جامعة العميد (السابعة)")</f>
        <v>H- ابتدائية القمر للبنات (الخامسة), J- جامعة العميد (السابعة)</v>
      </c>
      <c r="G443" s="26" t="str">
        <f ca="1">IFERROR(__xludf.DUMMYFUNCTION("""COMPUTED_VALUE"""),"السطح")</f>
        <v>السطح</v>
      </c>
      <c r="H443" s="26" t="str">
        <f ca="1">IFERROR(__xludf.DUMMYFUNCTION("""COMPUTED_VALUE"""),"غسل غرفة محطة الماء Ro")</f>
        <v>غسل غرفة محطة الماء Ro</v>
      </c>
      <c r="I443" s="26"/>
      <c r="J443" s="26" t="s">
        <v>14</v>
      </c>
      <c r="K443" s="26" t="s">
        <v>13</v>
      </c>
      <c r="L443" s="55"/>
      <c r="M443" s="26"/>
    </row>
    <row r="444" spans="1:13" ht="75" customHeight="1" thickTop="1" thickBot="1">
      <c r="A444" s="26">
        <v>442</v>
      </c>
      <c r="B444" s="55">
        <f ca="1">IFERROR(__xludf.DUMMYFUNCTION("""COMPUTED_VALUE"""),46155.3420742592)</f>
        <v>46155.342074259199</v>
      </c>
      <c r="C444" s="56" t="str">
        <f ca="1">IFERROR(__xludf.DUMMYFUNCTION("""COMPUTED_VALUE"""),"المعملجي")</f>
        <v>المعملجي</v>
      </c>
      <c r="D444" s="56" t="str">
        <f ca="1">IFERROR(__xludf.DUMMYFUNCTION("""COMPUTED_VALUE"""),"سجاد تربية")</f>
        <v>سجاد تربية</v>
      </c>
      <c r="E444" s="26" t="str">
        <f ca="1">IFERROR(__xludf.DUMMYFUNCTION("""COMPUTED_VALUE"""),"قسم التربية والتعليم العالي")</f>
        <v>قسم التربية والتعليم العالي</v>
      </c>
      <c r="F444" s="26" t="str">
        <f ca="1">IFERROR(__xludf.DUMMYFUNCTION("""COMPUTED_VALUE"""),"F-  ابتدائية جود العميد للبنات (الرابعة)")</f>
        <v>F-  ابتدائية جود العميد للبنات (الرابعة)</v>
      </c>
      <c r="G444" s="26" t="str">
        <f ca="1">IFERROR(__xludf.DUMMYFUNCTION("""COMPUTED_VALUE"""),"السطح")</f>
        <v>السطح</v>
      </c>
      <c r="H444" s="26" t="str">
        <f ca="1">IFERROR(__xludf.DUMMYFUNCTION("""COMPUTED_VALUE"""),"Roلا يوجد ماء ")</f>
        <v xml:space="preserve">Roلا يوجد ماء </v>
      </c>
      <c r="I444" s="26"/>
      <c r="J444" s="26" t="s">
        <v>14</v>
      </c>
      <c r="K444" s="26" t="s">
        <v>13</v>
      </c>
      <c r="L444" s="55">
        <v>46155.558903599536</v>
      </c>
      <c r="M444" s="26"/>
    </row>
    <row r="445" spans="1:13" ht="75" customHeight="1" thickTop="1" thickBot="1">
      <c r="A445" s="34">
        <v>443</v>
      </c>
      <c r="B445" s="55">
        <f ca="1">IFERROR(__xludf.DUMMYFUNCTION("""COMPUTED_VALUE"""),46155.5591610879)</f>
        <v>46155.559161087898</v>
      </c>
      <c r="C445" s="56" t="str">
        <f ca="1">IFERROR(__xludf.DUMMYFUNCTION("""COMPUTED_VALUE"""),"المعملجي")</f>
        <v>المعملجي</v>
      </c>
      <c r="D445" s="56" t="str">
        <f ca="1">IFERROR(__xludf.DUMMYFUNCTION("""COMPUTED_VALUE"""),"سجاد تربية")</f>
        <v>سجاد تربية</v>
      </c>
      <c r="E445" s="26" t="str">
        <f ca="1">IFERROR(__xludf.DUMMYFUNCTION("""COMPUTED_VALUE"""),"قسم التربية والتعليم العالي")</f>
        <v>قسم التربية والتعليم العالي</v>
      </c>
      <c r="F445" s="26" t="str">
        <f ca="1">IFERROR(__xludf.DUMMYFUNCTION("""COMPUTED_VALUE"""),"F-  ابتدائية جود العميد للبنات (الرابعة)")</f>
        <v>F-  ابتدائية جود العميد للبنات (الرابعة)</v>
      </c>
      <c r="G445" s="26" t="str">
        <f ca="1">IFERROR(__xludf.DUMMYFUNCTION("""COMPUTED_VALUE"""),"الطابق الاول")</f>
        <v>الطابق الاول</v>
      </c>
      <c r="H445" s="26" t="str">
        <f ca="1">IFERROR(__xludf.DUMMYFUNCTION("""COMPUTED_VALUE"""),"تركيب لوحة تعرفية")</f>
        <v>تركيب لوحة تعرفية</v>
      </c>
      <c r="I445" s="26"/>
      <c r="J445" s="26" t="s">
        <v>16</v>
      </c>
      <c r="K445" s="26" t="s">
        <v>13</v>
      </c>
      <c r="L445" s="55"/>
      <c r="M445" s="26"/>
    </row>
    <row r="446" spans="1:13" ht="75" customHeight="1" thickTop="1" thickBot="1">
      <c r="A446" s="26">
        <v>444</v>
      </c>
      <c r="B446" s="55">
        <f ca="1">IFERROR(__xludf.DUMMYFUNCTION("""COMPUTED_VALUE"""),46155.5599282175)</f>
        <v>46155.559928217503</v>
      </c>
      <c r="C446" s="56" t="str">
        <f ca="1">IFERROR(__xludf.DUMMYFUNCTION("""COMPUTED_VALUE"""),"المعملجي")</f>
        <v>المعملجي</v>
      </c>
      <c r="D446" s="56" t="str">
        <f ca="1">IFERROR(__xludf.DUMMYFUNCTION("""COMPUTED_VALUE"""),"سجاد تربية")</f>
        <v>سجاد تربية</v>
      </c>
      <c r="E446" s="26" t="str">
        <f ca="1">IFERROR(__xludf.DUMMYFUNCTION("""COMPUTED_VALUE"""),"قسم التربية والتعليم العالي")</f>
        <v>قسم التربية والتعليم العالي</v>
      </c>
      <c r="F446" s="26" t="str">
        <f ca="1">IFERROR(__xludf.DUMMYFUNCTION("""COMPUTED_VALUE"""),"F-  ابتدائية جود العميد للبنات (الرابعة)")</f>
        <v>F-  ابتدائية جود العميد للبنات (الرابعة)</v>
      </c>
      <c r="G446" s="26" t="str">
        <f ca="1">IFERROR(__xludf.DUMMYFUNCTION("""COMPUTED_VALUE"""),"الطابق الارضي")</f>
        <v>الطابق الارضي</v>
      </c>
      <c r="H446" s="26" t="str">
        <f ca="1">IFERROR(__xludf.DUMMYFUNCTION("""COMPUTED_VALUE"""),"معالجة و صبغ جدار")</f>
        <v>معالجة و صبغ جدار</v>
      </c>
      <c r="I446" s="26"/>
      <c r="J446" s="26" t="s">
        <v>16</v>
      </c>
      <c r="K446" s="26" t="s">
        <v>13</v>
      </c>
      <c r="L446" s="55"/>
      <c r="M446" s="26"/>
    </row>
    <row r="447" spans="1:13" ht="75" customHeight="1" thickTop="1" thickBot="1">
      <c r="A447" s="34">
        <v>445</v>
      </c>
      <c r="B447" s="55">
        <f ca="1">IFERROR(__xludf.DUMMYFUNCTION("""COMPUTED_VALUE"""),46155.560266655)</f>
        <v>46155.560266654997</v>
      </c>
      <c r="C447" s="56" t="str">
        <f ca="1">IFERROR(__xludf.DUMMYFUNCTION("""COMPUTED_VALUE"""),"المعملجي")</f>
        <v>المعملجي</v>
      </c>
      <c r="D447" s="56" t="str">
        <f ca="1">IFERROR(__xludf.DUMMYFUNCTION("""COMPUTED_VALUE"""),"سجاد تربية")</f>
        <v>سجاد تربية</v>
      </c>
      <c r="E447" s="26" t="str">
        <f ca="1">IFERROR(__xludf.DUMMYFUNCTION("""COMPUTED_VALUE"""),"قسم التربية والتعليم العالي")</f>
        <v>قسم التربية والتعليم العالي</v>
      </c>
      <c r="F447" s="26" t="str">
        <f ca="1">IFERROR(__xludf.DUMMYFUNCTION("""COMPUTED_VALUE"""),"F-  ابتدائية جود العميد للبنات (الرابعة)")</f>
        <v>F-  ابتدائية جود العميد للبنات (الرابعة)</v>
      </c>
      <c r="G447" s="26" t="str">
        <f ca="1">IFERROR(__xludf.DUMMYFUNCTION("""COMPUTED_VALUE"""),"الطابق الارضي, ZONE A")</f>
        <v>الطابق الارضي, ZONE A</v>
      </c>
      <c r="H447" s="26" t="str">
        <f ca="1">IFERROR(__xludf.DUMMYFUNCTION("""COMPUTED_VALUE"""),"صيانة ميز رسم")</f>
        <v>صيانة ميز رسم</v>
      </c>
      <c r="I447" s="26"/>
      <c r="J447" s="26" t="s">
        <v>16</v>
      </c>
      <c r="K447" s="26" t="s">
        <v>13</v>
      </c>
      <c r="L447" s="55"/>
      <c r="M447" s="26"/>
    </row>
    <row r="448" spans="1:13" ht="75" customHeight="1" thickTop="1" thickBot="1">
      <c r="A448" s="26">
        <v>446</v>
      </c>
      <c r="B448" s="55">
        <f ca="1">IFERROR(__xludf.DUMMYFUNCTION("""COMPUTED_VALUE"""),46155.5605629398)</f>
        <v>46155.560562939798</v>
      </c>
      <c r="C448" s="56" t="str">
        <f ca="1">IFERROR(__xludf.DUMMYFUNCTION("""COMPUTED_VALUE"""),"المعملجي")</f>
        <v>المعملجي</v>
      </c>
      <c r="D448" s="56" t="str">
        <f ca="1">IFERROR(__xludf.DUMMYFUNCTION("""COMPUTED_VALUE"""),"سجاد تربية")</f>
        <v>سجاد تربية</v>
      </c>
      <c r="E448" s="26" t="str">
        <f ca="1">IFERROR(__xludf.DUMMYFUNCTION("""COMPUTED_VALUE"""),"قسم التربية والتعليم العالي")</f>
        <v>قسم التربية والتعليم العالي</v>
      </c>
      <c r="F448" s="26" t="str">
        <f ca="1">IFERROR(__xludf.DUMMYFUNCTION("""COMPUTED_VALUE"""),"I- ابتدائية الساقي للبنين (السادسة)")</f>
        <v>I- ابتدائية الساقي للبنين (السادسة)</v>
      </c>
      <c r="G448" s="26" t="str">
        <f ca="1">IFERROR(__xludf.DUMMYFUNCTION("""COMPUTED_VALUE"""),"الطابق الارضي")</f>
        <v>الطابق الارضي</v>
      </c>
      <c r="H448" s="26" t="str">
        <f ca="1">IFERROR(__xludf.DUMMYFUNCTION("""COMPUTED_VALUE"""),"معالجة و صبغ جدار ")</f>
        <v xml:space="preserve">معالجة و صبغ جدار </v>
      </c>
      <c r="I448" s="26"/>
      <c r="J448" s="26" t="s">
        <v>16</v>
      </c>
      <c r="K448" s="26" t="s">
        <v>13</v>
      </c>
      <c r="L448" s="55"/>
      <c r="M448" s="26"/>
    </row>
    <row r="449" spans="1:13" ht="75" customHeight="1" thickTop="1" thickBot="1">
      <c r="A449" s="34">
        <v>447</v>
      </c>
      <c r="B449" s="55">
        <f ca="1">IFERROR(__xludf.DUMMYFUNCTION("""COMPUTED_VALUE"""),46155.5614055787)</f>
        <v>46155.561405578701</v>
      </c>
      <c r="C449" s="56" t="str">
        <f ca="1">IFERROR(__xludf.DUMMYFUNCTION("""COMPUTED_VALUE"""),"المعملجي")</f>
        <v>المعملجي</v>
      </c>
      <c r="D449" s="56" t="str">
        <f ca="1">IFERROR(__xludf.DUMMYFUNCTION("""COMPUTED_VALUE"""),"سجاد تربية")</f>
        <v>سجاد تربية</v>
      </c>
      <c r="E449" s="26" t="str">
        <f ca="1">IFERROR(__xludf.DUMMYFUNCTION("""COMPUTED_VALUE"""),"قسم التربية والتعليم العالي")</f>
        <v>قسم التربية والتعليم العالي</v>
      </c>
      <c r="F449" s="26" t="str">
        <f ca="1">IFERROR(__xludf.DUMMYFUNCTION("""COMPUTED_VALUE"""),"المختبرات")</f>
        <v>المختبرات</v>
      </c>
      <c r="G449" s="26" t="str">
        <f ca="1">IFERROR(__xludf.DUMMYFUNCTION("""COMPUTED_VALUE"""),"الطابق الارضي")</f>
        <v>الطابق الارضي</v>
      </c>
      <c r="H449" s="26" t="str">
        <f ca="1">IFERROR(__xludf.DUMMYFUNCTION("""COMPUTED_VALUE"""),"حفر جدار بين الإدارية والمختبر لمد انبوب ماء")</f>
        <v>حفر جدار بين الإدارية والمختبر لمد انبوب ماء</v>
      </c>
      <c r="I449" s="26"/>
      <c r="J449" s="26" t="s">
        <v>16</v>
      </c>
      <c r="K449" s="26" t="s">
        <v>13</v>
      </c>
      <c r="L449" s="55"/>
      <c r="M449" s="26"/>
    </row>
    <row r="450" spans="1:13" ht="75" customHeight="1" thickTop="1" thickBot="1">
      <c r="A450" s="26">
        <v>448</v>
      </c>
      <c r="B450" s="55">
        <f ca="1">IFERROR(__xludf.DUMMYFUNCTION("""COMPUTED_VALUE"""),46155.5646634259)</f>
        <v>46155.564663425903</v>
      </c>
      <c r="C450" s="56" t="str">
        <f ca="1">IFERROR(__xludf.DUMMYFUNCTION("""COMPUTED_VALUE"""),"المعملجي")</f>
        <v>المعملجي</v>
      </c>
      <c r="D450" s="56" t="str">
        <f ca="1">IFERROR(__xludf.DUMMYFUNCTION("""COMPUTED_VALUE"""),"سجاد تربية")</f>
        <v>سجاد تربية</v>
      </c>
      <c r="E450" s="26" t="str">
        <f ca="1">IFERROR(__xludf.DUMMYFUNCTION("""COMPUTED_VALUE"""),"قسم التربية والتعليم العالي")</f>
        <v>قسم التربية والتعليم العالي</v>
      </c>
      <c r="F450" s="26" t="str">
        <f ca="1">IFERROR(__xludf.DUMMYFUNCTION("""COMPUTED_VALUE"""),"F-  ابتدائية جود العميد للبنات (الرابعة)")</f>
        <v>F-  ابتدائية جود العميد للبنات (الرابعة)</v>
      </c>
      <c r="G450" s="26" t="str">
        <f ca="1">IFERROR(__xludf.DUMMYFUNCTION("""COMPUTED_VALUE"""),"الطابق الارضي")</f>
        <v>الطابق الارضي</v>
      </c>
      <c r="H450" s="26" t="str">
        <f ca="1">IFERROR(__xludf.DUMMYFUNCTION("""COMPUTED_VALUE"""),"صيانة خلاط ماء ")</f>
        <v xml:space="preserve">صيانة خلاط ماء </v>
      </c>
      <c r="I450" s="26"/>
      <c r="J450" s="26" t="s">
        <v>14</v>
      </c>
      <c r="K450" s="26" t="s">
        <v>13</v>
      </c>
      <c r="L450" s="55"/>
      <c r="M450" s="26"/>
    </row>
    <row r="451" spans="1:13" ht="75" customHeight="1" thickTop="1" thickBot="1">
      <c r="A451" s="34">
        <v>449</v>
      </c>
      <c r="B451" s="55">
        <f ca="1">IFERROR(__xludf.DUMMYFUNCTION("""COMPUTED_VALUE"""),46155.5650651967)</f>
        <v>46155.565065196701</v>
      </c>
      <c r="C451" s="56" t="str">
        <f ca="1">IFERROR(__xludf.DUMMYFUNCTION("""COMPUTED_VALUE"""),"المعملجي")</f>
        <v>المعملجي</v>
      </c>
      <c r="D451" s="56" t="str">
        <f ca="1">IFERROR(__xludf.DUMMYFUNCTION("""COMPUTED_VALUE"""),"سجاد تربية")</f>
        <v>سجاد تربية</v>
      </c>
      <c r="E451" s="26" t="str">
        <f ca="1">IFERROR(__xludf.DUMMYFUNCTION("""COMPUTED_VALUE"""),"قسم التربية والتعليم العالي")</f>
        <v>قسم التربية والتعليم العالي</v>
      </c>
      <c r="F451" s="26" t="str">
        <f ca="1">IFERROR(__xludf.DUMMYFUNCTION("""COMPUTED_VALUE"""),"F-  ابتدائية جود العميد للبنات (الرابعة)")</f>
        <v>F-  ابتدائية جود العميد للبنات (الرابعة)</v>
      </c>
      <c r="G451" s="26" t="str">
        <f ca="1">IFERROR(__xludf.DUMMYFUNCTION("""COMPUTED_VALUE"""),"الطابق الارضي")</f>
        <v>الطابق الارضي</v>
      </c>
      <c r="H451" s="26" t="str">
        <f ca="1">IFERROR(__xludf.DUMMYFUNCTION("""COMPUTED_VALUE"""),"تبديل قاعدة شطاف ")</f>
        <v xml:space="preserve">تبديل قاعدة شطاف </v>
      </c>
      <c r="I451" s="26"/>
      <c r="J451" s="26" t="s">
        <v>14</v>
      </c>
      <c r="K451" s="26" t="s">
        <v>13</v>
      </c>
      <c r="L451" s="55"/>
      <c r="M451" s="26"/>
    </row>
    <row r="452" spans="1:13" ht="75" customHeight="1" thickTop="1" thickBot="1">
      <c r="A452" s="26">
        <v>450</v>
      </c>
      <c r="B452" s="55">
        <f ca="1">IFERROR(__xludf.DUMMYFUNCTION("""COMPUTED_VALUE"""),46155.5653262963)</f>
        <v>46155.565326296302</v>
      </c>
      <c r="C452" s="56" t="str">
        <f ca="1">IFERROR(__xludf.DUMMYFUNCTION("""COMPUTED_VALUE"""),"المعملجي")</f>
        <v>المعملجي</v>
      </c>
      <c r="D452" s="56" t="str">
        <f ca="1">IFERROR(__xludf.DUMMYFUNCTION("""COMPUTED_VALUE"""),"سجاد تربية")</f>
        <v>سجاد تربية</v>
      </c>
      <c r="E452" s="26" t="str">
        <f ca="1">IFERROR(__xludf.DUMMYFUNCTION("""COMPUTED_VALUE"""),"قسم التربية والتعليم العالي")</f>
        <v>قسم التربية والتعليم العالي</v>
      </c>
      <c r="F452" s="26" t="str">
        <f ca="1">IFERROR(__xludf.DUMMYFUNCTION("""COMPUTED_VALUE"""),"G- روضة الجود")</f>
        <v>G- روضة الجود</v>
      </c>
      <c r="G452" s="26" t="str">
        <f ca="1">IFERROR(__xludf.DUMMYFUNCTION("""COMPUTED_VALUE"""),"الطابق الارضي")</f>
        <v>الطابق الارضي</v>
      </c>
      <c r="H452" s="26" t="str">
        <f ca="1">IFERROR(__xludf.DUMMYFUNCTION("""COMPUTED_VALUE"""),"تبديل صوندة شطاف ")</f>
        <v xml:space="preserve">تبديل صوندة شطاف </v>
      </c>
      <c r="I452" s="26"/>
      <c r="J452" s="26" t="s">
        <v>14</v>
      </c>
      <c r="K452" s="26" t="s">
        <v>13</v>
      </c>
      <c r="L452" s="55"/>
      <c r="M452" s="26"/>
    </row>
    <row r="453" spans="1:13" ht="75" customHeight="1" thickTop="1" thickBot="1">
      <c r="A453" s="34">
        <v>451</v>
      </c>
      <c r="B453" s="55">
        <f ca="1">IFERROR(__xludf.DUMMYFUNCTION("""COMPUTED_VALUE"""),46155.5661213657)</f>
        <v>46155.5661213657</v>
      </c>
      <c r="C453" s="56" t="str">
        <f ca="1">IFERROR(__xludf.DUMMYFUNCTION("""COMPUTED_VALUE"""),"المعملجي")</f>
        <v>المعملجي</v>
      </c>
      <c r="D453" s="56" t="str">
        <f ca="1">IFERROR(__xludf.DUMMYFUNCTION("""COMPUTED_VALUE"""),"سجاد تربية")</f>
        <v>سجاد تربية</v>
      </c>
      <c r="E453" s="26" t="str">
        <f ca="1">IFERROR(__xludf.DUMMYFUNCTION("""COMPUTED_VALUE"""),"قسم التربية والتعليم العالي")</f>
        <v>قسم التربية والتعليم العالي</v>
      </c>
      <c r="F453" s="26" t="str">
        <f ca="1">IFERROR(__xludf.DUMMYFUNCTION("""COMPUTED_VALUE"""),"G- روضة الجود")</f>
        <v>G- روضة الجود</v>
      </c>
      <c r="G453" s="26" t="str">
        <f ca="1">IFERROR(__xludf.DUMMYFUNCTION("""COMPUTED_VALUE"""),"الطابق الارضي")</f>
        <v>الطابق الارضي</v>
      </c>
      <c r="H453" s="26" t="str">
        <f ca="1">IFERROR(__xludf.DUMMYFUNCTION("""COMPUTED_VALUE"""),"صيانة فلاش حمامات")</f>
        <v>صيانة فلاش حمامات</v>
      </c>
      <c r="I453" s="26"/>
      <c r="J453" s="26" t="s">
        <v>14</v>
      </c>
      <c r="K453" s="26" t="s">
        <v>13</v>
      </c>
      <c r="L453" s="55">
        <v>46156.322982245372</v>
      </c>
      <c r="M453" s="26"/>
    </row>
    <row r="454" spans="1:13" ht="75" customHeight="1" thickTop="1" thickBot="1">
      <c r="A454" s="26">
        <v>452</v>
      </c>
      <c r="B454" s="55">
        <f ca="1">IFERROR(__xludf.DUMMYFUNCTION("""COMPUTED_VALUE"""),46156.3258137847)</f>
        <v>46156.325813784701</v>
      </c>
      <c r="C454" s="56" t="str">
        <f ca="1">IFERROR(__xludf.DUMMYFUNCTION("""COMPUTED_VALUE"""),"المعملجي")</f>
        <v>المعملجي</v>
      </c>
      <c r="D454" s="56" t="str">
        <f ca="1">IFERROR(__xludf.DUMMYFUNCTION("""COMPUTED_VALUE"""),"وحدة الميكانيك")</f>
        <v>وحدة الميكانيك</v>
      </c>
      <c r="E454" s="26" t="str">
        <f ca="1">IFERROR(__xludf.DUMMYFUNCTION("""COMPUTED_VALUE"""),"قسم التربية والتعليم العالي")</f>
        <v>قسم التربية والتعليم العالي</v>
      </c>
      <c r="F454" s="26" t="str">
        <f ca="1">IFERROR(__xludf.DUMMYFUNCTION("""COMPUTED_VALUE"""),"C- ثانوية العميد بناية الاعدادية  (الاولى)")</f>
        <v>C- ثانوية العميد بناية الاعدادية  (الاولى)</v>
      </c>
      <c r="G454" s="26" t="str">
        <f ca="1">IFERROR(__xludf.DUMMYFUNCTION("""COMPUTED_VALUE"""),"السطح")</f>
        <v>السطح</v>
      </c>
      <c r="H454" s="26" t="str">
        <f ca="1">IFERROR(__xludf.DUMMYFUNCTION("""COMPUTED_VALUE"""),"لا يوجد ماء Ro")</f>
        <v>لا يوجد ماء Ro</v>
      </c>
      <c r="I454" s="26"/>
      <c r="J454" s="26" t="s">
        <v>14</v>
      </c>
      <c r="K454" s="26" t="s">
        <v>13</v>
      </c>
      <c r="L454" s="55"/>
      <c r="M454" s="26"/>
    </row>
    <row r="455" spans="1:13" ht="75" customHeight="1" thickTop="1" thickBot="1">
      <c r="A455" s="34">
        <v>453</v>
      </c>
      <c r="B455" s="55">
        <f ca="1">IFERROR(__xludf.DUMMYFUNCTION("""COMPUTED_VALUE"""),46156.4095616088)</f>
        <v>46156.409561608802</v>
      </c>
      <c r="C455" s="56" t="str">
        <f ca="1">IFERROR(__xludf.DUMMYFUNCTION("""COMPUTED_VALUE"""),"المعملجي")</f>
        <v>المعملجي</v>
      </c>
      <c r="D455" s="56" t="str">
        <f ca="1">IFERROR(__xludf.DUMMYFUNCTION("""COMPUTED_VALUE"""),"سجاد تربية")</f>
        <v>سجاد تربية</v>
      </c>
      <c r="E455" s="26" t="str">
        <f ca="1">IFERROR(__xludf.DUMMYFUNCTION("""COMPUTED_VALUE"""),"قسم التربية والتعليم العالي")</f>
        <v>قسم التربية والتعليم العالي</v>
      </c>
      <c r="F455" s="26" t="str">
        <f ca="1">IFERROR(__xludf.DUMMYFUNCTION("""COMPUTED_VALUE"""),"G- روضة الجود")</f>
        <v>G- روضة الجود</v>
      </c>
      <c r="G455" s="26" t="str">
        <f ca="1">IFERROR(__xludf.DUMMYFUNCTION("""COMPUTED_VALUE"""),"السطح")</f>
        <v>السطح</v>
      </c>
      <c r="H455" s="26" t="str">
        <f ca="1">IFERROR(__xludf.DUMMYFUNCTION("""COMPUTED_VALUE"""),"Ro لا يوجد ماء ")</f>
        <v xml:space="preserve">Ro لا يوجد ماء </v>
      </c>
      <c r="I455" s="26"/>
      <c r="J455" s="26" t="s">
        <v>14</v>
      </c>
      <c r="K455" s="26" t="s">
        <v>13</v>
      </c>
      <c r="L455" s="55"/>
      <c r="M455" s="26"/>
    </row>
    <row r="456" spans="1:13" ht="75" customHeight="1" thickTop="1" thickBot="1">
      <c r="A456" s="26">
        <v>454</v>
      </c>
      <c r="B456" s="55">
        <f ca="1">IFERROR(__xludf.DUMMYFUNCTION("""COMPUTED_VALUE"""),46156.409869537)</f>
        <v>46156.409869536998</v>
      </c>
      <c r="C456" s="56" t="str">
        <f ca="1">IFERROR(__xludf.DUMMYFUNCTION("""COMPUTED_VALUE"""),"المعملجي")</f>
        <v>المعملجي</v>
      </c>
      <c r="D456" s="56" t="str">
        <f ca="1">IFERROR(__xludf.DUMMYFUNCTION("""COMPUTED_VALUE"""),"سجاد تربية")</f>
        <v>سجاد تربية</v>
      </c>
      <c r="E456" s="26" t="str">
        <f ca="1">IFERROR(__xludf.DUMMYFUNCTION("""COMPUTED_VALUE"""),"قسم التربية والتعليم العالي")</f>
        <v>قسم التربية والتعليم العالي</v>
      </c>
      <c r="F456" s="26" t="str">
        <f ca="1">IFERROR(__xludf.DUMMYFUNCTION("""COMPUTED_VALUE"""),"A- المركز الثقافي")</f>
        <v>A- المركز الثقافي</v>
      </c>
      <c r="G456" s="26" t="str">
        <f ca="1">IFERROR(__xludf.DUMMYFUNCTION("""COMPUTED_VALUE"""),"الطابق الارضي")</f>
        <v>الطابق الارضي</v>
      </c>
      <c r="H456" s="26" t="str">
        <f ca="1">IFERROR(__xludf.DUMMYFUNCTION("""COMPUTED_VALUE"""),"تبديل لبب عدد 2 ")</f>
        <v xml:space="preserve">تبديل لبب عدد 2 </v>
      </c>
      <c r="I456" s="26"/>
      <c r="J456" s="26" t="s">
        <v>16</v>
      </c>
      <c r="K456" s="26" t="s">
        <v>13</v>
      </c>
      <c r="L456" s="55"/>
      <c r="M456" s="26"/>
    </row>
    <row r="457" spans="1:13" ht="75" customHeight="1" thickTop="1" thickBot="1">
      <c r="A457" s="34">
        <v>455</v>
      </c>
      <c r="B457" s="55">
        <f ca="1">IFERROR(__xludf.DUMMYFUNCTION("""COMPUTED_VALUE"""),46156.4121593865)</f>
        <v>46156.412159386498</v>
      </c>
      <c r="C457" s="56" t="str">
        <f ca="1">IFERROR(__xludf.DUMMYFUNCTION("""COMPUTED_VALUE"""),"المعملجي")</f>
        <v>المعملجي</v>
      </c>
      <c r="D457" s="56" t="str">
        <f ca="1">IFERROR(__xludf.DUMMYFUNCTION("""COMPUTED_VALUE"""),"سجاد تربية")</f>
        <v>سجاد تربية</v>
      </c>
      <c r="E457" s="26" t="str">
        <f ca="1">IFERROR(__xludf.DUMMYFUNCTION("""COMPUTED_VALUE"""),"قسم المشاريع الهندسية")</f>
        <v>قسم المشاريع الهندسية</v>
      </c>
      <c r="F457" s="26" t="str">
        <f ca="1">IFERROR(__xludf.DUMMYFUNCTION("""COMPUTED_VALUE"""),"A- المركز الثقافي")</f>
        <v>A- المركز الثقافي</v>
      </c>
      <c r="G457" s="26" t="str">
        <f ca="1">IFERROR(__xludf.DUMMYFUNCTION("""COMPUTED_VALUE"""),"الطابق الارضي")</f>
        <v>الطابق الارضي</v>
      </c>
      <c r="H457" s="26" t="str">
        <f ca="1">IFERROR(__xludf.DUMMYFUNCTION("""COMPUTED_VALUE"""),"صيانة تارتان brc")</f>
        <v>صيانة تارتان brc</v>
      </c>
      <c r="I457" s="26"/>
      <c r="J457" s="26" t="s">
        <v>16</v>
      </c>
      <c r="K457" s="26" t="s">
        <v>13</v>
      </c>
      <c r="L457" s="55"/>
      <c r="M457" s="26"/>
    </row>
    <row r="458" spans="1:13" ht="75" customHeight="1" thickTop="1" thickBot="1">
      <c r="A458" s="26">
        <v>456</v>
      </c>
      <c r="B458" s="55">
        <f ca="1">IFERROR(__xludf.DUMMYFUNCTION("""COMPUTED_VALUE"""),46156.473125324)</f>
        <v>46156.473125324002</v>
      </c>
      <c r="C458" s="56" t="str">
        <f ca="1">IFERROR(__xludf.DUMMYFUNCTION("""COMPUTED_VALUE"""),"المعملجي")</f>
        <v>المعملجي</v>
      </c>
      <c r="D458" s="56" t="str">
        <f ca="1">IFERROR(__xludf.DUMMYFUNCTION("""COMPUTED_VALUE"""),"سجاد تربية")</f>
        <v>سجاد تربية</v>
      </c>
      <c r="E458" s="26" t="str">
        <f ca="1">IFERROR(__xludf.DUMMYFUNCTION("""COMPUTED_VALUE"""),"قسم التربية والتعليم العالي")</f>
        <v>قسم التربية والتعليم العالي</v>
      </c>
      <c r="F458" s="26" t="str">
        <f ca="1">IFERROR(__xludf.DUMMYFUNCTION("""COMPUTED_VALUE"""),"C- ثانوية العميد بناية الاعدادية  (الاولى)")</f>
        <v>C- ثانوية العميد بناية الاعدادية  (الاولى)</v>
      </c>
      <c r="G458" s="26" t="str">
        <f ca="1">IFERROR(__xludf.DUMMYFUNCTION("""COMPUTED_VALUE"""),"السطح")</f>
        <v>السطح</v>
      </c>
      <c r="H458" s="26" t="str">
        <f ca="1">IFERROR(__xludf.DUMMYFUNCTION("""COMPUTED_VALUE"""),"صيانة سيفونات عدد 3 ")</f>
        <v xml:space="preserve">صيانة سيفونات عدد 3 </v>
      </c>
      <c r="I458" s="26"/>
      <c r="J458" s="26" t="s">
        <v>16</v>
      </c>
      <c r="K458" s="26" t="s">
        <v>13</v>
      </c>
      <c r="L458" s="55"/>
      <c r="M458" s="26"/>
    </row>
    <row r="459" spans="1:13" ht="75" customHeight="1" thickTop="1" thickBot="1">
      <c r="A459" s="34">
        <v>457</v>
      </c>
      <c r="B459" s="55">
        <f ca="1">IFERROR(__xludf.DUMMYFUNCTION("""COMPUTED_VALUE"""),46156.474303449)</f>
        <v>46156.474303449002</v>
      </c>
      <c r="C459" s="56" t="str">
        <f ca="1">IFERROR(__xludf.DUMMYFUNCTION("""COMPUTED_VALUE"""),"المعملجي")</f>
        <v>المعملجي</v>
      </c>
      <c r="D459" s="56" t="str">
        <f ca="1">IFERROR(__xludf.DUMMYFUNCTION("""COMPUTED_VALUE"""),"وحدة المدني")</f>
        <v>وحدة المدني</v>
      </c>
      <c r="E459" s="26" t="str">
        <f ca="1">IFERROR(__xludf.DUMMYFUNCTION("""COMPUTED_VALUE"""),"قسم المشاريع الهندسية")</f>
        <v>قسم المشاريع الهندسية</v>
      </c>
      <c r="F459" s="26" t="str">
        <f ca="1">IFERROR(__xludf.DUMMYFUNCTION("""COMPUTED_VALUE"""),"C- ثانوية العميد بناية الاعدادية  (الاولى)")</f>
        <v>C- ثانوية العميد بناية الاعدادية  (الاولى)</v>
      </c>
      <c r="G459" s="26" t="str">
        <f ca="1">IFERROR(__xludf.DUMMYFUNCTION("""COMPUTED_VALUE"""),"السطح")</f>
        <v>السطح</v>
      </c>
      <c r="H459" s="26" t="str">
        <f ca="1">IFERROR(__xludf.DUMMYFUNCTION("""COMPUTED_VALUE"""),"رفع انقاذ وتنظيف السطح ")</f>
        <v xml:space="preserve">رفع انقاذ وتنظيف السطح </v>
      </c>
      <c r="I459" s="26"/>
      <c r="J459" s="26" t="s">
        <v>16</v>
      </c>
      <c r="K459" s="26" t="s">
        <v>13</v>
      </c>
      <c r="L459" s="55"/>
      <c r="M459" s="26"/>
    </row>
    <row r="460" spans="1:13" ht="75" customHeight="1" thickTop="1" thickBot="1">
      <c r="A460" s="26">
        <v>458</v>
      </c>
      <c r="B460" s="55">
        <f ca="1">IFERROR(__xludf.DUMMYFUNCTION("""COMPUTED_VALUE"""),46156.4765776851)</f>
        <v>46156.476577685098</v>
      </c>
      <c r="C460" s="56" t="str">
        <f ca="1">IFERROR(__xludf.DUMMYFUNCTION("""COMPUTED_VALUE"""),"المعملجي")</f>
        <v>المعملجي</v>
      </c>
      <c r="D460" s="56" t="str">
        <f ca="1">IFERROR(__xludf.DUMMYFUNCTION("""COMPUTED_VALUE"""),"سجاد تربية")</f>
        <v>سجاد تربية</v>
      </c>
      <c r="E460" s="26" t="str">
        <f ca="1">IFERROR(__xludf.DUMMYFUNCTION("""COMPUTED_VALUE"""),"قسم التربية والتعليم العالي")</f>
        <v>قسم التربية والتعليم العالي</v>
      </c>
      <c r="F460" s="26" t="str">
        <f ca="1">IFERROR(__xludf.DUMMYFUNCTION("""COMPUTED_VALUE"""),"الاستعلامات مقابل الكراج")</f>
        <v>الاستعلامات مقابل الكراج</v>
      </c>
      <c r="G460" s="26" t="str">
        <f ca="1">IFERROR(__xludf.DUMMYFUNCTION("""COMPUTED_VALUE"""),"الطابق الارضي")</f>
        <v>الطابق الارضي</v>
      </c>
      <c r="H460" s="26" t="str">
        <f ca="1">IFERROR(__xludf.DUMMYFUNCTION("""COMPUTED_VALUE"""),"حفر ومد صوندة ")</f>
        <v xml:space="preserve">حفر ومد صوندة </v>
      </c>
      <c r="I460" s="26"/>
      <c r="J460" s="26" t="s">
        <v>16</v>
      </c>
      <c r="K460" s="26" t="s">
        <v>13</v>
      </c>
      <c r="L460" s="55"/>
      <c r="M460" s="26"/>
    </row>
    <row r="461" spans="1:13" ht="75" customHeight="1" thickTop="1" thickBot="1">
      <c r="A461" s="34">
        <v>459</v>
      </c>
      <c r="B461" s="55">
        <f ca="1">IFERROR(__xludf.DUMMYFUNCTION("""COMPUTED_VALUE"""),46158.3473601504)</f>
        <v>46158.347360150401</v>
      </c>
      <c r="C461" s="56" t="str">
        <f ca="1">IFERROR(__xludf.DUMMYFUNCTION("""COMPUTED_VALUE"""),"المعملجي")</f>
        <v>المعملجي</v>
      </c>
      <c r="D461" s="56" t="str">
        <f ca="1">IFERROR(__xludf.DUMMYFUNCTION("""COMPUTED_VALUE"""),"وحدة المدني")</f>
        <v>وحدة المدني</v>
      </c>
      <c r="E461" s="26" t="str">
        <f ca="1">IFERROR(__xludf.DUMMYFUNCTION("""COMPUTED_VALUE"""),"قسم المشاريع الهندسية")</f>
        <v>قسم المشاريع الهندسية</v>
      </c>
      <c r="F461" s="26" t="str">
        <f ca="1">IFERROR(__xludf.DUMMYFUNCTION("""COMPUTED_VALUE"""),"E- ابتدائية العميد للبنات (الثالثة)")</f>
        <v>E- ابتدائية العميد للبنات (الثالثة)</v>
      </c>
      <c r="G461" s="26" t="str">
        <f ca="1">IFERROR(__xludf.DUMMYFUNCTION("""COMPUTED_VALUE"""),"الطابق الثاني")</f>
        <v>الطابق الثاني</v>
      </c>
      <c r="H461" s="26" t="str">
        <f ca="1">IFERROR(__xludf.DUMMYFUNCTION("""COMPUTED_VALUE"""),"تركيب بردة")</f>
        <v>تركيب بردة</v>
      </c>
      <c r="I461" s="26"/>
      <c r="J461" s="26" t="s">
        <v>16</v>
      </c>
      <c r="K461" s="26" t="s">
        <v>13</v>
      </c>
      <c r="L461" s="55"/>
      <c r="M461" s="26"/>
    </row>
    <row r="462" spans="1:13" ht="75" customHeight="1" thickTop="1" thickBot="1">
      <c r="A462" s="26">
        <v>460</v>
      </c>
      <c r="B462" s="55">
        <f ca="1">IFERROR(__xludf.DUMMYFUNCTION("""COMPUTED_VALUE"""),46158.3476485763)</f>
        <v>46158.347648576302</v>
      </c>
      <c r="C462" s="56" t="str">
        <f ca="1">IFERROR(__xludf.DUMMYFUNCTION("""COMPUTED_VALUE"""),"المعملجي")</f>
        <v>المعملجي</v>
      </c>
      <c r="D462" s="56" t="str">
        <f ca="1">IFERROR(__xludf.DUMMYFUNCTION("""COMPUTED_VALUE"""),"سجاد تربية")</f>
        <v>سجاد تربية</v>
      </c>
      <c r="E462" s="26" t="str">
        <f ca="1">IFERROR(__xludf.DUMMYFUNCTION("""COMPUTED_VALUE"""),"قسم التربية والتعليم العالي")</f>
        <v>قسم التربية والتعليم العالي</v>
      </c>
      <c r="F462" s="26" t="str">
        <f ca="1">IFERROR(__xludf.DUMMYFUNCTION("""COMPUTED_VALUE"""),"A- المركز الثقافي")</f>
        <v>A- المركز الثقافي</v>
      </c>
      <c r="G462" s="26" t="str">
        <f ca="1">IFERROR(__xludf.DUMMYFUNCTION("""COMPUTED_VALUE"""),"الطابق الاول")</f>
        <v>الطابق الاول</v>
      </c>
      <c r="H462" s="26" t="str">
        <f ca="1">IFERROR(__xludf.DUMMYFUNCTION("""COMPUTED_VALUE"""),"تبديل سقوف ثانوية ")</f>
        <v xml:space="preserve">تبديل سقوف ثانوية </v>
      </c>
      <c r="I462" s="26"/>
      <c r="J462" s="26" t="s">
        <v>16</v>
      </c>
      <c r="K462" s="26" t="s">
        <v>13</v>
      </c>
      <c r="L462" s="55"/>
      <c r="M462" s="26"/>
    </row>
    <row r="463" spans="1:13" ht="75" customHeight="1" thickTop="1" thickBot="1">
      <c r="A463" s="34">
        <v>461</v>
      </c>
      <c r="B463" s="55">
        <f ca="1">IFERROR(__xludf.DUMMYFUNCTION("""COMPUTED_VALUE"""),46158.3504024421)</f>
        <v>46158.350402442098</v>
      </c>
      <c r="C463" s="56" t="str">
        <f ca="1">IFERROR(__xludf.DUMMYFUNCTION("""COMPUTED_VALUE"""),"المعملجي")</f>
        <v>المعملجي</v>
      </c>
      <c r="D463" s="56" t="str">
        <f ca="1">IFERROR(__xludf.DUMMYFUNCTION("""COMPUTED_VALUE"""),"وحدة الميكانيك")</f>
        <v>وحدة الميكانيك</v>
      </c>
      <c r="E463" s="26" t="str">
        <f ca="1">IFERROR(__xludf.DUMMYFUNCTION("""COMPUTED_VALUE"""),"قسم المشاريع الهندسية")</f>
        <v>قسم المشاريع الهندسية</v>
      </c>
      <c r="F463" s="26" t="str">
        <f ca="1">IFERROR(__xludf.DUMMYFUNCTION("""COMPUTED_VALUE"""),"C- ثانوية العميد بناية الاعدادية  (الاولى)")</f>
        <v>C- ثانوية العميد بناية الاعدادية  (الاولى)</v>
      </c>
      <c r="G463" s="26" t="str">
        <f ca="1">IFERROR(__xludf.DUMMYFUNCTION("""COMPUTED_VALUE"""),"السطح")</f>
        <v>السطح</v>
      </c>
      <c r="H463" s="26" t="str">
        <f ca="1">IFERROR(__xludf.DUMMYFUNCTION("""COMPUTED_VALUE"""),"Ro  لا يوجد ماء ")</f>
        <v xml:space="preserve">Ro  لا يوجد ماء </v>
      </c>
      <c r="I463" s="26"/>
      <c r="J463" s="26" t="s">
        <v>14</v>
      </c>
      <c r="K463" s="26" t="s">
        <v>13</v>
      </c>
      <c r="L463" s="55"/>
      <c r="M463" s="26"/>
    </row>
    <row r="464" spans="1:13" ht="75" customHeight="1" thickTop="1" thickBot="1">
      <c r="A464" s="26">
        <v>462</v>
      </c>
      <c r="B464" s="55">
        <f ca="1">IFERROR(__xludf.DUMMYFUNCTION("""COMPUTED_VALUE"""),46158.35073125)</f>
        <v>46158.350731250001</v>
      </c>
      <c r="C464" s="56" t="str">
        <f ca="1">IFERROR(__xludf.DUMMYFUNCTION("""COMPUTED_VALUE"""),"المعملجي")</f>
        <v>المعملجي</v>
      </c>
      <c r="D464" s="56" t="str">
        <f ca="1">IFERROR(__xludf.DUMMYFUNCTION("""COMPUTED_VALUE"""),"وحدة الميكانيك")</f>
        <v>وحدة الميكانيك</v>
      </c>
      <c r="E464" s="26" t="str">
        <f ca="1">IFERROR(__xludf.DUMMYFUNCTION("""COMPUTED_VALUE"""),"قسم المشاريع الهندسية")</f>
        <v>قسم المشاريع الهندسية</v>
      </c>
      <c r="F464" s="26" t="str">
        <f ca="1">IFERROR(__xludf.DUMMYFUNCTION("""COMPUTED_VALUE"""),"D- ثانوية العميد بناية المتوسطة  (الثانية)")</f>
        <v>D- ثانوية العميد بناية المتوسطة  (الثانية)</v>
      </c>
      <c r="G464" s="26" t="str">
        <f ca="1">IFERROR(__xludf.DUMMYFUNCTION("""COMPUTED_VALUE"""),"السطح")</f>
        <v>السطح</v>
      </c>
      <c r="H464" s="26" t="str">
        <f ca="1">IFERROR(__xludf.DUMMYFUNCTION("""COMPUTED_VALUE"""),"Ro لا يوجد ماء ")</f>
        <v xml:space="preserve">Ro لا يوجد ماء </v>
      </c>
      <c r="I464" s="26"/>
      <c r="J464" s="26" t="s">
        <v>14</v>
      </c>
      <c r="K464" s="26" t="s">
        <v>13</v>
      </c>
      <c r="L464" s="55"/>
      <c r="M464" s="26"/>
    </row>
    <row r="465" spans="1:13" ht="75" customHeight="1" thickTop="1" thickBot="1">
      <c r="A465" s="34">
        <v>463</v>
      </c>
      <c r="B465" s="55">
        <f ca="1">IFERROR(__xludf.DUMMYFUNCTION("""COMPUTED_VALUE"""),46158.3521437963)</f>
        <v>46158.352143796299</v>
      </c>
      <c r="C465" s="56" t="str">
        <f ca="1">IFERROR(__xludf.DUMMYFUNCTION("""COMPUTED_VALUE"""),"المعملجي")</f>
        <v>المعملجي</v>
      </c>
      <c r="D465" s="56" t="str">
        <f ca="1">IFERROR(__xludf.DUMMYFUNCTION("""COMPUTED_VALUE"""),"وحدة الميكانيك")</f>
        <v>وحدة الميكانيك</v>
      </c>
      <c r="E465" s="26" t="str">
        <f ca="1">IFERROR(__xludf.DUMMYFUNCTION("""COMPUTED_VALUE"""),"قسم المشاريع الهندسية")</f>
        <v>قسم المشاريع الهندسية</v>
      </c>
      <c r="F465" s="26" t="str">
        <f ca="1">IFERROR(__xludf.DUMMYFUNCTION("""COMPUTED_VALUE"""),"F-  ابتدائية جود العميد للبنات (الرابعة)")</f>
        <v>F-  ابتدائية جود العميد للبنات (الرابعة)</v>
      </c>
      <c r="G465" s="26" t="str">
        <f ca="1">IFERROR(__xludf.DUMMYFUNCTION("""COMPUTED_VALUE"""),"السطح")</f>
        <v>السطح</v>
      </c>
      <c r="H465" s="26" t="str">
        <f ca="1">IFERROR(__xludf.DUMMYFUNCTION("""COMPUTED_VALUE"""),"Ro لأ يوجد ماء ")</f>
        <v xml:space="preserve">Ro لأ يوجد ماء </v>
      </c>
      <c r="I465" s="26"/>
      <c r="J465" s="26" t="s">
        <v>14</v>
      </c>
      <c r="K465" s="26" t="s">
        <v>13</v>
      </c>
      <c r="L465" s="55"/>
      <c r="M465" s="26"/>
    </row>
    <row r="466" spans="1:13" ht="75" customHeight="1" thickTop="1" thickBot="1">
      <c r="A466" s="26">
        <v>464</v>
      </c>
      <c r="B466" s="55">
        <f ca="1">IFERROR(__xludf.DUMMYFUNCTION("""COMPUTED_VALUE"""),46158.3884496296)</f>
        <v>46158.388449629601</v>
      </c>
      <c r="C466" s="56" t="str">
        <f ca="1">IFERROR(__xludf.DUMMYFUNCTION("""COMPUTED_VALUE"""),"المعملجي")</f>
        <v>المعملجي</v>
      </c>
      <c r="D466" s="56" t="str">
        <f ca="1">IFERROR(__xludf.DUMMYFUNCTION("""COMPUTED_VALUE"""),"سجاد تربية")</f>
        <v>سجاد تربية</v>
      </c>
      <c r="E466" s="26" t="str">
        <f ca="1">IFERROR(__xludf.DUMMYFUNCTION("""COMPUTED_VALUE"""),"قسم التربية والتعليم العالي")</f>
        <v>قسم التربية والتعليم العالي</v>
      </c>
      <c r="F466" s="26" t="str">
        <f ca="1">IFERROR(__xludf.DUMMYFUNCTION("""COMPUTED_VALUE"""),"I- ابتدائية الساقي للبنين (السادسة)")</f>
        <v>I- ابتدائية الساقي للبنين (السادسة)</v>
      </c>
      <c r="G466" s="26" t="str">
        <f ca="1">IFERROR(__xludf.DUMMYFUNCTION("""COMPUTED_VALUE"""),"الطابق الثالث")</f>
        <v>الطابق الثالث</v>
      </c>
      <c r="H466" s="26" t="str">
        <f ca="1">IFERROR(__xludf.DUMMYFUNCTION("""COMPUTED_VALUE"""),"1:صيانة بردات 
2:صيانة رحلات 
3:صيانة بردة الصف الثاني الطابق الثاني 
4:صيانة بردات الطابق الاول ")</f>
        <v xml:space="preserve">1:صيانة بردات 
2:صيانة رحلات 
3:صيانة بردة الصف الثاني الطابق الثاني 
4:صيانة بردات الطابق الاول </v>
      </c>
      <c r="I466" s="26"/>
      <c r="J466" s="26"/>
      <c r="K466" s="26" t="s">
        <v>3911</v>
      </c>
      <c r="L466" s="55">
        <v>46160.393389930556</v>
      </c>
      <c r="M466" s="26"/>
    </row>
    <row r="467" spans="1:13" ht="75" customHeight="1" thickTop="1" thickBot="1">
      <c r="A467" s="34">
        <v>465</v>
      </c>
      <c r="B467" s="55">
        <f ca="1">IFERROR(__xludf.DUMMYFUNCTION("""COMPUTED_VALUE"""),46158.389855162)</f>
        <v>46158.389855162</v>
      </c>
      <c r="C467" s="56" t="str">
        <f ca="1">IFERROR(__xludf.DUMMYFUNCTION("""COMPUTED_VALUE"""),"المعملجي")</f>
        <v>المعملجي</v>
      </c>
      <c r="D467" s="56" t="str">
        <f ca="1">IFERROR(__xludf.DUMMYFUNCTION("""COMPUTED_VALUE"""),"سجاد تربية")</f>
        <v>سجاد تربية</v>
      </c>
      <c r="E467" s="26" t="str">
        <f ca="1">IFERROR(__xludf.DUMMYFUNCTION("""COMPUTED_VALUE"""),"قسم التربية والتعليم العالي")</f>
        <v>قسم التربية والتعليم العالي</v>
      </c>
      <c r="F467" s="26" t="str">
        <f ca="1">IFERROR(__xludf.DUMMYFUNCTION("""COMPUTED_VALUE"""),"E- ابتدائية العميد للبنات (الثالثة)")</f>
        <v>E- ابتدائية العميد للبنات (الثالثة)</v>
      </c>
      <c r="G467" s="26" t="str">
        <f ca="1">IFERROR(__xludf.DUMMYFUNCTION("""COMPUTED_VALUE"""),"الطابق الاول")</f>
        <v>الطابق الاول</v>
      </c>
      <c r="H467" s="26" t="str">
        <f ca="1">IFERROR(__xludf.DUMMYFUNCTION("""COMPUTED_VALUE"""),"1:صيانة المغاسل 
2: صيانة صوندة الحامام ")</f>
        <v xml:space="preserve">1:صيانة المغاسل 
2: صيانة صوندة الحامام </v>
      </c>
      <c r="I467" s="26"/>
      <c r="J467" s="26" t="s">
        <v>14</v>
      </c>
      <c r="K467" s="26" t="s">
        <v>13</v>
      </c>
      <c r="L467" s="55">
        <v>46158.54142238426</v>
      </c>
      <c r="M467" s="26"/>
    </row>
    <row r="468" spans="1:13" ht="75" customHeight="1" thickTop="1" thickBot="1">
      <c r="A468" s="26">
        <v>466</v>
      </c>
      <c r="B468" s="55">
        <f ca="1">IFERROR(__xludf.DUMMYFUNCTION("""COMPUTED_VALUE"""),46158.3938869675)</f>
        <v>46158.393886967497</v>
      </c>
      <c r="C468" s="56" t="str">
        <f ca="1">IFERROR(__xludf.DUMMYFUNCTION("""COMPUTED_VALUE"""),"المعملجي")</f>
        <v>المعملجي</v>
      </c>
      <c r="D468" s="56" t="str">
        <f ca="1">IFERROR(__xludf.DUMMYFUNCTION("""COMPUTED_VALUE"""),"سجاد تربية")</f>
        <v>سجاد تربية</v>
      </c>
      <c r="E468" s="26" t="str">
        <f ca="1">IFERROR(__xludf.DUMMYFUNCTION("""COMPUTED_VALUE"""),"قسم التربية والتعليم العالي")</f>
        <v>قسم التربية والتعليم العالي</v>
      </c>
      <c r="F468" s="26" t="str">
        <f ca="1">IFERROR(__xludf.DUMMYFUNCTION("""COMPUTED_VALUE"""),"F-  ابتدائية جود العميد للبنات (الرابعة)")</f>
        <v>F-  ابتدائية جود العميد للبنات (الرابعة)</v>
      </c>
      <c r="G468" s="26"/>
      <c r="H468" s="26" t="str">
        <f ca="1">IFERROR(__xludf.DUMMYFUNCTION("""COMPUTED_VALUE"""),"1:حمامات الارضي لبغربي 
2:شباك الاول د
3:هزار سيراميك الساحة الخارجية 
4:خلاط مغسلة الصحيات الطابق الخارجي 
5:السقف الثانوي الطابق الثاني الخارجي 
6:غطاء سيفونة عدد 3
7:انسداد مغاسل المصلى 
8:معالجة وضع طفايات الحريق ")</f>
        <v xml:space="preserve">1:حمامات الارضي لبغربي 
2:شباك الاول د
3:هزار سيراميك الساحة الخارجية 
4:خلاط مغسلة الصحيات الطابق الخارجي 
5:السقف الثانوي الطابق الثاني الخارجي 
6:غطاء سيفونة عدد 3
7:انسداد مغاسل المصلى 
8:معالجة وضع طفايات الحريق </v>
      </c>
      <c r="I468" s="26"/>
      <c r="J468" s="26" t="s">
        <v>14</v>
      </c>
      <c r="K468" s="26" t="s">
        <v>13</v>
      </c>
      <c r="L468" s="55">
        <v>46158.541441967594</v>
      </c>
      <c r="M468" s="26"/>
    </row>
    <row r="469" spans="1:13" ht="75" customHeight="1" thickTop="1" thickBot="1">
      <c r="A469" s="34">
        <v>467</v>
      </c>
      <c r="B469" s="55">
        <f ca="1">IFERROR(__xludf.DUMMYFUNCTION("""COMPUTED_VALUE"""),46158.4518072453)</f>
        <v>46158.451807245299</v>
      </c>
      <c r="C469" s="56" t="str">
        <f ca="1">IFERROR(__xludf.DUMMYFUNCTION("""COMPUTED_VALUE"""),"المعملجي")</f>
        <v>المعملجي</v>
      </c>
      <c r="D469" s="56" t="str">
        <f ca="1">IFERROR(__xludf.DUMMYFUNCTION("""COMPUTED_VALUE"""),"سجاد تربية")</f>
        <v>سجاد تربية</v>
      </c>
      <c r="E469" s="26" t="str">
        <f ca="1">IFERROR(__xludf.DUMMYFUNCTION("""COMPUTED_VALUE"""),"قسم التربية والتعليم العالي")</f>
        <v>قسم التربية والتعليم العالي</v>
      </c>
      <c r="F469" s="26" t="str">
        <f ca="1">IFERROR(__xludf.DUMMYFUNCTION("""COMPUTED_VALUE"""),"F-  ابتدائية جود العميد للبنات (الرابعة)")</f>
        <v>F-  ابتدائية جود العميد للبنات (الرابعة)</v>
      </c>
      <c r="G469" s="26" t="str">
        <f ca="1">IFERROR(__xludf.DUMMYFUNCTION("""COMPUTED_VALUE"""),"الطابق الاول")</f>
        <v>الطابق الاول</v>
      </c>
      <c r="H469" s="26" t="str">
        <f ca="1">IFERROR(__xludf.DUMMYFUNCTION("""COMPUTED_VALUE"""),"صيانة شباك صف الاول د")</f>
        <v>صيانة شباك صف الاول د</v>
      </c>
      <c r="I469" s="26"/>
      <c r="J469" s="26" t="s">
        <v>16</v>
      </c>
      <c r="K469" s="26" t="s">
        <v>13</v>
      </c>
      <c r="L469" s="55">
        <v>46158.474020347217</v>
      </c>
      <c r="M469" s="26"/>
    </row>
    <row r="470" spans="1:13" ht="75" customHeight="1" thickTop="1" thickBot="1">
      <c r="A470" s="26">
        <v>468</v>
      </c>
      <c r="B470" s="55">
        <f ca="1">IFERROR(__xludf.DUMMYFUNCTION("""COMPUTED_VALUE"""),46158.4522432986)</f>
        <v>46158.452243298598</v>
      </c>
      <c r="C470" s="56" t="str">
        <f ca="1">IFERROR(__xludf.DUMMYFUNCTION("""COMPUTED_VALUE"""),"المعملجي")</f>
        <v>المعملجي</v>
      </c>
      <c r="D470" s="56" t="str">
        <f ca="1">IFERROR(__xludf.DUMMYFUNCTION("""COMPUTED_VALUE"""),"سجاد تربية")</f>
        <v>سجاد تربية</v>
      </c>
      <c r="E470" s="26" t="str">
        <f ca="1">IFERROR(__xludf.DUMMYFUNCTION("""COMPUTED_VALUE"""),"قسم التربية والتعليم العالي")</f>
        <v>قسم التربية والتعليم العالي</v>
      </c>
      <c r="F470" s="26" t="str">
        <f ca="1">IFERROR(__xludf.DUMMYFUNCTION("""COMPUTED_VALUE"""),"F-  ابتدائية جود العميد للبنات (الرابعة)")</f>
        <v>F-  ابتدائية جود العميد للبنات (الرابعة)</v>
      </c>
      <c r="G470" s="26" t="str">
        <f ca="1">IFERROR(__xludf.DUMMYFUNCTION("""COMPUTED_VALUE"""),"الطابق الارضي")</f>
        <v>الطابق الارضي</v>
      </c>
      <c r="H470" s="26" t="str">
        <f ca="1">IFERROR(__xludf.DUMMYFUNCTION("""COMPUTED_VALUE"""),"صيانة خلاط ")</f>
        <v xml:space="preserve">صيانة خلاط </v>
      </c>
      <c r="I470" s="26"/>
      <c r="J470" s="26" t="s">
        <v>14</v>
      </c>
      <c r="K470" s="26" t="s">
        <v>13</v>
      </c>
      <c r="L470" s="55">
        <v>46158.541469502314</v>
      </c>
      <c r="M470" s="26"/>
    </row>
    <row r="471" spans="1:13" ht="75" customHeight="1" thickTop="1" thickBot="1">
      <c r="A471" s="34">
        <v>469</v>
      </c>
      <c r="B471" s="55">
        <f ca="1">IFERROR(__xludf.DUMMYFUNCTION("""COMPUTED_VALUE"""),46158.4761274884)</f>
        <v>46158.4761274884</v>
      </c>
      <c r="C471" s="56" t="str">
        <f ca="1">IFERROR(__xludf.DUMMYFUNCTION("""COMPUTED_VALUE"""),"المعملجي")</f>
        <v>المعملجي</v>
      </c>
      <c r="D471" s="56" t="str">
        <f ca="1">IFERROR(__xludf.DUMMYFUNCTION("""COMPUTED_VALUE"""),"سجاد تربية")</f>
        <v>سجاد تربية</v>
      </c>
      <c r="E471" s="26" t="str">
        <f ca="1">IFERROR(__xludf.DUMMYFUNCTION("""COMPUTED_VALUE"""),"قسم التربية والتعليم العالي")</f>
        <v>قسم التربية والتعليم العالي</v>
      </c>
      <c r="F471" s="26" t="str">
        <f ca="1">IFERROR(__xludf.DUMMYFUNCTION("""COMPUTED_VALUE"""),"F-  ابتدائية جود العميد للبنات (الرابعة)")</f>
        <v>F-  ابتدائية جود العميد للبنات (الرابعة)</v>
      </c>
      <c r="G471" s="26" t="str">
        <f ca="1">IFERROR(__xludf.DUMMYFUNCTION("""COMPUTED_VALUE"""),"الطابق الاول")</f>
        <v>الطابق الاول</v>
      </c>
      <c r="H471" s="26" t="str">
        <f ca="1">IFERROR(__xludf.DUMMYFUNCTION("""COMPUTED_VALUE"""),"صيانة مصعد حائط")</f>
        <v>صيانة مصعد حائط</v>
      </c>
      <c r="I471" s="26"/>
      <c r="J471" s="26" t="s">
        <v>16</v>
      </c>
      <c r="K471" s="26" t="s">
        <v>13</v>
      </c>
      <c r="L471" s="55">
        <v>46158.476769942128</v>
      </c>
      <c r="M471" s="26"/>
    </row>
    <row r="472" spans="1:13" ht="75" customHeight="1" thickTop="1" thickBot="1">
      <c r="A472" s="26">
        <v>470</v>
      </c>
      <c r="B472" s="55">
        <f ca="1">IFERROR(__xludf.DUMMYFUNCTION("""COMPUTED_VALUE"""),46158.4765438541)</f>
        <v>46158.4765438541</v>
      </c>
      <c r="C472" s="56" t="str">
        <f ca="1">IFERROR(__xludf.DUMMYFUNCTION("""COMPUTED_VALUE"""),"المعملجي")</f>
        <v>المعملجي</v>
      </c>
      <c r="D472" s="56" t="str">
        <f ca="1">IFERROR(__xludf.DUMMYFUNCTION("""COMPUTED_VALUE"""),"سجاد تربية")</f>
        <v>سجاد تربية</v>
      </c>
      <c r="E472" s="26" t="str">
        <f ca="1">IFERROR(__xludf.DUMMYFUNCTION("""COMPUTED_VALUE"""),"قسم التربية والتعليم العالي")</f>
        <v>قسم التربية والتعليم العالي</v>
      </c>
      <c r="F472" s="26" t="str">
        <f ca="1">IFERROR(__xludf.DUMMYFUNCTION("""COMPUTED_VALUE"""),"F-  ابتدائية جود العميد للبنات (الرابعة)")</f>
        <v>F-  ابتدائية جود العميد للبنات (الرابعة)</v>
      </c>
      <c r="G472" s="26" t="str">
        <f ca="1">IFERROR(__xludf.DUMMYFUNCTION("""COMPUTED_VALUE"""),"الطابق الاول")</f>
        <v>الطابق الاول</v>
      </c>
      <c r="H472" s="26" t="str">
        <f ca="1">IFERROR(__xludf.DUMMYFUNCTION("""COMPUTED_VALUE"""),"تعليك لوحة تعريفية ")</f>
        <v xml:space="preserve">تعليك لوحة تعريفية </v>
      </c>
      <c r="I472" s="26"/>
      <c r="J472" s="26" t="s">
        <v>16</v>
      </c>
      <c r="K472" s="26" t="s">
        <v>13</v>
      </c>
      <c r="L472" s="55">
        <v>46158.476779652774</v>
      </c>
      <c r="M472" s="26"/>
    </row>
    <row r="473" spans="1:13" ht="75" customHeight="1" thickTop="1" thickBot="1">
      <c r="A473" s="34">
        <v>471</v>
      </c>
      <c r="B473" s="55">
        <f ca="1">IFERROR(__xludf.DUMMYFUNCTION("""COMPUTED_VALUE"""),46158.5431318634)</f>
        <v>46158.5431318634</v>
      </c>
      <c r="C473" s="56" t="str">
        <f ca="1">IFERROR(__xludf.DUMMYFUNCTION("""COMPUTED_VALUE"""),"المعملجي")</f>
        <v>المعملجي</v>
      </c>
      <c r="D473" s="56" t="str">
        <f ca="1">IFERROR(__xludf.DUMMYFUNCTION("""COMPUTED_VALUE"""),"سجاد تربية")</f>
        <v>سجاد تربية</v>
      </c>
      <c r="E473" s="26" t="str">
        <f ca="1">IFERROR(__xludf.DUMMYFUNCTION("""COMPUTED_VALUE"""),"قسم التربية والتعليم العالي")</f>
        <v>قسم التربية والتعليم العالي</v>
      </c>
      <c r="F473" s="26" t="str">
        <f ca="1">IFERROR(__xludf.DUMMYFUNCTION("""COMPUTED_VALUE"""),"E- ابتدائية العميد للبنات (الثالثة)")</f>
        <v>E- ابتدائية العميد للبنات (الثالثة)</v>
      </c>
      <c r="G473" s="26" t="str">
        <f ca="1">IFERROR(__xludf.DUMMYFUNCTION("""COMPUTED_VALUE"""),"الطابق الثاني")</f>
        <v>الطابق الثاني</v>
      </c>
      <c r="H473" s="26" t="str">
        <f ca="1">IFERROR(__xludf.DUMMYFUNCTION("""COMPUTED_VALUE"""),"تبديل قفل باب المصلى ")</f>
        <v xml:space="preserve">تبديل قفل باب المصلى </v>
      </c>
      <c r="I473" s="26"/>
      <c r="J473" s="26" t="s">
        <v>16</v>
      </c>
      <c r="K473" s="26" t="s">
        <v>13</v>
      </c>
      <c r="L473" s="55">
        <v>46158.620672951394</v>
      </c>
      <c r="M473" s="26"/>
    </row>
    <row r="474" spans="1:13" ht="75" customHeight="1" thickTop="1" thickBot="1">
      <c r="A474" s="26">
        <v>472</v>
      </c>
      <c r="B474" s="55">
        <f ca="1">IFERROR(__xludf.DUMMYFUNCTION("""COMPUTED_VALUE"""),46158.5436336111)</f>
        <v>46158.543633611102</v>
      </c>
      <c r="C474" s="56" t="str">
        <f ca="1">IFERROR(__xludf.DUMMYFUNCTION("""COMPUTED_VALUE"""),"المعملجي")</f>
        <v>المعملجي</v>
      </c>
      <c r="D474" s="56" t="str">
        <f ca="1">IFERROR(__xludf.DUMMYFUNCTION("""COMPUTED_VALUE"""),"سجاد تربية")</f>
        <v>سجاد تربية</v>
      </c>
      <c r="E474" s="26" t="str">
        <f ca="1">IFERROR(__xludf.DUMMYFUNCTION("""COMPUTED_VALUE"""),"قسم التربية والتعليم العالي")</f>
        <v>قسم التربية والتعليم العالي</v>
      </c>
      <c r="F474" s="26" t="str">
        <f ca="1">IFERROR(__xludf.DUMMYFUNCTION("""COMPUTED_VALUE"""),"E- ابتدائية العميد للبنات (الثالثة)")</f>
        <v>E- ابتدائية العميد للبنات (الثالثة)</v>
      </c>
      <c r="G474" s="26" t="str">
        <f ca="1">IFERROR(__xludf.DUMMYFUNCTION("""COMPUTED_VALUE"""),"الطابق الاول")</f>
        <v>الطابق الاول</v>
      </c>
      <c r="H474" s="26" t="str">
        <f ca="1">IFERROR(__xludf.DUMMYFUNCTION("""COMPUTED_VALUE"""),"باب خشب اول ج")</f>
        <v>باب خشب اول ج</v>
      </c>
      <c r="I474" s="26"/>
      <c r="J474" s="26" t="s">
        <v>16</v>
      </c>
      <c r="K474" s="26" t="s">
        <v>13</v>
      </c>
      <c r="L474" s="55">
        <v>46158.620596990746</v>
      </c>
      <c r="M474" s="26"/>
    </row>
    <row r="475" spans="1:13" ht="75" customHeight="1" thickTop="1" thickBot="1">
      <c r="A475" s="34">
        <v>473</v>
      </c>
      <c r="B475" s="55">
        <f ca="1">IFERROR(__xludf.DUMMYFUNCTION("""COMPUTED_VALUE"""),46158.544011412)</f>
        <v>46158.544011411999</v>
      </c>
      <c r="C475" s="56" t="str">
        <f ca="1">IFERROR(__xludf.DUMMYFUNCTION("""COMPUTED_VALUE"""),"المعملجي")</f>
        <v>المعملجي</v>
      </c>
      <c r="D475" s="56" t="str">
        <f ca="1">IFERROR(__xludf.DUMMYFUNCTION("""COMPUTED_VALUE"""),"سجاد تربية")</f>
        <v>سجاد تربية</v>
      </c>
      <c r="E475" s="26" t="str">
        <f ca="1">IFERROR(__xludf.DUMMYFUNCTION("""COMPUTED_VALUE"""),"قسم التربية والتعليم العالي")</f>
        <v>قسم التربية والتعليم العالي</v>
      </c>
      <c r="F475" s="26" t="str">
        <f ca="1">IFERROR(__xludf.DUMMYFUNCTION("""COMPUTED_VALUE"""),"E- ابتدائية العميد للبنات (الثالثة)")</f>
        <v>E- ابتدائية العميد للبنات (الثالثة)</v>
      </c>
      <c r="G475" s="26" t="str">
        <f ca="1">IFERROR(__xludf.DUMMYFUNCTION("""COMPUTED_VALUE"""),"الطابق الارضي")</f>
        <v>الطابق الارضي</v>
      </c>
      <c r="H475" s="26" t="str">
        <f ca="1">IFERROR(__xludf.DUMMYFUNCTION("""COMPUTED_VALUE"""),"صيانة انارة")</f>
        <v>صيانة انارة</v>
      </c>
      <c r="I475" s="26"/>
      <c r="J475" s="26" t="s">
        <v>3910</v>
      </c>
      <c r="K475" s="26" t="s">
        <v>13</v>
      </c>
      <c r="L475" s="55">
        <v>46159.37263081019</v>
      </c>
      <c r="M475" s="26"/>
    </row>
    <row r="476" spans="1:13" ht="75" customHeight="1" thickTop="1" thickBot="1">
      <c r="A476" s="26">
        <v>474</v>
      </c>
      <c r="B476" s="55">
        <f ca="1">IFERROR(__xludf.DUMMYFUNCTION("""COMPUTED_VALUE"""),46158.544956655)</f>
        <v>46158.544956655001</v>
      </c>
      <c r="C476" s="56" t="str">
        <f ca="1">IFERROR(__xludf.DUMMYFUNCTION("""COMPUTED_VALUE"""),"المعملجي")</f>
        <v>المعملجي</v>
      </c>
      <c r="D476" s="56" t="str">
        <f ca="1">IFERROR(__xludf.DUMMYFUNCTION("""COMPUTED_VALUE"""),"سجاد تربية")</f>
        <v>سجاد تربية</v>
      </c>
      <c r="E476" s="26" t="str">
        <f ca="1">IFERROR(__xludf.DUMMYFUNCTION("""COMPUTED_VALUE"""),"قسم التربية والتعليم العالي")</f>
        <v>قسم التربية والتعليم العالي</v>
      </c>
      <c r="F476" s="26" t="str">
        <f ca="1">IFERROR(__xludf.DUMMYFUNCTION("""COMPUTED_VALUE"""),"H- ابتدائية القمر للبنات (الخامسة)")</f>
        <v>H- ابتدائية القمر للبنات (الخامسة)</v>
      </c>
      <c r="G476" s="26" t="str">
        <f ca="1">IFERROR(__xludf.DUMMYFUNCTION("""COMPUTED_VALUE"""),"السطح")</f>
        <v>السطح</v>
      </c>
      <c r="H476" s="26" t="str">
        <f ca="1">IFERROR(__xludf.DUMMYFUNCTION("""COMPUTED_VALUE"""),"لا يوجد ماء ")</f>
        <v xml:space="preserve">لا يوجد ماء </v>
      </c>
      <c r="I476" s="26"/>
      <c r="J476" s="26" t="s">
        <v>14</v>
      </c>
      <c r="K476" s="26" t="s">
        <v>13</v>
      </c>
      <c r="L476" s="55">
        <v>46158.620336099542</v>
      </c>
      <c r="M476" s="26"/>
    </row>
    <row r="477" spans="1:13" ht="75" customHeight="1" thickTop="1" thickBot="1">
      <c r="A477" s="34">
        <v>475</v>
      </c>
      <c r="B477" s="55">
        <f ca="1">IFERROR(__xludf.DUMMYFUNCTION("""COMPUTED_VALUE"""),46159.3739010069)</f>
        <v>46159.373901006897</v>
      </c>
      <c r="C477" s="56" t="str">
        <f ca="1">IFERROR(__xludf.DUMMYFUNCTION("""COMPUTED_VALUE"""),"المعملجي")</f>
        <v>المعملجي</v>
      </c>
      <c r="D477" s="56" t="str">
        <f ca="1">IFERROR(__xludf.DUMMYFUNCTION("""COMPUTED_VALUE"""),"وحدة المدني")</f>
        <v>وحدة المدني</v>
      </c>
      <c r="E477" s="26" t="str">
        <f ca="1">IFERROR(__xludf.DUMMYFUNCTION("""COMPUTED_VALUE"""),"قسم المشاريع الهندسية")</f>
        <v>قسم المشاريع الهندسية</v>
      </c>
      <c r="F477" s="26" t="str">
        <f ca="1">IFERROR(__xludf.DUMMYFUNCTION("""COMPUTED_VALUE"""),"D- ثانوية العميد بناية المتوسطة  (الثانية)")</f>
        <v>D- ثانوية العميد بناية المتوسطة  (الثانية)</v>
      </c>
      <c r="G477" s="26" t="str">
        <f ca="1">IFERROR(__xludf.DUMMYFUNCTION("""COMPUTED_VALUE"""),"الطابق الاول")</f>
        <v>الطابق الاول</v>
      </c>
      <c r="H477" s="26" t="str">
        <f ca="1">IFERROR(__xludf.DUMMYFUNCTION("""COMPUTED_VALUE"""),"صيانة باب المنيوم عدد 2 ")</f>
        <v xml:space="preserve">صيانة باب المنيوم عدد 2 </v>
      </c>
      <c r="I477" s="26"/>
      <c r="J477" s="26" t="s">
        <v>16</v>
      </c>
      <c r="K477" s="26" t="s">
        <v>13</v>
      </c>
      <c r="L477" s="55"/>
      <c r="M477" s="26"/>
    </row>
    <row r="478" spans="1:13" ht="75" customHeight="1" thickTop="1" thickBot="1">
      <c r="A478" s="26">
        <v>476</v>
      </c>
      <c r="B478" s="55">
        <f ca="1">IFERROR(__xludf.DUMMYFUNCTION("""COMPUTED_VALUE"""),46159.3752313773)</f>
        <v>46159.3752313773</v>
      </c>
      <c r="C478" s="56" t="str">
        <f ca="1">IFERROR(__xludf.DUMMYFUNCTION("""COMPUTED_VALUE"""),"المعملجي")</f>
        <v>المعملجي</v>
      </c>
      <c r="D478" s="56" t="str">
        <f ca="1">IFERROR(__xludf.DUMMYFUNCTION("""COMPUTED_VALUE"""),"وحدة المدني")</f>
        <v>وحدة المدني</v>
      </c>
      <c r="E478" s="26" t="str">
        <f ca="1">IFERROR(__xludf.DUMMYFUNCTION("""COMPUTED_VALUE"""),"قسم المشاريع الهندسية")</f>
        <v>قسم المشاريع الهندسية</v>
      </c>
      <c r="F478" s="26" t="str">
        <f ca="1">IFERROR(__xludf.DUMMYFUNCTION("""COMPUTED_VALUE"""),"D- ثانوية العميد بناية المتوسطة  (الثانية)")</f>
        <v>D- ثانوية العميد بناية المتوسطة  (الثانية)</v>
      </c>
      <c r="G478" s="26" t="str">
        <f ca="1">IFERROR(__xludf.DUMMYFUNCTION("""COMPUTED_VALUE"""),"الطابق الثاني")</f>
        <v>الطابق الثاني</v>
      </c>
      <c r="H478" s="26" t="str">
        <f ca="1">IFERROR(__xludf.DUMMYFUNCTION("""COMPUTED_VALUE"""),"تبديل يدة شباك حديد ")</f>
        <v xml:space="preserve">تبديل يدة شباك حديد </v>
      </c>
      <c r="I478" s="26"/>
      <c r="J478" s="26" t="s">
        <v>16</v>
      </c>
      <c r="K478" s="26" t="s">
        <v>13</v>
      </c>
      <c r="L478" s="55"/>
      <c r="M478" s="26"/>
    </row>
    <row r="479" spans="1:13" ht="75" customHeight="1" thickTop="1" thickBot="1">
      <c r="A479" s="34">
        <v>477</v>
      </c>
      <c r="B479" s="55">
        <f ca="1">IFERROR(__xludf.DUMMYFUNCTION("""COMPUTED_VALUE"""),46159.3758346527)</f>
        <v>46159.375834652703</v>
      </c>
      <c r="C479" s="56" t="str">
        <f ca="1">IFERROR(__xludf.DUMMYFUNCTION("""COMPUTED_VALUE"""),"المعملجي")</f>
        <v>المعملجي</v>
      </c>
      <c r="D479" s="56" t="str">
        <f ca="1">IFERROR(__xludf.DUMMYFUNCTION("""COMPUTED_VALUE"""),"وحدة المدني")</f>
        <v>وحدة المدني</v>
      </c>
      <c r="E479" s="26" t="str">
        <f ca="1">IFERROR(__xludf.DUMMYFUNCTION("""COMPUTED_VALUE"""),"قسم المشاريع الهندسية")</f>
        <v>قسم المشاريع الهندسية</v>
      </c>
      <c r="F479" s="26" t="str">
        <f ca="1">IFERROR(__xludf.DUMMYFUNCTION("""COMPUTED_VALUE"""),"C- ثانوية العميد بناية الاعدادية  (الاولى)")</f>
        <v>C- ثانوية العميد بناية الاعدادية  (الاولى)</v>
      </c>
      <c r="G479" s="26" t="str">
        <f ca="1">IFERROR(__xludf.DUMMYFUNCTION("""COMPUTED_VALUE"""),"الطابق الاول")</f>
        <v>الطابق الاول</v>
      </c>
      <c r="H479" s="26" t="str">
        <f ca="1">IFERROR(__xludf.DUMMYFUNCTION("""COMPUTED_VALUE"""),"صيانة رحلات عدد 6")</f>
        <v>صيانة رحلات عدد 6</v>
      </c>
      <c r="I479" s="26"/>
      <c r="J479" s="26" t="s">
        <v>16</v>
      </c>
      <c r="K479" s="26" t="s">
        <v>13</v>
      </c>
      <c r="L479" s="55"/>
      <c r="M479" s="26"/>
    </row>
    <row r="480" spans="1:13" ht="75" customHeight="1" thickTop="1" thickBot="1">
      <c r="A480" s="26">
        <v>478</v>
      </c>
      <c r="B480" s="55">
        <f ca="1">IFERROR(__xludf.DUMMYFUNCTION("""COMPUTED_VALUE"""),46159.3763129976)</f>
        <v>46159.3763129976</v>
      </c>
      <c r="C480" s="56" t="str">
        <f ca="1">IFERROR(__xludf.DUMMYFUNCTION("""COMPUTED_VALUE"""),"المعملجي")</f>
        <v>المعملجي</v>
      </c>
      <c r="D480" s="56" t="str">
        <f ca="1">IFERROR(__xludf.DUMMYFUNCTION("""COMPUTED_VALUE"""),"وحدة المدني")</f>
        <v>وحدة المدني</v>
      </c>
      <c r="E480" s="26" t="str">
        <f ca="1">IFERROR(__xludf.DUMMYFUNCTION("""COMPUTED_VALUE"""),"قسم المشاريع الهندسية")</f>
        <v>قسم المشاريع الهندسية</v>
      </c>
      <c r="F480" s="26" t="str">
        <f ca="1">IFERROR(__xludf.DUMMYFUNCTION("""COMPUTED_VALUE"""),"D- ثانوية العميد بناية المتوسطة  (الثانية)")</f>
        <v>D- ثانوية العميد بناية المتوسطة  (الثانية)</v>
      </c>
      <c r="G480" s="26" t="str">
        <f ca="1">IFERROR(__xludf.DUMMYFUNCTION("""COMPUTED_VALUE"""),"السطح")</f>
        <v>السطح</v>
      </c>
      <c r="H480" s="26" t="str">
        <f ca="1">IFERROR(__xludf.DUMMYFUNCTION("""COMPUTED_VALUE"""),"اعمال صب سيفونات عدد 2")</f>
        <v>اعمال صب سيفونات عدد 2</v>
      </c>
      <c r="I480" s="26"/>
      <c r="J480" s="26" t="s">
        <v>16</v>
      </c>
      <c r="K480" s="26" t="s">
        <v>13</v>
      </c>
      <c r="L480" s="55"/>
      <c r="M480" s="26"/>
    </row>
    <row r="481" spans="1:13" ht="75" customHeight="1" thickTop="1" thickBot="1">
      <c r="A481" s="34">
        <v>479</v>
      </c>
      <c r="B481" s="55">
        <f ca="1">IFERROR(__xludf.DUMMYFUNCTION("""COMPUTED_VALUE"""),46159.3768141087)</f>
        <v>46159.376814108698</v>
      </c>
      <c r="C481" s="56" t="str">
        <f ca="1">IFERROR(__xludf.DUMMYFUNCTION("""COMPUTED_VALUE"""),"المعملجي")</f>
        <v>المعملجي</v>
      </c>
      <c r="D481" s="56" t="str">
        <f ca="1">IFERROR(__xludf.DUMMYFUNCTION("""COMPUTED_VALUE"""),"وحدة المدني")</f>
        <v>وحدة المدني</v>
      </c>
      <c r="E481" s="26" t="str">
        <f ca="1">IFERROR(__xludf.DUMMYFUNCTION("""COMPUTED_VALUE"""),"قسم المشاريع الهندسية")</f>
        <v>قسم المشاريع الهندسية</v>
      </c>
      <c r="F481" s="26" t="str">
        <f ca="1">IFERROR(__xludf.DUMMYFUNCTION("""COMPUTED_VALUE"""),"C- ثانوية العميد بناية الاعدادية  (الاولى)")</f>
        <v>C- ثانوية العميد بناية الاعدادية  (الاولى)</v>
      </c>
      <c r="G481" s="26" t="str">
        <f ca="1">IFERROR(__xludf.DUMMYFUNCTION("""COMPUTED_VALUE"""),"الطابق الارضي")</f>
        <v>الطابق الارضي</v>
      </c>
      <c r="H481" s="26" t="str">
        <f ca="1">IFERROR(__xludf.DUMMYFUNCTION("""COMPUTED_VALUE"""),"صيانة باب المنيوم عدد 2")</f>
        <v>صيانة باب المنيوم عدد 2</v>
      </c>
      <c r="I481" s="26"/>
      <c r="J481" s="26" t="s">
        <v>16</v>
      </c>
      <c r="K481" s="26" t="s">
        <v>13</v>
      </c>
      <c r="L481" s="55"/>
      <c r="M481" s="26"/>
    </row>
    <row r="482" spans="1:13" ht="75" customHeight="1" thickTop="1" thickBot="1">
      <c r="A482" s="26">
        <v>480</v>
      </c>
      <c r="B482" s="55">
        <f ca="1">IFERROR(__xludf.DUMMYFUNCTION("""COMPUTED_VALUE"""),46159.3774088888)</f>
        <v>46159.377408888802</v>
      </c>
      <c r="C482" s="56" t="str">
        <f ca="1">IFERROR(__xludf.DUMMYFUNCTION("""COMPUTED_VALUE"""),"المعملجي")</f>
        <v>المعملجي</v>
      </c>
      <c r="D482" s="56" t="str">
        <f ca="1">IFERROR(__xludf.DUMMYFUNCTION("""COMPUTED_VALUE"""),"وحدة المدني")</f>
        <v>وحدة المدني</v>
      </c>
      <c r="E482" s="26" t="str">
        <f ca="1">IFERROR(__xludf.DUMMYFUNCTION("""COMPUTED_VALUE"""),"قسم المشاريع الهندسية")</f>
        <v>قسم المشاريع الهندسية</v>
      </c>
      <c r="F482" s="26" t="str">
        <f ca="1">IFERROR(__xludf.DUMMYFUNCTION("""COMPUTED_VALUE"""),"C- ثانوية العميد بناية الاعدادية  (الاولى)")</f>
        <v>C- ثانوية العميد بناية الاعدادية  (الاولى)</v>
      </c>
      <c r="G482" s="26" t="str">
        <f ca="1">IFERROR(__xludf.DUMMYFUNCTION("""COMPUTED_VALUE"""),"الطابق الاول")</f>
        <v>الطابق الاول</v>
      </c>
      <c r="H482" s="26" t="str">
        <f ca="1">IFERROR(__xludf.DUMMYFUNCTION("""COMPUTED_VALUE"""),"صيانة باب صحيات المنيوم الرئيسية ")</f>
        <v xml:space="preserve">صيانة باب صحيات المنيوم الرئيسية </v>
      </c>
      <c r="I482" s="26"/>
      <c r="J482" s="26" t="s">
        <v>16</v>
      </c>
      <c r="K482" s="26" t="s">
        <v>13</v>
      </c>
      <c r="L482" s="55"/>
      <c r="M482" s="26"/>
    </row>
    <row r="483" spans="1:13" ht="75" customHeight="1" thickTop="1" thickBot="1">
      <c r="A483" s="34">
        <v>481</v>
      </c>
      <c r="B483" s="55">
        <f ca="1">IFERROR(__xludf.DUMMYFUNCTION("""COMPUTED_VALUE"""),46160.3613040625)</f>
        <v>46160.361304062499</v>
      </c>
      <c r="C483" s="56" t="str">
        <f ca="1">IFERROR(__xludf.DUMMYFUNCTION("""COMPUTED_VALUE"""),"المعملجي")</f>
        <v>المعملجي</v>
      </c>
      <c r="D483" s="56" t="str">
        <f ca="1">IFERROR(__xludf.DUMMYFUNCTION("""COMPUTED_VALUE"""),"سجاد تربية")</f>
        <v>سجاد تربية</v>
      </c>
      <c r="E483" s="26" t="str">
        <f ca="1">IFERROR(__xludf.DUMMYFUNCTION("""COMPUTED_VALUE"""),"قسم التربية والتعليم العالي")</f>
        <v>قسم التربية والتعليم العالي</v>
      </c>
      <c r="F483" s="26" t="str">
        <f ca="1">IFERROR(__xludf.DUMMYFUNCTION("""COMPUTED_VALUE"""),"B- روضة القمر")</f>
        <v>B- روضة القمر</v>
      </c>
      <c r="G483" s="26" t="str">
        <f ca="1">IFERROR(__xludf.DUMMYFUNCTION("""COMPUTED_VALUE"""),"الطابق الثاني")</f>
        <v>الطابق الثاني</v>
      </c>
      <c r="H483" s="26" t="str">
        <f ca="1">IFERROR(__xludf.DUMMYFUNCTION("""COMPUTED_VALUE"""),"لا يوجد ماء ")</f>
        <v xml:space="preserve">لا يوجد ماء </v>
      </c>
      <c r="I483" s="26"/>
      <c r="J483" s="26" t="s">
        <v>14</v>
      </c>
      <c r="K483" s="26" t="s">
        <v>13</v>
      </c>
      <c r="L483" s="55">
        <v>46160.394726875005</v>
      </c>
      <c r="M483" s="26"/>
    </row>
    <row r="484" spans="1:13" ht="75" customHeight="1" thickTop="1" thickBot="1">
      <c r="A484" s="26">
        <v>482</v>
      </c>
      <c r="B484" s="55">
        <f ca="1">IFERROR(__xludf.DUMMYFUNCTION("""COMPUTED_VALUE"""),46160.3617404861)</f>
        <v>46160.3617404861</v>
      </c>
      <c r="C484" s="56" t="str">
        <f ca="1">IFERROR(__xludf.DUMMYFUNCTION("""COMPUTED_VALUE"""),"المعملجي")</f>
        <v>المعملجي</v>
      </c>
      <c r="D484" s="56" t="str">
        <f ca="1">IFERROR(__xludf.DUMMYFUNCTION("""COMPUTED_VALUE"""),"سجاد تربية")</f>
        <v>سجاد تربية</v>
      </c>
      <c r="E484" s="26" t="str">
        <f ca="1">IFERROR(__xludf.DUMMYFUNCTION("""COMPUTED_VALUE"""),"قسم التربية والتعليم العالي")</f>
        <v>قسم التربية والتعليم العالي</v>
      </c>
      <c r="F484" s="26" t="str">
        <f ca="1">IFERROR(__xludf.DUMMYFUNCTION("""COMPUTED_VALUE"""),"الصحيات مقابل المدرسة الاولى ")</f>
        <v xml:space="preserve">الصحيات مقابل المدرسة الاولى </v>
      </c>
      <c r="G484" s="26" t="str">
        <f ca="1">IFERROR(__xludf.DUMMYFUNCTION("""COMPUTED_VALUE"""),"الطابق الارضي")</f>
        <v>الطابق الارضي</v>
      </c>
      <c r="H484" s="26" t="str">
        <f ca="1">IFERROR(__xludf.DUMMYFUNCTION("""COMPUTED_VALUE"""),"لا يوجد ماء ")</f>
        <v xml:space="preserve">لا يوجد ماء </v>
      </c>
      <c r="I484" s="26"/>
      <c r="J484" s="26" t="s">
        <v>14</v>
      </c>
      <c r="K484" s="26" t="s">
        <v>13</v>
      </c>
      <c r="L484" s="55">
        <v>46160.394753159722</v>
      </c>
      <c r="M484" s="26"/>
    </row>
    <row r="485" spans="1:13" ht="75" customHeight="1" thickTop="1" thickBot="1">
      <c r="A485" s="34">
        <v>483</v>
      </c>
      <c r="B485" s="55">
        <f ca="1">IFERROR(__xludf.DUMMYFUNCTION("""COMPUTED_VALUE"""),46160.3621760879)</f>
        <v>46160.362176087903</v>
      </c>
      <c r="C485" s="56" t="str">
        <f ca="1">IFERROR(__xludf.DUMMYFUNCTION("""COMPUTED_VALUE"""),"المعملجي")</f>
        <v>المعملجي</v>
      </c>
      <c r="D485" s="56" t="str">
        <f ca="1">IFERROR(__xludf.DUMMYFUNCTION("""COMPUTED_VALUE"""),"وحدة المدني")</f>
        <v>وحدة المدني</v>
      </c>
      <c r="E485" s="26" t="str">
        <f ca="1">IFERROR(__xludf.DUMMYFUNCTION("""COMPUTED_VALUE"""),"قسم المشاريع الهندسية")</f>
        <v>قسم المشاريع الهندسية</v>
      </c>
      <c r="F485" s="26" t="str">
        <f ca="1">IFERROR(__xludf.DUMMYFUNCTION("""COMPUTED_VALUE"""),"E- ابتدائية العميد للبنات (الثالثة)")</f>
        <v>E- ابتدائية العميد للبنات (الثالثة)</v>
      </c>
      <c r="G485" s="26" t="str">
        <f ca="1">IFERROR(__xludf.DUMMYFUNCTION("""COMPUTED_VALUE"""),"الطابق الثاني")</f>
        <v>الطابق الثاني</v>
      </c>
      <c r="H485" s="26" t="str">
        <f ca="1">IFERROR(__xludf.DUMMYFUNCTION("""COMPUTED_VALUE"""),"ارجاع سقوف ثانوية عدد 5")</f>
        <v>ارجاع سقوف ثانوية عدد 5</v>
      </c>
      <c r="I485" s="26"/>
      <c r="J485" s="26" t="s">
        <v>16</v>
      </c>
      <c r="K485" s="26" t="s">
        <v>13</v>
      </c>
      <c r="L485" s="55">
        <v>46160.368875127315</v>
      </c>
      <c r="M485" s="26"/>
    </row>
    <row r="486" spans="1:13" ht="75" customHeight="1" thickTop="1" thickBot="1">
      <c r="A486" s="26">
        <v>484</v>
      </c>
      <c r="B486" s="55">
        <f ca="1">IFERROR(__xludf.DUMMYFUNCTION("""COMPUTED_VALUE"""),46160.3627667476)</f>
        <v>46160.362766747603</v>
      </c>
      <c r="C486" s="56" t="str">
        <f ca="1">IFERROR(__xludf.DUMMYFUNCTION("""COMPUTED_VALUE"""),"المعملجي")</f>
        <v>المعملجي</v>
      </c>
      <c r="D486" s="56" t="str">
        <f ca="1">IFERROR(__xludf.DUMMYFUNCTION("""COMPUTED_VALUE"""),"وحدة المدني")</f>
        <v>وحدة المدني</v>
      </c>
      <c r="E486" s="26" t="str">
        <f ca="1">IFERROR(__xludf.DUMMYFUNCTION("""COMPUTED_VALUE"""),"قسم المشاريع الهندسية")</f>
        <v>قسم المشاريع الهندسية</v>
      </c>
      <c r="F486" s="26" t="str">
        <f ca="1">IFERROR(__xludf.DUMMYFUNCTION("""COMPUTED_VALUE"""),"E- ابتدائية العميد للبنات (الثالثة)")</f>
        <v>E- ابتدائية العميد للبنات (الثالثة)</v>
      </c>
      <c r="G486" s="26" t="str">
        <f ca="1">IFERROR(__xludf.DUMMYFUNCTION("""COMPUTED_VALUE"""),"الطابق الاول")</f>
        <v>الطابق الاول</v>
      </c>
      <c r="H486" s="26" t="str">
        <f ca="1">IFERROR(__xludf.DUMMYFUNCTION("""COMPUTED_VALUE"""),"صيانة باب خشب ")</f>
        <v xml:space="preserve">صيانة باب خشب </v>
      </c>
      <c r="I486" s="26"/>
      <c r="J486" s="26" t="s">
        <v>16</v>
      </c>
      <c r="K486" s="26" t="s">
        <v>13</v>
      </c>
      <c r="L486" s="55"/>
      <c r="M486" s="26"/>
    </row>
    <row r="487" spans="1:13" ht="75" customHeight="1" thickTop="1" thickBot="1">
      <c r="A487" s="34">
        <v>485</v>
      </c>
      <c r="B487" s="55">
        <f ca="1">IFERROR(__xludf.DUMMYFUNCTION("""COMPUTED_VALUE"""),46160.3630932407)</f>
        <v>46160.363093240703</v>
      </c>
      <c r="C487" s="56" t="str">
        <f ca="1">IFERROR(__xludf.DUMMYFUNCTION("""COMPUTED_VALUE"""),"المعملجي")</f>
        <v>المعملجي</v>
      </c>
      <c r="D487" s="56" t="str">
        <f ca="1">IFERROR(__xludf.DUMMYFUNCTION("""COMPUTED_VALUE"""),"وحدة المدني")</f>
        <v>وحدة المدني</v>
      </c>
      <c r="E487" s="26" t="str">
        <f ca="1">IFERROR(__xludf.DUMMYFUNCTION("""COMPUTED_VALUE"""),"قسم المشاريع الهندسية")</f>
        <v>قسم المشاريع الهندسية</v>
      </c>
      <c r="F487" s="26" t="str">
        <f ca="1">IFERROR(__xludf.DUMMYFUNCTION("""COMPUTED_VALUE"""),"E- ابتدائية العميد للبنات (الثالثة)")</f>
        <v>E- ابتدائية العميد للبنات (الثالثة)</v>
      </c>
      <c r="G487" s="26" t="str">
        <f ca="1">IFERROR(__xludf.DUMMYFUNCTION("""COMPUTED_VALUE"""),"الطابق الارضي")</f>
        <v>الطابق الارضي</v>
      </c>
      <c r="H487" s="26" t="str">
        <f ca="1">IFERROR(__xludf.DUMMYFUNCTION("""COMPUTED_VALUE"""),"صيانة يدة شباك حديد ")</f>
        <v xml:space="preserve">صيانة يدة شباك حديد </v>
      </c>
      <c r="I487" s="26"/>
      <c r="J487" s="26" t="s">
        <v>16</v>
      </c>
      <c r="K487" s="26" t="s">
        <v>13</v>
      </c>
      <c r="L487" s="55"/>
      <c r="M487" s="26"/>
    </row>
    <row r="488" spans="1:13" ht="75" customHeight="1" thickTop="1" thickBot="1">
      <c r="A488" s="26">
        <v>486</v>
      </c>
      <c r="B488" s="55">
        <f ca="1">IFERROR(__xludf.DUMMYFUNCTION("""COMPUTED_VALUE"""),46160.3640789351)</f>
        <v>46160.364078935097</v>
      </c>
      <c r="C488" s="56" t="str">
        <f ca="1">IFERROR(__xludf.DUMMYFUNCTION("""COMPUTED_VALUE"""),"المعملجي")</f>
        <v>المعملجي</v>
      </c>
      <c r="D488" s="56" t="str">
        <f ca="1">IFERROR(__xludf.DUMMYFUNCTION("""COMPUTED_VALUE"""),"وحدة المدني")</f>
        <v>وحدة المدني</v>
      </c>
      <c r="E488" s="26" t="str">
        <f ca="1">IFERROR(__xludf.DUMMYFUNCTION("""COMPUTED_VALUE"""),"قسم المشاريع الهندسية")</f>
        <v>قسم المشاريع الهندسية</v>
      </c>
      <c r="F488" s="26" t="str">
        <f ca="1">IFERROR(__xludf.DUMMYFUNCTION("""COMPUTED_VALUE"""),"E- ابتدائية العميد للبنات (الثالثة)")</f>
        <v>E- ابتدائية العميد للبنات (الثالثة)</v>
      </c>
      <c r="G488" s="26" t="str">
        <f ca="1">IFERROR(__xludf.DUMMYFUNCTION("""COMPUTED_VALUE"""),"الطابق الارضي")</f>
        <v>الطابق الارضي</v>
      </c>
      <c r="H488" s="26" t="str">
        <f ca="1">IFERROR(__xludf.DUMMYFUNCTION("""COMPUTED_VALUE"""),"صيانة يدة باب المنيوم ")</f>
        <v xml:space="preserve">صيانة يدة باب المنيوم </v>
      </c>
      <c r="I488" s="26"/>
      <c r="J488" s="26" t="s">
        <v>16</v>
      </c>
      <c r="K488" s="26" t="s">
        <v>13</v>
      </c>
      <c r="L488" s="55"/>
      <c r="M488" s="26"/>
    </row>
    <row r="489" spans="1:13" ht="75" customHeight="1" thickTop="1" thickBot="1">
      <c r="A489" s="34">
        <v>487</v>
      </c>
      <c r="B489" s="55">
        <f ca="1">IFERROR(__xludf.DUMMYFUNCTION("""COMPUTED_VALUE"""),46160.3648030671)</f>
        <v>46160.364803067103</v>
      </c>
      <c r="C489" s="56" t="str">
        <f ca="1">IFERROR(__xludf.DUMMYFUNCTION("""COMPUTED_VALUE"""),"المعملجي")</f>
        <v>المعملجي</v>
      </c>
      <c r="D489" s="56" t="str">
        <f ca="1">IFERROR(__xludf.DUMMYFUNCTION("""COMPUTED_VALUE"""),"وحدة المدني")</f>
        <v>وحدة المدني</v>
      </c>
      <c r="E489" s="26" t="str">
        <f ca="1">IFERROR(__xludf.DUMMYFUNCTION("""COMPUTED_VALUE"""),"قسم المشاريع الهندسية")</f>
        <v>قسم المشاريع الهندسية</v>
      </c>
      <c r="F489" s="26" t="str">
        <f ca="1">IFERROR(__xludf.DUMMYFUNCTION("""COMPUTED_VALUE"""),"D- ثانوية العميد بناية المتوسطة  (الثانية)")</f>
        <v>D- ثانوية العميد بناية المتوسطة  (الثانية)</v>
      </c>
      <c r="G489" s="26" t="str">
        <f ca="1">IFERROR(__xludf.DUMMYFUNCTION("""COMPUTED_VALUE"""),"الطابق الارضي")</f>
        <v>الطابق الارضي</v>
      </c>
      <c r="H489" s="26" t="str">
        <f ca="1">IFERROR(__xludf.DUMMYFUNCTION("""COMPUTED_VALUE"""),"تبديل لبة باب خشب ")</f>
        <v xml:space="preserve">تبديل لبة باب خشب </v>
      </c>
      <c r="I489" s="26"/>
      <c r="J489" s="26" t="s">
        <v>16</v>
      </c>
      <c r="K489" s="26" t="s">
        <v>13</v>
      </c>
      <c r="L489" s="55"/>
      <c r="M489" s="26"/>
    </row>
    <row r="490" spans="1:13" ht="75" customHeight="1" thickTop="1" thickBot="1">
      <c r="A490" s="26">
        <v>488</v>
      </c>
      <c r="B490" s="55">
        <f ca="1">IFERROR(__xludf.DUMMYFUNCTION("""COMPUTED_VALUE"""),46160.3655389004)</f>
        <v>46160.365538900398</v>
      </c>
      <c r="C490" s="56" t="str">
        <f ca="1">IFERROR(__xludf.DUMMYFUNCTION("""COMPUTED_VALUE"""),"المعملجي")</f>
        <v>المعملجي</v>
      </c>
      <c r="D490" s="56" t="str">
        <f ca="1">IFERROR(__xludf.DUMMYFUNCTION("""COMPUTED_VALUE"""),"وحدة المدني")</f>
        <v>وحدة المدني</v>
      </c>
      <c r="E490" s="26" t="str">
        <f ca="1">IFERROR(__xludf.DUMMYFUNCTION("""COMPUTED_VALUE"""),"قسم المشاريع الهندسية")</f>
        <v>قسم المشاريع الهندسية</v>
      </c>
      <c r="F490" s="26" t="str">
        <f ca="1">IFERROR(__xludf.DUMMYFUNCTION("""COMPUTED_VALUE"""),"E- ابتدائية العميد للبنات (الثالثة)")</f>
        <v>E- ابتدائية العميد للبنات (الثالثة)</v>
      </c>
      <c r="G490" s="26" t="str">
        <f ca="1">IFERROR(__xludf.DUMMYFUNCTION("""COMPUTED_VALUE"""),"الطابق الثاني")</f>
        <v>الطابق الثاني</v>
      </c>
      <c r="H490" s="26" t="str">
        <f ca="1">IFERROR(__xludf.DUMMYFUNCTION("""COMPUTED_VALUE"""),"تصليح هزارة ")</f>
        <v xml:space="preserve">تصليح هزارة </v>
      </c>
      <c r="I490" s="26"/>
      <c r="J490" s="26" t="s">
        <v>16</v>
      </c>
      <c r="K490" s="26" t="s">
        <v>13</v>
      </c>
      <c r="L490" s="55"/>
      <c r="M490" s="26"/>
    </row>
    <row r="491" spans="1:13" ht="75" customHeight="1" thickTop="1" thickBot="1">
      <c r="A491" s="34">
        <v>489</v>
      </c>
      <c r="B491" s="55">
        <f ca="1">IFERROR(__xludf.DUMMYFUNCTION("""COMPUTED_VALUE"""),46160.3661352546)</f>
        <v>46160.366135254597</v>
      </c>
      <c r="C491" s="56" t="str">
        <f ca="1">IFERROR(__xludf.DUMMYFUNCTION("""COMPUTED_VALUE"""),"المعملجي")</f>
        <v>المعملجي</v>
      </c>
      <c r="D491" s="56" t="str">
        <f ca="1">IFERROR(__xludf.DUMMYFUNCTION("""COMPUTED_VALUE"""),"وحدة المدني")</f>
        <v>وحدة المدني</v>
      </c>
      <c r="E491" s="26" t="str">
        <f ca="1">IFERROR(__xludf.DUMMYFUNCTION("""COMPUTED_VALUE"""),"قسم المشاريع الهندسية")</f>
        <v>قسم المشاريع الهندسية</v>
      </c>
      <c r="F491" s="26" t="str">
        <f ca="1">IFERROR(__xludf.DUMMYFUNCTION("""COMPUTED_VALUE"""),"E- ابتدائية العميد للبنات (الثالثة)")</f>
        <v>E- ابتدائية العميد للبنات (الثالثة)</v>
      </c>
      <c r="G491" s="26" t="str">
        <f ca="1">IFERROR(__xludf.DUMMYFUNCTION("""COMPUTED_VALUE"""),"الطابق الاول")</f>
        <v>الطابق الاول</v>
      </c>
      <c r="H491" s="26" t="str">
        <f ca="1">IFERROR(__xludf.DUMMYFUNCTION("""COMPUTED_VALUE"""),"صيانة مصعد حائط ")</f>
        <v xml:space="preserve">صيانة مصعد حائط </v>
      </c>
      <c r="I491" s="26"/>
      <c r="J491" s="26" t="s">
        <v>16</v>
      </c>
      <c r="K491" s="26" t="s">
        <v>13</v>
      </c>
      <c r="L491" s="55"/>
      <c r="M491" s="26"/>
    </row>
    <row r="492" spans="1:13" ht="75" customHeight="1" thickTop="1" thickBot="1">
      <c r="A492" s="26">
        <v>490</v>
      </c>
      <c r="B492" s="55">
        <f ca="1">IFERROR(__xludf.DUMMYFUNCTION("""COMPUTED_VALUE"""),46160.3668546064)</f>
        <v>46160.3668546064</v>
      </c>
      <c r="C492" s="56" t="str">
        <f ca="1">IFERROR(__xludf.DUMMYFUNCTION("""COMPUTED_VALUE"""),"المعملجي")</f>
        <v>المعملجي</v>
      </c>
      <c r="D492" s="56" t="str">
        <f ca="1">IFERROR(__xludf.DUMMYFUNCTION("""COMPUTED_VALUE"""),"وحدة المدني")</f>
        <v>وحدة المدني</v>
      </c>
      <c r="E492" s="26" t="str">
        <f ca="1">IFERROR(__xludf.DUMMYFUNCTION("""COMPUTED_VALUE"""),"قسم المشاريع الهندسية")</f>
        <v>قسم المشاريع الهندسية</v>
      </c>
      <c r="F492" s="26" t="str">
        <f ca="1">IFERROR(__xludf.DUMMYFUNCTION("""COMPUTED_VALUE"""),"E- ابتدائية العميد للبنات (الثالثة)")</f>
        <v>E- ابتدائية العميد للبنات (الثالثة)</v>
      </c>
      <c r="G492" s="26" t="str">
        <f ca="1">IFERROR(__xludf.DUMMYFUNCTION("""COMPUTED_VALUE"""),"الطابق الارضي, ZONE B")</f>
        <v>الطابق الارضي, ZONE B</v>
      </c>
      <c r="H492" s="26" t="str">
        <f ca="1">IFERROR(__xludf.DUMMYFUNCTION("""COMPUTED_VALUE"""),"صيانة باب حديد رئيسية ")</f>
        <v xml:space="preserve">صيانة باب حديد رئيسية </v>
      </c>
      <c r="I492" s="26"/>
      <c r="J492" s="26" t="s">
        <v>16</v>
      </c>
      <c r="K492" s="26" t="s">
        <v>13</v>
      </c>
      <c r="L492" s="55"/>
      <c r="M492" s="26"/>
    </row>
    <row r="493" spans="1:13" ht="75" customHeight="1" thickTop="1" thickBot="1">
      <c r="A493" s="34">
        <v>491</v>
      </c>
      <c r="B493" s="55">
        <f ca="1">IFERROR(__xludf.DUMMYFUNCTION("""COMPUTED_VALUE"""),46160.3675533564)</f>
        <v>46160.367553356402</v>
      </c>
      <c r="C493" s="56" t="str">
        <f ca="1">IFERROR(__xludf.DUMMYFUNCTION("""COMPUTED_VALUE"""),"المعملجي")</f>
        <v>المعملجي</v>
      </c>
      <c r="D493" s="56" t="str">
        <f ca="1">IFERROR(__xludf.DUMMYFUNCTION("""COMPUTED_VALUE"""),"وحدة المدني")</f>
        <v>وحدة المدني</v>
      </c>
      <c r="E493" s="26" t="str">
        <f ca="1">IFERROR(__xludf.DUMMYFUNCTION("""COMPUTED_VALUE"""),"قسم المشاريع الهندسية")</f>
        <v>قسم المشاريع الهندسية</v>
      </c>
      <c r="F493" s="26" t="str">
        <f ca="1">IFERROR(__xludf.DUMMYFUNCTION("""COMPUTED_VALUE"""),"F-  ابتدائية جود العميد للبنات (الرابعة)")</f>
        <v>F-  ابتدائية جود العميد للبنات (الرابعة)</v>
      </c>
      <c r="G493" s="26" t="str">
        <f ca="1">IFERROR(__xludf.DUMMYFUNCTION("""COMPUTED_VALUE"""),"الطابق الارضي")</f>
        <v>الطابق الارضي</v>
      </c>
      <c r="H493" s="26" t="str">
        <f ca="1">IFERROR(__xludf.DUMMYFUNCTION("""COMPUTED_VALUE"""),"تبديل يدة باب المنيوم ")</f>
        <v xml:space="preserve">تبديل يدة باب المنيوم </v>
      </c>
      <c r="I493" s="26"/>
      <c r="J493" s="26" t="s">
        <v>16</v>
      </c>
      <c r="K493" s="26" t="s">
        <v>13</v>
      </c>
      <c r="L493" s="55"/>
      <c r="M493" s="26"/>
    </row>
    <row r="494" spans="1:13" ht="75" customHeight="1" thickTop="1" thickBot="1">
      <c r="A494" s="26">
        <v>492</v>
      </c>
      <c r="B494" s="55">
        <f ca="1">IFERROR(__xludf.DUMMYFUNCTION("""COMPUTED_VALUE"""),46160.3679154745)</f>
        <v>46160.367915474497</v>
      </c>
      <c r="C494" s="56" t="str">
        <f ca="1">IFERROR(__xludf.DUMMYFUNCTION("""COMPUTED_VALUE"""),"المعملجي")</f>
        <v>المعملجي</v>
      </c>
      <c r="D494" s="56" t="str">
        <f ca="1">IFERROR(__xludf.DUMMYFUNCTION("""COMPUTED_VALUE"""),"وحدة المدني")</f>
        <v>وحدة المدني</v>
      </c>
      <c r="E494" s="26" t="str">
        <f ca="1">IFERROR(__xludf.DUMMYFUNCTION("""COMPUTED_VALUE"""),"قسم المشاريع الهندسية")</f>
        <v>قسم المشاريع الهندسية</v>
      </c>
      <c r="F494" s="26" t="str">
        <f ca="1">IFERROR(__xludf.DUMMYFUNCTION("""COMPUTED_VALUE"""),"F-  ابتدائية جود العميد للبنات (الرابعة)")</f>
        <v>F-  ابتدائية جود العميد للبنات (الرابعة)</v>
      </c>
      <c r="G494" s="26" t="str">
        <f ca="1">IFERROR(__xludf.DUMMYFUNCTION("""COMPUTED_VALUE"""),"الطابق الارضي")</f>
        <v>الطابق الارضي</v>
      </c>
      <c r="H494" s="26" t="str">
        <f ca="1">IFERROR(__xludf.DUMMYFUNCTION("""COMPUTED_VALUE"""),"تبديل يدة شباك حديد ")</f>
        <v xml:space="preserve">تبديل يدة شباك حديد </v>
      </c>
      <c r="I494" s="26"/>
      <c r="J494" s="26" t="s">
        <v>16</v>
      </c>
      <c r="K494" s="26" t="s">
        <v>13</v>
      </c>
      <c r="L494" s="55"/>
      <c r="M494" s="26"/>
    </row>
    <row r="495" spans="1:13" ht="75" customHeight="1" thickTop="1" thickBot="1">
      <c r="A495" s="34">
        <v>493</v>
      </c>
      <c r="B495" s="55">
        <f ca="1">IFERROR(__xludf.DUMMYFUNCTION("""COMPUTED_VALUE"""),46160.3685170023)</f>
        <v>46160.368517002302</v>
      </c>
      <c r="C495" s="56" t="str">
        <f ca="1">IFERROR(__xludf.DUMMYFUNCTION("""COMPUTED_VALUE"""),"المعملجي")</f>
        <v>المعملجي</v>
      </c>
      <c r="D495" s="56" t="str">
        <f ca="1">IFERROR(__xludf.DUMMYFUNCTION("""COMPUTED_VALUE"""),"وحدة المدني")</f>
        <v>وحدة المدني</v>
      </c>
      <c r="E495" s="26" t="str">
        <f ca="1">IFERROR(__xludf.DUMMYFUNCTION("""COMPUTED_VALUE"""),"قسم المشاريع الهندسية")</f>
        <v>قسم المشاريع الهندسية</v>
      </c>
      <c r="F495" s="26" t="str">
        <f ca="1">IFERROR(__xludf.DUMMYFUNCTION("""COMPUTED_VALUE"""),"F-  ابتدائية جود العميد للبنات (الرابعة)")</f>
        <v>F-  ابتدائية جود العميد للبنات (الرابعة)</v>
      </c>
      <c r="G495" s="26" t="str">
        <f ca="1">IFERROR(__xludf.DUMMYFUNCTION("""COMPUTED_VALUE"""),"الطابق الاول")</f>
        <v>الطابق الاول</v>
      </c>
      <c r="H495" s="26" t="str">
        <f ca="1">IFERROR(__xludf.DUMMYFUNCTION("""COMPUTED_VALUE"""),"صيانة يدة شباك ")</f>
        <v xml:space="preserve">صيانة يدة شباك </v>
      </c>
      <c r="I495" s="26"/>
      <c r="J495" s="26" t="s">
        <v>16</v>
      </c>
      <c r="K495" s="26" t="s">
        <v>13</v>
      </c>
      <c r="L495" s="55">
        <v>46160.368977939812</v>
      </c>
      <c r="M495" s="26"/>
    </row>
    <row r="496" spans="1:13" ht="75" customHeight="1" thickTop="1" thickBot="1">
      <c r="A496" s="26">
        <v>494</v>
      </c>
      <c r="B496" s="55">
        <f ca="1">IFERROR(__xludf.DUMMYFUNCTION("""COMPUTED_VALUE"""),46160.4719826389)</f>
        <v>46160.471982638897</v>
      </c>
      <c r="C496" s="56" t="str">
        <f ca="1">IFERROR(__xludf.DUMMYFUNCTION("""COMPUTED_VALUE"""),"المعملجي")</f>
        <v>المعملجي</v>
      </c>
      <c r="D496" s="56" t="str">
        <f ca="1">IFERROR(__xludf.DUMMYFUNCTION("""COMPUTED_VALUE"""),"سجاد تربية")</f>
        <v>سجاد تربية</v>
      </c>
      <c r="E496" s="26" t="str">
        <f ca="1">IFERROR(__xludf.DUMMYFUNCTION("""COMPUTED_VALUE"""),"قسم التربية والتعليم العالي")</f>
        <v>قسم التربية والتعليم العالي</v>
      </c>
      <c r="F496" s="26" t="str">
        <f ca="1">IFERROR(__xludf.DUMMYFUNCTION("""COMPUTED_VALUE"""),"A- المركز الثقافي")</f>
        <v>A- المركز الثقافي</v>
      </c>
      <c r="G496" s="26" t="str">
        <f ca="1">IFERROR(__xludf.DUMMYFUNCTION("""COMPUTED_VALUE"""),"الطابق الثالث")</f>
        <v>الطابق الثالث</v>
      </c>
      <c r="H496" s="26" t="str">
        <f ca="1">IFERROR(__xludf.DUMMYFUNCTION("""COMPUTED_VALUE"""),"صيانة بلك سويج")</f>
        <v>صيانة بلك سويج</v>
      </c>
      <c r="I496" s="26"/>
      <c r="J496" s="26" t="s">
        <v>3910</v>
      </c>
      <c r="K496" s="26" t="s">
        <v>13</v>
      </c>
      <c r="L496" s="55">
        <v>46160.472604791663</v>
      </c>
      <c r="M496" s="26"/>
    </row>
    <row r="497" spans="1:13" ht="75" customHeight="1" thickTop="1" thickBot="1">
      <c r="A497" s="34">
        <v>495</v>
      </c>
      <c r="B497" s="55">
        <f ca="1">IFERROR(__xludf.DUMMYFUNCTION("""COMPUTED_VALUE"""),46160.5649007175)</f>
        <v>46160.564900717502</v>
      </c>
      <c r="C497" s="56" t="str">
        <f ca="1">IFERROR(__xludf.DUMMYFUNCTION("""COMPUTED_VALUE"""),"المعملجي")</f>
        <v>المعملجي</v>
      </c>
      <c r="D497" s="56" t="str">
        <f ca="1">IFERROR(__xludf.DUMMYFUNCTION("""COMPUTED_VALUE"""),"سجاد تربية")</f>
        <v>سجاد تربية</v>
      </c>
      <c r="E497" s="26" t="str">
        <f ca="1">IFERROR(__xludf.DUMMYFUNCTION("""COMPUTED_VALUE"""),"قسم التربية والتعليم العالي")</f>
        <v>قسم التربية والتعليم العالي</v>
      </c>
      <c r="F497" s="26" t="str">
        <f ca="1">IFERROR(__xludf.DUMMYFUNCTION("""COMPUTED_VALUE"""),"D- ثانوية العميد بناية المتوسطة  (الثانية)")</f>
        <v>D- ثانوية العميد بناية المتوسطة  (الثانية)</v>
      </c>
      <c r="G497" s="26" t="str">
        <f ca="1">IFERROR(__xludf.DUMMYFUNCTION("""COMPUTED_VALUE"""),"السطح")</f>
        <v>السطح</v>
      </c>
      <c r="H497" s="26" t="str">
        <f ca="1">IFERROR(__xludf.DUMMYFUNCTION("""COMPUTED_VALUE"""),"فتح وصيانة سيفونات عدد 4")</f>
        <v>فتح وصيانة سيفونات عدد 4</v>
      </c>
      <c r="I497" s="26"/>
      <c r="J497" s="26" t="s">
        <v>16</v>
      </c>
      <c r="K497" s="26" t="s">
        <v>13</v>
      </c>
      <c r="L497" s="55"/>
      <c r="M497" s="26"/>
    </row>
    <row r="498" spans="1:13" ht="75" customHeight="1" thickTop="1" thickBot="1">
      <c r="A498" s="26">
        <v>496</v>
      </c>
      <c r="B498" s="55">
        <f ca="1">IFERROR(__xludf.DUMMYFUNCTION("""COMPUTED_VALUE"""),46160.5652439236)</f>
        <v>46160.5652439236</v>
      </c>
      <c r="C498" s="56" t="str">
        <f ca="1">IFERROR(__xludf.DUMMYFUNCTION("""COMPUTED_VALUE"""),"المعملجي")</f>
        <v>المعملجي</v>
      </c>
      <c r="D498" s="56" t="str">
        <f ca="1">IFERROR(__xludf.DUMMYFUNCTION("""COMPUTED_VALUE"""),"سجاد تربية")</f>
        <v>سجاد تربية</v>
      </c>
      <c r="E498" s="26" t="str">
        <f ca="1">IFERROR(__xludf.DUMMYFUNCTION("""COMPUTED_VALUE"""),"قسم التربية والتعليم العالي")</f>
        <v>قسم التربية والتعليم العالي</v>
      </c>
      <c r="F498" s="26" t="str">
        <f ca="1">IFERROR(__xludf.DUMMYFUNCTION("""COMPUTED_VALUE"""),"J- ابتدائية الساقي للبنين الجانب الثاني (السابعة)")</f>
        <v>J- ابتدائية الساقي للبنين الجانب الثاني (السابعة)</v>
      </c>
      <c r="G498" s="26" t="str">
        <f ca="1">IFERROR(__xludf.DUMMYFUNCTION("""COMPUTED_VALUE"""),"الطابق الارضي")</f>
        <v>الطابق الارضي</v>
      </c>
      <c r="H498" s="26" t="str">
        <f ca="1">IFERROR(__xludf.DUMMYFUNCTION("""COMPUTED_VALUE"""),"تعليك لوحات عدد 4")</f>
        <v>تعليك لوحات عدد 4</v>
      </c>
      <c r="I498" s="26"/>
      <c r="J498" s="26" t="s">
        <v>16</v>
      </c>
      <c r="K498" s="26" t="s">
        <v>13</v>
      </c>
      <c r="L498" s="55"/>
      <c r="M498" s="26"/>
    </row>
    <row r="499" spans="1:13" ht="75" customHeight="1" thickTop="1" thickBot="1">
      <c r="A499" s="34">
        <v>497</v>
      </c>
      <c r="B499" s="55">
        <f ca="1">IFERROR(__xludf.DUMMYFUNCTION("""COMPUTED_VALUE"""),46160.5746331365)</f>
        <v>46160.574633136501</v>
      </c>
      <c r="C499" s="56" t="str">
        <f ca="1">IFERROR(__xludf.DUMMYFUNCTION("""COMPUTED_VALUE"""),"المعملجي")</f>
        <v>المعملجي</v>
      </c>
      <c r="D499" s="56" t="str">
        <f ca="1">IFERROR(__xludf.DUMMYFUNCTION("""COMPUTED_VALUE"""),"سجاد تربية")</f>
        <v>سجاد تربية</v>
      </c>
      <c r="E499" s="26" t="str">
        <f ca="1">IFERROR(__xludf.DUMMYFUNCTION("""COMPUTED_VALUE"""),"قسم التربية والتعليم العالي")</f>
        <v>قسم التربية والتعليم العالي</v>
      </c>
      <c r="F499" s="26" t="str">
        <f ca="1">IFERROR(__xludf.DUMMYFUNCTION("""COMPUTED_VALUE"""),"B- روضة القمر")</f>
        <v>B- روضة القمر</v>
      </c>
      <c r="G499" s="26" t="str">
        <f ca="1">IFERROR(__xludf.DUMMYFUNCTION("""COMPUTED_VALUE"""),"الطابق الاول")</f>
        <v>الطابق الاول</v>
      </c>
      <c r="H499" s="26" t="str">
        <f ca="1">IFERROR(__xludf.DUMMYFUNCTION("""COMPUTED_VALUE"""),"صيانة باب صحيات ")</f>
        <v xml:space="preserve">صيانة باب صحيات </v>
      </c>
      <c r="I499" s="26"/>
      <c r="J499" s="26" t="s">
        <v>16</v>
      </c>
      <c r="K499" s="26" t="s">
        <v>13</v>
      </c>
      <c r="L499" s="55">
        <v>46161.454412418985</v>
      </c>
      <c r="M499" s="26"/>
    </row>
    <row r="500" spans="1:13" ht="75" customHeight="1" thickTop="1" thickBot="1">
      <c r="A500" s="26">
        <v>498</v>
      </c>
      <c r="B500" s="55">
        <f ca="1">IFERROR(__xludf.DUMMYFUNCTION("""COMPUTED_VALUE"""),46161.3716656018)</f>
        <v>46161.3716656018</v>
      </c>
      <c r="C500" s="56" t="str">
        <f ca="1">IFERROR(__xludf.DUMMYFUNCTION("""COMPUTED_VALUE"""),"المعملجي")</f>
        <v>المعملجي</v>
      </c>
      <c r="D500" s="56" t="str">
        <f ca="1">IFERROR(__xludf.DUMMYFUNCTION("""COMPUTED_VALUE"""),"وحدة الميكانيك")</f>
        <v>وحدة الميكانيك</v>
      </c>
      <c r="E500" s="26" t="str">
        <f ca="1">IFERROR(__xludf.DUMMYFUNCTION("""COMPUTED_VALUE"""),"قسم المشاريع الهندسية")</f>
        <v>قسم المشاريع الهندسية</v>
      </c>
      <c r="F500" s="26" t="str">
        <f ca="1">IFERROR(__xludf.DUMMYFUNCTION("""COMPUTED_VALUE"""),"G- روضة الجود")</f>
        <v>G- روضة الجود</v>
      </c>
      <c r="G500" s="26" t="str">
        <f ca="1">IFERROR(__xludf.DUMMYFUNCTION("""COMPUTED_VALUE"""),"الطابق الثاني")</f>
        <v>الطابق الثاني</v>
      </c>
      <c r="H500" s="26" t="str">
        <f ca="1">IFERROR(__xludf.DUMMYFUNCTION("""COMPUTED_VALUE"""),"صيانة صندوق فلاش ")</f>
        <v xml:space="preserve">صيانة صندوق فلاش </v>
      </c>
      <c r="I500" s="26"/>
      <c r="J500" s="26" t="s">
        <v>14</v>
      </c>
      <c r="K500" s="26" t="s">
        <v>13</v>
      </c>
      <c r="L500" s="55"/>
      <c r="M500" s="26"/>
    </row>
    <row r="501" spans="1:13" ht="75" customHeight="1" thickTop="1" thickBot="1">
      <c r="A501" s="34">
        <v>499</v>
      </c>
      <c r="B501" s="55">
        <f ca="1">IFERROR(__xludf.DUMMYFUNCTION("""COMPUTED_VALUE"""),46161.3720653009)</f>
        <v>46161.3720653009</v>
      </c>
      <c r="C501" s="56" t="str">
        <f ca="1">IFERROR(__xludf.DUMMYFUNCTION("""COMPUTED_VALUE"""),"المعملجي")</f>
        <v>المعملجي</v>
      </c>
      <c r="D501" s="56" t="str">
        <f ca="1">IFERROR(__xludf.DUMMYFUNCTION("""COMPUTED_VALUE"""),"وحدة الميكانيك")</f>
        <v>وحدة الميكانيك</v>
      </c>
      <c r="E501" s="26" t="str">
        <f ca="1">IFERROR(__xludf.DUMMYFUNCTION("""COMPUTED_VALUE"""),"قسم المشاريع الهندسية")</f>
        <v>قسم المشاريع الهندسية</v>
      </c>
      <c r="F501" s="26" t="str">
        <f ca="1">IFERROR(__xludf.DUMMYFUNCTION("""COMPUTED_VALUE"""),"G- روضة الجود")</f>
        <v>G- روضة الجود</v>
      </c>
      <c r="G501" s="26" t="str">
        <f ca="1">IFERROR(__xludf.DUMMYFUNCTION("""COMPUTED_VALUE"""),"الطابق الثاني")</f>
        <v>الطابق الثاني</v>
      </c>
      <c r="H501" s="26" t="str">
        <f ca="1">IFERROR(__xludf.DUMMYFUNCTION("""COMPUTED_VALUE"""),"فتح انسداد في الصحيات ")</f>
        <v xml:space="preserve">فتح انسداد في الصحيات </v>
      </c>
      <c r="I501" s="26"/>
      <c r="J501" s="26" t="s">
        <v>14</v>
      </c>
      <c r="K501" s="26" t="s">
        <v>13</v>
      </c>
      <c r="L501" s="55"/>
      <c r="M501" s="26"/>
    </row>
    <row r="502" spans="1:13" ht="75" customHeight="1" thickTop="1" thickBot="1">
      <c r="A502" s="26">
        <v>500</v>
      </c>
      <c r="B502" s="55">
        <f ca="1">IFERROR(__xludf.DUMMYFUNCTION("""COMPUTED_VALUE"""),46161.3725761458)</f>
        <v>46161.372576145797</v>
      </c>
      <c r="C502" s="56" t="str">
        <f ca="1">IFERROR(__xludf.DUMMYFUNCTION("""COMPUTED_VALUE"""),"المعملجي")</f>
        <v>المعملجي</v>
      </c>
      <c r="D502" s="56" t="str">
        <f ca="1">IFERROR(__xludf.DUMMYFUNCTION("""COMPUTED_VALUE"""),"وحدة الميكانيك")</f>
        <v>وحدة الميكانيك</v>
      </c>
      <c r="E502" s="26" t="str">
        <f ca="1">IFERROR(__xludf.DUMMYFUNCTION("""COMPUTED_VALUE"""),"قسم المشاريع الهندسية")</f>
        <v>قسم المشاريع الهندسية</v>
      </c>
      <c r="F502" s="26" t="str">
        <f ca="1">IFERROR(__xludf.DUMMYFUNCTION("""COMPUTED_VALUE"""),"G- روضة الجود")</f>
        <v>G- روضة الجود</v>
      </c>
      <c r="G502" s="26" t="str">
        <f ca="1">IFERROR(__xludf.DUMMYFUNCTION("""COMPUTED_VALUE"""),"الطابق الاول")</f>
        <v>الطابق الاول</v>
      </c>
      <c r="H502" s="26" t="str">
        <f ca="1">IFERROR(__xludf.DUMMYFUNCTION("""COMPUTED_VALUE"""),"تبديل قاعدة شطاف ")</f>
        <v xml:space="preserve">تبديل قاعدة شطاف </v>
      </c>
      <c r="I502" s="26"/>
      <c r="J502" s="26" t="s">
        <v>14</v>
      </c>
      <c r="K502" s="26" t="s">
        <v>13</v>
      </c>
      <c r="L502" s="55"/>
      <c r="M502" s="26"/>
    </row>
    <row r="503" spans="1:13" ht="75" customHeight="1" thickTop="1" thickBot="1">
      <c r="A503" s="34">
        <v>501</v>
      </c>
      <c r="B503" s="55">
        <f ca="1">IFERROR(__xludf.DUMMYFUNCTION("""COMPUTED_VALUE"""),46161.3733255324)</f>
        <v>46161.373325532397</v>
      </c>
      <c r="C503" s="56" t="str">
        <f ca="1">IFERROR(__xludf.DUMMYFUNCTION("""COMPUTED_VALUE"""),"المعملجي")</f>
        <v>المعملجي</v>
      </c>
      <c r="D503" s="56" t="str">
        <f ca="1">IFERROR(__xludf.DUMMYFUNCTION("""COMPUTED_VALUE"""),"وحدة الميكانيك")</f>
        <v>وحدة الميكانيك</v>
      </c>
      <c r="E503" s="26" t="str">
        <f ca="1">IFERROR(__xludf.DUMMYFUNCTION("""COMPUTED_VALUE"""),"قسم المشاريع الهندسية")</f>
        <v>قسم المشاريع الهندسية</v>
      </c>
      <c r="F503" s="26" t="str">
        <f ca="1">IFERROR(__xludf.DUMMYFUNCTION("""COMPUTED_VALUE"""),"H- ابتدائية القمر للبنات (الخامسة)")</f>
        <v>H- ابتدائية القمر للبنات (الخامسة)</v>
      </c>
      <c r="G503" s="26" t="str">
        <f ca="1">IFERROR(__xludf.DUMMYFUNCTION("""COMPUTED_VALUE"""),"الطابق الارضي, ZONE B")</f>
        <v>الطابق الارضي, ZONE B</v>
      </c>
      <c r="H503" s="26" t="str">
        <f ca="1">IFERROR(__xludf.DUMMYFUNCTION("""COMPUTED_VALUE"""),"فتح انسداد خرطوم مغسلة ")</f>
        <v xml:space="preserve">فتح انسداد خرطوم مغسلة </v>
      </c>
      <c r="I503" s="26"/>
      <c r="J503" s="26" t="s">
        <v>14</v>
      </c>
      <c r="K503" s="26" t="s">
        <v>13</v>
      </c>
      <c r="L503" s="55"/>
      <c r="M503" s="26"/>
    </row>
    <row r="504" spans="1:13" ht="75" customHeight="1" thickTop="1" thickBot="1">
      <c r="A504" s="26">
        <v>502</v>
      </c>
      <c r="B504" s="55">
        <f ca="1">IFERROR(__xludf.DUMMYFUNCTION("""COMPUTED_VALUE"""),46161.3736788773)</f>
        <v>46161.373678877302</v>
      </c>
      <c r="C504" s="56" t="str">
        <f ca="1">IFERROR(__xludf.DUMMYFUNCTION("""COMPUTED_VALUE"""),"المعملجي")</f>
        <v>المعملجي</v>
      </c>
      <c r="D504" s="56" t="str">
        <f ca="1">IFERROR(__xludf.DUMMYFUNCTION("""COMPUTED_VALUE"""),"وحدة الميكانيك")</f>
        <v>وحدة الميكانيك</v>
      </c>
      <c r="E504" s="26" t="str">
        <f ca="1">IFERROR(__xludf.DUMMYFUNCTION("""COMPUTED_VALUE"""),"قسم المشاريع الهندسية")</f>
        <v>قسم المشاريع الهندسية</v>
      </c>
      <c r="F504" s="26" t="str">
        <f ca="1">IFERROR(__xludf.DUMMYFUNCTION("""COMPUTED_VALUE"""),"B- روضة القمر")</f>
        <v>B- روضة القمر</v>
      </c>
      <c r="G504" s="26" t="str">
        <f ca="1">IFERROR(__xludf.DUMMYFUNCTION("""COMPUTED_VALUE"""),"الطابق الارضي")</f>
        <v>الطابق الارضي</v>
      </c>
      <c r="H504" s="26" t="str">
        <f ca="1">IFERROR(__xludf.DUMMYFUNCTION("""COMPUTED_VALUE"""),"تبديل صندوق فلاش ")</f>
        <v xml:space="preserve">تبديل صندوق فلاش </v>
      </c>
      <c r="I504" s="26"/>
      <c r="J504" s="26" t="s">
        <v>14</v>
      </c>
      <c r="K504" s="26" t="s">
        <v>13</v>
      </c>
      <c r="L504" s="55"/>
      <c r="M504" s="26"/>
    </row>
    <row r="505" spans="1:13" ht="75" customHeight="1" thickTop="1" thickBot="1">
      <c r="A505" s="34">
        <v>503</v>
      </c>
      <c r="B505" s="55">
        <f ca="1">IFERROR(__xludf.DUMMYFUNCTION("""COMPUTED_VALUE"""),46161.3740155324)</f>
        <v>46161.374015532398</v>
      </c>
      <c r="C505" s="56" t="str">
        <f ca="1">IFERROR(__xludf.DUMMYFUNCTION("""COMPUTED_VALUE"""),"المعملجي")</f>
        <v>المعملجي</v>
      </c>
      <c r="D505" s="56" t="str">
        <f ca="1">IFERROR(__xludf.DUMMYFUNCTION("""COMPUTED_VALUE"""),"وحدة الميكانيك")</f>
        <v>وحدة الميكانيك</v>
      </c>
      <c r="E505" s="26" t="str">
        <f ca="1">IFERROR(__xludf.DUMMYFUNCTION("""COMPUTED_VALUE"""),"قسم المشاريع الهندسية")</f>
        <v>قسم المشاريع الهندسية</v>
      </c>
      <c r="F505" s="26" t="str">
        <f ca="1">IFERROR(__xludf.DUMMYFUNCTION("""COMPUTED_VALUE"""),"C- ثانوية العميد بناية الاعدادية  (الاولى)")</f>
        <v>C- ثانوية العميد بناية الاعدادية  (الاولى)</v>
      </c>
      <c r="G505" s="26" t="str">
        <f ca="1">IFERROR(__xludf.DUMMYFUNCTION("""COMPUTED_VALUE"""),"السطح")</f>
        <v>السطح</v>
      </c>
      <c r="H505" s="26" t="str">
        <f ca="1">IFERROR(__xludf.DUMMYFUNCTION("""COMPUTED_VALUE"""),"لا يوجد ماء Ro")</f>
        <v>لا يوجد ماء Ro</v>
      </c>
      <c r="I505" s="26"/>
      <c r="J505" s="26" t="s">
        <v>14</v>
      </c>
      <c r="K505" s="26" t="s">
        <v>13</v>
      </c>
      <c r="L505" s="55"/>
      <c r="M505" s="26"/>
    </row>
    <row r="506" spans="1:13" ht="75" customHeight="1" thickTop="1" thickBot="1">
      <c r="A506" s="26">
        <v>504</v>
      </c>
      <c r="B506" s="55">
        <f ca="1">IFERROR(__xludf.DUMMYFUNCTION("""COMPUTED_VALUE"""),46161.374562199)</f>
        <v>46161.374562199002</v>
      </c>
      <c r="C506" s="56" t="str">
        <f ca="1">IFERROR(__xludf.DUMMYFUNCTION("""COMPUTED_VALUE"""),"المعملجي")</f>
        <v>المعملجي</v>
      </c>
      <c r="D506" s="56" t="str">
        <f ca="1">IFERROR(__xludf.DUMMYFUNCTION("""COMPUTED_VALUE"""),"وحدة الميكانيك")</f>
        <v>وحدة الميكانيك</v>
      </c>
      <c r="E506" s="26" t="str">
        <f ca="1">IFERROR(__xludf.DUMMYFUNCTION("""COMPUTED_VALUE"""),"قسم المشاريع الهندسية")</f>
        <v>قسم المشاريع الهندسية</v>
      </c>
      <c r="F506" s="26" t="str">
        <f ca="1">IFERROR(__xludf.DUMMYFUNCTION("""COMPUTED_VALUE"""),"B- روضة القمر")</f>
        <v>B- روضة القمر</v>
      </c>
      <c r="G506" s="26" t="str">
        <f ca="1">IFERROR(__xludf.DUMMYFUNCTION("""COMPUTED_VALUE"""),"الطابق الاول")</f>
        <v>الطابق الاول</v>
      </c>
      <c r="H506" s="26" t="str">
        <f ca="1">IFERROR(__xludf.DUMMYFUNCTION("""COMPUTED_VALUE"""),"صيانة صندوق فلاش ")</f>
        <v xml:space="preserve">صيانة صندوق فلاش </v>
      </c>
      <c r="I506" s="26"/>
      <c r="J506" s="26" t="s">
        <v>14</v>
      </c>
      <c r="K506" s="26" t="s">
        <v>13</v>
      </c>
      <c r="L506" s="55"/>
      <c r="M506" s="26"/>
    </row>
    <row r="507" spans="1:13" ht="75" customHeight="1" thickTop="1" thickBot="1">
      <c r="A507" s="34">
        <v>505</v>
      </c>
      <c r="B507" s="55">
        <f ca="1">IFERROR(__xludf.DUMMYFUNCTION("""COMPUTED_VALUE"""),46161.3748972685)</f>
        <v>46161.374897268499</v>
      </c>
      <c r="C507" s="56" t="str">
        <f ca="1">IFERROR(__xludf.DUMMYFUNCTION("""COMPUTED_VALUE"""),"المعملجي")</f>
        <v>المعملجي</v>
      </c>
      <c r="D507" s="56" t="str">
        <f ca="1">IFERROR(__xludf.DUMMYFUNCTION("""COMPUTED_VALUE"""),"وحدة الميكانيك")</f>
        <v>وحدة الميكانيك</v>
      </c>
      <c r="E507" s="26" t="str">
        <f ca="1">IFERROR(__xludf.DUMMYFUNCTION("""COMPUTED_VALUE"""),"قسم المشاريع الهندسية")</f>
        <v>قسم المشاريع الهندسية</v>
      </c>
      <c r="F507" s="26" t="str">
        <f ca="1">IFERROR(__xludf.DUMMYFUNCTION("""COMPUTED_VALUE"""),"E- ابتدائية العميد للبنات (الثالثة)")</f>
        <v>E- ابتدائية العميد للبنات (الثالثة)</v>
      </c>
      <c r="G507" s="26" t="str">
        <f ca="1">IFERROR(__xludf.DUMMYFUNCTION("""COMPUTED_VALUE"""),"السطح")</f>
        <v>السطح</v>
      </c>
      <c r="H507" s="26" t="str">
        <f ca="1">IFERROR(__xludf.DUMMYFUNCTION("""COMPUTED_VALUE"""),"Ro لا يوجد ماء ")</f>
        <v xml:space="preserve">Ro لا يوجد ماء </v>
      </c>
      <c r="I507" s="26"/>
      <c r="J507" s="26" t="s">
        <v>14</v>
      </c>
      <c r="K507" s="26" t="s">
        <v>13</v>
      </c>
      <c r="L507" s="55">
        <v>46161.37517777778</v>
      </c>
      <c r="M507" s="26"/>
    </row>
    <row r="508" spans="1:13" ht="75" customHeight="1" thickTop="1" thickBot="1">
      <c r="A508" s="26">
        <v>506</v>
      </c>
      <c r="B508" s="55">
        <f ca="1">IFERROR(__xludf.DUMMYFUNCTION("""COMPUTED_VALUE"""),46161.4756985879)</f>
        <v>46161.475698587899</v>
      </c>
      <c r="C508" s="56" t="str">
        <f ca="1">IFERROR(__xludf.DUMMYFUNCTION("""COMPUTED_VALUE"""),"المعملجي")</f>
        <v>المعملجي</v>
      </c>
      <c r="D508" s="56" t="str">
        <f ca="1">IFERROR(__xludf.DUMMYFUNCTION("""COMPUTED_VALUE"""),"سجاد تربية")</f>
        <v>سجاد تربية</v>
      </c>
      <c r="E508" s="26" t="str">
        <f ca="1">IFERROR(__xludf.DUMMYFUNCTION("""COMPUTED_VALUE"""),"قسم التربية والتعليم العالي")</f>
        <v>قسم التربية والتعليم العالي</v>
      </c>
      <c r="F508" s="26" t="str">
        <f ca="1">IFERROR(__xludf.DUMMYFUNCTION("""COMPUTED_VALUE"""),"H- ابتدائية القمر للبنات (الخامسة)")</f>
        <v>H- ابتدائية القمر للبنات (الخامسة)</v>
      </c>
      <c r="G508" s="26" t="str">
        <f ca="1">IFERROR(__xludf.DUMMYFUNCTION("""COMPUTED_VALUE"""),"الطابق الارضي")</f>
        <v>الطابق الارضي</v>
      </c>
      <c r="H508" s="26" t="str">
        <f ca="1">IFERROR(__xludf.DUMMYFUNCTION("""COMPUTED_VALUE"""),"انسداد في المغسلة ")</f>
        <v xml:space="preserve">انسداد في المغسلة </v>
      </c>
      <c r="I508" s="26"/>
      <c r="J508" s="26" t="s">
        <v>14</v>
      </c>
      <c r="K508" s="26" t="s">
        <v>13</v>
      </c>
      <c r="L508" s="55">
        <v>46161.490570706017</v>
      </c>
      <c r="M508" s="26"/>
    </row>
    <row r="509" spans="1:13" ht="75" customHeight="1" thickTop="1" thickBot="1">
      <c r="A509" s="34">
        <v>507</v>
      </c>
      <c r="B509" s="55">
        <f ca="1">IFERROR(__xludf.DUMMYFUNCTION("""COMPUTED_VALUE"""),46161.4761965625)</f>
        <v>46161.4761965625</v>
      </c>
      <c r="C509" s="56" t="str">
        <f ca="1">IFERROR(__xludf.DUMMYFUNCTION("""COMPUTED_VALUE"""),"المعملجي")</f>
        <v>المعملجي</v>
      </c>
      <c r="D509" s="56" t="str">
        <f ca="1">IFERROR(__xludf.DUMMYFUNCTION("""COMPUTED_VALUE"""),"سجاد تربية")</f>
        <v>سجاد تربية</v>
      </c>
      <c r="E509" s="26" t="str">
        <f ca="1">IFERROR(__xludf.DUMMYFUNCTION("""COMPUTED_VALUE"""),"قسم التربية والتعليم العالي")</f>
        <v>قسم التربية والتعليم العالي</v>
      </c>
      <c r="F509" s="26" t="str">
        <f ca="1">IFERROR(__xludf.DUMMYFUNCTION("""COMPUTED_VALUE"""),"H- ابتدائية القمر للبنات (الخامسة)")</f>
        <v>H- ابتدائية القمر للبنات (الخامسة)</v>
      </c>
      <c r="G509" s="26" t="str">
        <f ca="1">IFERROR(__xludf.DUMMYFUNCTION("""COMPUTED_VALUE"""),"الطابق الارضي")</f>
        <v>الطابق الارضي</v>
      </c>
      <c r="H509" s="26" t="str">
        <f ca="1">IFERROR(__xludf.DUMMYFUNCTION("""COMPUTED_VALUE"""),"صيانة إنارة جهة الثالث أ")</f>
        <v>صيانة إنارة جهة الثالث أ</v>
      </c>
      <c r="I509" s="26"/>
      <c r="J509" s="26" t="s">
        <v>3910</v>
      </c>
      <c r="K509" s="26" t="s">
        <v>13</v>
      </c>
      <c r="L509" s="55">
        <v>46161.531722534724</v>
      </c>
      <c r="M509" s="26"/>
    </row>
    <row r="510" spans="1:13" ht="75" customHeight="1" thickTop="1" thickBot="1">
      <c r="A510" s="26">
        <v>508</v>
      </c>
      <c r="B510" s="55">
        <f ca="1">IFERROR(__xludf.DUMMYFUNCTION("""COMPUTED_VALUE"""),46161.4769603009)</f>
        <v>46161.476960300897</v>
      </c>
      <c r="C510" s="56" t="str">
        <f ca="1">IFERROR(__xludf.DUMMYFUNCTION("""COMPUTED_VALUE"""),"المعملجي")</f>
        <v>المعملجي</v>
      </c>
      <c r="D510" s="56" t="str">
        <f ca="1">IFERROR(__xludf.DUMMYFUNCTION("""COMPUTED_VALUE"""),"سجاد تربية")</f>
        <v>سجاد تربية</v>
      </c>
      <c r="E510" s="26" t="str">
        <f ca="1">IFERROR(__xludf.DUMMYFUNCTION("""COMPUTED_VALUE"""),"قسم التربية والتعليم العالي")</f>
        <v>قسم التربية والتعليم العالي</v>
      </c>
      <c r="F510" s="26" t="str">
        <f ca="1">IFERROR(__xludf.DUMMYFUNCTION("""COMPUTED_VALUE"""),"H- ابتدائية القمر للبنات (الخامسة)")</f>
        <v>H- ابتدائية القمر للبنات (الخامسة)</v>
      </c>
      <c r="G510" s="26" t="str">
        <f ca="1">IFERROR(__xludf.DUMMYFUNCTION("""COMPUTED_VALUE"""),"الطابق الارضي")</f>
        <v>الطابق الارضي</v>
      </c>
      <c r="H510" s="26" t="str">
        <f ca="1">IFERROR(__xludf.DUMMYFUNCTION("""COMPUTED_VALUE"""),"صيانة باب صحيات ")</f>
        <v xml:space="preserve">صيانة باب صحيات </v>
      </c>
      <c r="I510" s="26"/>
      <c r="J510" s="26" t="s">
        <v>16</v>
      </c>
      <c r="K510" s="26" t="s">
        <v>13</v>
      </c>
      <c r="L510" s="55">
        <v>46161.526170578705</v>
      </c>
      <c r="M510" s="26"/>
    </row>
    <row r="511" spans="1:13" ht="75" customHeight="1" thickTop="1" thickBot="1">
      <c r="A511" s="34">
        <v>509</v>
      </c>
      <c r="B511" s="55">
        <f ca="1">IFERROR(__xludf.DUMMYFUNCTION("""COMPUTED_VALUE"""),46161.5324462152)</f>
        <v>46161.532446215198</v>
      </c>
      <c r="C511" s="56" t="str">
        <f ca="1">IFERROR(__xludf.DUMMYFUNCTION("""COMPUTED_VALUE"""),"المعملجي")</f>
        <v>المعملجي</v>
      </c>
      <c r="D511" s="56" t="str">
        <f ca="1">IFERROR(__xludf.DUMMYFUNCTION("""COMPUTED_VALUE"""),"سجاد تربية")</f>
        <v>سجاد تربية</v>
      </c>
      <c r="E511" s="26" t="str">
        <f ca="1">IFERROR(__xludf.DUMMYFUNCTION("""COMPUTED_VALUE"""),"قسم التربية والتعليم العالي")</f>
        <v>قسم التربية والتعليم العالي</v>
      </c>
      <c r="F511" s="26" t="str">
        <f ca="1">IFERROR(__xludf.DUMMYFUNCTION("""COMPUTED_VALUE"""),"H- ابتدائية القمر للبنات (الخامسة)")</f>
        <v>H- ابتدائية القمر للبنات (الخامسة)</v>
      </c>
      <c r="G511" s="26" t="str">
        <f ca="1">IFERROR(__xludf.DUMMYFUNCTION("""COMPUTED_VALUE"""),"الطابق الارضي")</f>
        <v>الطابق الارضي</v>
      </c>
      <c r="H511" s="26" t="str">
        <f ca="1">IFERROR(__xludf.DUMMYFUNCTION("""COMPUTED_VALUE"""),"المصعد لا يعمل")</f>
        <v>المصعد لا يعمل</v>
      </c>
      <c r="I511" s="26"/>
      <c r="J511" s="26" t="s">
        <v>3910</v>
      </c>
      <c r="K511" s="26" t="s">
        <v>13</v>
      </c>
      <c r="L511" s="55">
        <v>46161.53260056713</v>
      </c>
      <c r="M511" s="26"/>
    </row>
    <row r="512" spans="1:13" ht="75" customHeight="1" thickTop="1" thickBot="1">
      <c r="A512" s="26">
        <v>510</v>
      </c>
      <c r="B512" s="55">
        <f ca="1">IFERROR(__xludf.DUMMYFUNCTION("""COMPUTED_VALUE"""),46161.6049635763)</f>
        <v>46161.604963576297</v>
      </c>
      <c r="C512" s="56" t="str">
        <f ca="1">IFERROR(__xludf.DUMMYFUNCTION("""COMPUTED_VALUE"""),"المعملجي")</f>
        <v>المعملجي</v>
      </c>
      <c r="D512" s="56" t="str">
        <f ca="1">IFERROR(__xludf.DUMMYFUNCTION("""COMPUTED_VALUE"""),"ابراهيم الخطابي")</f>
        <v>ابراهيم الخطابي</v>
      </c>
      <c r="E512" s="26" t="str">
        <f ca="1">IFERROR(__xludf.DUMMYFUNCTION("""COMPUTED_VALUE"""),"مجموعة العميد التربوية")</f>
        <v>مجموعة العميد التربوية</v>
      </c>
      <c r="F512" s="26" t="str">
        <f ca="1">IFERROR(__xludf.DUMMYFUNCTION("""COMPUTED_VALUE"""),"A- المركز الثقافي")</f>
        <v>A- المركز الثقافي</v>
      </c>
      <c r="G512" s="26"/>
      <c r="H512" s="26" t="str">
        <f ca="1">IFERROR(__xludf.DUMMYFUNCTION("""COMPUTED_VALUE"""),"صيانة النرمادة في الكاونتر ")</f>
        <v xml:space="preserve">صيانة النرمادة في الكاونتر </v>
      </c>
      <c r="I512" s="26"/>
      <c r="J512" s="26" t="s">
        <v>16</v>
      </c>
      <c r="K512" s="26" t="s">
        <v>13</v>
      </c>
      <c r="L512" s="55">
        <v>46162.406678900465</v>
      </c>
      <c r="M512" s="26"/>
    </row>
    <row r="513" spans="1:13" ht="75" customHeight="1" thickTop="1" thickBot="1">
      <c r="A513" s="34">
        <v>511</v>
      </c>
      <c r="B513" s="55">
        <f ca="1">IFERROR(__xludf.DUMMYFUNCTION("""COMPUTED_VALUE"""),46161.6744529166)</f>
        <v>46161.674452916603</v>
      </c>
      <c r="C513" s="56" t="str">
        <f ca="1">IFERROR(__xludf.DUMMYFUNCTION("""COMPUTED_VALUE"""),"المعملجي")</f>
        <v>المعملجي</v>
      </c>
      <c r="D513" s="56" t="str">
        <f ca="1">IFERROR(__xludf.DUMMYFUNCTION("""COMPUTED_VALUE"""),"ابراهيم الخطابي")</f>
        <v>ابراهيم الخطابي</v>
      </c>
      <c r="E513" s="26" t="str">
        <f ca="1">IFERROR(__xludf.DUMMYFUNCTION("""COMPUTED_VALUE"""),"مجموعة العميد التربوية")</f>
        <v>مجموعة العميد التربوية</v>
      </c>
      <c r="F513" s="26" t="str">
        <f ca="1">IFERROR(__xludf.DUMMYFUNCTION("""COMPUTED_VALUE"""),"B- روضة القمر")</f>
        <v>B- روضة القمر</v>
      </c>
      <c r="G513" s="26"/>
      <c r="H513" s="26" t="str">
        <f ca="1">IFERROR(__xludf.DUMMYFUNCTION("""COMPUTED_VALUE"""),"يرجى تشغيل المفرغات في الصحيات ")</f>
        <v xml:space="preserve">يرجى تشغيل المفرغات في الصحيات </v>
      </c>
      <c r="I513" s="26"/>
      <c r="J513" s="26" t="s">
        <v>3910</v>
      </c>
      <c r="K513" s="26" t="s">
        <v>13</v>
      </c>
      <c r="L513" s="55">
        <v>46161.69875358796</v>
      </c>
      <c r="M513" s="26"/>
    </row>
    <row r="514" spans="1:13" ht="75" customHeight="1" thickTop="1" thickBot="1">
      <c r="A514" s="26">
        <v>512</v>
      </c>
      <c r="B514" s="55">
        <f ca="1">IFERROR(__xludf.DUMMYFUNCTION("""COMPUTED_VALUE"""),46162.4499781597)</f>
        <v>46162.449978159697</v>
      </c>
      <c r="C514" s="56" t="str">
        <f ca="1">IFERROR(__xludf.DUMMYFUNCTION("""COMPUTED_VALUE"""),"المعملجي")</f>
        <v>المعملجي</v>
      </c>
      <c r="D514" s="56" t="str">
        <f ca="1">IFERROR(__xludf.DUMMYFUNCTION("""COMPUTED_VALUE"""),"ابو سجاد ")</f>
        <v xml:space="preserve">ابو سجاد </v>
      </c>
      <c r="E514" s="26" t="str">
        <f ca="1">IFERROR(__xludf.DUMMYFUNCTION("""COMPUTED_VALUE"""),"مجموعة العميد التربوية")</f>
        <v>مجموعة العميد التربوية</v>
      </c>
      <c r="F514" s="26" t="str">
        <f ca="1">IFERROR(__xludf.DUMMYFUNCTION("""COMPUTED_VALUE"""),"A- المركز الثقافي")</f>
        <v>A- المركز الثقافي</v>
      </c>
      <c r="G514" s="26" t="str">
        <f ca="1">IFERROR(__xludf.DUMMYFUNCTION("""COMPUTED_VALUE"""),"الطابق الاول")</f>
        <v>الطابق الاول</v>
      </c>
      <c r="H514" s="26" t="str">
        <f ca="1">IFERROR(__xludf.DUMMYFUNCTION("""COMPUTED_VALUE"""),"لا يوجد كهرباء في بعض النقاط")</f>
        <v>لا يوجد كهرباء في بعض النقاط</v>
      </c>
      <c r="I514" s="26"/>
      <c r="J514" s="26" t="s">
        <v>3910</v>
      </c>
      <c r="K514" s="26" t="s">
        <v>13</v>
      </c>
      <c r="L514" s="55">
        <v>46162.724510439817</v>
      </c>
      <c r="M514" s="26"/>
    </row>
    <row r="515" spans="1:13" ht="75" customHeight="1" thickTop="1" thickBot="1">
      <c r="A515" s="34">
        <v>513</v>
      </c>
      <c r="B515" s="55">
        <f ca="1">IFERROR(__xludf.DUMMYFUNCTION("""COMPUTED_VALUE"""),46162.5015006365)</f>
        <v>46162.501500636499</v>
      </c>
      <c r="C515" s="56" t="str">
        <f ca="1">IFERROR(__xludf.DUMMYFUNCTION("""COMPUTED_VALUE"""),"المعملجي")</f>
        <v>المعملجي</v>
      </c>
      <c r="D515" s="56" t="str">
        <f ca="1">IFERROR(__xludf.DUMMYFUNCTION("""COMPUTED_VALUE"""),"ابو سجاد")</f>
        <v>ابو سجاد</v>
      </c>
      <c r="E515" s="26" t="str">
        <f ca="1">IFERROR(__xludf.DUMMYFUNCTION("""COMPUTED_VALUE"""),"مجموعة العميد التربوية")</f>
        <v>مجموعة العميد التربوية</v>
      </c>
      <c r="F515" s="26" t="str">
        <f ca="1">IFERROR(__xludf.DUMMYFUNCTION("""COMPUTED_VALUE"""),"A- المركز الثقافي")</f>
        <v>A- المركز الثقافي</v>
      </c>
      <c r="G515" s="26" t="str">
        <f ca="1">IFERROR(__xludf.DUMMYFUNCTION("""COMPUTED_VALUE"""),"الطابق الاول")</f>
        <v>الطابق الاول</v>
      </c>
      <c r="H515" s="26" t="str">
        <f ca="1">IFERROR(__xludf.DUMMYFUNCTION("""COMPUTED_VALUE"""),"تبديل بلك سويج")</f>
        <v>تبديل بلك سويج</v>
      </c>
      <c r="I515" s="26"/>
      <c r="J515" s="26" t="s">
        <v>3910</v>
      </c>
      <c r="K515" s="26" t="s">
        <v>13</v>
      </c>
      <c r="L515" s="55">
        <v>46162.724490000001</v>
      </c>
      <c r="M515" s="26"/>
    </row>
    <row r="516" spans="1:13" ht="75" customHeight="1" thickTop="1" thickBot="1">
      <c r="A516" s="26">
        <v>514</v>
      </c>
      <c r="B516" s="55">
        <f ca="1">IFERROR(__xludf.DUMMYFUNCTION("""COMPUTED_VALUE"""),46162.7360195023)</f>
        <v>46162.736019502299</v>
      </c>
      <c r="C516" s="56" t="str">
        <f ca="1">IFERROR(__xludf.DUMMYFUNCTION("""COMPUTED_VALUE"""),"المعملجي")</f>
        <v>المعملجي</v>
      </c>
      <c r="D516" s="56" t="str">
        <f ca="1">IFERROR(__xludf.DUMMYFUNCTION("""COMPUTED_VALUE"""),"ابو سجاد ")</f>
        <v xml:space="preserve">ابو سجاد </v>
      </c>
      <c r="E516" s="26" t="str">
        <f ca="1">IFERROR(__xludf.DUMMYFUNCTION("""COMPUTED_VALUE"""),"مجموعة العميد التربوية")</f>
        <v>مجموعة العميد التربوية</v>
      </c>
      <c r="F516" s="26" t="str">
        <f ca="1">IFERROR(__xludf.DUMMYFUNCTION("""COMPUTED_VALUE"""),"الاستعلامات الرئيسية")</f>
        <v>الاستعلامات الرئيسية</v>
      </c>
      <c r="G516" s="26" t="str">
        <f ca="1">IFERROR(__xludf.DUMMYFUNCTION("""COMPUTED_VALUE"""),"الطابق الارضي")</f>
        <v>الطابق الارضي</v>
      </c>
      <c r="H516" s="26" t="str">
        <f ca="1">IFERROR(__xludf.DUMMYFUNCTION("""COMPUTED_VALUE"""),"لا يوجد كهرباء ")</f>
        <v xml:space="preserve">لا يوجد كهرباء </v>
      </c>
      <c r="I516" s="26"/>
      <c r="J516" s="26" t="s">
        <v>3910</v>
      </c>
      <c r="K516" s="26" t="s">
        <v>13</v>
      </c>
      <c r="L516" s="55">
        <v>46162.736197303238</v>
      </c>
      <c r="M516" s="26"/>
    </row>
    <row r="517" spans="1:13" ht="75" customHeight="1" thickTop="1" thickBot="1">
      <c r="A517" s="34">
        <v>515</v>
      </c>
      <c r="B517" s="55">
        <f ca="1">IFERROR(__xludf.DUMMYFUNCTION("""COMPUTED_VALUE"""),46163.322146956)</f>
        <v>46163.322146956001</v>
      </c>
      <c r="C517" s="56" t="str">
        <f ca="1">IFERROR(__xludf.DUMMYFUNCTION("""COMPUTED_VALUE"""),"المعملجي")</f>
        <v>المعملجي</v>
      </c>
      <c r="D517" s="56" t="str">
        <f ca="1">IFERROR(__xludf.DUMMYFUNCTION("""COMPUTED_VALUE"""),"وحدة المدني")</f>
        <v>وحدة المدني</v>
      </c>
      <c r="E517" s="26" t="str">
        <f ca="1">IFERROR(__xludf.DUMMYFUNCTION("""COMPUTED_VALUE"""),"قسم المشاريع الهندسية")</f>
        <v>قسم المشاريع الهندسية</v>
      </c>
      <c r="F517" s="26" t="str">
        <f ca="1">IFERROR(__xludf.DUMMYFUNCTION("""COMPUTED_VALUE"""),"D- ثانوية العميد بناية المتوسطة  (الثانية)")</f>
        <v>D- ثانوية العميد بناية المتوسطة  (الثانية)</v>
      </c>
      <c r="G517" s="26" t="str">
        <f ca="1">IFERROR(__xludf.DUMMYFUNCTION("""COMPUTED_VALUE"""),"السطح")</f>
        <v>السطح</v>
      </c>
      <c r="H517" s="26" t="str">
        <f ca="1">IFERROR(__xludf.DUMMYFUNCTION("""COMPUTED_VALUE"""),"فتح ومعالجة سيفونات عدد 3")</f>
        <v>فتح ومعالجة سيفونات عدد 3</v>
      </c>
      <c r="I517" s="26"/>
      <c r="J517" s="26" t="s">
        <v>16</v>
      </c>
      <c r="K517" s="26" t="s">
        <v>13</v>
      </c>
      <c r="L517" s="55"/>
      <c r="M517" s="26"/>
    </row>
    <row r="518" spans="1:13" ht="75" customHeight="1" thickTop="1" thickBot="1">
      <c r="A518" s="26">
        <v>516</v>
      </c>
      <c r="B518" s="55">
        <f ca="1">IFERROR(__xludf.DUMMYFUNCTION("""COMPUTED_VALUE"""),46163.3243001157)</f>
        <v>46163.324300115702</v>
      </c>
      <c r="C518" s="56" t="str">
        <f ca="1">IFERROR(__xludf.DUMMYFUNCTION("""COMPUTED_VALUE"""),"المعملجي")</f>
        <v>المعملجي</v>
      </c>
      <c r="D518" s="56" t="str">
        <f ca="1">IFERROR(__xludf.DUMMYFUNCTION("""COMPUTED_VALUE"""),"وحدة المدني ")</f>
        <v xml:space="preserve">وحدة المدني </v>
      </c>
      <c r="E518" s="26" t="str">
        <f ca="1">IFERROR(__xludf.DUMMYFUNCTION("""COMPUTED_VALUE"""),"قسم المشاريع الهندسية")</f>
        <v>قسم المشاريع الهندسية</v>
      </c>
      <c r="F518" s="26" t="str">
        <f ca="1">IFERROR(__xludf.DUMMYFUNCTION("""COMPUTED_VALUE"""),"H- ابتدائية القمر للبنات (الخامسة)")</f>
        <v>H- ابتدائية القمر للبنات (الخامسة)</v>
      </c>
      <c r="G518" s="26" t="str">
        <f ca="1">IFERROR(__xludf.DUMMYFUNCTION("""COMPUTED_VALUE"""),"الطابق الاول, ZONE B")</f>
        <v>الطابق الاول, ZONE B</v>
      </c>
      <c r="H518" s="26" t="str">
        <f ca="1">IFERROR(__xludf.DUMMYFUNCTION("""COMPUTED_VALUE"""),"تبديل يدة باب المنيوم ")</f>
        <v xml:space="preserve">تبديل يدة باب المنيوم </v>
      </c>
      <c r="I518" s="26"/>
      <c r="J518" s="26" t="s">
        <v>16</v>
      </c>
      <c r="K518" s="26" t="s">
        <v>13</v>
      </c>
      <c r="L518" s="55"/>
      <c r="M518" s="26"/>
    </row>
    <row r="519" spans="1:13" ht="75" customHeight="1" thickTop="1" thickBot="1">
      <c r="A519" s="34">
        <v>517</v>
      </c>
      <c r="B519" s="55">
        <f ca="1">IFERROR(__xludf.DUMMYFUNCTION("""COMPUTED_VALUE"""),46163.3250490625)</f>
        <v>46163.3250490625</v>
      </c>
      <c r="C519" s="56" t="str">
        <f ca="1">IFERROR(__xludf.DUMMYFUNCTION("""COMPUTED_VALUE"""),"المعملجي")</f>
        <v>المعملجي</v>
      </c>
      <c r="D519" s="56" t="str">
        <f ca="1">IFERROR(__xludf.DUMMYFUNCTION("""COMPUTED_VALUE"""),"وحدة المدني ")</f>
        <v xml:space="preserve">وحدة المدني </v>
      </c>
      <c r="E519" s="26" t="str">
        <f ca="1">IFERROR(__xludf.DUMMYFUNCTION("""COMPUTED_VALUE"""),"قسم المشاريع الهندسية")</f>
        <v>قسم المشاريع الهندسية</v>
      </c>
      <c r="F519" s="26" t="str">
        <f ca="1">IFERROR(__xludf.DUMMYFUNCTION("""COMPUTED_VALUE"""),"I- ابتدائية الساقي للبنين (السادسة)")</f>
        <v>I- ابتدائية الساقي للبنين (السادسة)</v>
      </c>
      <c r="G519" s="26" t="str">
        <f ca="1">IFERROR(__xludf.DUMMYFUNCTION("""COMPUTED_VALUE"""),"الطابق الارضي")</f>
        <v>الطابق الارضي</v>
      </c>
      <c r="H519" s="26" t="str">
        <f ca="1">IFERROR(__xludf.DUMMYFUNCTION("""COMPUTED_VALUE"""),"صيانة بردة")</f>
        <v>صيانة بردة</v>
      </c>
      <c r="I519" s="26"/>
      <c r="J519" s="26" t="s">
        <v>16</v>
      </c>
      <c r="K519" s="26" t="s">
        <v>13</v>
      </c>
      <c r="L519" s="55"/>
      <c r="M519" s="26"/>
    </row>
    <row r="520" spans="1:13" ht="75" customHeight="1" thickTop="1" thickBot="1">
      <c r="A520" s="26">
        <v>518</v>
      </c>
      <c r="B520" s="55">
        <f ca="1">IFERROR(__xludf.DUMMYFUNCTION("""COMPUTED_VALUE"""),46163.3254965277)</f>
        <v>46163.325496527701</v>
      </c>
      <c r="C520" s="56" t="str">
        <f ca="1">IFERROR(__xludf.DUMMYFUNCTION("""COMPUTED_VALUE"""),"المعملجي")</f>
        <v>المعملجي</v>
      </c>
      <c r="D520" s="56" t="str">
        <f ca="1">IFERROR(__xludf.DUMMYFUNCTION("""COMPUTED_VALUE"""),"وحدة المدني ")</f>
        <v xml:space="preserve">وحدة المدني </v>
      </c>
      <c r="E520" s="26" t="str">
        <f ca="1">IFERROR(__xludf.DUMMYFUNCTION("""COMPUTED_VALUE"""),"قسم المشاريع الهندسية")</f>
        <v>قسم المشاريع الهندسية</v>
      </c>
      <c r="F520" s="26" t="str">
        <f ca="1">IFERROR(__xludf.DUMMYFUNCTION("""COMPUTED_VALUE"""),"H- ابتدائية القمر للبنات (الخامسة)")</f>
        <v>H- ابتدائية القمر للبنات (الخامسة)</v>
      </c>
      <c r="G520" s="26" t="str">
        <f ca="1">IFERROR(__xludf.DUMMYFUNCTION("""COMPUTED_VALUE"""),"الطابق الاول")</f>
        <v>الطابق الاول</v>
      </c>
      <c r="H520" s="26" t="str">
        <f ca="1">IFERROR(__xludf.DUMMYFUNCTION("""COMPUTED_VALUE"""),"صيانة بردة ")</f>
        <v xml:space="preserve">صيانة بردة </v>
      </c>
      <c r="I520" s="26"/>
      <c r="J520" s="26" t="s">
        <v>16</v>
      </c>
      <c r="K520" s="26" t="s">
        <v>13</v>
      </c>
      <c r="L520" s="55"/>
      <c r="M520" s="26"/>
    </row>
    <row r="521" spans="1:13" ht="75" customHeight="1" thickTop="1" thickBot="1">
      <c r="A521" s="34">
        <v>519</v>
      </c>
      <c r="B521" s="55">
        <f ca="1">IFERROR(__xludf.DUMMYFUNCTION("""COMPUTED_VALUE"""),46163.3258683911)</f>
        <v>46163.325868391199</v>
      </c>
      <c r="C521" s="56" t="str">
        <f ca="1">IFERROR(__xludf.DUMMYFUNCTION("""COMPUTED_VALUE"""),"المعملجي")</f>
        <v>المعملجي</v>
      </c>
      <c r="D521" s="56" t="str">
        <f ca="1">IFERROR(__xludf.DUMMYFUNCTION("""COMPUTED_VALUE"""),"وحدة المدني ")</f>
        <v xml:space="preserve">وحدة المدني </v>
      </c>
      <c r="E521" s="26" t="str">
        <f ca="1">IFERROR(__xludf.DUMMYFUNCTION("""COMPUTED_VALUE"""),"قسم المشاريع الهندسية")</f>
        <v>قسم المشاريع الهندسية</v>
      </c>
      <c r="F521" s="26" t="str">
        <f ca="1">IFERROR(__xludf.DUMMYFUNCTION("""COMPUTED_VALUE"""),"H- ابتدائية القمر للبنات (الخامسة)")</f>
        <v>H- ابتدائية القمر للبنات (الخامسة)</v>
      </c>
      <c r="G521" s="26" t="str">
        <f ca="1">IFERROR(__xludf.DUMMYFUNCTION("""COMPUTED_VALUE"""),"الطابق الثاني")</f>
        <v>الطابق الثاني</v>
      </c>
      <c r="H521" s="26" t="str">
        <f ca="1">IFERROR(__xludf.DUMMYFUNCTION("""COMPUTED_VALUE"""),"تبديل يدة شباك حديد ")</f>
        <v xml:space="preserve">تبديل يدة شباك حديد </v>
      </c>
      <c r="I521" s="26"/>
      <c r="J521" s="26" t="s">
        <v>16</v>
      </c>
      <c r="K521" s="26" t="s">
        <v>13</v>
      </c>
      <c r="L521" s="55"/>
      <c r="M521" s="26"/>
    </row>
    <row r="522" spans="1:13" ht="75" customHeight="1" thickTop="1" thickBot="1">
      <c r="A522" s="26">
        <v>520</v>
      </c>
      <c r="B522" s="55">
        <f ca="1">IFERROR(__xludf.DUMMYFUNCTION("""COMPUTED_VALUE"""),46163.3266102662)</f>
        <v>46163.326610266202</v>
      </c>
      <c r="C522" s="56" t="str">
        <f ca="1">IFERROR(__xludf.DUMMYFUNCTION("""COMPUTED_VALUE"""),"المعملجي")</f>
        <v>المعملجي</v>
      </c>
      <c r="D522" s="56" t="str">
        <f ca="1">IFERROR(__xludf.DUMMYFUNCTION("""COMPUTED_VALUE"""),"وحدة المدني ")</f>
        <v xml:space="preserve">وحدة المدني </v>
      </c>
      <c r="E522" s="26" t="str">
        <f ca="1">IFERROR(__xludf.DUMMYFUNCTION("""COMPUTED_VALUE"""),"قسم المشاريع الهندسية")</f>
        <v>قسم المشاريع الهندسية</v>
      </c>
      <c r="F522" s="26" t="str">
        <f ca="1">IFERROR(__xludf.DUMMYFUNCTION("""COMPUTED_VALUE"""),"H- ابتدائية القمر للبنات (الخامسة)")</f>
        <v>H- ابتدائية القمر للبنات (الخامسة)</v>
      </c>
      <c r="G522" s="26" t="str">
        <f ca="1">IFERROR(__xludf.DUMMYFUNCTION("""COMPUTED_VALUE"""),"الطابق الارضي")</f>
        <v>الطابق الارضي</v>
      </c>
      <c r="H522" s="26" t="str">
        <f ca="1">IFERROR(__xludf.DUMMYFUNCTION("""COMPUTED_VALUE"""),"صيانة باب المنيوم بين الزونين")</f>
        <v>صيانة باب المنيوم بين الزونين</v>
      </c>
      <c r="I522" s="26"/>
      <c r="J522" s="26" t="s">
        <v>16</v>
      </c>
      <c r="K522" s="26" t="s">
        <v>13</v>
      </c>
      <c r="L522" s="55"/>
      <c r="M522" s="26"/>
    </row>
    <row r="523" spans="1:13" ht="75" customHeight="1" thickTop="1" thickBot="1">
      <c r="A523" s="34">
        <v>521</v>
      </c>
      <c r="B523" s="55">
        <f ca="1">IFERROR(__xludf.DUMMYFUNCTION("""COMPUTED_VALUE"""),46165.4156678819)</f>
        <v>46165.415667881898</v>
      </c>
      <c r="C523" s="56" t="str">
        <f ca="1">IFERROR(__xludf.DUMMYFUNCTION("""COMPUTED_VALUE"""),"المعملجي")</f>
        <v>المعملجي</v>
      </c>
      <c r="D523" s="56" t="str">
        <f ca="1">IFERROR(__xludf.DUMMYFUNCTION("""COMPUTED_VALUE"""),"وحدة الكهرباء")</f>
        <v>وحدة الكهرباء</v>
      </c>
      <c r="E523" s="26" t="str">
        <f ca="1">IFERROR(__xludf.DUMMYFUNCTION("""COMPUTED_VALUE"""),"قسم المشاريع الهندسية")</f>
        <v>قسم المشاريع الهندسية</v>
      </c>
      <c r="F523" s="26" t="str">
        <f ca="1">IFERROR(__xludf.DUMMYFUNCTION("""COMPUTED_VALUE"""),"G- روضة الجود")</f>
        <v>G- روضة الجود</v>
      </c>
      <c r="G523" s="26" t="str">
        <f ca="1">IFERROR(__xludf.DUMMYFUNCTION("""COMPUTED_VALUE"""),"غرفة الكهرباء, ")</f>
        <v xml:space="preserve">غرفة الكهرباء, </v>
      </c>
      <c r="H523" s="26" t="str">
        <f ca="1">IFERROR(__xludf.DUMMYFUNCTION("""COMPUTED_VALUE"""),"استبدال ATS الروضة G الخاص بالتحويل بين المولدة والوطني")</f>
        <v>استبدال ATS الروضة G الخاص بالتحويل بين المولدة والوطني</v>
      </c>
      <c r="I523" s="26"/>
      <c r="J523" s="26" t="s">
        <v>3910</v>
      </c>
      <c r="K523" s="26" t="s">
        <v>13</v>
      </c>
      <c r="L523" s="55">
        <v>46165.465901053241</v>
      </c>
      <c r="M523" s="26"/>
    </row>
    <row r="524" spans="1:13" ht="75" customHeight="1" thickTop="1" thickBot="1">
      <c r="A524" s="26">
        <v>522</v>
      </c>
      <c r="B524" s="55">
        <f ca="1">IFERROR(__xludf.DUMMYFUNCTION("""COMPUTED_VALUE"""),46165.4175975231)</f>
        <v>46165.417597523097</v>
      </c>
      <c r="C524" s="56" t="str">
        <f ca="1">IFERROR(__xludf.DUMMYFUNCTION("""COMPUTED_VALUE"""),"المعملجي")</f>
        <v>المعملجي</v>
      </c>
      <c r="D524" s="56" t="str">
        <f ca="1">IFERROR(__xludf.DUMMYFUNCTION("""COMPUTED_VALUE"""),"وحدة الكهرباء")</f>
        <v>وحدة الكهرباء</v>
      </c>
      <c r="E524" s="26" t="str">
        <f ca="1">IFERROR(__xludf.DUMMYFUNCTION("""COMPUTED_VALUE"""),"قسم المشاريع الهندسية")</f>
        <v>قسم المشاريع الهندسية</v>
      </c>
      <c r="F524" s="26" t="str">
        <f ca="1">IFERROR(__xludf.DUMMYFUNCTION("""COMPUTED_VALUE"""),"A- المركز الثقافي")</f>
        <v>A- المركز الثقافي</v>
      </c>
      <c r="G524" s="26"/>
      <c r="H524" s="26" t="str">
        <f ca="1">IFERROR(__xludf.DUMMYFUNCTION("""COMPUTED_VALUE"""),"استبدال براكيت جانبي")</f>
        <v>استبدال براكيت جانبي</v>
      </c>
      <c r="I524" s="26"/>
      <c r="J524" s="26" t="s">
        <v>3910</v>
      </c>
      <c r="K524" s="26" t="s">
        <v>13</v>
      </c>
      <c r="L524" s="55">
        <v>46165.465908402781</v>
      </c>
      <c r="M524" s="26"/>
    </row>
    <row r="525" spans="1:13" ht="75" customHeight="1" thickTop="1" thickBot="1">
      <c r="A525" s="34">
        <v>523</v>
      </c>
      <c r="B525" s="55">
        <f ca="1">IFERROR(__xludf.DUMMYFUNCTION("""COMPUTED_VALUE"""),46165.4185836342)</f>
        <v>46165.4185836342</v>
      </c>
      <c r="C525" s="56" t="str">
        <f ca="1">IFERROR(__xludf.DUMMYFUNCTION("""COMPUTED_VALUE"""),"المعملجي")</f>
        <v>المعملجي</v>
      </c>
      <c r="D525" s="56" t="str">
        <f ca="1">IFERROR(__xludf.DUMMYFUNCTION("""COMPUTED_VALUE"""),"وحدة الكهرباء")</f>
        <v>وحدة الكهرباء</v>
      </c>
      <c r="E525" s="26" t="str">
        <f ca="1">IFERROR(__xludf.DUMMYFUNCTION("""COMPUTED_VALUE"""),"قسم المشاريع الهندسية")</f>
        <v>قسم المشاريع الهندسية</v>
      </c>
      <c r="F525" s="26" t="str">
        <f ca="1">IFERROR(__xludf.DUMMYFUNCTION("""COMPUTED_VALUE"""),"A- المركز الثقافي")</f>
        <v>A- المركز الثقافي</v>
      </c>
      <c r="G525" s="26" t="str">
        <f ca="1">IFERROR(__xludf.DUMMYFUNCTION("""COMPUTED_VALUE"""),"data center")</f>
        <v>data center</v>
      </c>
      <c r="H525" s="26" t="str">
        <f ca="1">IFERROR(__xludf.DUMMYFUNCTION("""COMPUTED_VALUE"""),"اضافة ups  جديد 3 كيلوا بدل من ups التالف الخاص بالبرج")</f>
        <v>اضافة ups  جديد 3 كيلوا بدل من ups التالف الخاص بالبرج</v>
      </c>
      <c r="I525" s="26"/>
      <c r="J525" s="26" t="s">
        <v>3910</v>
      </c>
      <c r="K525" s="26" t="s">
        <v>13</v>
      </c>
      <c r="L525" s="55">
        <v>46165.465967974538</v>
      </c>
      <c r="M525" s="26"/>
    </row>
    <row r="526" spans="1:13" ht="75" customHeight="1" thickTop="1" thickBot="1">
      <c r="A526" s="26">
        <v>524</v>
      </c>
      <c r="B526" s="55">
        <f ca="1">IFERROR(__xludf.DUMMYFUNCTION("""COMPUTED_VALUE"""),46165.4194765393)</f>
        <v>46165.419476539297</v>
      </c>
      <c r="C526" s="56" t="str">
        <f ca="1">IFERROR(__xludf.DUMMYFUNCTION("""COMPUTED_VALUE"""),"المعملجي")</f>
        <v>المعملجي</v>
      </c>
      <c r="D526" s="56" t="str">
        <f ca="1">IFERROR(__xludf.DUMMYFUNCTION("""COMPUTED_VALUE"""),"وحدة الكهرباء")</f>
        <v>وحدة الكهرباء</v>
      </c>
      <c r="E526" s="26" t="str">
        <f ca="1">IFERROR(__xludf.DUMMYFUNCTION("""COMPUTED_VALUE"""),"قسم المشاريع الهندسية")</f>
        <v>قسم المشاريع الهندسية</v>
      </c>
      <c r="F526" s="26" t="str">
        <f ca="1">IFERROR(__xludf.DUMMYFUNCTION("""COMPUTED_VALUE"""),"I- ابتدائية الساقي للبنين (السادسة)")</f>
        <v>I- ابتدائية الساقي للبنين (السادسة)</v>
      </c>
      <c r="G526" s="26" t="str">
        <f ca="1">IFERROR(__xludf.DUMMYFUNCTION("""COMPUTED_VALUE"""),"السطح, غرفة المصعد")</f>
        <v>السطح, غرفة المصعد</v>
      </c>
      <c r="H526" s="26" t="str">
        <f ca="1">IFERROR(__xludf.DUMMYFUNCTION("""COMPUTED_VALUE"""),"تنشيف الغرفة وبورد الكهرباء من مياه الامطار")</f>
        <v>تنشيف الغرفة وبورد الكهرباء من مياه الامطار</v>
      </c>
      <c r="I526" s="26"/>
      <c r="J526" s="26" t="s">
        <v>3910</v>
      </c>
      <c r="K526" s="26" t="s">
        <v>13</v>
      </c>
      <c r="L526" s="55">
        <v>46165.46592599537</v>
      </c>
      <c r="M526" s="26"/>
    </row>
    <row r="527" spans="1:13" ht="75" customHeight="1" thickTop="1" thickBot="1">
      <c r="A527" s="34">
        <v>525</v>
      </c>
      <c r="B527" s="55">
        <f ca="1">IFERROR(__xludf.DUMMYFUNCTION("""COMPUTED_VALUE"""),46165.4361290277)</f>
        <v>46165.436129027701</v>
      </c>
      <c r="C527" s="56" t="str">
        <f ca="1">IFERROR(__xludf.DUMMYFUNCTION("""COMPUTED_VALUE"""),"المعملجي")</f>
        <v>المعملجي</v>
      </c>
      <c r="D527" s="56" t="str">
        <f ca="1">IFERROR(__xludf.DUMMYFUNCTION("""COMPUTED_VALUE"""),"وحدة الكهرباء")</f>
        <v>وحدة الكهرباء</v>
      </c>
      <c r="E527" s="26" t="str">
        <f ca="1">IFERROR(__xludf.DUMMYFUNCTION("""COMPUTED_VALUE"""),"قسم المشاريع الهندسية")</f>
        <v>قسم المشاريع الهندسية</v>
      </c>
      <c r="F527" s="26" t="str">
        <f ca="1">IFERROR(__xludf.DUMMYFUNCTION("""COMPUTED_VALUE"""),"A- المركز الثقافي")</f>
        <v>A- المركز الثقافي</v>
      </c>
      <c r="G527" s="26" t="str">
        <f ca="1">IFERROR(__xludf.DUMMYFUNCTION("""COMPUTED_VALUE"""),"data center")</f>
        <v>data center</v>
      </c>
      <c r="H527" s="26" t="str">
        <f ca="1">IFERROR(__xludf.DUMMYFUNCTION("""COMPUTED_VALUE"""),"اعادة تغذية مكيف الغرفة من بورد ups")</f>
        <v>اعادة تغذية مكيف الغرفة من بورد ups</v>
      </c>
      <c r="I527" s="26"/>
      <c r="J527" s="26" t="s">
        <v>3910</v>
      </c>
      <c r="K527" s="26" t="s">
        <v>13</v>
      </c>
      <c r="L527" s="55">
        <v>46165.46592938657</v>
      </c>
      <c r="M527" s="26"/>
    </row>
    <row r="528" spans="1:13" ht="75" customHeight="1" thickTop="1" thickBot="1">
      <c r="A528" s="26">
        <v>526</v>
      </c>
      <c r="B528" s="55">
        <f ca="1">IFERROR(__xludf.DUMMYFUNCTION("""COMPUTED_VALUE"""),46165.4371509721)</f>
        <v>46165.437150972197</v>
      </c>
      <c r="C528" s="56" t="str">
        <f ca="1">IFERROR(__xludf.DUMMYFUNCTION("""COMPUTED_VALUE"""),"المعملجي")</f>
        <v>المعملجي</v>
      </c>
      <c r="D528" s="56" t="str">
        <f ca="1">IFERROR(__xludf.DUMMYFUNCTION("""COMPUTED_VALUE"""),"وحدة الكهرباء")</f>
        <v>وحدة الكهرباء</v>
      </c>
      <c r="E528" s="26" t="str">
        <f ca="1">IFERROR(__xludf.DUMMYFUNCTION("""COMPUTED_VALUE"""),"قسم المشاريع الهندسية")</f>
        <v>قسم المشاريع الهندسية</v>
      </c>
      <c r="F528" s="26" t="str">
        <f ca="1">IFERROR(__xludf.DUMMYFUNCTION("""COMPUTED_VALUE"""),"A- المركز الثقافي")</f>
        <v>A- المركز الثقافي</v>
      </c>
      <c r="G528" s="26" t="str">
        <f ca="1">IFERROR(__xludf.DUMMYFUNCTION("""COMPUTED_VALUE"""),"الطابق الرابع,  شعبة المراقبة")</f>
        <v>الطابق الرابع,  شعبة المراقبة</v>
      </c>
      <c r="H528" s="26" t="str">
        <f ca="1">IFERROR(__xludf.DUMMYFUNCTION("""COMPUTED_VALUE"""),"تبديل 7 محولات سبوت لايت تالفة")</f>
        <v>تبديل 7 محولات سبوت لايت تالفة</v>
      </c>
      <c r="I528" s="26"/>
      <c r="J528" s="26" t="s">
        <v>3910</v>
      </c>
      <c r="K528" s="26" t="s">
        <v>13</v>
      </c>
      <c r="L528" s="55">
        <v>46165.465988229167</v>
      </c>
      <c r="M528" s="26"/>
    </row>
    <row r="529" spans="1:13" ht="75" customHeight="1" thickTop="1" thickBot="1">
      <c r="A529" s="34">
        <v>527</v>
      </c>
      <c r="B529" s="55">
        <f ca="1">IFERROR(__xludf.DUMMYFUNCTION("""COMPUTED_VALUE"""),46165.4378698263)</f>
        <v>46165.437869826303</v>
      </c>
      <c r="C529" s="56" t="str">
        <f ca="1">IFERROR(__xludf.DUMMYFUNCTION("""COMPUTED_VALUE"""),"المعملجي")</f>
        <v>المعملجي</v>
      </c>
      <c r="D529" s="56" t="str">
        <f ca="1">IFERROR(__xludf.DUMMYFUNCTION("""COMPUTED_VALUE"""),"وحدة الكهرباء")</f>
        <v>وحدة الكهرباء</v>
      </c>
      <c r="E529" s="26" t="str">
        <f ca="1">IFERROR(__xludf.DUMMYFUNCTION("""COMPUTED_VALUE"""),"قسم المشاريع الهندسية")</f>
        <v>قسم المشاريع الهندسية</v>
      </c>
      <c r="F529" s="26" t="str">
        <f ca="1">IFERROR(__xludf.DUMMYFUNCTION("""COMPUTED_VALUE"""),"الاستعلامات الرئيسية")</f>
        <v>الاستعلامات الرئيسية</v>
      </c>
      <c r="G529" s="26"/>
      <c r="H529" s="26" t="str">
        <f ca="1">IFERROR(__xludf.DUMMYFUNCTION("""COMPUTED_VALUE"""),"تثبيت سبوت لايت واضافة اخر جديد جهة الشارع العام")</f>
        <v>تثبيت سبوت لايت واضافة اخر جديد جهة الشارع العام</v>
      </c>
      <c r="I529" s="26"/>
      <c r="J529" s="26" t="s">
        <v>3910</v>
      </c>
      <c r="K529" s="26" t="s">
        <v>13</v>
      </c>
      <c r="L529" s="55">
        <v>46165.465998356478</v>
      </c>
      <c r="M529" s="26"/>
    </row>
    <row r="530" spans="1:13" ht="75" customHeight="1" thickTop="1" thickBot="1">
      <c r="A530" s="26">
        <v>528</v>
      </c>
      <c r="B530" s="55">
        <f ca="1">IFERROR(__xludf.DUMMYFUNCTION("""COMPUTED_VALUE"""),46165.4439068634)</f>
        <v>46165.443906863402</v>
      </c>
      <c r="C530" s="56" t="str">
        <f ca="1">IFERROR(__xludf.DUMMYFUNCTION("""COMPUTED_VALUE"""),"المعملجي")</f>
        <v>المعملجي</v>
      </c>
      <c r="D530" s="56" t="str">
        <f ca="1">IFERROR(__xludf.DUMMYFUNCTION("""COMPUTED_VALUE"""),"وحدة الكهرباء")</f>
        <v>وحدة الكهرباء</v>
      </c>
      <c r="E530" s="26" t="str">
        <f ca="1">IFERROR(__xludf.DUMMYFUNCTION("""COMPUTED_VALUE"""),"قسم المشاريع الهندسية")</f>
        <v>قسم المشاريع الهندسية</v>
      </c>
      <c r="F530" s="26" t="str">
        <f ca="1">IFERROR(__xludf.DUMMYFUNCTION("""COMPUTED_VALUE"""),"النافورة")</f>
        <v>النافورة</v>
      </c>
      <c r="G530" s="26"/>
      <c r="H530" s="26" t="str">
        <f ca="1">IFERROR(__xludf.DUMMYFUNCTION("""COMPUTED_VALUE"""),"ربط سيار كهرباء")</f>
        <v>ربط سيار كهرباء</v>
      </c>
      <c r="I530" s="26"/>
      <c r="J530" s="26" t="s">
        <v>3910</v>
      </c>
      <c r="K530" s="26" t="s">
        <v>13</v>
      </c>
      <c r="L530" s="55">
        <v>46165.466013182871</v>
      </c>
      <c r="M530" s="26"/>
    </row>
    <row r="531" spans="1:13" ht="75" customHeight="1" thickTop="1" thickBot="1">
      <c r="A531" s="34">
        <v>529</v>
      </c>
      <c r="B531" s="55">
        <f ca="1">IFERROR(__xludf.DUMMYFUNCTION("""COMPUTED_VALUE"""),46165.4542321875)</f>
        <v>46165.454232187498</v>
      </c>
      <c r="C531" s="56" t="str">
        <f ca="1">IFERROR(__xludf.DUMMYFUNCTION("""COMPUTED_VALUE"""),"المعملجي")</f>
        <v>المعملجي</v>
      </c>
      <c r="D531" s="56" t="str">
        <f ca="1">IFERROR(__xludf.DUMMYFUNCTION("""COMPUTED_VALUE"""),"وحدة الكهرباء")</f>
        <v>وحدة الكهرباء</v>
      </c>
      <c r="E531" s="26" t="str">
        <f ca="1">IFERROR(__xludf.DUMMYFUNCTION("""COMPUTED_VALUE"""),"قسم المشاريع الهندسية")</f>
        <v>قسم المشاريع الهندسية</v>
      </c>
      <c r="F531" s="26" t="str">
        <f ca="1">IFERROR(__xludf.DUMMYFUNCTION("""COMPUTED_VALUE"""),"النافورة")</f>
        <v>النافورة</v>
      </c>
      <c r="G531" s="26"/>
      <c r="H531" s="26" t="str">
        <f ca="1">IFERROR(__xludf.DUMMYFUNCTION("""COMPUTED_VALUE"""),"ربط سيار ثاني مؤقت قرب النافورة")</f>
        <v>ربط سيار ثاني مؤقت قرب النافورة</v>
      </c>
      <c r="I531" s="26"/>
      <c r="J531" s="26" t="s">
        <v>3910</v>
      </c>
      <c r="K531" s="26" t="s">
        <v>13</v>
      </c>
      <c r="L531" s="55">
        <v>46165.466018506944</v>
      </c>
      <c r="M531" s="26"/>
    </row>
    <row r="532" spans="1:13" ht="75" customHeight="1" thickTop="1" thickBot="1">
      <c r="A532" s="26">
        <v>530</v>
      </c>
      <c r="B532" s="55">
        <f ca="1">IFERROR(__xludf.DUMMYFUNCTION("""COMPUTED_VALUE"""),46165.4547836458)</f>
        <v>46165.4547836458</v>
      </c>
      <c r="C532" s="56" t="str">
        <f ca="1">IFERROR(__xludf.DUMMYFUNCTION("""COMPUTED_VALUE"""),"المعملجي")</f>
        <v>المعملجي</v>
      </c>
      <c r="D532" s="56" t="str">
        <f ca="1">IFERROR(__xludf.DUMMYFUNCTION("""COMPUTED_VALUE"""),"وحدة الكهرباء")</f>
        <v>وحدة الكهرباء</v>
      </c>
      <c r="E532" s="26" t="str">
        <f ca="1">IFERROR(__xludf.DUMMYFUNCTION("""COMPUTED_VALUE"""),"قسم المشاريع الهندسية")</f>
        <v>قسم المشاريع الهندسية</v>
      </c>
      <c r="F532" s="26" t="str">
        <f ca="1">IFERROR(__xludf.DUMMYFUNCTION("""COMPUTED_VALUE"""),"J- جامعة العميد (السابعة)")</f>
        <v>J- جامعة العميد (السابعة)</v>
      </c>
      <c r="G532" s="26" t="str">
        <f ca="1">IFERROR(__xludf.DUMMYFUNCTION("""COMPUTED_VALUE"""),"المصعد")</f>
        <v>المصعد</v>
      </c>
      <c r="H532" s="26" t="str">
        <f ca="1">IFERROR(__xludf.DUMMYFUNCTION("""COMPUTED_VALUE"""),"ربط الهاتف مباشر مع المصعد لفرض فحصه")</f>
        <v>ربط الهاتف مباشر مع المصعد لفرض فحصه</v>
      </c>
      <c r="I532" s="26"/>
      <c r="J532" s="26" t="s">
        <v>3910</v>
      </c>
      <c r="K532" s="26" t="s">
        <v>13</v>
      </c>
      <c r="L532" s="55">
        <v>46165.466025254631</v>
      </c>
      <c r="M532" s="26"/>
    </row>
    <row r="533" spans="1:13" ht="75" customHeight="1" thickTop="1" thickBot="1">
      <c r="A533" s="34">
        <v>531</v>
      </c>
      <c r="B533" s="55">
        <f ca="1">IFERROR(__xludf.DUMMYFUNCTION("""COMPUTED_VALUE"""),46165.4552679745)</f>
        <v>46165.455267974503</v>
      </c>
      <c r="C533" s="56" t="str">
        <f ca="1">IFERROR(__xludf.DUMMYFUNCTION("""COMPUTED_VALUE"""),"المعملجي")</f>
        <v>المعملجي</v>
      </c>
      <c r="D533" s="56" t="str">
        <f ca="1">IFERROR(__xludf.DUMMYFUNCTION("""COMPUTED_VALUE"""),"وحدة الكهرباء")</f>
        <v>وحدة الكهرباء</v>
      </c>
      <c r="E533" s="26" t="str">
        <f ca="1">IFERROR(__xludf.DUMMYFUNCTION("""COMPUTED_VALUE"""),"قسم المشاريع الهندسية")</f>
        <v>قسم المشاريع الهندسية</v>
      </c>
      <c r="F533" s="26" t="str">
        <f ca="1">IFERROR(__xludf.DUMMYFUNCTION("""COMPUTED_VALUE"""),"النافورة")</f>
        <v>النافورة</v>
      </c>
      <c r="G533" s="26"/>
      <c r="H533" s="26" t="str">
        <f ca="1">IFERROR(__xludf.DUMMYFUNCTION("""COMPUTED_VALUE"""),"فصل السياران الكهربائيان قرب النافورة")</f>
        <v>فصل السياران الكهربائيان قرب النافورة</v>
      </c>
      <c r="I533" s="26"/>
      <c r="J533" s="26" t="s">
        <v>3910</v>
      </c>
      <c r="K533" s="26" t="s">
        <v>13</v>
      </c>
      <c r="L533" s="55">
        <v>46165.466032800927</v>
      </c>
      <c r="M533" s="26"/>
    </row>
    <row r="534" spans="1:13" ht="75" customHeight="1" thickTop="1" thickBot="1">
      <c r="A534" s="26">
        <v>532</v>
      </c>
      <c r="B534" s="55">
        <f ca="1">IFERROR(__xludf.DUMMYFUNCTION("""COMPUTED_VALUE"""),46165.4557654282)</f>
        <v>46165.455765428203</v>
      </c>
      <c r="C534" s="56" t="str">
        <f ca="1">IFERROR(__xludf.DUMMYFUNCTION("""COMPUTED_VALUE"""),"المعملجي")</f>
        <v>المعملجي</v>
      </c>
      <c r="D534" s="56" t="str">
        <f ca="1">IFERROR(__xludf.DUMMYFUNCTION("""COMPUTED_VALUE"""),"وحدة الكهرباء")</f>
        <v>وحدة الكهرباء</v>
      </c>
      <c r="E534" s="26" t="str">
        <f ca="1">IFERROR(__xludf.DUMMYFUNCTION("""COMPUTED_VALUE"""),"قسم المشاريع الهندسية")</f>
        <v>قسم المشاريع الهندسية</v>
      </c>
      <c r="F534" s="26" t="str">
        <f ca="1">IFERROR(__xludf.DUMMYFUNCTION("""COMPUTED_VALUE"""),"A- المركز الثقافي")</f>
        <v>A- المركز الثقافي</v>
      </c>
      <c r="G534" s="26"/>
      <c r="H534" s="26" t="str">
        <f ca="1">IFERROR(__xludf.DUMMYFUNCTION("""COMPUTED_VALUE"""),"استبدال محولات سبوت لايت تالفة عدد 5")</f>
        <v>استبدال محولات سبوت لايت تالفة عدد 5</v>
      </c>
      <c r="I534" s="26"/>
      <c r="J534" s="26" t="s">
        <v>3910</v>
      </c>
      <c r="K534" s="26" t="s">
        <v>13</v>
      </c>
      <c r="L534" s="55">
        <v>46165.466040520834</v>
      </c>
      <c r="M534" s="26"/>
    </row>
    <row r="535" spans="1:13" ht="75" customHeight="1" thickTop="1" thickBot="1">
      <c r="A535" s="34">
        <v>533</v>
      </c>
      <c r="B535" s="55">
        <f ca="1">IFERROR(__xludf.DUMMYFUNCTION("""COMPUTED_VALUE"""),46165.4562922106)</f>
        <v>46165.456292210598</v>
      </c>
      <c r="C535" s="56" t="str">
        <f ca="1">IFERROR(__xludf.DUMMYFUNCTION("""COMPUTED_VALUE"""),"المعملجي")</f>
        <v>المعملجي</v>
      </c>
      <c r="D535" s="56" t="str">
        <f ca="1">IFERROR(__xludf.DUMMYFUNCTION("""COMPUTED_VALUE"""),"وحدة الكهرباء")</f>
        <v>وحدة الكهرباء</v>
      </c>
      <c r="E535" s="26" t="str">
        <f ca="1">IFERROR(__xludf.DUMMYFUNCTION("""COMPUTED_VALUE"""),"قسم المشاريع الهندسية")</f>
        <v>قسم المشاريع الهندسية</v>
      </c>
      <c r="F535" s="26" t="str">
        <f ca="1">IFERROR(__xludf.DUMMYFUNCTION("""COMPUTED_VALUE"""),"شعبة الصيانة")</f>
        <v>شعبة الصيانة</v>
      </c>
      <c r="G535" s="26" t="str">
        <f ca="1">IFERROR(__xludf.DUMMYFUNCTION("""COMPUTED_VALUE"""),"غرفة مسؤول الشعبة ")</f>
        <v xml:space="preserve">غرفة مسؤول الشعبة </v>
      </c>
      <c r="H535" s="26" t="str">
        <f ca="1">IFERROR(__xludf.DUMMYFUNCTION("""COMPUTED_VALUE"""),"اصلاح رخاوة في كهربائيات الغرفة")</f>
        <v>اصلاح رخاوة في كهربائيات الغرفة</v>
      </c>
      <c r="I535" s="26"/>
      <c r="J535" s="26" t="s">
        <v>3910</v>
      </c>
      <c r="K535" s="26" t="s">
        <v>13</v>
      </c>
      <c r="L535" s="55">
        <v>46165.466055752317</v>
      </c>
      <c r="M535" s="26"/>
    </row>
    <row r="536" spans="1:13" ht="75" customHeight="1" thickTop="1" thickBot="1">
      <c r="A536" s="26">
        <v>534</v>
      </c>
      <c r="B536" s="55">
        <f ca="1">IFERROR(__xludf.DUMMYFUNCTION("""COMPUTED_VALUE"""),46165.4570891898)</f>
        <v>46165.457089189797</v>
      </c>
      <c r="C536" s="56" t="str">
        <f ca="1">IFERROR(__xludf.DUMMYFUNCTION("""COMPUTED_VALUE"""),"المعملجي")</f>
        <v>المعملجي</v>
      </c>
      <c r="D536" s="56" t="str">
        <f ca="1">IFERROR(__xludf.DUMMYFUNCTION("""COMPUTED_VALUE"""),"وحدة الكهرباء")</f>
        <v>وحدة الكهرباء</v>
      </c>
      <c r="E536" s="26" t="str">
        <f ca="1">IFERROR(__xludf.DUMMYFUNCTION("""COMPUTED_VALUE"""),"قسم المشاريع الهندسية")</f>
        <v>قسم المشاريع الهندسية</v>
      </c>
      <c r="F536" s="26" t="str">
        <f ca="1">IFERROR(__xludf.DUMMYFUNCTION("""COMPUTED_VALUE"""),"محطة الرفع")</f>
        <v>محطة الرفع</v>
      </c>
      <c r="G536" s="26"/>
      <c r="H536" s="26" t="str">
        <f ca="1">IFERROR(__xludf.DUMMYFUNCTION("""COMPUTED_VALUE"""),"اجراء صيانة لـATS المحطة لغرض تشغيله بشكل مؤقت")</f>
        <v>اجراء صيانة لـATS المحطة لغرض تشغيله بشكل مؤقت</v>
      </c>
      <c r="I536" s="26"/>
      <c r="J536" s="26" t="s">
        <v>3910</v>
      </c>
      <c r="K536" s="26" t="s">
        <v>13</v>
      </c>
      <c r="L536" s="55"/>
      <c r="M536" s="26"/>
    </row>
    <row r="537" spans="1:13" ht="75" customHeight="1" thickTop="1" thickBot="1">
      <c r="A537" s="34">
        <v>535</v>
      </c>
      <c r="B537" s="55">
        <f ca="1">IFERROR(__xludf.DUMMYFUNCTION("""COMPUTED_VALUE"""),46165.4574622222)</f>
        <v>46165.457462222199</v>
      </c>
      <c r="C537" s="56" t="str">
        <f ca="1">IFERROR(__xludf.DUMMYFUNCTION("""COMPUTED_VALUE"""),"المعملجي")</f>
        <v>المعملجي</v>
      </c>
      <c r="D537" s="56" t="str">
        <f ca="1">IFERROR(__xludf.DUMMYFUNCTION("""COMPUTED_VALUE"""),"وحدة الكهرباء")</f>
        <v>وحدة الكهرباء</v>
      </c>
      <c r="E537" s="26" t="str">
        <f ca="1">IFERROR(__xludf.DUMMYFUNCTION("""COMPUTED_VALUE"""),"قسم المشاريع الهندسية")</f>
        <v>قسم المشاريع الهندسية</v>
      </c>
      <c r="F537" s="26" t="str">
        <f ca="1">IFERROR(__xludf.DUMMYFUNCTION("""COMPUTED_VALUE"""),"A- المركز الثقافي")</f>
        <v>A- المركز الثقافي</v>
      </c>
      <c r="G537" s="26"/>
      <c r="H537" s="26" t="str">
        <f ca="1">IFERROR(__xludf.DUMMYFUNCTION("""COMPUTED_VALUE"""),"اسبدال 4 محولات سبوت لايت تالفة ")</f>
        <v xml:space="preserve">اسبدال 4 محولات سبوت لايت تالفة </v>
      </c>
      <c r="I537" s="26"/>
      <c r="J537" s="26" t="s">
        <v>3910</v>
      </c>
      <c r="K537" s="26" t="s">
        <v>13</v>
      </c>
      <c r="L537" s="55">
        <v>46165.466059513885</v>
      </c>
      <c r="M537" s="26"/>
    </row>
    <row r="538" spans="1:13" ht="75" customHeight="1" thickTop="1" thickBot="1">
      <c r="A538" s="26">
        <v>536</v>
      </c>
      <c r="B538" s="55">
        <f ca="1">IFERROR(__xludf.DUMMYFUNCTION("""COMPUTED_VALUE"""),46165.4580065856)</f>
        <v>46165.458006585599</v>
      </c>
      <c r="C538" s="56" t="str">
        <f ca="1">IFERROR(__xludf.DUMMYFUNCTION("""COMPUTED_VALUE"""),"المعملجي")</f>
        <v>المعملجي</v>
      </c>
      <c r="D538" s="56" t="str">
        <f ca="1">IFERROR(__xludf.DUMMYFUNCTION("""COMPUTED_VALUE"""),"وحدة الكهرباء")</f>
        <v>وحدة الكهرباء</v>
      </c>
      <c r="E538" s="26" t="str">
        <f ca="1">IFERROR(__xludf.DUMMYFUNCTION("""COMPUTED_VALUE"""),"قسم المشاريع الهندسية")</f>
        <v>قسم المشاريع الهندسية</v>
      </c>
      <c r="F538" s="26" t="str">
        <f ca="1">IFERROR(__xludf.DUMMYFUNCTION("""COMPUTED_VALUE"""),"كل المجمع")</f>
        <v>كل المجمع</v>
      </c>
      <c r="G538" s="26"/>
      <c r="H538" s="26" t="str">
        <f ca="1">IFERROR(__xludf.DUMMYFUNCTION("""COMPUTED_VALUE"""),"اجراء متابعة لاحمال ups  ليلا")</f>
        <v>اجراء متابعة لاحمال ups  ليلا</v>
      </c>
      <c r="I538" s="26"/>
      <c r="J538" s="26" t="s">
        <v>3910</v>
      </c>
      <c r="K538" s="26" t="s">
        <v>13</v>
      </c>
      <c r="L538" s="55">
        <v>46165.466075706019</v>
      </c>
      <c r="M538" s="26"/>
    </row>
    <row r="539" spans="1:13" ht="75" customHeight="1" thickTop="1" thickBot="1">
      <c r="A539" s="34">
        <v>537</v>
      </c>
      <c r="B539" s="55">
        <f ca="1">IFERROR(__xludf.DUMMYFUNCTION("""COMPUTED_VALUE"""),46165.4584029976)</f>
        <v>46165.458402997603</v>
      </c>
      <c r="C539" s="56" t="str">
        <f ca="1">IFERROR(__xludf.DUMMYFUNCTION("""COMPUTED_VALUE"""),"المعملجي")</f>
        <v>المعملجي</v>
      </c>
      <c r="D539" s="56" t="str">
        <f ca="1">IFERROR(__xludf.DUMMYFUNCTION("""COMPUTED_VALUE"""),"وحدة الكهرباء")</f>
        <v>وحدة الكهرباء</v>
      </c>
      <c r="E539" s="26" t="str">
        <f ca="1">IFERROR(__xludf.DUMMYFUNCTION("""COMPUTED_VALUE"""),"قسم المشاريع الهندسية")</f>
        <v>قسم المشاريع الهندسية</v>
      </c>
      <c r="F539" s="26" t="str">
        <f ca="1">IFERROR(__xludf.DUMMYFUNCTION("""COMPUTED_VALUE"""),"A- المركز الثقافي")</f>
        <v>A- المركز الثقافي</v>
      </c>
      <c r="G539" s="26" t="str">
        <f ca="1">IFERROR(__xludf.DUMMYFUNCTION("""COMPUTED_VALUE"""),"الطابق الرابع, شعبة المراقبة ")</f>
        <v xml:space="preserve">الطابق الرابع, شعبة المراقبة </v>
      </c>
      <c r="H539" s="26" t="str">
        <f ca="1">IFERROR(__xludf.DUMMYFUNCTION("""COMPUTED_VALUE""")," إعادة ربط سبوت لايت كان متوقف , إعادة تنظيم أماكن بعض السبوت لايتات حسب الطلب.")</f>
        <v xml:space="preserve"> إعادة ربط سبوت لايت كان متوقف , إعادة تنظيم أماكن بعض السبوت لايتات حسب الطلب.</v>
      </c>
      <c r="I539" s="26"/>
      <c r="J539" s="26" t="s">
        <v>3910</v>
      </c>
      <c r="K539" s="26" t="s">
        <v>13</v>
      </c>
      <c r="L539" s="55">
        <v>46165.466079421298</v>
      </c>
      <c r="M539" s="26"/>
    </row>
    <row r="540" spans="1:13" ht="75" customHeight="1" thickTop="1" thickBot="1">
      <c r="A540" s="26">
        <v>538</v>
      </c>
      <c r="B540" s="55">
        <f ca="1">IFERROR(__xludf.DUMMYFUNCTION("""COMPUTED_VALUE"""),46165.4593527314)</f>
        <v>46165.459352731399</v>
      </c>
      <c r="C540" s="56" t="str">
        <f ca="1">IFERROR(__xludf.DUMMYFUNCTION("""COMPUTED_VALUE"""),"المعملجي")</f>
        <v>المعملجي</v>
      </c>
      <c r="D540" s="56" t="str">
        <f ca="1">IFERROR(__xludf.DUMMYFUNCTION("""COMPUTED_VALUE"""),"وحدة الكهرباء")</f>
        <v>وحدة الكهرباء</v>
      </c>
      <c r="E540" s="26" t="str">
        <f ca="1">IFERROR(__xludf.DUMMYFUNCTION("""COMPUTED_VALUE"""),"قسم المشاريع الهندسية")</f>
        <v>قسم المشاريع الهندسية</v>
      </c>
      <c r="F540" s="26" t="str">
        <f ca="1">IFERROR(__xludf.DUMMYFUNCTION("""COMPUTED_VALUE"""),"B- روضة القمر")</f>
        <v>B- روضة القمر</v>
      </c>
      <c r="G540" s="26"/>
      <c r="H540" s="26" t="str">
        <f ca="1">IFERROR(__xludf.DUMMYFUNCTION("""COMPUTED_VALUE"""),"اصلاح شورت سيركت واستبدال محول 24 واط لانارة سقفية
")</f>
        <v xml:space="preserve">اصلاح شورت سيركت واستبدال محول 24 واط لانارة سقفية
</v>
      </c>
      <c r="I540" s="26"/>
      <c r="J540" s="26" t="s">
        <v>3910</v>
      </c>
      <c r="K540" s="26" t="s">
        <v>13</v>
      </c>
      <c r="L540" s="55">
        <v>46165.466089224537</v>
      </c>
      <c r="M540" s="26"/>
    </row>
    <row r="541" spans="1:13" ht="75" customHeight="1" thickTop="1" thickBot="1">
      <c r="A541" s="34">
        <v>539</v>
      </c>
      <c r="B541" s="55">
        <f ca="1">IFERROR(__xludf.DUMMYFUNCTION("""COMPUTED_VALUE"""),46165.4599848379)</f>
        <v>46165.4599848379</v>
      </c>
      <c r="C541" s="56" t="str">
        <f ca="1">IFERROR(__xludf.DUMMYFUNCTION("""COMPUTED_VALUE"""),"المعملجي")</f>
        <v>المعملجي</v>
      </c>
      <c r="D541" s="56" t="str">
        <f ca="1">IFERROR(__xludf.DUMMYFUNCTION("""COMPUTED_VALUE"""),"وحدة الكهرباء")</f>
        <v>وحدة الكهرباء</v>
      </c>
      <c r="E541" s="26" t="str">
        <f ca="1">IFERROR(__xludf.DUMMYFUNCTION("""COMPUTED_VALUE"""),"قسم المشاريع الهندسية")</f>
        <v>قسم المشاريع الهندسية</v>
      </c>
      <c r="F541" s="26" t="str">
        <f ca="1">IFERROR(__xludf.DUMMYFUNCTION("""COMPUTED_VALUE"""),"شعبة الصيانة")</f>
        <v>شعبة الصيانة</v>
      </c>
      <c r="G541" s="26"/>
      <c r="H541" s="26" t="str">
        <f ca="1">IFERROR(__xludf.DUMMYFUNCTION("""COMPUTED_VALUE"""),"تعديل دائرة سيطرة مضخة المياه الخاص بملئ خزانات محطة الرفع")</f>
        <v>تعديل دائرة سيطرة مضخة المياه الخاص بملئ خزانات محطة الرفع</v>
      </c>
      <c r="I541" s="26"/>
      <c r="J541" s="26" t="s">
        <v>3910</v>
      </c>
      <c r="K541" s="26" t="s">
        <v>13</v>
      </c>
      <c r="L541" s="55">
        <v>46165.466132268513</v>
      </c>
      <c r="M541" s="26"/>
    </row>
    <row r="542" spans="1:13" ht="75" customHeight="1" thickTop="1" thickBot="1">
      <c r="A542" s="26">
        <v>540</v>
      </c>
      <c r="B542" s="55">
        <f ca="1">IFERROR(__xludf.DUMMYFUNCTION("""COMPUTED_VALUE"""),46165.4604013541)</f>
        <v>46165.460401354103</v>
      </c>
      <c r="C542" s="56" t="str">
        <f ca="1">IFERROR(__xludf.DUMMYFUNCTION("""COMPUTED_VALUE"""),"المعملجي")</f>
        <v>المعملجي</v>
      </c>
      <c r="D542" s="56" t="str">
        <f ca="1">IFERROR(__xludf.DUMMYFUNCTION("""COMPUTED_VALUE"""),"وحدة الكهرباء")</f>
        <v>وحدة الكهرباء</v>
      </c>
      <c r="E542" s="26" t="str">
        <f ca="1">IFERROR(__xludf.DUMMYFUNCTION("""COMPUTED_VALUE"""),"قسم المشاريع الهندسية")</f>
        <v>قسم المشاريع الهندسية</v>
      </c>
      <c r="F542" s="26" t="str">
        <f ca="1">IFERROR(__xludf.DUMMYFUNCTION("""COMPUTED_VALUE"""),"A- المركز الثقافي")</f>
        <v>A- المركز الثقافي</v>
      </c>
      <c r="G542" s="26" t="str">
        <f ca="1">IFERROR(__xludf.DUMMYFUNCTION("""COMPUTED_VALUE"""),"الطابق الاول, سراج العميد")</f>
        <v>الطابق الاول, سراج العميد</v>
      </c>
      <c r="H542" s="26" t="str">
        <f ca="1">IFERROR(__xludf.DUMMYFUNCTION("""COMPUTED_VALUE"""),"تم استبدال بطاريات UPS صوتيات قاعة سراج العميد بطلب من قبل شعبة تقنية المعلومات.")</f>
        <v>تم استبدال بطاريات UPS صوتيات قاعة سراج العميد بطلب من قبل شعبة تقنية المعلومات.</v>
      </c>
      <c r="I542" s="26"/>
      <c r="J542" s="26" t="s">
        <v>3910</v>
      </c>
      <c r="K542" s="26" t="s">
        <v>13</v>
      </c>
      <c r="L542" s="55">
        <v>46165.466141006946</v>
      </c>
      <c r="M542" s="26"/>
    </row>
    <row r="543" spans="1:13" ht="75" customHeight="1" thickTop="1" thickBot="1">
      <c r="A543" s="34">
        <v>541</v>
      </c>
      <c r="B543" s="55">
        <f ca="1">IFERROR(__xludf.DUMMYFUNCTION("""COMPUTED_VALUE"""),46165.4617139004)</f>
        <v>46165.461713900397</v>
      </c>
      <c r="C543" s="56" t="str">
        <f ca="1">IFERROR(__xludf.DUMMYFUNCTION("""COMPUTED_VALUE"""),"المعملجي")</f>
        <v>المعملجي</v>
      </c>
      <c r="D543" s="56" t="str">
        <f ca="1">IFERROR(__xludf.DUMMYFUNCTION("""COMPUTED_VALUE"""),"وحدة الكهرباء")</f>
        <v>وحدة الكهرباء</v>
      </c>
      <c r="E543" s="26" t="str">
        <f ca="1">IFERROR(__xludf.DUMMYFUNCTION("""COMPUTED_VALUE"""),"قسم المشاريع الهندسية")</f>
        <v>قسم المشاريع الهندسية</v>
      </c>
      <c r="F543" s="26" t="str">
        <f ca="1">IFERROR(__xludf.DUMMYFUNCTION("""COMPUTED_VALUE"""),"A- المركز الثقافي")</f>
        <v>A- المركز الثقافي</v>
      </c>
      <c r="G543" s="26" t="str">
        <f ca="1">IFERROR(__xludf.DUMMYFUNCTION("""COMPUTED_VALUE"""),"data center   برج الاتصالات")</f>
        <v>data center   برج الاتصالات</v>
      </c>
      <c r="H543" s="26" t="str">
        <f ca="1">IFERROR(__xludf.DUMMYFUNCTION("""COMPUTED_VALUE"""),"اعادة البرج الى الخدمة بعد الانقطاع المفاجئ  بسبب الكهرباء")</f>
        <v>اعادة البرج الى الخدمة بعد الانقطاع المفاجئ  بسبب الكهرباء</v>
      </c>
      <c r="I543" s="26"/>
      <c r="J543" s="26" t="s">
        <v>3910</v>
      </c>
      <c r="K543" s="26" t="s">
        <v>13</v>
      </c>
      <c r="L543" s="55">
        <v>46165.46610524306</v>
      </c>
      <c r="M543" s="26"/>
    </row>
    <row r="544" spans="1:13" ht="75" customHeight="1" thickTop="1" thickBot="1">
      <c r="A544" s="26">
        <v>542</v>
      </c>
      <c r="B544" s="55">
        <f ca="1">IFERROR(__xludf.DUMMYFUNCTION("""COMPUTED_VALUE"""),46165.4620404976)</f>
        <v>46165.462040497601</v>
      </c>
      <c r="C544" s="56" t="str">
        <f ca="1">IFERROR(__xludf.DUMMYFUNCTION("""COMPUTED_VALUE"""),"المعملجي")</f>
        <v>المعملجي</v>
      </c>
      <c r="D544" s="56" t="str">
        <f ca="1">IFERROR(__xludf.DUMMYFUNCTION("""COMPUTED_VALUE"""),"وحدة الكهرباء")</f>
        <v>وحدة الكهرباء</v>
      </c>
      <c r="E544" s="26" t="str">
        <f ca="1">IFERROR(__xludf.DUMMYFUNCTION("""COMPUTED_VALUE"""),"قسم المشاريع الهندسية")</f>
        <v>قسم المشاريع الهندسية</v>
      </c>
      <c r="F544" s="26" t="str">
        <f ca="1">IFERROR(__xludf.DUMMYFUNCTION("""COMPUTED_VALUE"""),"A- المركز الثقافي")</f>
        <v>A- المركز الثقافي</v>
      </c>
      <c r="G544" s="26"/>
      <c r="H544" s="26" t="str">
        <f ca="1">IFERROR(__xludf.DUMMYFUNCTION("""COMPUTED_VALUE"""),"ربط البطاريات الجديدة لـUPS المركز , إعادة ربط UPS 6KV من جديد")</f>
        <v>ربط البطاريات الجديدة لـUPS المركز , إعادة ربط UPS 6KV من جديد</v>
      </c>
      <c r="I544" s="26"/>
      <c r="J544" s="26" t="s">
        <v>3910</v>
      </c>
      <c r="K544" s="26" t="s">
        <v>13</v>
      </c>
      <c r="L544" s="55">
        <v>46165.466157858798</v>
      </c>
      <c r="M544" s="26"/>
    </row>
    <row r="545" spans="1:13" ht="75" customHeight="1" thickTop="1" thickBot="1">
      <c r="A545" s="34">
        <v>543</v>
      </c>
      <c r="B545" s="55">
        <f ca="1">IFERROR(__xludf.DUMMYFUNCTION("""COMPUTED_VALUE"""),46165.462894537)</f>
        <v>46165.462894536999</v>
      </c>
      <c r="C545" s="56" t="str">
        <f ca="1">IFERROR(__xludf.DUMMYFUNCTION("""COMPUTED_VALUE"""),"المعملجي")</f>
        <v>المعملجي</v>
      </c>
      <c r="D545" s="56" t="str">
        <f ca="1">IFERROR(__xludf.DUMMYFUNCTION("""COMPUTED_VALUE"""),"وحدة الكهرباء")</f>
        <v>وحدة الكهرباء</v>
      </c>
      <c r="E545" s="26" t="str">
        <f ca="1">IFERROR(__xludf.DUMMYFUNCTION("""COMPUTED_VALUE"""),"قسم المشاريع الهندسية")</f>
        <v>قسم المشاريع الهندسية</v>
      </c>
      <c r="F545" s="26" t="str">
        <f ca="1">IFERROR(__xludf.DUMMYFUNCTION("""COMPUTED_VALUE"""),"G- روضة الجود")</f>
        <v>G- روضة الجود</v>
      </c>
      <c r="G545" s="26"/>
      <c r="H545" s="26" t="str">
        <f ca="1">IFERROR(__xludf.DUMMYFUNCTION("""COMPUTED_VALUE"""),"استبدال محولات انارة  منشورية عدد 3 ")</f>
        <v xml:space="preserve">استبدال محولات انارة  منشورية عدد 3 </v>
      </c>
      <c r="I545" s="26"/>
      <c r="J545" s="26" t="s">
        <v>3910</v>
      </c>
      <c r="K545" s="26" t="s">
        <v>13</v>
      </c>
      <c r="L545" s="55">
        <v>46165.466167013888</v>
      </c>
      <c r="M545" s="26"/>
    </row>
    <row r="546" spans="1:13" ht="75" customHeight="1" thickTop="1" thickBot="1">
      <c r="A546" s="26">
        <v>544</v>
      </c>
      <c r="B546" s="55">
        <f ca="1">IFERROR(__xludf.DUMMYFUNCTION("""COMPUTED_VALUE"""),46165.4634027199)</f>
        <v>46165.463402719899</v>
      </c>
      <c r="C546" s="56" t="str">
        <f ca="1">IFERROR(__xludf.DUMMYFUNCTION("""COMPUTED_VALUE"""),"المعملجي")</f>
        <v>المعملجي</v>
      </c>
      <c r="D546" s="56" t="str">
        <f ca="1">IFERROR(__xludf.DUMMYFUNCTION("""COMPUTED_VALUE"""),"وحدة الكهرباء")</f>
        <v>وحدة الكهرباء</v>
      </c>
      <c r="E546" s="26" t="str">
        <f ca="1">IFERROR(__xludf.DUMMYFUNCTION("""COMPUTED_VALUE"""),"قسم المشاريع الهندسية")</f>
        <v>قسم المشاريع الهندسية</v>
      </c>
      <c r="F546" s="26" t="str">
        <f ca="1">IFERROR(__xludf.DUMMYFUNCTION("""COMPUTED_VALUE"""),"H- ابتدائية القمر للبنات (الخامسة)")</f>
        <v>H- ابتدائية القمر للبنات (الخامسة)</v>
      </c>
      <c r="G546" s="26"/>
      <c r="H546" s="26" t="str">
        <f ca="1">IFERROR(__xludf.DUMMYFUNCTION("""COMPUTED_VALUE"""),"استبدال 4 محولات انارة  سبوت لايت تالفة ")</f>
        <v xml:space="preserve">استبدال 4 محولات انارة  سبوت لايت تالفة </v>
      </c>
      <c r="I546" s="26"/>
      <c r="J546" s="26" t="s">
        <v>3910</v>
      </c>
      <c r="K546" s="26" t="s">
        <v>13</v>
      </c>
      <c r="L546" s="55">
        <v>46165.46617748843</v>
      </c>
      <c r="M546" s="26"/>
    </row>
    <row r="547" spans="1:13" ht="75" customHeight="1" thickTop="1" thickBot="1">
      <c r="A547" s="34">
        <v>545</v>
      </c>
      <c r="B547" s="55">
        <f ca="1">IFERROR(__xludf.DUMMYFUNCTION("""COMPUTED_VALUE"""),46165.4639985185)</f>
        <v>46165.463998518499</v>
      </c>
      <c r="C547" s="56" t="str">
        <f ca="1">IFERROR(__xludf.DUMMYFUNCTION("""COMPUTED_VALUE"""),"المعملجي")</f>
        <v>المعملجي</v>
      </c>
      <c r="D547" s="56" t="str">
        <f ca="1">IFERROR(__xludf.DUMMYFUNCTION("""COMPUTED_VALUE"""),"وحدة الكهرباء")</f>
        <v>وحدة الكهرباء</v>
      </c>
      <c r="E547" s="26" t="str">
        <f ca="1">IFERROR(__xludf.DUMMYFUNCTION("""COMPUTED_VALUE"""),"قسم المشاريع الهندسية")</f>
        <v>قسم المشاريع الهندسية</v>
      </c>
      <c r="F547" s="26" t="str">
        <f ca="1">IFERROR(__xludf.DUMMYFUNCTION("""COMPUTED_VALUE"""),"شعبة الصيانة")</f>
        <v>شعبة الصيانة</v>
      </c>
      <c r="G547" s="26"/>
      <c r="H547" s="26" t="str">
        <f ca="1">IFERROR(__xludf.DUMMYFUNCTION("""COMPUTED_VALUE"""),"تحويل الانارة الخارجية للشعبة على الفوتوسيل")</f>
        <v>تحويل الانارة الخارجية للشعبة على الفوتوسيل</v>
      </c>
      <c r="I547" s="26"/>
      <c r="J547" s="26" t="s">
        <v>3910</v>
      </c>
      <c r="K547" s="26" t="s">
        <v>13</v>
      </c>
      <c r="L547" s="55">
        <v>46165.466186863428</v>
      </c>
      <c r="M547" s="26"/>
    </row>
    <row r="548" spans="1:13" ht="75" customHeight="1" thickTop="1" thickBot="1">
      <c r="A548" s="26">
        <v>546</v>
      </c>
      <c r="B548" s="55">
        <f ca="1">IFERROR(__xludf.DUMMYFUNCTION("""COMPUTED_VALUE"""),46165.4648521527)</f>
        <v>46165.464852152698</v>
      </c>
      <c r="C548" s="56" t="str">
        <f ca="1">IFERROR(__xludf.DUMMYFUNCTION("""COMPUTED_VALUE"""),"المعملجي")</f>
        <v>المعملجي</v>
      </c>
      <c r="D548" s="56" t="str">
        <f ca="1">IFERROR(__xludf.DUMMYFUNCTION("""COMPUTED_VALUE"""),"وحدة الكهرباء")</f>
        <v>وحدة الكهرباء</v>
      </c>
      <c r="E548" s="26" t="str">
        <f ca="1">IFERROR(__xludf.DUMMYFUNCTION("""COMPUTED_VALUE"""),"قسم المشاريع الهندسية")</f>
        <v>قسم المشاريع الهندسية</v>
      </c>
      <c r="F548" s="26" t="str">
        <f ca="1">IFERROR(__xludf.DUMMYFUNCTION("""COMPUTED_VALUE"""),"J- جامعة العميد (السابعة)")</f>
        <v>J- جامعة العميد (السابعة)</v>
      </c>
      <c r="G548" s="26"/>
      <c r="H548" s="26" t="str">
        <f ca="1">IFERROR(__xludf.DUMMYFUNCTION("""COMPUTED_VALUE"""),"مد كيبل من غرفة المصعد الى الطابق الارضي_الاستعلامات لغرض ربط الهاتف")</f>
        <v>مد كيبل من غرفة المصعد الى الطابق الارضي_الاستعلامات لغرض ربط الهاتف</v>
      </c>
      <c r="I548" s="26"/>
      <c r="J548" s="26" t="s">
        <v>3910</v>
      </c>
      <c r="K548" s="26" t="s">
        <v>13</v>
      </c>
      <c r="L548" s="55">
        <v>46165.466200162038</v>
      </c>
      <c r="M548" s="26"/>
    </row>
    <row r="549" spans="1:13" ht="75" customHeight="1" thickTop="1" thickBot="1">
      <c r="A549" s="34">
        <v>547</v>
      </c>
      <c r="B549" s="55">
        <f ca="1">IFERROR(__xludf.DUMMYFUNCTION("""COMPUTED_VALUE"""),46165.4654290046)</f>
        <v>46165.465429004602</v>
      </c>
      <c r="C549" s="56" t="str">
        <f ca="1">IFERROR(__xludf.DUMMYFUNCTION("""COMPUTED_VALUE"""),"المعملجي")</f>
        <v>المعملجي</v>
      </c>
      <c r="D549" s="56" t="str">
        <f ca="1">IFERROR(__xludf.DUMMYFUNCTION("""COMPUTED_VALUE"""),"وحدة الكهرباء")</f>
        <v>وحدة الكهرباء</v>
      </c>
      <c r="E549" s="26" t="str">
        <f ca="1">IFERROR(__xludf.DUMMYFUNCTION("""COMPUTED_VALUE"""),"قسم المشاريع الهندسية")</f>
        <v>قسم المشاريع الهندسية</v>
      </c>
      <c r="F549" s="26" t="str">
        <f ca="1">IFERROR(__xludf.DUMMYFUNCTION("""COMPUTED_VALUE"""),"A- المركز الثقافي")</f>
        <v>A- المركز الثقافي</v>
      </c>
      <c r="G549" s="26"/>
      <c r="H549" s="26" t="str">
        <f ca="1">IFERROR(__xludf.DUMMYFUNCTION("""COMPUTED_VALUE"""),"اصلاح مزامنة المولدة 1 ميغا واعادتها الى وضعها الطبيعي")</f>
        <v>اصلاح مزامنة المولدة 1 ميغا واعادتها الى وضعها الطبيعي</v>
      </c>
      <c r="I549" s="26"/>
      <c r="J549" s="26" t="s">
        <v>3910</v>
      </c>
      <c r="K549" s="26" t="s">
        <v>13</v>
      </c>
      <c r="L549" s="55">
        <v>46173.417559363428</v>
      </c>
      <c r="M549" s="26"/>
    </row>
    <row r="550" spans="1:13" ht="75" customHeight="1" thickTop="1" thickBot="1">
      <c r="A550" s="26">
        <v>548</v>
      </c>
      <c r="B550" s="55">
        <f ca="1">IFERROR(__xludf.DUMMYFUNCTION("""COMPUTED_VALUE"""),46165.5849456134)</f>
        <v>46165.584945613402</v>
      </c>
      <c r="C550" s="56" t="str">
        <f ca="1">IFERROR(__xludf.DUMMYFUNCTION("""COMPUTED_VALUE"""),"المعملجي")</f>
        <v>المعملجي</v>
      </c>
      <c r="D550" s="56" t="str">
        <f ca="1">IFERROR(__xludf.DUMMYFUNCTION("""COMPUTED_VALUE"""),"وحدة الكهرباء")</f>
        <v>وحدة الكهرباء</v>
      </c>
      <c r="E550" s="26" t="str">
        <f ca="1">IFERROR(__xludf.DUMMYFUNCTION("""COMPUTED_VALUE"""),"قسم المشاريع الهندسية")</f>
        <v>قسم المشاريع الهندسية</v>
      </c>
      <c r="F550" s="26" t="str">
        <f ca="1">IFERROR(__xludf.DUMMYFUNCTION("""COMPUTED_VALUE"""),"B- روضة القمر")</f>
        <v>B- روضة القمر</v>
      </c>
      <c r="G550" s="26"/>
      <c r="H550" s="26" t="str">
        <f ca="1">IFERROR(__xludf.DUMMYFUNCTION("""COMPUTED_VALUE"""),"اصلاح مستشعر انارة الصحيات الخارجية")</f>
        <v>اصلاح مستشعر انارة الصحيات الخارجية</v>
      </c>
      <c r="I550" s="26"/>
      <c r="J550" s="26" t="s">
        <v>3910</v>
      </c>
      <c r="K550" s="26" t="s">
        <v>13</v>
      </c>
      <c r="L550" s="55"/>
      <c r="M550" s="26"/>
    </row>
    <row r="551" spans="1:13" ht="75" customHeight="1" thickTop="1" thickBot="1">
      <c r="A551" s="34">
        <v>549</v>
      </c>
      <c r="B551" s="55">
        <f ca="1">IFERROR(__xludf.DUMMYFUNCTION("""COMPUTED_VALUE"""),46165.58554978)</f>
        <v>46165.58554978</v>
      </c>
      <c r="C551" s="56" t="str">
        <f ca="1">IFERROR(__xludf.DUMMYFUNCTION("""COMPUTED_VALUE"""),"المعملجي")</f>
        <v>المعملجي</v>
      </c>
      <c r="D551" s="56" t="str">
        <f ca="1">IFERROR(__xludf.DUMMYFUNCTION("""COMPUTED_VALUE"""),"وحدة الكهرباء")</f>
        <v>وحدة الكهرباء</v>
      </c>
      <c r="E551" s="26" t="str">
        <f ca="1">IFERROR(__xludf.DUMMYFUNCTION("""COMPUTED_VALUE"""),"قسم المشاريع الهندسية")</f>
        <v>قسم المشاريع الهندسية</v>
      </c>
      <c r="F551" s="26" t="str">
        <f ca="1">IFERROR(__xludf.DUMMYFUNCTION("""COMPUTED_VALUE"""),"J- جامعة العميد (السابعة)")</f>
        <v>J- جامعة العميد (السابعة)</v>
      </c>
      <c r="G551" s="26" t="str">
        <f ca="1">IFERROR(__xludf.DUMMYFUNCTION("""COMPUTED_VALUE"""),"الاستعلامات")</f>
        <v>الاستعلامات</v>
      </c>
      <c r="H551" s="26" t="str">
        <f ca="1">IFERROR(__xludf.DUMMYFUNCTION("""COMPUTED_VALUE"""),"تركيب هاتف طوارئ المصعد في استعلامات البناية.")</f>
        <v>تركيب هاتف طوارئ المصعد في استعلامات البناية.</v>
      </c>
      <c r="I551" s="26"/>
      <c r="J551" s="26" t="s">
        <v>3910</v>
      </c>
      <c r="K551" s="26" t="s">
        <v>13</v>
      </c>
      <c r="L551" s="55"/>
      <c r="M551" s="26"/>
    </row>
    <row r="552" spans="1:13" ht="75" customHeight="1" thickTop="1" thickBot="1">
      <c r="A552" s="26">
        <v>550</v>
      </c>
      <c r="B552" s="55">
        <f ca="1">IFERROR(__xludf.DUMMYFUNCTION("""COMPUTED_VALUE"""),46165.5869645833)</f>
        <v>46165.586964583301</v>
      </c>
      <c r="C552" s="56" t="str">
        <f ca="1">IFERROR(__xludf.DUMMYFUNCTION("""COMPUTED_VALUE"""),"المعملجي")</f>
        <v>المعملجي</v>
      </c>
      <c r="D552" s="56" t="str">
        <f ca="1">IFERROR(__xludf.DUMMYFUNCTION("""COMPUTED_VALUE"""),"وحدة الكهرباء")</f>
        <v>وحدة الكهرباء</v>
      </c>
      <c r="E552" s="26" t="str">
        <f ca="1">IFERROR(__xludf.DUMMYFUNCTION("""COMPUTED_VALUE"""),"قسم المشاريع الهندسية")</f>
        <v>قسم المشاريع الهندسية</v>
      </c>
      <c r="F552" s="26" t="str">
        <f ca="1">IFERROR(__xludf.DUMMYFUNCTION("""COMPUTED_VALUE"""),"B- روضة القمر")</f>
        <v>B- روضة القمر</v>
      </c>
      <c r="G552" s="26"/>
      <c r="H552" s="26" t="str">
        <f ca="1">IFERROR(__xludf.DUMMYFUNCTION("""COMPUTED_VALUE"""),"استبدال محولة سبوت لايت في الصحيات مقابل الاولى ")</f>
        <v xml:space="preserve">استبدال محولة سبوت لايت في الصحيات مقابل الاولى </v>
      </c>
      <c r="I552" s="26"/>
      <c r="J552" s="26" t="s">
        <v>3910</v>
      </c>
      <c r="K552" s="26" t="s">
        <v>13</v>
      </c>
      <c r="L552" s="55"/>
      <c r="M552" s="26"/>
    </row>
    <row r="553" spans="1:13" ht="75" customHeight="1" thickTop="1" thickBot="1">
      <c r="A553" s="34">
        <v>551</v>
      </c>
      <c r="B553" s="55">
        <f ca="1">IFERROR(__xludf.DUMMYFUNCTION("""COMPUTED_VALUE"""),46165.58766875)</f>
        <v>46165.587668749999</v>
      </c>
      <c r="C553" s="56" t="str">
        <f ca="1">IFERROR(__xludf.DUMMYFUNCTION("""COMPUTED_VALUE"""),"المعملجي")</f>
        <v>المعملجي</v>
      </c>
      <c r="D553" s="56" t="str">
        <f ca="1">IFERROR(__xludf.DUMMYFUNCTION("""COMPUTED_VALUE"""),"وحدة الكهرباء")</f>
        <v>وحدة الكهرباء</v>
      </c>
      <c r="E553" s="26" t="str">
        <f ca="1">IFERROR(__xludf.DUMMYFUNCTION("""COMPUTED_VALUE"""),"قسم المشاريع الهندسية")</f>
        <v>قسم المشاريع الهندسية</v>
      </c>
      <c r="F553" s="26" t="str">
        <f ca="1">IFERROR(__xludf.DUMMYFUNCTION("""COMPUTED_VALUE"""),"مولدات قرب برج الاتصالات")</f>
        <v>مولدات قرب برج الاتصالات</v>
      </c>
      <c r="G553" s="26" t="str">
        <f ca="1">IFERROR(__xludf.DUMMYFUNCTION("""COMPUTED_VALUE"""),"غرفة مزامنة المولدات")</f>
        <v>غرفة مزامنة المولدات</v>
      </c>
      <c r="H553" s="26" t="str">
        <f ca="1">IFERROR(__xludf.DUMMYFUNCTION("""COMPUTED_VALUE"""),"اعادة تثبيت الكامبرا بعد استبدالها نتيجة تلفها بسبب صعقة ")</f>
        <v xml:space="preserve">اعادة تثبيت الكامبرا بعد استبدالها نتيجة تلفها بسبب صعقة </v>
      </c>
      <c r="I553" s="26"/>
      <c r="J553" s="26" t="s">
        <v>3910</v>
      </c>
      <c r="K553" s="26" t="s">
        <v>13</v>
      </c>
      <c r="L553" s="55"/>
      <c r="M553" s="26"/>
    </row>
    <row r="554" spans="1:13" ht="75" customHeight="1" thickTop="1" thickBot="1">
      <c r="A554" s="26">
        <v>552</v>
      </c>
      <c r="B554" s="55">
        <f ca="1">IFERROR(__xludf.DUMMYFUNCTION("""COMPUTED_VALUE"""),46165.5890919791)</f>
        <v>46165.589091979098</v>
      </c>
      <c r="C554" s="56" t="str">
        <f ca="1">IFERROR(__xludf.DUMMYFUNCTION("""COMPUTED_VALUE"""),"المعملجي")</f>
        <v>المعملجي</v>
      </c>
      <c r="D554" s="56" t="str">
        <f ca="1">IFERROR(__xludf.DUMMYFUNCTION("""COMPUTED_VALUE"""),"وحدة الكهرباء")</f>
        <v>وحدة الكهرباء</v>
      </c>
      <c r="E554" s="26" t="str">
        <f ca="1">IFERROR(__xludf.DUMMYFUNCTION("""COMPUTED_VALUE"""),"قسم المشاريع الهندسية")</f>
        <v>قسم المشاريع الهندسية</v>
      </c>
      <c r="F554" s="26" t="str">
        <f ca="1">IFERROR(__xludf.DUMMYFUNCTION("""COMPUTED_VALUE"""),"F-  ابتدائية جود العميد للبنات (الرابعة)")</f>
        <v>F-  ابتدائية جود العميد للبنات (الرابعة)</v>
      </c>
      <c r="G554" s="26"/>
      <c r="H554" s="26" t="str">
        <f ca="1">IFERROR(__xludf.DUMMYFUNCTION("""COMPUTED_VALUE"""),"اضافة نقاط تغذية جديدة عدد 3 في احد غرف الادارة")</f>
        <v>اضافة نقاط تغذية جديدة عدد 3 في احد غرف الادارة</v>
      </c>
      <c r="I554" s="26"/>
      <c r="J554" s="26" t="s">
        <v>3910</v>
      </c>
      <c r="K554" s="26" t="s">
        <v>13</v>
      </c>
      <c r="L554" s="55"/>
      <c r="M554" s="26"/>
    </row>
    <row r="555" spans="1:13" ht="75" customHeight="1" thickTop="1" thickBot="1">
      <c r="A555" s="34">
        <v>553</v>
      </c>
      <c r="B555" s="55">
        <f ca="1">IFERROR(__xludf.DUMMYFUNCTION("""COMPUTED_VALUE"""),46165.5901273032)</f>
        <v>46165.5901273032</v>
      </c>
      <c r="C555" s="56" t="str">
        <f ca="1">IFERROR(__xludf.DUMMYFUNCTION("""COMPUTED_VALUE"""),"المعملجي")</f>
        <v>المعملجي</v>
      </c>
      <c r="D555" s="56" t="str">
        <f ca="1">IFERROR(__xludf.DUMMYFUNCTION("""COMPUTED_VALUE"""),"وحدة الكهرباء")</f>
        <v>وحدة الكهرباء</v>
      </c>
      <c r="E555" s="26" t="str">
        <f ca="1">IFERROR(__xludf.DUMMYFUNCTION("""COMPUTED_VALUE"""),"قسم المشاريع الهندسية")</f>
        <v>قسم المشاريع الهندسية</v>
      </c>
      <c r="F555" s="26" t="str">
        <f ca="1">IFERROR(__xludf.DUMMYFUNCTION("""COMPUTED_VALUE"""),"F-  ابتدائية جود العميد للبنات (الرابعة)")</f>
        <v>F-  ابتدائية جود العميد للبنات (الرابعة)</v>
      </c>
      <c r="G555" s="26"/>
      <c r="H555" s="26" t="str">
        <f ca="1">IFERROR(__xludf.DUMMYFUNCTION("""COMPUTED_VALUE"""),"اضافة نقاط تغذية جديدة عدد 3 في احد غرف الادارة حيث تم  مد كيبل بطول 12 متر")</f>
        <v>اضافة نقاط تغذية جديدة عدد 3 في احد غرف الادارة حيث تم  مد كيبل بطول 12 متر</v>
      </c>
      <c r="I555" s="26"/>
      <c r="J555" s="26" t="s">
        <v>3910</v>
      </c>
      <c r="K555" s="26" t="s">
        <v>13</v>
      </c>
      <c r="L555" s="55"/>
      <c r="M555" s="26"/>
    </row>
    <row r="556" spans="1:13" ht="75" customHeight="1" thickTop="1" thickBot="1">
      <c r="A556" s="26">
        <v>554</v>
      </c>
      <c r="B556" s="55">
        <f ca="1">IFERROR(__xludf.DUMMYFUNCTION("""COMPUTED_VALUE"""),46165.5909184375)</f>
        <v>46165.590918437498</v>
      </c>
      <c r="C556" s="56" t="str">
        <f ca="1">IFERROR(__xludf.DUMMYFUNCTION("""COMPUTED_VALUE"""),"المعملجي")</f>
        <v>المعملجي</v>
      </c>
      <c r="D556" s="56" t="str">
        <f ca="1">IFERROR(__xludf.DUMMYFUNCTION("""COMPUTED_VALUE"""),"وحدة الكهرباء")</f>
        <v>وحدة الكهرباء</v>
      </c>
      <c r="E556" s="26" t="str">
        <f ca="1">IFERROR(__xludf.DUMMYFUNCTION("""COMPUTED_VALUE"""),"قسم المشاريع الهندسية")</f>
        <v>قسم المشاريع الهندسية</v>
      </c>
      <c r="F556" s="26" t="str">
        <f ca="1">IFERROR(__xludf.DUMMYFUNCTION("""COMPUTED_VALUE"""),"E- ابتدائية العميد للبنات (الثالثة)")</f>
        <v>E- ابتدائية العميد للبنات (الثالثة)</v>
      </c>
      <c r="G556" s="26"/>
      <c r="H556" s="26" t="str">
        <f ca="1">IFERROR(__xludf.DUMMYFUNCTION("""COMPUTED_VALUE"""),"استبدال بلك سويج 13 امبير تالف")</f>
        <v>استبدال بلك سويج 13 امبير تالف</v>
      </c>
      <c r="I556" s="26"/>
      <c r="J556" s="26" t="s">
        <v>3910</v>
      </c>
      <c r="K556" s="26" t="s">
        <v>13</v>
      </c>
      <c r="L556" s="55"/>
      <c r="M556" s="26"/>
    </row>
    <row r="557" spans="1:13" ht="75" customHeight="1" thickTop="1" thickBot="1">
      <c r="A557" s="34">
        <v>555</v>
      </c>
      <c r="B557" s="55">
        <f ca="1">IFERROR(__xludf.DUMMYFUNCTION("""COMPUTED_VALUE"""),46165.5918986921)</f>
        <v>46165.591898692102</v>
      </c>
      <c r="C557" s="56" t="str">
        <f ca="1">IFERROR(__xludf.DUMMYFUNCTION("""COMPUTED_VALUE"""),"المعملجي")</f>
        <v>المعملجي</v>
      </c>
      <c r="D557" s="56" t="str">
        <f ca="1">IFERROR(__xludf.DUMMYFUNCTION("""COMPUTED_VALUE"""),"وحدة الكهرباء")</f>
        <v>وحدة الكهرباء</v>
      </c>
      <c r="E557" s="26" t="str">
        <f ca="1">IFERROR(__xludf.DUMMYFUNCTION("""COMPUTED_VALUE"""),"قسم المشاريع الهندسية")</f>
        <v>قسم المشاريع الهندسية</v>
      </c>
      <c r="F557" s="26" t="str">
        <f ca="1">IFERROR(__xludf.DUMMYFUNCTION("""COMPUTED_VALUE"""),"قسم التربية")</f>
        <v>قسم التربية</v>
      </c>
      <c r="G557" s="26"/>
      <c r="H557" s="26" t="str">
        <f ca="1">IFERROR(__xludf.DUMMYFUNCTION("""COMPUTED_VALUE"""),"استبدال بلك سويج حراري 16 امبير ليسار متنقل  باخر 13 امبير")</f>
        <v>استبدال بلك سويج حراري 16 امبير ليسار متنقل  باخر 13 امبير</v>
      </c>
      <c r="I557" s="26"/>
      <c r="J557" s="26" t="s">
        <v>3910</v>
      </c>
      <c r="K557" s="26" t="s">
        <v>13</v>
      </c>
      <c r="L557" s="55"/>
      <c r="M557" s="26"/>
    </row>
    <row r="558" spans="1:13" ht="75" customHeight="1" thickTop="1" thickBot="1">
      <c r="A558" s="26">
        <v>556</v>
      </c>
      <c r="B558" s="55">
        <f ca="1">IFERROR(__xludf.DUMMYFUNCTION("""COMPUTED_VALUE"""),46165.5936992013)</f>
        <v>46165.593699201301</v>
      </c>
      <c r="C558" s="56" t="str">
        <f ca="1">IFERROR(__xludf.DUMMYFUNCTION("""COMPUTED_VALUE"""),"المعملجي")</f>
        <v>المعملجي</v>
      </c>
      <c r="D558" s="56" t="str">
        <f ca="1">IFERROR(__xludf.DUMMYFUNCTION("""COMPUTED_VALUE"""),"وحدة الكهرباء")</f>
        <v>وحدة الكهرباء</v>
      </c>
      <c r="E558" s="26" t="str">
        <f ca="1">IFERROR(__xludf.DUMMYFUNCTION("""COMPUTED_VALUE"""),"قسم المشاريع الهندسية")</f>
        <v>قسم المشاريع الهندسية</v>
      </c>
      <c r="F558" s="26" t="str">
        <f ca="1">IFERROR(__xludf.DUMMYFUNCTION("""COMPUTED_VALUE"""),"A- المركز الثقافي")</f>
        <v>A- المركز الثقافي</v>
      </c>
      <c r="G558" s="26"/>
      <c r="H558" s="26" t="str">
        <f ca="1">IFERROR(__xludf.DUMMYFUNCTION("""COMPUTED_VALUE"""),"تسليك كيبل من  بورد الطاقة الشمسية في الطابق الارضي الى الطابق الثاني لغرض تغذية النقاط المطلوبة
")</f>
        <v xml:space="preserve">تسليك كيبل من  بورد الطاقة الشمسية في الطابق الارضي الى الطابق الثاني لغرض تغذية النقاط المطلوبة
</v>
      </c>
      <c r="I558" s="26"/>
      <c r="J558" s="26" t="s">
        <v>3910</v>
      </c>
      <c r="K558" s="26" t="s">
        <v>13</v>
      </c>
      <c r="L558" s="55"/>
      <c r="M558" s="26"/>
    </row>
    <row r="559" spans="1:13" ht="75" customHeight="1" thickTop="1" thickBot="1">
      <c r="A559" s="34">
        <v>557</v>
      </c>
      <c r="B559" s="55">
        <f ca="1">IFERROR(__xludf.DUMMYFUNCTION("""COMPUTED_VALUE"""),46165.5942754629)</f>
        <v>46165.5942754629</v>
      </c>
      <c r="C559" s="56" t="str">
        <f ca="1">IFERROR(__xludf.DUMMYFUNCTION("""COMPUTED_VALUE"""),"المعملجي")</f>
        <v>المعملجي</v>
      </c>
      <c r="D559" s="56" t="str">
        <f ca="1">IFERROR(__xludf.DUMMYFUNCTION("""COMPUTED_VALUE"""),"وحدة الكهرباء")</f>
        <v>وحدة الكهرباء</v>
      </c>
      <c r="E559" s="26" t="str">
        <f ca="1">IFERROR(__xludf.DUMMYFUNCTION("""COMPUTED_VALUE"""),"قسم المشاريع الهندسية")</f>
        <v>قسم المشاريع الهندسية</v>
      </c>
      <c r="F559" s="26" t="str">
        <f ca="1">IFERROR(__xludf.DUMMYFUNCTION("""COMPUTED_VALUE"""),"A- المركز الثقافي")</f>
        <v>A- المركز الثقافي</v>
      </c>
      <c r="G559" s="26"/>
      <c r="H559" s="26" t="str">
        <f ca="1">IFERROR(__xludf.DUMMYFUNCTION("""COMPUTED_VALUE"""),"صيانة محولة منشورة 60 واط دون استبدالها عن طريق لحام الاجزاء المتضررة")</f>
        <v>صيانة محولة منشورة 60 واط دون استبدالها عن طريق لحام الاجزاء المتضررة</v>
      </c>
      <c r="I559" s="26"/>
      <c r="J559" s="26" t="s">
        <v>3910</v>
      </c>
      <c r="K559" s="26" t="s">
        <v>13</v>
      </c>
      <c r="L559" s="55"/>
      <c r="M559" s="26"/>
    </row>
    <row r="560" spans="1:13" ht="75" customHeight="1" thickTop="1" thickBot="1">
      <c r="A560" s="26">
        <v>558</v>
      </c>
      <c r="B560" s="55">
        <f ca="1">IFERROR(__xludf.DUMMYFUNCTION("""COMPUTED_VALUE"""),46165.5951913425)</f>
        <v>46165.595191342501</v>
      </c>
      <c r="C560" s="56" t="str">
        <f ca="1">IFERROR(__xludf.DUMMYFUNCTION("""COMPUTED_VALUE"""),"المعملجي")</f>
        <v>المعملجي</v>
      </c>
      <c r="D560" s="56" t="str">
        <f ca="1">IFERROR(__xludf.DUMMYFUNCTION("""COMPUTED_VALUE"""),"وحدة الكهرباء")</f>
        <v>وحدة الكهرباء</v>
      </c>
      <c r="E560" s="26" t="str">
        <f ca="1">IFERROR(__xludf.DUMMYFUNCTION("""COMPUTED_VALUE"""),"قسم المشاريع الهندسية")</f>
        <v>قسم المشاريع الهندسية</v>
      </c>
      <c r="F560" s="26" t="str">
        <f ca="1">IFERROR(__xludf.DUMMYFUNCTION("""COMPUTED_VALUE"""),"A- المركز الثقافي")</f>
        <v>A- المركز الثقافي</v>
      </c>
      <c r="G560" s="26" t="str">
        <f ca="1">IFERROR(__xludf.DUMMYFUNCTION("""COMPUTED_VALUE"""),"الطابق الثاني, السطح")</f>
        <v>الطابق الثاني, السطح</v>
      </c>
      <c r="H560" s="26" t="str">
        <f ca="1">IFERROR(__xludf.DUMMYFUNCTION("""COMPUTED_VALUE"""),"ربط مروحة لأحد خزانات الماء")</f>
        <v>ربط مروحة لأحد خزانات الماء</v>
      </c>
      <c r="I560" s="26"/>
      <c r="J560" s="26" t="s">
        <v>3910</v>
      </c>
      <c r="K560" s="26" t="s">
        <v>13</v>
      </c>
      <c r="L560" s="55"/>
      <c r="M560" s="26"/>
    </row>
    <row r="561" spans="1:13" ht="75" customHeight="1" thickTop="1" thickBot="1">
      <c r="A561" s="34">
        <v>559</v>
      </c>
      <c r="B561" s="55">
        <f ca="1">IFERROR(__xludf.DUMMYFUNCTION("""COMPUTED_VALUE"""),46165.5956026041)</f>
        <v>46165.595602604102</v>
      </c>
      <c r="C561" s="56" t="str">
        <f ca="1">IFERROR(__xludf.DUMMYFUNCTION("""COMPUTED_VALUE"""),"المعملجي")</f>
        <v>المعملجي</v>
      </c>
      <c r="D561" s="56" t="str">
        <f ca="1">IFERROR(__xludf.DUMMYFUNCTION("""COMPUTED_VALUE"""),"وحدة الكهرباء")</f>
        <v>وحدة الكهرباء</v>
      </c>
      <c r="E561" s="26" t="str">
        <f ca="1">IFERROR(__xludf.DUMMYFUNCTION("""COMPUTED_VALUE"""),"قسم المشاريع الهندسية")</f>
        <v>قسم المشاريع الهندسية</v>
      </c>
      <c r="F561" s="26" t="str">
        <f ca="1">IFERROR(__xludf.DUMMYFUNCTION("""COMPUTED_VALUE"""),"C- ثانوية العميد بناية الاعدادية  (الاولى)")</f>
        <v>C- ثانوية العميد بناية الاعدادية  (الاولى)</v>
      </c>
      <c r="G561" s="26"/>
      <c r="H561" s="26" t="str">
        <f ca="1">IFERROR(__xludf.DUMMYFUNCTION("""COMPUTED_VALUE"""),"تزيت المصعد")</f>
        <v>تزيت المصعد</v>
      </c>
      <c r="I561" s="26"/>
      <c r="J561" s="26" t="s">
        <v>3910</v>
      </c>
      <c r="K561" s="26" t="s">
        <v>13</v>
      </c>
      <c r="L561" s="55"/>
      <c r="M561" s="26"/>
    </row>
    <row r="562" spans="1:13" ht="75" customHeight="1" thickTop="1" thickBot="1">
      <c r="A562" s="26">
        <v>560</v>
      </c>
      <c r="B562" s="55">
        <f ca="1">IFERROR(__xludf.DUMMYFUNCTION("""COMPUTED_VALUE"""),46165.5959620717)</f>
        <v>46165.595962071697</v>
      </c>
      <c r="C562" s="56" t="str">
        <f ca="1">IFERROR(__xludf.DUMMYFUNCTION("""COMPUTED_VALUE"""),"المعملجي")</f>
        <v>المعملجي</v>
      </c>
      <c r="D562" s="56" t="str">
        <f ca="1">IFERROR(__xludf.DUMMYFUNCTION("""COMPUTED_VALUE"""),"وحدة الكهرباء")</f>
        <v>وحدة الكهرباء</v>
      </c>
      <c r="E562" s="26" t="str">
        <f ca="1">IFERROR(__xludf.DUMMYFUNCTION("""COMPUTED_VALUE"""),"قسم المشاريع الهندسية")</f>
        <v>قسم المشاريع الهندسية</v>
      </c>
      <c r="F562" s="26" t="str">
        <f ca="1">IFERROR(__xludf.DUMMYFUNCTION("""COMPUTED_VALUE"""),"D- ثانوية العميد بناية المتوسطة  (الثانية)")</f>
        <v>D- ثانوية العميد بناية المتوسطة  (الثانية)</v>
      </c>
      <c r="G562" s="26"/>
      <c r="H562" s="26" t="str">
        <f ca="1">IFERROR(__xludf.DUMMYFUNCTION("""COMPUTED_VALUE"""),"تزيت المصعد")</f>
        <v>تزيت المصعد</v>
      </c>
      <c r="I562" s="26"/>
      <c r="J562" s="26" t="s">
        <v>3910</v>
      </c>
      <c r="K562" s="26" t="s">
        <v>13</v>
      </c>
      <c r="L562" s="55"/>
      <c r="M562" s="26"/>
    </row>
    <row r="563" spans="1:13" ht="75" customHeight="1" thickTop="1" thickBot="1">
      <c r="A563" s="34">
        <v>561</v>
      </c>
      <c r="B563" s="55">
        <f ca="1">IFERROR(__xludf.DUMMYFUNCTION("""COMPUTED_VALUE"""),46165.5961594791)</f>
        <v>46165.596159479101</v>
      </c>
      <c r="C563" s="56" t="str">
        <f ca="1">IFERROR(__xludf.DUMMYFUNCTION("""COMPUTED_VALUE"""),"المعملجي")</f>
        <v>المعملجي</v>
      </c>
      <c r="D563" s="56" t="str">
        <f ca="1">IFERROR(__xludf.DUMMYFUNCTION("""COMPUTED_VALUE"""),"وحدة الكهرباء")</f>
        <v>وحدة الكهرباء</v>
      </c>
      <c r="E563" s="26" t="str">
        <f ca="1">IFERROR(__xludf.DUMMYFUNCTION("""COMPUTED_VALUE"""),"قسم المشاريع الهندسية")</f>
        <v>قسم المشاريع الهندسية</v>
      </c>
      <c r="F563" s="26" t="str">
        <f ca="1">IFERROR(__xludf.DUMMYFUNCTION("""COMPUTED_VALUE"""),"E- ابتدائية العميد للبنات (الثالثة)")</f>
        <v>E- ابتدائية العميد للبنات (الثالثة)</v>
      </c>
      <c r="G563" s="26"/>
      <c r="H563" s="26" t="str">
        <f ca="1">IFERROR(__xludf.DUMMYFUNCTION("""COMPUTED_VALUE"""),"تزيت المصعد")</f>
        <v>تزيت المصعد</v>
      </c>
      <c r="I563" s="26"/>
      <c r="J563" s="26" t="s">
        <v>3910</v>
      </c>
      <c r="K563" s="26" t="s">
        <v>13</v>
      </c>
      <c r="L563" s="55"/>
      <c r="M563" s="26"/>
    </row>
    <row r="564" spans="1:13" ht="75" customHeight="1" thickTop="1" thickBot="1">
      <c r="A564" s="26">
        <v>562</v>
      </c>
      <c r="B564" s="55">
        <f ca="1">IFERROR(__xludf.DUMMYFUNCTION("""COMPUTED_VALUE"""),46165.5969712962)</f>
        <v>46165.596971296203</v>
      </c>
      <c r="C564" s="56" t="str">
        <f ca="1">IFERROR(__xludf.DUMMYFUNCTION("""COMPUTED_VALUE"""),"المعملجي")</f>
        <v>المعملجي</v>
      </c>
      <c r="D564" s="56" t="str">
        <f ca="1">IFERROR(__xludf.DUMMYFUNCTION("""COMPUTED_VALUE"""),"وحدة الكهرباء")</f>
        <v>وحدة الكهرباء</v>
      </c>
      <c r="E564" s="26" t="str">
        <f ca="1">IFERROR(__xludf.DUMMYFUNCTION("""COMPUTED_VALUE"""),"قسم المشاريع الهندسية")</f>
        <v>قسم المشاريع الهندسية</v>
      </c>
      <c r="F564" s="26" t="str">
        <f ca="1">IFERROR(__xludf.DUMMYFUNCTION("""COMPUTED_VALUE"""),"D- ثانوية العميد بناية المتوسطة  (الثانية)")</f>
        <v>D- ثانوية العميد بناية المتوسطة  (الثانية)</v>
      </c>
      <c r="G564" s="26"/>
      <c r="H564" s="26" t="str">
        <f ca="1">IFERROR(__xludf.DUMMYFUNCTION("""COMPUTED_VALUE"""),"مد سيار كهرباء لتغذية ماطور كاز المولدات")</f>
        <v>مد سيار كهرباء لتغذية ماطور كاز المولدات</v>
      </c>
      <c r="I564" s="26"/>
      <c r="J564" s="26" t="s">
        <v>3910</v>
      </c>
      <c r="K564" s="26" t="s">
        <v>13</v>
      </c>
      <c r="L564" s="55"/>
      <c r="M564" s="26"/>
    </row>
    <row r="565" spans="1:13" ht="75" customHeight="1" thickTop="1" thickBot="1">
      <c r="A565" s="34">
        <v>563</v>
      </c>
      <c r="B565" s="55">
        <f ca="1">IFERROR(__xludf.DUMMYFUNCTION("""COMPUTED_VALUE"""),46165.5971471064)</f>
        <v>46165.597147106397</v>
      </c>
      <c r="C565" s="56" t="str">
        <f ca="1">IFERROR(__xludf.DUMMYFUNCTION("""COMPUTED_VALUE"""),"المعملجي")</f>
        <v>المعملجي</v>
      </c>
      <c r="D565" s="56" t="str">
        <f ca="1">IFERROR(__xludf.DUMMYFUNCTION("""COMPUTED_VALUE"""),"وحدة الكهرباء")</f>
        <v>وحدة الكهرباء</v>
      </c>
      <c r="E565" s="26" t="str">
        <f ca="1">IFERROR(__xludf.DUMMYFUNCTION("""COMPUTED_VALUE"""),"قسم المشاريع الهندسية")</f>
        <v>قسم المشاريع الهندسية</v>
      </c>
      <c r="F565" s="26" t="str">
        <f ca="1">IFERROR(__xludf.DUMMYFUNCTION("""COMPUTED_VALUE"""),"F-  ابتدائية جود العميد للبنات (الرابعة)")</f>
        <v>F-  ابتدائية جود العميد للبنات (الرابعة)</v>
      </c>
      <c r="G565" s="26"/>
      <c r="H565" s="26" t="str">
        <f ca="1">IFERROR(__xludf.DUMMYFUNCTION("""COMPUTED_VALUE"""),"مد سيار كهرباء لتغذية ماطور كاز المولدات")</f>
        <v>مد سيار كهرباء لتغذية ماطور كاز المولدات</v>
      </c>
      <c r="I565" s="26"/>
      <c r="J565" s="26" t="s">
        <v>3910</v>
      </c>
      <c r="K565" s="26" t="s">
        <v>13</v>
      </c>
      <c r="L565" s="55"/>
      <c r="M565" s="26"/>
    </row>
    <row r="566" spans="1:13" ht="75" customHeight="1" thickTop="1" thickBot="1">
      <c r="A566" s="26">
        <v>564</v>
      </c>
      <c r="B566" s="55">
        <f ca="1">IFERROR(__xludf.DUMMYFUNCTION("""COMPUTED_VALUE"""),46165.5977028125)</f>
        <v>46165.597702812498</v>
      </c>
      <c r="C566" s="56" t="str">
        <f ca="1">IFERROR(__xludf.DUMMYFUNCTION("""COMPUTED_VALUE"""),"المعملجي")</f>
        <v>المعملجي</v>
      </c>
      <c r="D566" s="56" t="str">
        <f ca="1">IFERROR(__xludf.DUMMYFUNCTION("""COMPUTED_VALUE"""),"وحدة الكهرباء")</f>
        <v>وحدة الكهرباء</v>
      </c>
      <c r="E566" s="26" t="str">
        <f ca="1">IFERROR(__xludf.DUMMYFUNCTION("""COMPUTED_VALUE"""),"قسم المشاريع الهندسية")</f>
        <v>قسم المشاريع الهندسية</v>
      </c>
      <c r="F566" s="26" t="str">
        <f ca="1">IFERROR(__xludf.DUMMYFUNCTION("""COMPUTED_VALUE"""),"G- روضة الجود")</f>
        <v>G- روضة الجود</v>
      </c>
      <c r="G566" s="26"/>
      <c r="H566" s="26" t="str">
        <f ca="1">IFERROR(__xludf.DUMMYFUNCTION("""COMPUTED_VALUE"""),"استبدال بلك سويج 13 امبير تالف في غرفة المعاونات")</f>
        <v>استبدال بلك سويج 13 امبير تالف في غرفة المعاونات</v>
      </c>
      <c r="I566" s="26"/>
      <c r="J566" s="26" t="s">
        <v>3910</v>
      </c>
      <c r="K566" s="26" t="s">
        <v>13</v>
      </c>
      <c r="L566" s="55"/>
      <c r="M566" s="26"/>
    </row>
    <row r="567" spans="1:13" ht="75" customHeight="1" thickTop="1" thickBot="1">
      <c r="A567" s="34">
        <v>565</v>
      </c>
      <c r="B567" s="55">
        <f ca="1">IFERROR(__xludf.DUMMYFUNCTION("""COMPUTED_VALUE"""),46165.5980302893)</f>
        <v>46165.5980302893</v>
      </c>
      <c r="C567" s="56" t="str">
        <f ca="1">IFERROR(__xludf.DUMMYFUNCTION("""COMPUTED_VALUE"""),"المعملجي")</f>
        <v>المعملجي</v>
      </c>
      <c r="D567" s="56" t="str">
        <f ca="1">IFERROR(__xludf.DUMMYFUNCTION("""COMPUTED_VALUE"""),"وحدة الكهرباء")</f>
        <v>وحدة الكهرباء</v>
      </c>
      <c r="E567" s="26" t="str">
        <f ca="1">IFERROR(__xludf.DUMMYFUNCTION("""COMPUTED_VALUE"""),"قسم المشاريع الهندسية")</f>
        <v>قسم المشاريع الهندسية</v>
      </c>
      <c r="F567" s="26" t="str">
        <f ca="1">IFERROR(__xludf.DUMMYFUNCTION("""COMPUTED_VALUE"""),"H- ابتدائية القمر للبنات (الخامسة)")</f>
        <v>H- ابتدائية القمر للبنات (الخامسة)</v>
      </c>
      <c r="G567" s="26"/>
      <c r="H567" s="26" t="str">
        <f ca="1">IFERROR(__xludf.DUMMYFUNCTION("""COMPUTED_VALUE"""),"تزيت المصعد")</f>
        <v>تزيت المصعد</v>
      </c>
      <c r="I567" s="26"/>
      <c r="J567" s="26" t="s">
        <v>3910</v>
      </c>
      <c r="K567" s="26" t="s">
        <v>13</v>
      </c>
      <c r="L567" s="55"/>
      <c r="M567" s="26"/>
    </row>
    <row r="568" spans="1:13" ht="75" customHeight="1" thickTop="1" thickBot="1">
      <c r="A568" s="26">
        <v>566</v>
      </c>
      <c r="B568" s="55">
        <f ca="1">IFERROR(__xludf.DUMMYFUNCTION("""COMPUTED_VALUE"""),46165.5982169444)</f>
        <v>46165.598216944403</v>
      </c>
      <c r="C568" s="56" t="str">
        <f ca="1">IFERROR(__xludf.DUMMYFUNCTION("""COMPUTED_VALUE"""),"المعملجي")</f>
        <v>المعملجي</v>
      </c>
      <c r="D568" s="56" t="str">
        <f ca="1">IFERROR(__xludf.DUMMYFUNCTION("""COMPUTED_VALUE"""),"وحدة الكهرباء")</f>
        <v>وحدة الكهرباء</v>
      </c>
      <c r="E568" s="26" t="str">
        <f ca="1">IFERROR(__xludf.DUMMYFUNCTION("""COMPUTED_VALUE"""),"قسم المشاريع الهندسية")</f>
        <v>قسم المشاريع الهندسية</v>
      </c>
      <c r="F568" s="26" t="str">
        <f ca="1">IFERROR(__xludf.DUMMYFUNCTION("""COMPUTED_VALUE"""),"I- ابتدائية الساقي للبنين (السادسة)")</f>
        <v>I- ابتدائية الساقي للبنين (السادسة)</v>
      </c>
      <c r="G568" s="26"/>
      <c r="H568" s="26" t="str">
        <f ca="1">IFERROR(__xludf.DUMMYFUNCTION("""COMPUTED_VALUE"""),"تزيت المصعد")</f>
        <v>تزيت المصعد</v>
      </c>
      <c r="I568" s="26"/>
      <c r="J568" s="26" t="s">
        <v>3910</v>
      </c>
      <c r="K568" s="26" t="s">
        <v>13</v>
      </c>
      <c r="L568" s="55"/>
      <c r="M568" s="26"/>
    </row>
    <row r="569" spans="1:13" ht="75" customHeight="1" thickTop="1" thickBot="1">
      <c r="A569" s="34">
        <v>567</v>
      </c>
      <c r="B569" s="55">
        <f ca="1">IFERROR(__xludf.DUMMYFUNCTION("""COMPUTED_VALUE"""),46165.59841478)</f>
        <v>46165.598414779997</v>
      </c>
      <c r="C569" s="56" t="str">
        <f ca="1">IFERROR(__xludf.DUMMYFUNCTION("""COMPUTED_VALUE"""),"المعملجي")</f>
        <v>المعملجي</v>
      </c>
      <c r="D569" s="56" t="str">
        <f ca="1">IFERROR(__xludf.DUMMYFUNCTION("""COMPUTED_VALUE"""),"وحدة الكهرباء")</f>
        <v>وحدة الكهرباء</v>
      </c>
      <c r="E569" s="26" t="str">
        <f ca="1">IFERROR(__xludf.DUMMYFUNCTION("""COMPUTED_VALUE"""),"قسم المشاريع الهندسية")</f>
        <v>قسم المشاريع الهندسية</v>
      </c>
      <c r="F569" s="26" t="str">
        <f ca="1">IFERROR(__xludf.DUMMYFUNCTION("""COMPUTED_VALUE"""),"J- جامعة العميد (السابعة)")</f>
        <v>J- جامعة العميد (السابعة)</v>
      </c>
      <c r="G569" s="26"/>
      <c r="H569" s="26" t="str">
        <f ca="1">IFERROR(__xludf.DUMMYFUNCTION("""COMPUTED_VALUE"""),"تزيت المصعد")</f>
        <v>تزيت المصعد</v>
      </c>
      <c r="I569" s="26"/>
      <c r="J569" s="26" t="s">
        <v>3910</v>
      </c>
      <c r="K569" s="26" t="s">
        <v>13</v>
      </c>
      <c r="L569" s="55"/>
      <c r="M569" s="26"/>
    </row>
    <row r="570" spans="1:13" ht="75" customHeight="1" thickTop="1" thickBot="1">
      <c r="A570" s="26">
        <v>568</v>
      </c>
      <c r="B570" s="55">
        <f ca="1">IFERROR(__xludf.DUMMYFUNCTION("""COMPUTED_VALUE"""),46165.598987905)</f>
        <v>46165.598987905003</v>
      </c>
      <c r="C570" s="56" t="str">
        <f ca="1">IFERROR(__xludf.DUMMYFUNCTION("""COMPUTED_VALUE"""),"المعملجي")</f>
        <v>المعملجي</v>
      </c>
      <c r="D570" s="56" t="str">
        <f ca="1">IFERROR(__xludf.DUMMYFUNCTION("""COMPUTED_VALUE"""),"وحدة الكهرباء")</f>
        <v>وحدة الكهرباء</v>
      </c>
      <c r="E570" s="26" t="str">
        <f ca="1">IFERROR(__xludf.DUMMYFUNCTION("""COMPUTED_VALUE"""),"قسم المشاريع الهندسية")</f>
        <v>قسم المشاريع الهندسية</v>
      </c>
      <c r="F570" s="26" t="str">
        <f ca="1">IFERROR(__xludf.DUMMYFUNCTION("""COMPUTED_VALUE"""),"C- ثانوية العميد بناية الاعدادية  (الاولى)")</f>
        <v>C- ثانوية العميد بناية الاعدادية  (الاولى)</v>
      </c>
      <c r="G570" s="26"/>
      <c r="H570" s="26" t="str">
        <f ca="1">IFERROR(__xludf.DUMMYFUNCTION("""COMPUTED_VALUE"""),"تنظيف بوابات مصعد البناية الاولى ")</f>
        <v xml:space="preserve">تنظيف بوابات مصعد البناية الاولى </v>
      </c>
      <c r="I570" s="26"/>
      <c r="J570" s="26" t="s">
        <v>3910</v>
      </c>
      <c r="K570" s="26" t="s">
        <v>13</v>
      </c>
      <c r="L570" s="55"/>
      <c r="M570" s="26"/>
    </row>
    <row r="571" spans="1:13" ht="75" customHeight="1" thickTop="1" thickBot="1">
      <c r="A571" s="34">
        <v>569</v>
      </c>
      <c r="B571" s="55">
        <f ca="1">IFERROR(__xludf.DUMMYFUNCTION("""COMPUTED_VALUE"""),46165.5994518402)</f>
        <v>46165.5994518402</v>
      </c>
      <c r="C571" s="56" t="str">
        <f ca="1">IFERROR(__xludf.DUMMYFUNCTION("""COMPUTED_VALUE"""),"المعملجي")</f>
        <v>المعملجي</v>
      </c>
      <c r="D571" s="56" t="str">
        <f ca="1">IFERROR(__xludf.DUMMYFUNCTION("""COMPUTED_VALUE"""),"وحدة الكهرباء")</f>
        <v>وحدة الكهرباء</v>
      </c>
      <c r="E571" s="26" t="str">
        <f ca="1">IFERROR(__xludf.DUMMYFUNCTION("""COMPUTED_VALUE"""),"قسم المشاريع الهندسية")</f>
        <v>قسم المشاريع الهندسية</v>
      </c>
      <c r="F571" s="26" t="str">
        <f ca="1">IFERROR(__xludf.DUMMYFUNCTION("""COMPUTED_VALUE"""),"الاستعلامات الرئيسية")</f>
        <v>الاستعلامات الرئيسية</v>
      </c>
      <c r="G571" s="26"/>
      <c r="H571" s="26" t="str">
        <f ca="1">IFERROR(__xludf.DUMMYFUNCTION("""COMPUTED_VALUE"""),"صيانة غلاية ماء ")</f>
        <v xml:space="preserve">صيانة غلاية ماء </v>
      </c>
      <c r="I571" s="26"/>
      <c r="J571" s="26" t="s">
        <v>3910</v>
      </c>
      <c r="K571" s="26" t="s">
        <v>13</v>
      </c>
      <c r="L571" s="55"/>
      <c r="M571" s="26"/>
    </row>
    <row r="572" spans="1:13" ht="75" customHeight="1" thickTop="1" thickBot="1">
      <c r="A572" s="26">
        <v>570</v>
      </c>
      <c r="B572" s="55">
        <f ca="1">IFERROR(__xludf.DUMMYFUNCTION("""COMPUTED_VALUE"""),46165.6000301388)</f>
        <v>46165.600030138798</v>
      </c>
      <c r="C572" s="56" t="str">
        <f ca="1">IFERROR(__xludf.DUMMYFUNCTION("""COMPUTED_VALUE"""),"المعملجي")</f>
        <v>المعملجي</v>
      </c>
      <c r="D572" s="56" t="str">
        <f ca="1">IFERROR(__xludf.DUMMYFUNCTION("""COMPUTED_VALUE"""),"وحدة الكهرباء")</f>
        <v>وحدة الكهرباء</v>
      </c>
      <c r="E572" s="26" t="str">
        <f ca="1">IFERROR(__xludf.DUMMYFUNCTION("""COMPUTED_VALUE"""),"قسم المشاريع الهندسية")</f>
        <v>قسم المشاريع الهندسية</v>
      </c>
      <c r="F572" s="26" t="str">
        <f ca="1">IFERROR(__xludf.DUMMYFUNCTION("""COMPUTED_VALUE"""),"A- المركز الثقافي")</f>
        <v>A- المركز الثقافي</v>
      </c>
      <c r="G572" s="26" t="str">
        <f ca="1">IFERROR(__xludf.DUMMYFUNCTION("""COMPUTED_VALUE"""),"الطابق الرابع")</f>
        <v>الطابق الرابع</v>
      </c>
      <c r="H572" s="26" t="str">
        <f ca="1">IFERROR(__xludf.DUMMYFUNCTION("""COMPUTED_VALUE"""),"اعادة ups  الى الخدمة بعد توقفه عن اخراج التيار")</f>
        <v>اعادة ups  الى الخدمة بعد توقفه عن اخراج التيار</v>
      </c>
      <c r="I572" s="26"/>
      <c r="J572" s="26" t="s">
        <v>3910</v>
      </c>
      <c r="K572" s="26" t="s">
        <v>13</v>
      </c>
      <c r="L572" s="55"/>
      <c r="M572" s="26"/>
    </row>
    <row r="573" spans="1:13" ht="75" customHeight="1" thickTop="1" thickBot="1">
      <c r="A573" s="34">
        <v>571</v>
      </c>
      <c r="B573" s="55">
        <f ca="1">IFERROR(__xludf.DUMMYFUNCTION("""COMPUTED_VALUE"""),46165.6007076388)</f>
        <v>46165.600707638798</v>
      </c>
      <c r="C573" s="56" t="str">
        <f ca="1">IFERROR(__xludf.DUMMYFUNCTION("""COMPUTED_VALUE"""),"المعملجي")</f>
        <v>المعملجي</v>
      </c>
      <c r="D573" s="56" t="str">
        <f ca="1">IFERROR(__xludf.DUMMYFUNCTION("""COMPUTED_VALUE"""),"وحدة الكهرباء")</f>
        <v>وحدة الكهرباء</v>
      </c>
      <c r="E573" s="26" t="str">
        <f ca="1">IFERROR(__xludf.DUMMYFUNCTION("""COMPUTED_VALUE"""),"قسم المشاريع الهندسية")</f>
        <v>قسم المشاريع الهندسية</v>
      </c>
      <c r="F573" s="26" t="str">
        <f ca="1">IFERROR(__xludf.DUMMYFUNCTION("""COMPUTED_VALUE"""),"G- روضة الجود")</f>
        <v>G- روضة الجود</v>
      </c>
      <c r="G573" s="26" t="str">
        <f ca="1">IFERROR(__xludf.DUMMYFUNCTION("""COMPUTED_VALUE"""),"السطح")</f>
        <v>السطح</v>
      </c>
      <c r="H573" s="26" t="str">
        <f ca="1">IFERROR(__xludf.DUMMYFUNCTION("""COMPUTED_VALUE"""),"غسل جميع الالواح الشمسية والبالغ عددها 135")</f>
        <v>غسل جميع الالواح الشمسية والبالغ عددها 135</v>
      </c>
      <c r="I573" s="26"/>
      <c r="J573" s="26" t="s">
        <v>3910</v>
      </c>
      <c r="K573" s="26" t="s">
        <v>13</v>
      </c>
      <c r="L573" s="55"/>
      <c r="M573" s="26"/>
    </row>
    <row r="574" spans="1:13" ht="75" customHeight="1" thickTop="1" thickBot="1">
      <c r="A574" s="26">
        <v>572</v>
      </c>
      <c r="B574" s="55">
        <f ca="1">IFERROR(__xludf.DUMMYFUNCTION("""COMPUTED_VALUE"""),46165.6031143634)</f>
        <v>46165.603114363403</v>
      </c>
      <c r="C574" s="56" t="str">
        <f ca="1">IFERROR(__xludf.DUMMYFUNCTION("""COMPUTED_VALUE"""),"المعملجي")</f>
        <v>المعملجي</v>
      </c>
      <c r="D574" s="56" t="str">
        <f ca="1">IFERROR(__xludf.DUMMYFUNCTION("""COMPUTED_VALUE"""),"وحدة الكهرباء")</f>
        <v>وحدة الكهرباء</v>
      </c>
      <c r="E574" s="26" t="str">
        <f ca="1">IFERROR(__xludf.DUMMYFUNCTION("""COMPUTED_VALUE"""),"قسم المشاريع الهندسية")</f>
        <v>قسم المشاريع الهندسية</v>
      </c>
      <c r="F574" s="26" t="str">
        <f ca="1">IFERROR(__xludf.DUMMYFUNCTION("""COMPUTED_VALUE"""),"الاستعلامات الرئيسية")</f>
        <v>الاستعلامات الرئيسية</v>
      </c>
      <c r="G574" s="26"/>
      <c r="H574" s="26" t="str">
        <f ca="1">IFERROR(__xludf.DUMMYFUNCTION("""COMPUTED_VALUE"""),"معالجة رخاوة في السلك البارد في البورد الرئيسي")</f>
        <v>معالجة رخاوة في السلك البارد في البورد الرئيسي</v>
      </c>
      <c r="I574" s="26"/>
      <c r="J574" s="26" t="s">
        <v>3910</v>
      </c>
      <c r="K574" s="26" t="s">
        <v>13</v>
      </c>
      <c r="L574" s="55"/>
      <c r="M574" s="26"/>
    </row>
    <row r="575" spans="1:13" ht="75" customHeight="1" thickTop="1" thickBot="1">
      <c r="A575" s="34">
        <v>573</v>
      </c>
      <c r="B575" s="55">
        <f ca="1">IFERROR(__xludf.DUMMYFUNCTION("""COMPUTED_VALUE"""),46165.6037730902)</f>
        <v>46165.603773090203</v>
      </c>
      <c r="C575" s="56" t="str">
        <f ca="1">IFERROR(__xludf.DUMMYFUNCTION("""COMPUTED_VALUE"""),"المعملجي")</f>
        <v>المعملجي</v>
      </c>
      <c r="D575" s="56" t="str">
        <f ca="1">IFERROR(__xludf.DUMMYFUNCTION("""COMPUTED_VALUE"""),"وحدة الكهرباء")</f>
        <v>وحدة الكهرباء</v>
      </c>
      <c r="E575" s="26" t="str">
        <f ca="1">IFERROR(__xludf.DUMMYFUNCTION("""COMPUTED_VALUE"""),"قسم المشاريع الهندسية")</f>
        <v>قسم المشاريع الهندسية</v>
      </c>
      <c r="F575" s="26" t="str">
        <f ca="1">IFERROR(__xludf.DUMMYFUNCTION("""COMPUTED_VALUE"""),"A- المركز الثقافي")</f>
        <v>A- المركز الثقافي</v>
      </c>
      <c r="G575" s="26"/>
      <c r="H575" s="26" t="str">
        <f ca="1">IFERROR(__xludf.DUMMYFUNCTION("""COMPUTED_VALUE"""),"فصل كيبل 16*4 ملم المغذي لبورد السخانات في سطح الطابق الثاني وسحبه واعادة تسليكه إلى الطابق الأول جهة رئاسة القسم")</f>
        <v>فصل كيبل 16*4 ملم المغذي لبورد السخانات في سطح الطابق الثاني وسحبه واعادة تسليكه إلى الطابق الأول جهة رئاسة القسم</v>
      </c>
      <c r="I575" s="26"/>
      <c r="J575" s="26" t="s">
        <v>3910</v>
      </c>
      <c r="K575" s="26" t="s">
        <v>13</v>
      </c>
      <c r="L575" s="55"/>
      <c r="M575" s="26"/>
    </row>
    <row r="576" spans="1:13" ht="75" customHeight="1" thickTop="1" thickBot="1">
      <c r="A576" s="26">
        <v>574</v>
      </c>
      <c r="B576" s="55">
        <f ca="1">IFERROR(__xludf.DUMMYFUNCTION("""COMPUTED_VALUE"""),46165.6060405208)</f>
        <v>46165.606040520797</v>
      </c>
      <c r="C576" s="56" t="str">
        <f ca="1">IFERROR(__xludf.DUMMYFUNCTION("""COMPUTED_VALUE"""),"المعملجي")</f>
        <v>المعملجي</v>
      </c>
      <c r="D576" s="56" t="str">
        <f ca="1">IFERROR(__xludf.DUMMYFUNCTION("""COMPUTED_VALUE"""),"وحدة الكهرباء")</f>
        <v>وحدة الكهرباء</v>
      </c>
      <c r="E576" s="26" t="str">
        <f ca="1">IFERROR(__xludf.DUMMYFUNCTION("""COMPUTED_VALUE"""),"قسم المشاريع الهندسية")</f>
        <v>قسم المشاريع الهندسية</v>
      </c>
      <c r="F576" s="26" t="str">
        <f ca="1">IFERROR(__xludf.DUMMYFUNCTION("""COMPUTED_VALUE"""),"A- المركز الثقافي")</f>
        <v>A- المركز الثقافي</v>
      </c>
      <c r="G576" s="26" t="str">
        <f ca="1">IFERROR(__xludf.DUMMYFUNCTION("""COMPUTED_VALUE"""),"الطابق الاول")</f>
        <v>الطابق الاول</v>
      </c>
      <c r="H576" s="26" t="str">
        <f ca="1">IFERROR(__xludf.DUMMYFUNCTION("""COMPUTED_VALUE"""),"إضافة مأخذ قدرة 13A مع بوكس بلاستك احادي وكيبل فلكس 2.5*2 ملم مسافة ربع متر لتغذية بوستر")</f>
        <v>إضافة مأخذ قدرة 13A مع بوكس بلاستك احادي وكيبل فلكس 2.5*2 ملم مسافة ربع متر لتغذية بوستر</v>
      </c>
      <c r="I576" s="26"/>
      <c r="J576" s="26" t="s">
        <v>3910</v>
      </c>
      <c r="K576" s="26" t="s">
        <v>13</v>
      </c>
      <c r="L576" s="55"/>
      <c r="M576" s="26"/>
    </row>
    <row r="577" spans="1:13" ht="75" customHeight="1" thickTop="1" thickBot="1">
      <c r="A577" s="34">
        <v>575</v>
      </c>
      <c r="B577" s="55">
        <f ca="1">IFERROR(__xludf.DUMMYFUNCTION("""COMPUTED_VALUE"""),46165.6064709953)</f>
        <v>46165.606470995299</v>
      </c>
      <c r="C577" s="56" t="str">
        <f ca="1">IFERROR(__xludf.DUMMYFUNCTION("""COMPUTED_VALUE"""),"المعملجي")</f>
        <v>المعملجي</v>
      </c>
      <c r="D577" s="56" t="str">
        <f ca="1">IFERROR(__xludf.DUMMYFUNCTION("""COMPUTED_VALUE"""),"وحدة الكهرباء")</f>
        <v>وحدة الكهرباء</v>
      </c>
      <c r="E577" s="26" t="str">
        <f ca="1">IFERROR(__xludf.DUMMYFUNCTION("""COMPUTED_VALUE"""),"قسم المشاريع الهندسية")</f>
        <v>قسم المشاريع الهندسية</v>
      </c>
      <c r="F577" s="26" t="str">
        <f ca="1">IFERROR(__xludf.DUMMYFUNCTION("""COMPUTED_VALUE"""),"E- ابتدائية العميد للبنات (الثالثة)")</f>
        <v>E- ابتدائية العميد للبنات (الثالثة)</v>
      </c>
      <c r="G577" s="26" t="str">
        <f ca="1">IFERROR(__xludf.DUMMYFUNCTION("""COMPUTED_VALUE"""),"صحيات المدرسة")</f>
        <v>صحيات المدرسة</v>
      </c>
      <c r="H577" s="26" t="str">
        <f ca="1">IFERROR(__xludf.DUMMYFUNCTION("""COMPUTED_VALUE"""),"تبديل محولة سبوت لايت 20w  تالفة")</f>
        <v>تبديل محولة سبوت لايت 20w  تالفة</v>
      </c>
      <c r="I577" s="26"/>
      <c r="J577" s="26" t="s">
        <v>3910</v>
      </c>
      <c r="K577" s="26" t="s">
        <v>13</v>
      </c>
      <c r="L577" s="55"/>
      <c r="M577" s="26"/>
    </row>
    <row r="578" spans="1:13" ht="75" customHeight="1" thickTop="1" thickBot="1">
      <c r="A578" s="26">
        <v>576</v>
      </c>
      <c r="B578" s="55">
        <f ca="1">IFERROR(__xludf.DUMMYFUNCTION("""COMPUTED_VALUE"""),46165.6070373726)</f>
        <v>46165.607037372603</v>
      </c>
      <c r="C578" s="56" t="str">
        <f ca="1">IFERROR(__xludf.DUMMYFUNCTION("""COMPUTED_VALUE"""),"المعملجي")</f>
        <v>المعملجي</v>
      </c>
      <c r="D578" s="56" t="str">
        <f ca="1">IFERROR(__xludf.DUMMYFUNCTION("""COMPUTED_VALUE"""),"وحدة الكهرباء")</f>
        <v>وحدة الكهرباء</v>
      </c>
      <c r="E578" s="26" t="str">
        <f ca="1">IFERROR(__xludf.DUMMYFUNCTION("""COMPUTED_VALUE"""),"قسم المشاريع الهندسية")</f>
        <v>قسم المشاريع الهندسية</v>
      </c>
      <c r="F578" s="26" t="str">
        <f ca="1">IFERROR(__xludf.DUMMYFUNCTION("""COMPUTED_VALUE"""),"B- روضة القمر")</f>
        <v>B- روضة القمر</v>
      </c>
      <c r="G578" s="26" t="str">
        <f ca="1">IFERROR(__xludf.DUMMYFUNCTION("""COMPUTED_VALUE"""),"صحيات مقابل الاولى")</f>
        <v>صحيات مقابل الاولى</v>
      </c>
      <c r="H578" s="26" t="str">
        <f ca="1">IFERROR(__xludf.DUMMYFUNCTION("""COMPUTED_VALUE"""),"تبديل محولة سبوت لايت 20w  تالفة")</f>
        <v>تبديل محولة سبوت لايت 20w  تالفة</v>
      </c>
      <c r="I578" s="26"/>
      <c r="J578" s="26" t="s">
        <v>3910</v>
      </c>
      <c r="K578" s="26" t="s">
        <v>13</v>
      </c>
      <c r="L578" s="55"/>
      <c r="M578" s="26"/>
    </row>
    <row r="579" spans="1:13" ht="75" customHeight="1" thickTop="1" thickBot="1">
      <c r="A579" s="34">
        <v>577</v>
      </c>
      <c r="B579" s="55">
        <f ca="1">IFERROR(__xludf.DUMMYFUNCTION("""COMPUTED_VALUE"""),46165.6078861921)</f>
        <v>46165.607886192098</v>
      </c>
      <c r="C579" s="56" t="str">
        <f ca="1">IFERROR(__xludf.DUMMYFUNCTION("""COMPUTED_VALUE"""),"المعملجي")</f>
        <v>المعملجي</v>
      </c>
      <c r="D579" s="56" t="str">
        <f ca="1">IFERROR(__xludf.DUMMYFUNCTION("""COMPUTED_VALUE"""),"وحدة الكهرباء")</f>
        <v>وحدة الكهرباء</v>
      </c>
      <c r="E579" s="26" t="str">
        <f ca="1">IFERROR(__xludf.DUMMYFUNCTION("""COMPUTED_VALUE"""),"قسم المشاريع الهندسية")</f>
        <v>قسم المشاريع الهندسية</v>
      </c>
      <c r="F579" s="26" t="str">
        <f ca="1">IFERROR(__xludf.DUMMYFUNCTION("""COMPUTED_VALUE"""),"F-  ابتدائية جود العميد للبنات (الرابعة)")</f>
        <v>F-  ابتدائية جود العميد للبنات (الرابعة)</v>
      </c>
      <c r="G579" s="26"/>
      <c r="H579" s="26" t="str">
        <f ca="1">IFERROR(__xludf.DUMMYFUNCTION("""COMPUTED_VALUE"""),"تزيت المصعد")</f>
        <v>تزيت المصعد</v>
      </c>
      <c r="I579" s="26"/>
      <c r="J579" s="26" t="s">
        <v>3910</v>
      </c>
      <c r="K579" s="26" t="s">
        <v>13</v>
      </c>
      <c r="L579" s="55"/>
      <c r="M579" s="26"/>
    </row>
    <row r="580" spans="1:13" ht="75" customHeight="1" thickTop="1" thickBot="1">
      <c r="A580" s="26">
        <v>578</v>
      </c>
      <c r="B580" s="55">
        <f ca="1">IFERROR(__xludf.DUMMYFUNCTION("""COMPUTED_VALUE"""),46165.6083490393)</f>
        <v>46165.608349039299</v>
      </c>
      <c r="C580" s="56" t="str">
        <f ca="1">IFERROR(__xludf.DUMMYFUNCTION("""COMPUTED_VALUE"""),"المعملجي")</f>
        <v>المعملجي</v>
      </c>
      <c r="D580" s="56" t="str">
        <f ca="1">IFERROR(__xludf.DUMMYFUNCTION("""COMPUTED_VALUE"""),"وحدة الكهرباء")</f>
        <v>وحدة الكهرباء</v>
      </c>
      <c r="E580" s="26" t="str">
        <f ca="1">IFERROR(__xludf.DUMMYFUNCTION("""COMPUTED_VALUE"""),"قسم المشاريع الهندسية")</f>
        <v>قسم المشاريع الهندسية</v>
      </c>
      <c r="F580" s="26" t="str">
        <f ca="1">IFERROR(__xludf.DUMMYFUNCTION("""COMPUTED_VALUE"""),"G- روضة الجود")</f>
        <v>G- روضة الجود</v>
      </c>
      <c r="G580" s="26"/>
      <c r="H580" s="26" t="str">
        <f ca="1">IFERROR(__xludf.DUMMYFUNCTION("""COMPUTED_VALUE"""),"إعادة ربط حاسبة النافورة الى الشبكة بعد انقطاع دام لشهر تقريبا بسبب خلل في SWITCH")</f>
        <v>إعادة ربط حاسبة النافورة الى الشبكة بعد انقطاع دام لشهر تقريبا بسبب خلل في SWITCH</v>
      </c>
      <c r="I580" s="26"/>
      <c r="J580" s="26" t="s">
        <v>3910</v>
      </c>
      <c r="K580" s="26" t="s">
        <v>13</v>
      </c>
      <c r="L580" s="55"/>
      <c r="M580" s="26"/>
    </row>
    <row r="581" spans="1:13" ht="75" customHeight="1" thickTop="1" thickBot="1">
      <c r="A581" s="34">
        <v>579</v>
      </c>
      <c r="B581" s="55">
        <f ca="1">IFERROR(__xludf.DUMMYFUNCTION("""COMPUTED_VALUE"""),46165.6087420138)</f>
        <v>46165.608742013799</v>
      </c>
      <c r="C581" s="56" t="str">
        <f ca="1">IFERROR(__xludf.DUMMYFUNCTION("""COMPUTED_VALUE"""),"المعملجي")</f>
        <v>المعملجي</v>
      </c>
      <c r="D581" s="56" t="str">
        <f ca="1">IFERROR(__xludf.DUMMYFUNCTION("""COMPUTED_VALUE"""),"وحدة الكهرباء")</f>
        <v>وحدة الكهرباء</v>
      </c>
      <c r="E581" s="26" t="str">
        <f ca="1">IFERROR(__xludf.DUMMYFUNCTION("""COMPUTED_VALUE"""),"قسم المشاريع الهندسية")</f>
        <v>قسم المشاريع الهندسية</v>
      </c>
      <c r="F581" s="26" t="str">
        <f ca="1">IFERROR(__xludf.DUMMYFUNCTION("""COMPUTED_VALUE"""),"A- المركز الثقافي")</f>
        <v>A- المركز الثقافي</v>
      </c>
      <c r="G581" s="26" t="str">
        <f ca="1">IFERROR(__xludf.DUMMYFUNCTION("""COMPUTED_VALUE"""),"الطابق الرابع, غرفة المراقبة ")</f>
        <v xml:space="preserve">الطابق الرابع, غرفة المراقبة </v>
      </c>
      <c r="H581" s="26" t="str">
        <f ca="1">IFERROR(__xludf.DUMMYFUNCTION("""COMPUTED_VALUE"""),"لصق لوحات بلاستك شفافة جديدة لحفظ ورقة قراءات الــUPS وكذلك سهولة استبدالها دون تغير الحافظة.")</f>
        <v>لصق لوحات بلاستك شفافة جديدة لحفظ ورقة قراءات الــUPS وكذلك سهولة استبدالها دون تغير الحافظة.</v>
      </c>
      <c r="I581" s="26"/>
      <c r="J581" s="26" t="s">
        <v>3910</v>
      </c>
      <c r="K581" s="26" t="s">
        <v>13</v>
      </c>
      <c r="L581" s="55"/>
      <c r="M581" s="26"/>
    </row>
    <row r="582" spans="1:13" ht="75" customHeight="1" thickTop="1" thickBot="1">
      <c r="A582" s="26">
        <v>580</v>
      </c>
      <c r="B582" s="55">
        <f ca="1">IFERROR(__xludf.DUMMYFUNCTION("""COMPUTED_VALUE"""),46165.609710081)</f>
        <v>46165.609710081</v>
      </c>
      <c r="C582" s="56" t="str">
        <f ca="1">IFERROR(__xludf.DUMMYFUNCTION("""COMPUTED_VALUE"""),"المعملجي")</f>
        <v>المعملجي</v>
      </c>
      <c r="D582" s="56" t="str">
        <f ca="1">IFERROR(__xludf.DUMMYFUNCTION("""COMPUTED_VALUE"""),"وحدة الكهرباء")</f>
        <v>وحدة الكهرباء</v>
      </c>
      <c r="E582" s="26" t="str">
        <f ca="1">IFERROR(__xludf.DUMMYFUNCTION("""COMPUTED_VALUE"""),"قسم المشاريع الهندسية")</f>
        <v>قسم المشاريع الهندسية</v>
      </c>
      <c r="F582" s="26" t="str">
        <f ca="1">IFERROR(__xludf.DUMMYFUNCTION("""COMPUTED_VALUE"""),"A- المركز الثقافي")</f>
        <v>A- المركز الثقافي</v>
      </c>
      <c r="G582" s="26" t="str">
        <f ca="1">IFERROR(__xludf.DUMMYFUNCTION("""COMPUTED_VALUE"""),"الطابق الرابع, شعبة المراقبة")</f>
        <v>الطابق الرابع, شعبة المراقبة</v>
      </c>
      <c r="H582" s="26" t="str">
        <f ca="1">IFERROR(__xludf.DUMMYFUNCTION("""COMPUTED_VALUE"""),"إدخال جهازي الـUPS الى خطة الفحص الدورية لاجهزة UPS")</f>
        <v>إدخال جهازي الـUPS الى خطة الفحص الدورية لاجهزة UPS</v>
      </c>
      <c r="I582" s="26"/>
      <c r="J582" s="26" t="s">
        <v>3910</v>
      </c>
      <c r="K582" s="26" t="s">
        <v>13</v>
      </c>
      <c r="L582" s="55"/>
      <c r="M582" s="26"/>
    </row>
    <row r="583" spans="1:13" ht="75" customHeight="1" thickTop="1" thickBot="1">
      <c r="A583" s="34">
        <v>581</v>
      </c>
      <c r="B583" s="55">
        <f ca="1">IFERROR(__xludf.DUMMYFUNCTION("""COMPUTED_VALUE"""),46165.610132662)</f>
        <v>46165.610132661997</v>
      </c>
      <c r="C583" s="56" t="str">
        <f ca="1">IFERROR(__xludf.DUMMYFUNCTION("""COMPUTED_VALUE"""),"المعملجي")</f>
        <v>المعملجي</v>
      </c>
      <c r="D583" s="56" t="str">
        <f ca="1">IFERROR(__xludf.DUMMYFUNCTION("""COMPUTED_VALUE"""),"وحدة الكهرباء")</f>
        <v>وحدة الكهرباء</v>
      </c>
      <c r="E583" s="26" t="str">
        <f ca="1">IFERROR(__xludf.DUMMYFUNCTION("""COMPUTED_VALUE"""),"قسم المشاريع الهندسية")</f>
        <v>قسم المشاريع الهندسية</v>
      </c>
      <c r="F583" s="26" t="str">
        <f ca="1">IFERROR(__xludf.DUMMYFUNCTION("""COMPUTED_VALUE"""),"A- المركز الثقافي")</f>
        <v>A- المركز الثقافي</v>
      </c>
      <c r="G583" s="26" t="str">
        <f ca="1">IFERROR(__xludf.DUMMYFUNCTION("""COMPUTED_VALUE"""),"الطابق الرابع, شعبة المراقبة")</f>
        <v>الطابق الرابع, شعبة المراقبة</v>
      </c>
      <c r="H583" s="26" t="str">
        <f ca="1">IFERROR(__xludf.DUMMYFUNCTION("""COMPUTED_VALUE"""),"ستبدال محولة انارة سقفية بقدرة 38W بأخرى من نفس القدرة.")</f>
        <v>ستبدال محولة انارة سقفية بقدرة 38W بأخرى من نفس القدرة.</v>
      </c>
      <c r="I583" s="26"/>
      <c r="J583" s="26" t="s">
        <v>3910</v>
      </c>
      <c r="K583" s="26" t="s">
        <v>13</v>
      </c>
      <c r="L583" s="55"/>
      <c r="M583" s="26"/>
    </row>
    <row r="584" spans="1:13" ht="75" customHeight="1" thickTop="1" thickBot="1">
      <c r="A584" s="26">
        <v>582</v>
      </c>
      <c r="B584" s="55">
        <f ca="1">IFERROR(__xludf.DUMMYFUNCTION("""COMPUTED_VALUE"""),46165.6105685879)</f>
        <v>46165.610568587901</v>
      </c>
      <c r="C584" s="56" t="str">
        <f ca="1">IFERROR(__xludf.DUMMYFUNCTION("""COMPUTED_VALUE"""),"المعملجي")</f>
        <v>المعملجي</v>
      </c>
      <c r="D584" s="56" t="str">
        <f ca="1">IFERROR(__xludf.DUMMYFUNCTION("""COMPUTED_VALUE"""),"وحدة الكهرباء")</f>
        <v>وحدة الكهرباء</v>
      </c>
      <c r="E584" s="26" t="str">
        <f ca="1">IFERROR(__xludf.DUMMYFUNCTION("""COMPUTED_VALUE"""),"قسم المشاريع الهندسية")</f>
        <v>قسم المشاريع الهندسية</v>
      </c>
      <c r="F584" s="26" t="str">
        <f ca="1">IFERROR(__xludf.DUMMYFUNCTION("""COMPUTED_VALUE"""),"A- المركز الثقافي")</f>
        <v>A- المركز الثقافي</v>
      </c>
      <c r="G584" s="26" t="str">
        <f ca="1">IFERROR(__xludf.DUMMYFUNCTION("""COMPUTED_VALUE"""),"الطابق الثالث")</f>
        <v>الطابق الثالث</v>
      </c>
      <c r="H584" s="26" t="str">
        <f ca="1">IFERROR(__xludf.DUMMYFUNCTION("""COMPUTED_VALUE"""),"بسبب تكرار عملية دخول السويج به بسبب كبر حجمه  تم استبداله ببوكس اخر متوافق مع حجم السويج.")</f>
        <v>بسبب تكرار عملية دخول السويج به بسبب كبر حجمه  تم استبداله ببوكس اخر متوافق مع حجم السويج.</v>
      </c>
      <c r="I584" s="26"/>
      <c r="J584" s="26" t="s">
        <v>3910</v>
      </c>
      <c r="K584" s="26" t="s">
        <v>13</v>
      </c>
      <c r="L584" s="55"/>
      <c r="M584" s="26"/>
    </row>
    <row r="585" spans="1:13" ht="75" customHeight="1" thickTop="1" thickBot="1">
      <c r="A585" s="34">
        <v>583</v>
      </c>
      <c r="B585" s="55">
        <f ca="1">IFERROR(__xludf.DUMMYFUNCTION("""COMPUTED_VALUE"""),46165.6108660763)</f>
        <v>46165.610866076298</v>
      </c>
      <c r="C585" s="56" t="str">
        <f ca="1">IFERROR(__xludf.DUMMYFUNCTION("""COMPUTED_VALUE"""),"المعملجي")</f>
        <v>المعملجي</v>
      </c>
      <c r="D585" s="56" t="str">
        <f ca="1">IFERROR(__xludf.DUMMYFUNCTION("""COMPUTED_VALUE"""),"وحدة الكهرباء")</f>
        <v>وحدة الكهرباء</v>
      </c>
      <c r="E585" s="26" t="str">
        <f ca="1">IFERROR(__xludf.DUMMYFUNCTION("""COMPUTED_VALUE"""),"قسم المشاريع الهندسية")</f>
        <v>قسم المشاريع الهندسية</v>
      </c>
      <c r="F585" s="26" t="str">
        <f ca="1">IFERROR(__xludf.DUMMYFUNCTION("""COMPUTED_VALUE"""),"المختبرات")</f>
        <v>المختبرات</v>
      </c>
      <c r="G585" s="26" t="str">
        <f ca="1">IFERROR(__xludf.DUMMYFUNCTION("""COMPUTED_VALUE"""),"الطابق الارضي")</f>
        <v>الطابق الارضي</v>
      </c>
      <c r="H585" s="26" t="str">
        <f ca="1">IFERROR(__xludf.DUMMYFUNCTION("""COMPUTED_VALUE"""),"إدخال منظومة تبريد بناية المختبرات الجديدة الى منظومة الإتصالات الموحدة الخاصة بالمجمع.")</f>
        <v>إدخال منظومة تبريد بناية المختبرات الجديدة الى منظومة الإتصالات الموحدة الخاصة بالمجمع.</v>
      </c>
      <c r="I585" s="26"/>
      <c r="J585" s="26" t="s">
        <v>3910</v>
      </c>
      <c r="K585" s="26" t="s">
        <v>13</v>
      </c>
      <c r="L585" s="55"/>
      <c r="M585" s="26"/>
    </row>
    <row r="586" spans="1:13" ht="75" customHeight="1" thickTop="1" thickBot="1">
      <c r="A586" s="26">
        <v>584</v>
      </c>
      <c r="B586" s="55">
        <f ca="1">IFERROR(__xludf.DUMMYFUNCTION("""COMPUTED_VALUE"""),46165.611262662)</f>
        <v>46165.611262662002</v>
      </c>
      <c r="C586" s="56" t="str">
        <f ca="1">IFERROR(__xludf.DUMMYFUNCTION("""COMPUTED_VALUE"""),"المعملجي")</f>
        <v>المعملجي</v>
      </c>
      <c r="D586" s="56" t="str">
        <f ca="1">IFERROR(__xludf.DUMMYFUNCTION("""COMPUTED_VALUE"""),"وحدة الكهرباء")</f>
        <v>وحدة الكهرباء</v>
      </c>
      <c r="E586" s="26" t="str">
        <f ca="1">IFERROR(__xludf.DUMMYFUNCTION("""COMPUTED_VALUE"""),"قسم المشاريع الهندسية")</f>
        <v>قسم المشاريع الهندسية</v>
      </c>
      <c r="F586" s="26" t="str">
        <f ca="1">IFERROR(__xludf.DUMMYFUNCTION("""COMPUTED_VALUE"""),"A- المركز الثقافي")</f>
        <v>A- المركز الثقافي</v>
      </c>
      <c r="G586" s="26"/>
      <c r="H586" s="26" t="str">
        <f ca="1">IFERROR(__xludf.DUMMYFUNCTION("""COMPUTED_VALUE"""),"انشاء بورد قياس 30*40 فرعي مخصص للطابق الأرضي في رئاسة القسم لغرض تغيير تغذية السبالت المضافة البالغ عددها 4 والتي حاليا مغذاة من بورد البكجات .")</f>
        <v>انشاء بورد قياس 30*40 فرعي مخصص للطابق الأرضي في رئاسة القسم لغرض تغيير تغذية السبالت المضافة البالغ عددها 4 والتي حاليا مغذاة من بورد البكجات .</v>
      </c>
      <c r="I586" s="26"/>
      <c r="J586" s="26" t="s">
        <v>3910</v>
      </c>
      <c r="K586" s="26" t="s">
        <v>13</v>
      </c>
      <c r="L586" s="55"/>
      <c r="M586" s="26"/>
    </row>
    <row r="587" spans="1:13" ht="75" customHeight="1" thickTop="1" thickBot="1">
      <c r="A587" s="34">
        <v>585</v>
      </c>
      <c r="B587" s="55">
        <f ca="1">IFERROR(__xludf.DUMMYFUNCTION("""COMPUTED_VALUE"""),46165.611681655)</f>
        <v>46165.611681654998</v>
      </c>
      <c r="C587" s="56" t="str">
        <f ca="1">IFERROR(__xludf.DUMMYFUNCTION("""COMPUTED_VALUE"""),"المعملجي")</f>
        <v>المعملجي</v>
      </c>
      <c r="D587" s="56" t="str">
        <f ca="1">IFERROR(__xludf.DUMMYFUNCTION("""COMPUTED_VALUE"""),"وحدة الكهرباء")</f>
        <v>وحدة الكهرباء</v>
      </c>
      <c r="E587" s="26" t="str">
        <f ca="1">IFERROR(__xludf.DUMMYFUNCTION("""COMPUTED_VALUE"""),"قسم المشاريع الهندسية")</f>
        <v>قسم المشاريع الهندسية</v>
      </c>
      <c r="F587" s="26" t="str">
        <f ca="1">IFERROR(__xludf.DUMMYFUNCTION("""COMPUTED_VALUE"""),"A- المركز الثقافي")</f>
        <v>A- المركز الثقافي</v>
      </c>
      <c r="G587" s="26"/>
      <c r="H587" s="26" t="str">
        <f ca="1">IFERROR(__xludf.DUMMYFUNCTION("""COMPUTED_VALUE"""),"انشاء بورد قياس 40*50 سم رئيسي  مخصص للطابق الأول في رئاسة القسم لغرض تغيير تغذية السبالت المضافة البالغ عددها 5 والتي حاليا مغذاة من بورد البكجات .")</f>
        <v>انشاء بورد قياس 40*50 سم رئيسي  مخصص للطابق الأول في رئاسة القسم لغرض تغيير تغذية السبالت المضافة البالغ عددها 5 والتي حاليا مغذاة من بورد البكجات .</v>
      </c>
      <c r="I587" s="26"/>
      <c r="J587" s="26" t="s">
        <v>3910</v>
      </c>
      <c r="K587" s="26" t="s">
        <v>13</v>
      </c>
      <c r="L587" s="55"/>
      <c r="M587" s="26"/>
    </row>
    <row r="588" spans="1:13" ht="75" customHeight="1" thickTop="1" thickBot="1">
      <c r="A588" s="26">
        <v>586</v>
      </c>
      <c r="B588" s="55">
        <f ca="1">IFERROR(__xludf.DUMMYFUNCTION("""COMPUTED_VALUE"""),46165.6129184259)</f>
        <v>46165.612918425897</v>
      </c>
      <c r="C588" s="56" t="str">
        <f ca="1">IFERROR(__xludf.DUMMYFUNCTION("""COMPUTED_VALUE"""),"المعملجي")</f>
        <v>المعملجي</v>
      </c>
      <c r="D588" s="56" t="str">
        <f ca="1">IFERROR(__xludf.DUMMYFUNCTION("""COMPUTED_VALUE"""),"وحدة الكهرباء")</f>
        <v>وحدة الكهرباء</v>
      </c>
      <c r="E588" s="26" t="str">
        <f ca="1">IFERROR(__xludf.DUMMYFUNCTION("""COMPUTED_VALUE"""),"قسم المشاريع الهندسية")</f>
        <v>قسم المشاريع الهندسية</v>
      </c>
      <c r="F588" s="26" t="str">
        <f ca="1">IFERROR(__xludf.DUMMYFUNCTION("""COMPUTED_VALUE"""),"البيوت الخارجية")</f>
        <v>البيوت الخارجية</v>
      </c>
      <c r="G588" s="26"/>
      <c r="H588" s="26" t="str">
        <f ca="1">IFERROR(__xludf.DUMMYFUNCTION("""COMPUTED_VALUE"""),"تم اعادة الخدمة الى ups  البيوت الخارجية بعد انطفاء بسبب التحميل الزائد على منظومة الطاقة الشسمية من قبل شعبة التغذية")</f>
        <v>تم اعادة الخدمة الى ups  البيوت الخارجية بعد انطفاء بسبب التحميل الزائد على منظومة الطاقة الشسمية من قبل شعبة التغذية</v>
      </c>
      <c r="I588" s="26"/>
      <c r="J588" s="26" t="s">
        <v>3910</v>
      </c>
      <c r="K588" s="26" t="s">
        <v>13</v>
      </c>
      <c r="L588" s="55"/>
      <c r="M588" s="26"/>
    </row>
    <row r="589" spans="1:13" ht="75" customHeight="1" thickTop="1" thickBot="1">
      <c r="A589" s="34">
        <v>587</v>
      </c>
      <c r="B589" s="55">
        <f ca="1">IFERROR(__xludf.DUMMYFUNCTION("""COMPUTED_VALUE"""),46165.6132920486)</f>
        <v>46165.613292048598</v>
      </c>
      <c r="C589" s="56" t="str">
        <f ca="1">IFERROR(__xludf.DUMMYFUNCTION("""COMPUTED_VALUE"""),"المعملجي")</f>
        <v>المعملجي</v>
      </c>
      <c r="D589" s="56" t="str">
        <f ca="1">IFERROR(__xludf.DUMMYFUNCTION("""COMPUTED_VALUE"""),"وحدة الكهرباء")</f>
        <v>وحدة الكهرباء</v>
      </c>
      <c r="E589" s="26" t="str">
        <f ca="1">IFERROR(__xludf.DUMMYFUNCTION("""COMPUTED_VALUE"""),"قسم المشاريع الهندسية")</f>
        <v>قسم المشاريع الهندسية</v>
      </c>
      <c r="F589" s="26" t="str">
        <f ca="1">IFERROR(__xludf.DUMMYFUNCTION("""COMPUTED_VALUE"""),"A- المركز الثقافي")</f>
        <v>A- المركز الثقافي</v>
      </c>
      <c r="G589" s="26" t="str">
        <f ca="1">IFERROR(__xludf.DUMMYFUNCTION("""COMPUTED_VALUE"""),"الطابق الارضي, غرفة الكهرباء")</f>
        <v>الطابق الارضي, غرفة الكهرباء</v>
      </c>
      <c r="H589" s="26" t="str">
        <f ca="1">IFERROR(__xludf.DUMMYFUNCTION("""COMPUTED_VALUE"""),"صيانة ATS المركز الثقافي وذلك بعد فحصة وتشخيص عدة اعطال منها الكارت الداخلي لجزء الموتورايز واعادة تركيبه")</f>
        <v>صيانة ATS المركز الثقافي وذلك بعد فحصة وتشخيص عدة اعطال منها الكارت الداخلي لجزء الموتورايز واعادة تركيبه</v>
      </c>
      <c r="I589" s="26"/>
      <c r="J589" s="26" t="s">
        <v>3910</v>
      </c>
      <c r="K589" s="26" t="s">
        <v>13</v>
      </c>
      <c r="L589" s="55"/>
      <c r="M589" s="26"/>
    </row>
    <row r="590" spans="1:13" ht="75" customHeight="1" thickTop="1" thickBot="1">
      <c r="A590" s="26">
        <v>588</v>
      </c>
      <c r="B590" s="55">
        <f ca="1">IFERROR(__xludf.DUMMYFUNCTION("""COMPUTED_VALUE"""),46165.6136605555)</f>
        <v>46165.6136605555</v>
      </c>
      <c r="C590" s="56" t="str">
        <f ca="1">IFERROR(__xludf.DUMMYFUNCTION("""COMPUTED_VALUE"""),"المعملجي")</f>
        <v>المعملجي</v>
      </c>
      <c r="D590" s="56" t="str">
        <f ca="1">IFERROR(__xludf.DUMMYFUNCTION("""COMPUTED_VALUE"""),"وحدة الكهرباء")</f>
        <v>وحدة الكهرباء</v>
      </c>
      <c r="E590" s="26" t="str">
        <f ca="1">IFERROR(__xludf.DUMMYFUNCTION("""COMPUTED_VALUE"""),"قسم المشاريع الهندسية")</f>
        <v>قسم المشاريع الهندسية</v>
      </c>
      <c r="F590" s="26" t="str">
        <f ca="1">IFERROR(__xludf.DUMMYFUNCTION("""COMPUTED_VALUE"""),"النافورة")</f>
        <v>النافورة</v>
      </c>
      <c r="G590" s="26"/>
      <c r="H590" s="26" t="str">
        <f ca="1">IFERROR(__xludf.DUMMYFUNCTION("""COMPUTED_VALUE"""),"تغذية سيار كهرباء بناءً على طلب من شعبة المراقبة المدرسية عبر لوحة توزيع الكهرباء الخاصة بالمهرجان")</f>
        <v>تغذية سيار كهرباء بناءً على طلب من شعبة المراقبة المدرسية عبر لوحة توزيع الكهرباء الخاصة بالمهرجان</v>
      </c>
      <c r="I590" s="26"/>
      <c r="J590" s="26" t="s">
        <v>3910</v>
      </c>
      <c r="K590" s="26" t="s">
        <v>13</v>
      </c>
      <c r="L590" s="55"/>
      <c r="M590" s="26"/>
    </row>
    <row r="591" spans="1:13" ht="75" customHeight="1" thickTop="1" thickBot="1">
      <c r="A591" s="34">
        <v>589</v>
      </c>
      <c r="B591" s="55">
        <f ca="1">IFERROR(__xludf.DUMMYFUNCTION("""COMPUTED_VALUE"""),46165.6139352546)</f>
        <v>46165.613935254602</v>
      </c>
      <c r="C591" s="56" t="str">
        <f ca="1">IFERROR(__xludf.DUMMYFUNCTION("""COMPUTED_VALUE"""),"المعملجي")</f>
        <v>المعملجي</v>
      </c>
      <c r="D591" s="56" t="str">
        <f ca="1">IFERROR(__xludf.DUMMYFUNCTION("""COMPUTED_VALUE"""),"وحدة الكهرباء")</f>
        <v>وحدة الكهرباء</v>
      </c>
      <c r="E591" s="26" t="str">
        <f ca="1">IFERROR(__xludf.DUMMYFUNCTION("""COMPUTED_VALUE"""),"قسم المشاريع الهندسية")</f>
        <v>قسم المشاريع الهندسية</v>
      </c>
      <c r="F591" s="26" t="str">
        <f ca="1">IFERROR(__xludf.DUMMYFUNCTION("""COMPUTED_VALUE"""),"A- المركز الثقافي")</f>
        <v>A- المركز الثقافي</v>
      </c>
      <c r="G591" s="26"/>
      <c r="H591" s="26" t="str">
        <f ca="1">IFERROR(__xludf.DUMMYFUNCTION("""COMPUTED_VALUE"""),"تثبيت البورد الرئيسي (40*50) سم لغرض تغذية السبالت فوق السقف الثانوي للطابق الأول في رئاسة القسم.")</f>
        <v>تثبيت البورد الرئيسي (40*50) سم لغرض تغذية السبالت فوق السقف الثانوي للطابق الأول في رئاسة القسم.</v>
      </c>
      <c r="I591" s="26"/>
      <c r="J591" s="26" t="s">
        <v>3910</v>
      </c>
      <c r="K591" s="26" t="s">
        <v>13</v>
      </c>
      <c r="L591" s="55"/>
      <c r="M591" s="26"/>
    </row>
    <row r="592" spans="1:13" ht="75" customHeight="1" thickTop="1" thickBot="1">
      <c r="A592" s="26">
        <v>590</v>
      </c>
      <c r="B592" s="55">
        <f ca="1">IFERROR(__xludf.DUMMYFUNCTION("""COMPUTED_VALUE"""),46165.6140911574)</f>
        <v>46165.614091157397</v>
      </c>
      <c r="C592" s="56" t="str">
        <f ca="1">IFERROR(__xludf.DUMMYFUNCTION("""COMPUTED_VALUE"""),"المعملجي")</f>
        <v>المعملجي</v>
      </c>
      <c r="D592" s="56" t="str">
        <f ca="1">IFERROR(__xludf.DUMMYFUNCTION("""COMPUTED_VALUE"""),"وحدة الكهرباء")</f>
        <v>وحدة الكهرباء</v>
      </c>
      <c r="E592" s="26" t="str">
        <f ca="1">IFERROR(__xludf.DUMMYFUNCTION("""COMPUTED_VALUE"""),"قسم المشاريع الهندسية")</f>
        <v>قسم المشاريع الهندسية</v>
      </c>
      <c r="F592" s="26" t="str">
        <f ca="1">IFERROR(__xludf.DUMMYFUNCTION("""COMPUTED_VALUE"""),"A- المركز الثقافي")</f>
        <v>A- المركز الثقافي</v>
      </c>
      <c r="G592" s="26"/>
      <c r="H592" s="26" t="str">
        <f ca="1">IFERROR(__xludf.DUMMYFUNCTION("""COMPUTED_VALUE"""),"تثبيت البورد الثانوي (30*40) سم فوق السقف الثانوي للطابق الأرضي في نفس المبنى.")</f>
        <v>تثبيت البورد الثانوي (30*40) سم فوق السقف الثانوي للطابق الأرضي في نفس المبنى.</v>
      </c>
      <c r="I592" s="26"/>
      <c r="J592" s="26" t="s">
        <v>3910</v>
      </c>
      <c r="K592" s="26" t="s">
        <v>13</v>
      </c>
      <c r="L592" s="55"/>
      <c r="M592" s="26"/>
    </row>
    <row r="593" spans="1:13" ht="75" customHeight="1" thickTop="1" thickBot="1">
      <c r="A593" s="34">
        <v>591</v>
      </c>
      <c r="B593" s="55">
        <f ca="1">IFERROR(__xludf.DUMMYFUNCTION("""COMPUTED_VALUE"""),46165.6145967592)</f>
        <v>46165.614596759202</v>
      </c>
      <c r="C593" s="56" t="str">
        <f ca="1">IFERROR(__xludf.DUMMYFUNCTION("""COMPUTED_VALUE"""),"المعملجي")</f>
        <v>المعملجي</v>
      </c>
      <c r="D593" s="56" t="str">
        <f ca="1">IFERROR(__xludf.DUMMYFUNCTION("""COMPUTED_VALUE"""),"وحدة الكهرباء")</f>
        <v>وحدة الكهرباء</v>
      </c>
      <c r="E593" s="26" t="str">
        <f ca="1">IFERROR(__xludf.DUMMYFUNCTION("""COMPUTED_VALUE"""),"قسم المشاريع الهندسية")</f>
        <v>قسم المشاريع الهندسية</v>
      </c>
      <c r="F593" s="26" t="str">
        <f ca="1">IFERROR(__xludf.DUMMYFUNCTION("""COMPUTED_VALUE"""),"A- المركز الثقافي")</f>
        <v>A- المركز الثقافي</v>
      </c>
      <c r="G593" s="26" t="str">
        <f ca="1">IFERROR(__xludf.DUMMYFUNCTION("""COMPUTED_VALUE"""),"رئاسة القسم")</f>
        <v>رئاسة القسم</v>
      </c>
      <c r="H593" s="26" t="str">
        <f ca="1">IFERROR(__xludf.DUMMYFUNCTION("""COMPUTED_VALUE"""),"زيادة طول قابلو حجم 4x16 ملم بمقدار 12 متر تقريباً بأستخدام جوين ثمبل وعزله جيداً باستخدام الشرنكات وأيصاله للبورد الجديد الخاص بتغذية السبالت")</f>
        <v>زيادة طول قابلو حجم 4x16 ملم بمقدار 12 متر تقريباً بأستخدام جوين ثمبل وعزله جيداً باستخدام الشرنكات وأيصاله للبورد الجديد الخاص بتغذية السبالت</v>
      </c>
      <c r="I593" s="26"/>
      <c r="J593" s="26" t="s">
        <v>3910</v>
      </c>
      <c r="K593" s="26" t="s">
        <v>13</v>
      </c>
      <c r="L593" s="55"/>
      <c r="M593" s="26"/>
    </row>
    <row r="594" spans="1:13" ht="75" customHeight="1" thickTop="1" thickBot="1">
      <c r="A594" s="26">
        <v>592</v>
      </c>
      <c r="B594" s="55">
        <f ca="1">IFERROR(__xludf.DUMMYFUNCTION("""COMPUTED_VALUE"""),46165.614935081)</f>
        <v>46165.614935081001</v>
      </c>
      <c r="C594" s="56" t="str">
        <f ca="1">IFERROR(__xludf.DUMMYFUNCTION("""COMPUTED_VALUE"""),"المعملجي")</f>
        <v>المعملجي</v>
      </c>
      <c r="D594" s="56" t="str">
        <f ca="1">IFERROR(__xludf.DUMMYFUNCTION("""COMPUTED_VALUE"""),"وحدة الكهرباء")</f>
        <v>وحدة الكهرباء</v>
      </c>
      <c r="E594" s="26" t="str">
        <f ca="1">IFERROR(__xludf.DUMMYFUNCTION("""COMPUTED_VALUE"""),"قسم المشاريع الهندسية")</f>
        <v>قسم المشاريع الهندسية</v>
      </c>
      <c r="F594" s="26" t="str">
        <f ca="1">IFERROR(__xludf.DUMMYFUNCTION("""COMPUTED_VALUE"""),"A- المركز الثقافي")</f>
        <v>A- المركز الثقافي</v>
      </c>
      <c r="G594" s="26"/>
      <c r="H594" s="26" t="str">
        <f ca="1">IFERROR(__xludf.DUMMYFUNCTION("""COMPUTED_VALUE"""),"مد قابلو بحجم 4x10 ملم من البورد الجديد الخاص بسبالت رئاسة القسم الموجود في الطابق الأول الى بورد آخر خاص بتغذية سبالت الطابق الأرضي")</f>
        <v>مد قابلو بحجم 4x10 ملم من البورد الجديد الخاص بسبالت رئاسة القسم الموجود في الطابق الأول الى بورد آخر خاص بتغذية سبالت الطابق الأرضي</v>
      </c>
      <c r="I594" s="26"/>
      <c r="J594" s="26" t="s">
        <v>3910</v>
      </c>
      <c r="K594" s="26" t="s">
        <v>13</v>
      </c>
      <c r="L594" s="55"/>
      <c r="M594" s="26"/>
    </row>
    <row r="595" spans="1:13" ht="75" customHeight="1" thickTop="1" thickBot="1">
      <c r="A595" s="34">
        <v>593</v>
      </c>
      <c r="B595" s="55">
        <f ca="1">IFERROR(__xludf.DUMMYFUNCTION("""COMPUTED_VALUE"""),46165.6152801504)</f>
        <v>46165.615280150399</v>
      </c>
      <c r="C595" s="56" t="str">
        <f ca="1">IFERROR(__xludf.DUMMYFUNCTION("""COMPUTED_VALUE"""),"المعملجي")</f>
        <v>المعملجي</v>
      </c>
      <c r="D595" s="56" t="str">
        <f ca="1">IFERROR(__xludf.DUMMYFUNCTION("""COMPUTED_VALUE"""),"وحدة الكهرباء")</f>
        <v>وحدة الكهرباء</v>
      </c>
      <c r="E595" s="26" t="str">
        <f ca="1">IFERROR(__xludf.DUMMYFUNCTION("""COMPUTED_VALUE"""),"قسم المشاريع الهندسية")</f>
        <v>قسم المشاريع الهندسية</v>
      </c>
      <c r="F595" s="26" t="str">
        <f ca="1">IFERROR(__xludf.DUMMYFUNCTION("""COMPUTED_VALUE"""),"A- المركز الثقافي")</f>
        <v>A- المركز الثقافي</v>
      </c>
      <c r="G595" s="26"/>
      <c r="H595" s="26" t="str">
        <f ca="1">IFERROR(__xludf.DUMMYFUNCTION("""COMPUTED_VALUE"""),"تغيير موضع تغذية القابلو الذي تم استخدامه لتغذية جميع سبالت رئاسة القسم من بورد التبريد في الطابق الأول الى بورد التوزيع ")</f>
        <v xml:space="preserve">تغيير موضع تغذية القابلو الذي تم استخدامه لتغذية جميع سبالت رئاسة القسم من بورد التبريد في الطابق الأول الى بورد التوزيع </v>
      </c>
      <c r="I595" s="26"/>
      <c r="J595" s="26" t="s">
        <v>3910</v>
      </c>
      <c r="K595" s="26" t="s">
        <v>13</v>
      </c>
      <c r="L595" s="55"/>
      <c r="M595" s="26"/>
    </row>
    <row r="596" spans="1:13" ht="75" customHeight="1" thickTop="1" thickBot="1">
      <c r="A596" s="26">
        <v>594</v>
      </c>
      <c r="B596" s="55">
        <f ca="1">IFERROR(__xludf.DUMMYFUNCTION("""COMPUTED_VALUE"""),46165.6163917361)</f>
        <v>46165.616391736097</v>
      </c>
      <c r="C596" s="56" t="str">
        <f ca="1">IFERROR(__xludf.DUMMYFUNCTION("""COMPUTED_VALUE"""),"المعملجي")</f>
        <v>المعملجي</v>
      </c>
      <c r="D596" s="56" t="str">
        <f ca="1">IFERROR(__xludf.DUMMYFUNCTION("""COMPUTED_VALUE"""),"وحدة الكهرباء")</f>
        <v>وحدة الكهرباء</v>
      </c>
      <c r="E596" s="26" t="str">
        <f ca="1">IFERROR(__xludf.DUMMYFUNCTION("""COMPUTED_VALUE"""),"قسم المشاريع الهندسية")</f>
        <v>قسم المشاريع الهندسية</v>
      </c>
      <c r="F596" s="26" t="str">
        <f ca="1">IFERROR(__xludf.DUMMYFUNCTION("""COMPUTED_VALUE"""),"A- المركز الثقافي")</f>
        <v>A- المركز الثقافي</v>
      </c>
      <c r="G596" s="26"/>
      <c r="H596" s="26" t="str">
        <f ca="1">IFERROR(__xludf.DUMMYFUNCTION("""COMPUTED_VALUE"""),"نقل الاسلاك من الطابق الارضي  اللى الطابق الاول لغرض تغذية السبالت ")</f>
        <v xml:space="preserve">نقل الاسلاك من الطابق الارضي  اللى الطابق الاول لغرض تغذية السبالت </v>
      </c>
      <c r="I596" s="26"/>
      <c r="J596" s="26" t="s">
        <v>3910</v>
      </c>
      <c r="K596" s="26" t="s">
        <v>13</v>
      </c>
      <c r="L596" s="55"/>
      <c r="M596" s="26"/>
    </row>
    <row r="597" spans="1:13" ht="75" customHeight="1" thickTop="1" thickBot="1">
      <c r="A597" s="34">
        <v>595</v>
      </c>
      <c r="B597" s="55">
        <f ca="1">IFERROR(__xludf.DUMMYFUNCTION("""COMPUTED_VALUE"""),46165.6169428703)</f>
        <v>46165.6169428703</v>
      </c>
      <c r="C597" s="56" t="str">
        <f ca="1">IFERROR(__xludf.DUMMYFUNCTION("""COMPUTED_VALUE"""),"المعملجي")</f>
        <v>المعملجي</v>
      </c>
      <c r="D597" s="56" t="str">
        <f ca="1">IFERROR(__xludf.DUMMYFUNCTION("""COMPUTED_VALUE"""),"وحدة الكهرباء")</f>
        <v>وحدة الكهرباء</v>
      </c>
      <c r="E597" s="26" t="str">
        <f ca="1">IFERROR(__xludf.DUMMYFUNCTION("""COMPUTED_VALUE"""),"قسم المشاريع الهندسية")</f>
        <v>قسم المشاريع الهندسية</v>
      </c>
      <c r="F597" s="26" t="str">
        <f ca="1">IFERROR(__xludf.DUMMYFUNCTION("""COMPUTED_VALUE"""),"B- روضة القمر")</f>
        <v>B- روضة القمر</v>
      </c>
      <c r="G597" s="26" t="str">
        <f ca="1">IFERROR(__xludf.DUMMYFUNCTION("""COMPUTED_VALUE"""),"الصحيات الخارجية")</f>
        <v>الصحيات الخارجية</v>
      </c>
      <c r="H597" s="26" t="str">
        <f ca="1">IFERROR(__xludf.DUMMYFUNCTION("""COMPUTED_VALUE"""),"استبدال محولة سبوت لايت")</f>
        <v>استبدال محولة سبوت لايت</v>
      </c>
      <c r="I597" s="26"/>
      <c r="J597" s="26" t="s">
        <v>3910</v>
      </c>
      <c r="K597" s="26" t="s">
        <v>13</v>
      </c>
      <c r="L597" s="55"/>
      <c r="M597" s="26"/>
    </row>
    <row r="598" spans="1:13" ht="75" customHeight="1" thickTop="1" thickBot="1">
      <c r="A598" s="26">
        <v>596</v>
      </c>
      <c r="B598" s="55">
        <f ca="1">IFERROR(__xludf.DUMMYFUNCTION("""COMPUTED_VALUE"""),46165.617379155)</f>
        <v>46165.617379155003</v>
      </c>
      <c r="C598" s="56" t="str">
        <f ca="1">IFERROR(__xludf.DUMMYFUNCTION("""COMPUTED_VALUE"""),"المعملجي")</f>
        <v>المعملجي</v>
      </c>
      <c r="D598" s="56" t="str">
        <f ca="1">IFERROR(__xludf.DUMMYFUNCTION("""COMPUTED_VALUE"""),"وحدة الكهرباء")</f>
        <v>وحدة الكهرباء</v>
      </c>
      <c r="E598" s="26" t="str">
        <f ca="1">IFERROR(__xludf.DUMMYFUNCTION("""COMPUTED_VALUE"""),"قسم المشاريع الهندسية")</f>
        <v>قسم المشاريع الهندسية</v>
      </c>
      <c r="F598" s="26" t="str">
        <f ca="1">IFERROR(__xludf.DUMMYFUNCTION("""COMPUTED_VALUE"""),"A- المركز الثقافي")</f>
        <v>A- المركز الثقافي</v>
      </c>
      <c r="G598" s="26" t="str">
        <f ca="1">IFERROR(__xludf.DUMMYFUNCTION("""COMPUTED_VALUE"""),"الطابق الثاني")</f>
        <v>الطابق الثاني</v>
      </c>
      <c r="H598" s="26" t="str">
        <f ca="1">IFERROR(__xludf.DUMMYFUNCTION("""COMPUTED_VALUE"""),"تم فتح وصيانة وإعادة ربط عدد (2) كارت خاص بجهاز منظومة التبريد نوع VRF")</f>
        <v>تم فتح وصيانة وإعادة ربط عدد (2) كارت خاص بجهاز منظومة التبريد نوع VRF</v>
      </c>
      <c r="I598" s="26"/>
      <c r="J598" s="26" t="s">
        <v>3910</v>
      </c>
      <c r="K598" s="26" t="s">
        <v>13</v>
      </c>
      <c r="L598" s="55"/>
      <c r="M598" s="26"/>
    </row>
    <row r="599" spans="1:13" ht="75" customHeight="1" thickTop="1" thickBot="1">
      <c r="A599" s="34">
        <v>597</v>
      </c>
      <c r="B599" s="55">
        <f ca="1">IFERROR(__xludf.DUMMYFUNCTION("""COMPUTED_VALUE"""),46165.6176864467)</f>
        <v>46165.617686446698</v>
      </c>
      <c r="C599" s="56" t="str">
        <f ca="1">IFERROR(__xludf.DUMMYFUNCTION("""COMPUTED_VALUE"""),"المعملجي")</f>
        <v>المعملجي</v>
      </c>
      <c r="D599" s="56" t="str">
        <f ca="1">IFERROR(__xludf.DUMMYFUNCTION("""COMPUTED_VALUE"""),"وحدة الكهرباء")</f>
        <v>وحدة الكهرباء</v>
      </c>
      <c r="E599" s="26" t="str">
        <f ca="1">IFERROR(__xludf.DUMMYFUNCTION("""COMPUTED_VALUE"""),"قسم المشاريع الهندسية")</f>
        <v>قسم المشاريع الهندسية</v>
      </c>
      <c r="F599" s="26" t="str">
        <f ca="1">IFERROR(__xludf.DUMMYFUNCTION("""COMPUTED_VALUE"""),"C- ثانوية العميد بناية الاعدادية  (الاولى)")</f>
        <v>C- ثانوية العميد بناية الاعدادية  (الاولى)</v>
      </c>
      <c r="G599" s="26" t="str">
        <f ca="1">IFERROR(__xludf.DUMMYFUNCTION("""COMPUTED_VALUE"""),"السطح")</f>
        <v>السطح</v>
      </c>
      <c r="H599" s="26" t="str">
        <f ca="1">IFERROR(__xludf.DUMMYFUNCTION("""COMPUTED_VALUE"""),"صيانة مضخة اطفاء الحريق (الديزل)")</f>
        <v>صيانة مضخة اطفاء الحريق (الديزل)</v>
      </c>
      <c r="I599" s="26"/>
      <c r="J599" s="26" t="s">
        <v>3910</v>
      </c>
      <c r="K599" s="26" t="s">
        <v>13</v>
      </c>
      <c r="L599" s="55"/>
      <c r="M599" s="26"/>
    </row>
    <row r="600" spans="1:13" ht="75" customHeight="1" thickTop="1" thickBot="1">
      <c r="A600" s="26">
        <v>598</v>
      </c>
      <c r="B600" s="55">
        <f ca="1">IFERROR(__xludf.DUMMYFUNCTION("""COMPUTED_VALUE"""),46165.6179903819)</f>
        <v>46165.617990381899</v>
      </c>
      <c r="C600" s="56" t="str">
        <f ca="1">IFERROR(__xludf.DUMMYFUNCTION("""COMPUTED_VALUE"""),"المعملجي")</f>
        <v>المعملجي</v>
      </c>
      <c r="D600" s="56" t="str">
        <f ca="1">IFERROR(__xludf.DUMMYFUNCTION("""COMPUTED_VALUE"""),"وحدة الكهرباء")</f>
        <v>وحدة الكهرباء</v>
      </c>
      <c r="E600" s="26" t="str">
        <f ca="1">IFERROR(__xludf.DUMMYFUNCTION("""COMPUTED_VALUE"""),"قسم المشاريع الهندسية")</f>
        <v>قسم المشاريع الهندسية</v>
      </c>
      <c r="F600" s="26" t="str">
        <f ca="1">IFERROR(__xludf.DUMMYFUNCTION("""COMPUTED_VALUE"""),"D- ثانوية العميد بناية المتوسطة  (الثانية)")</f>
        <v>D- ثانوية العميد بناية المتوسطة  (الثانية)</v>
      </c>
      <c r="G600" s="26" t="str">
        <f ca="1">IFERROR(__xludf.DUMMYFUNCTION("""COMPUTED_VALUE"""),"السطح")</f>
        <v>السطح</v>
      </c>
      <c r="H600" s="26" t="str">
        <f ca="1">IFERROR(__xludf.DUMMYFUNCTION("""COMPUTED_VALUE"""),"فحص مضخة الديزل")</f>
        <v>فحص مضخة الديزل</v>
      </c>
      <c r="I600" s="26"/>
      <c r="J600" s="26" t="s">
        <v>3910</v>
      </c>
      <c r="K600" s="26" t="s">
        <v>13</v>
      </c>
      <c r="L600" s="55"/>
      <c r="M600" s="26"/>
    </row>
    <row r="601" spans="1:13" ht="75" customHeight="1" thickTop="1" thickBot="1">
      <c r="A601" s="34">
        <v>599</v>
      </c>
      <c r="B601" s="55">
        <f ca="1">IFERROR(__xludf.DUMMYFUNCTION("""COMPUTED_VALUE"""),46165.6186743634)</f>
        <v>46165.618674363403</v>
      </c>
      <c r="C601" s="56" t="str">
        <f ca="1">IFERROR(__xludf.DUMMYFUNCTION("""COMPUTED_VALUE"""),"المعملجي")</f>
        <v>المعملجي</v>
      </c>
      <c r="D601" s="56" t="str">
        <f ca="1">IFERROR(__xludf.DUMMYFUNCTION("""COMPUTED_VALUE"""),"وحدة الكهرباء")</f>
        <v>وحدة الكهرباء</v>
      </c>
      <c r="E601" s="26" t="str">
        <f ca="1">IFERROR(__xludf.DUMMYFUNCTION("""COMPUTED_VALUE"""),"قسم المشاريع الهندسية")</f>
        <v>قسم المشاريع الهندسية</v>
      </c>
      <c r="F601" s="26" t="str">
        <f ca="1">IFERROR(__xludf.DUMMYFUNCTION("""COMPUTED_VALUE"""),"مولدات GH")</f>
        <v>مولدات GH</v>
      </c>
      <c r="G601" s="26"/>
      <c r="H601" s="26" t="str">
        <f ca="1">IFERROR(__xludf.DUMMYFUNCTION("""COMPUTED_VALUE"""),"صيانة المولدة (1MVA) ")</f>
        <v xml:space="preserve">صيانة المولدة (1MVA) </v>
      </c>
      <c r="I601" s="26"/>
      <c r="J601" s="26" t="s">
        <v>3910</v>
      </c>
      <c r="K601" s="26" t="s">
        <v>13</v>
      </c>
      <c r="L601" s="55"/>
      <c r="M601" s="26"/>
    </row>
    <row r="602" spans="1:13" ht="75" customHeight="1" thickTop="1" thickBot="1">
      <c r="A602" s="26">
        <v>600</v>
      </c>
      <c r="B602" s="55">
        <f ca="1">IFERROR(__xludf.DUMMYFUNCTION("""COMPUTED_VALUE"""),46165.619190868)</f>
        <v>46165.619190867998</v>
      </c>
      <c r="C602" s="56" t="str">
        <f ca="1">IFERROR(__xludf.DUMMYFUNCTION("""COMPUTED_VALUE"""),"المعملجي")</f>
        <v>المعملجي</v>
      </c>
      <c r="D602" s="56" t="str">
        <f ca="1">IFERROR(__xludf.DUMMYFUNCTION("""COMPUTED_VALUE"""),"وحدة الكهرباء")</f>
        <v>وحدة الكهرباء</v>
      </c>
      <c r="E602" s="26" t="str">
        <f ca="1">IFERROR(__xludf.DUMMYFUNCTION("""COMPUTED_VALUE"""),"قسم المشاريع الهندسية")</f>
        <v>قسم المشاريع الهندسية</v>
      </c>
      <c r="F602" s="26" t="str">
        <f ca="1">IFERROR(__xludf.DUMMYFUNCTION("""COMPUTED_VALUE"""),"مولدات GH")</f>
        <v>مولدات GH</v>
      </c>
      <c r="G602" s="26"/>
      <c r="H602" s="26" t="str">
        <f ca="1">IFERROR(__xludf.DUMMYFUNCTION("""COMPUTED_VALUE"""),"إعادة مولد الكهرباء سعة 250 KVA إلى الخدمة")</f>
        <v>إعادة مولد الكهرباء سعة 250 KVA إلى الخدمة</v>
      </c>
      <c r="I602" s="26"/>
      <c r="J602" s="26" t="s">
        <v>3910</v>
      </c>
      <c r="K602" s="26" t="s">
        <v>13</v>
      </c>
      <c r="L602" s="55"/>
      <c r="M602" s="26"/>
    </row>
    <row r="603" spans="1:13" ht="75" customHeight="1" thickTop="1" thickBot="1">
      <c r="A603" s="34">
        <v>601</v>
      </c>
      <c r="B603" s="55">
        <f ca="1">IFERROR(__xludf.DUMMYFUNCTION("""COMPUTED_VALUE"""),46165.6198630555)</f>
        <v>46165.619863055501</v>
      </c>
      <c r="C603" s="56" t="str">
        <f ca="1">IFERROR(__xludf.DUMMYFUNCTION("""COMPUTED_VALUE"""),"المعملجي")</f>
        <v>المعملجي</v>
      </c>
      <c r="D603" s="56" t="str">
        <f ca="1">IFERROR(__xludf.DUMMYFUNCTION("""COMPUTED_VALUE"""),"وحدة الكهرباء")</f>
        <v>وحدة الكهرباء</v>
      </c>
      <c r="E603" s="26" t="str">
        <f ca="1">IFERROR(__xludf.DUMMYFUNCTION("""COMPUTED_VALUE"""),"قسم المشاريع الهندسية")</f>
        <v>قسم المشاريع الهندسية</v>
      </c>
      <c r="F603" s="26" t="str">
        <f ca="1">IFERROR(__xludf.DUMMYFUNCTION("""COMPUTED_VALUE"""),"C- ثانوية العميد بناية الاعدادية  (الاولى)")</f>
        <v>C- ثانوية العميد بناية الاعدادية  (الاولى)</v>
      </c>
      <c r="G603" s="26"/>
      <c r="H603" s="26" t="str">
        <f ca="1">IFERROR(__xludf.DUMMYFUNCTION("""COMPUTED_VALUE"""),"الغاء مآخذ القدرة (13 امبير) من المحولات")</f>
        <v>الغاء مآخذ القدرة (13 امبير) من المحولات</v>
      </c>
      <c r="I603" s="26"/>
      <c r="J603" s="26" t="s">
        <v>3910</v>
      </c>
      <c r="K603" s="26" t="s">
        <v>13</v>
      </c>
      <c r="L603" s="55"/>
      <c r="M603" s="26"/>
    </row>
    <row r="604" spans="1:13" ht="75" customHeight="1" thickTop="1" thickBot="1">
      <c r="A604" s="26">
        <v>602</v>
      </c>
      <c r="B604" s="55">
        <f ca="1">IFERROR(__xludf.DUMMYFUNCTION("""COMPUTED_VALUE"""),46165.6200642824)</f>
        <v>46165.620064282397</v>
      </c>
      <c r="C604" s="56" t="str">
        <f ca="1">IFERROR(__xludf.DUMMYFUNCTION("""COMPUTED_VALUE"""),"المعملجي")</f>
        <v>المعملجي</v>
      </c>
      <c r="D604" s="56" t="str">
        <f ca="1">IFERROR(__xludf.DUMMYFUNCTION("""COMPUTED_VALUE"""),"وحدة الكهرباء")</f>
        <v>وحدة الكهرباء</v>
      </c>
      <c r="E604" s="26" t="str">
        <f ca="1">IFERROR(__xludf.DUMMYFUNCTION("""COMPUTED_VALUE"""),"قسم المشاريع الهندسية")</f>
        <v>قسم المشاريع الهندسية</v>
      </c>
      <c r="F604" s="26" t="str">
        <f ca="1">IFERROR(__xludf.DUMMYFUNCTION("""COMPUTED_VALUE"""),"D- ثانوية العميد بناية المتوسطة  (الثانية)")</f>
        <v>D- ثانوية العميد بناية المتوسطة  (الثانية)</v>
      </c>
      <c r="G604" s="26"/>
      <c r="H604" s="26" t="str">
        <f ca="1">IFERROR(__xludf.DUMMYFUNCTION("""COMPUTED_VALUE"""),"الغاء مآخذ القدرة (13 امبير) من المحولات")</f>
        <v>الغاء مآخذ القدرة (13 امبير) من المحولات</v>
      </c>
      <c r="I604" s="26"/>
      <c r="J604" s="26" t="s">
        <v>3910</v>
      </c>
      <c r="K604" s="26" t="s">
        <v>13</v>
      </c>
      <c r="L604" s="55"/>
      <c r="M604" s="26"/>
    </row>
    <row r="605" spans="1:13" ht="75" customHeight="1" thickTop="1" thickBot="1">
      <c r="A605" s="34">
        <v>603</v>
      </c>
      <c r="B605" s="55">
        <f ca="1">IFERROR(__xludf.DUMMYFUNCTION("""COMPUTED_VALUE"""),46165.6202248263)</f>
        <v>46165.6202248263</v>
      </c>
      <c r="C605" s="56" t="str">
        <f ca="1">IFERROR(__xludf.DUMMYFUNCTION("""COMPUTED_VALUE"""),"المعملجي")</f>
        <v>المعملجي</v>
      </c>
      <c r="D605" s="56" t="str">
        <f ca="1">IFERROR(__xludf.DUMMYFUNCTION("""COMPUTED_VALUE"""),"وحدة الكهرباء")</f>
        <v>وحدة الكهرباء</v>
      </c>
      <c r="E605" s="26" t="str">
        <f ca="1">IFERROR(__xludf.DUMMYFUNCTION("""COMPUTED_VALUE"""),"قسم المشاريع الهندسية")</f>
        <v>قسم المشاريع الهندسية</v>
      </c>
      <c r="F605" s="26" t="str">
        <f ca="1">IFERROR(__xludf.DUMMYFUNCTION("""COMPUTED_VALUE"""),"E- ابتدائية العميد للبنات (الثالثة)")</f>
        <v>E- ابتدائية العميد للبنات (الثالثة)</v>
      </c>
      <c r="G605" s="26"/>
      <c r="H605" s="26" t="str">
        <f ca="1">IFERROR(__xludf.DUMMYFUNCTION("""COMPUTED_VALUE"""),"الغاء مآخذ القدرة (13 امبير) من المحولات")</f>
        <v>الغاء مآخذ القدرة (13 امبير) من المحولات</v>
      </c>
      <c r="I605" s="26"/>
      <c r="J605" s="26" t="s">
        <v>3910</v>
      </c>
      <c r="K605" s="26" t="s">
        <v>13</v>
      </c>
      <c r="L605" s="55"/>
      <c r="M605" s="26"/>
    </row>
    <row r="606" spans="1:13" ht="75" customHeight="1" thickTop="1" thickBot="1">
      <c r="A606" s="26">
        <v>604</v>
      </c>
      <c r="B606" s="55">
        <f ca="1">IFERROR(__xludf.DUMMYFUNCTION("""COMPUTED_VALUE"""),46165.6205099074)</f>
        <v>46165.6205099074</v>
      </c>
      <c r="C606" s="56" t="str">
        <f ca="1">IFERROR(__xludf.DUMMYFUNCTION("""COMPUTED_VALUE"""),"المعملجي")</f>
        <v>المعملجي</v>
      </c>
      <c r="D606" s="56" t="str">
        <f ca="1">IFERROR(__xludf.DUMMYFUNCTION("""COMPUTED_VALUE"""),"وحدة الكهرباء")</f>
        <v>وحدة الكهرباء</v>
      </c>
      <c r="E606" s="26" t="str">
        <f ca="1">IFERROR(__xludf.DUMMYFUNCTION("""COMPUTED_VALUE"""),"قسم المشاريع الهندسية")</f>
        <v>قسم المشاريع الهندسية</v>
      </c>
      <c r="F606" s="26" t="str">
        <f ca="1">IFERROR(__xludf.DUMMYFUNCTION("""COMPUTED_VALUE"""),"F-  ابتدائية جود العميد للبنات (الرابعة)")</f>
        <v>F-  ابتدائية جود العميد للبنات (الرابعة)</v>
      </c>
      <c r="G606" s="26"/>
      <c r="H606" s="26" t="str">
        <f ca="1">IFERROR(__xludf.DUMMYFUNCTION("""COMPUTED_VALUE"""),"الغاء مآخذ القدرة (13 امبير) من المحولات")</f>
        <v>الغاء مآخذ القدرة (13 امبير) من المحولات</v>
      </c>
      <c r="I606" s="26"/>
      <c r="J606" s="26" t="s">
        <v>3910</v>
      </c>
      <c r="K606" s="26" t="s">
        <v>13</v>
      </c>
      <c r="L606" s="55"/>
      <c r="M606" s="26"/>
    </row>
    <row r="607" spans="1:13" ht="75" customHeight="1" thickTop="1" thickBot="1">
      <c r="A607" s="34">
        <v>605</v>
      </c>
      <c r="B607" s="55">
        <f ca="1">IFERROR(__xludf.DUMMYFUNCTION("""COMPUTED_VALUE"""),46165.6221475578)</f>
        <v>46165.622147557799</v>
      </c>
      <c r="C607" s="56" t="str">
        <f ca="1">IFERROR(__xludf.DUMMYFUNCTION("""COMPUTED_VALUE"""),"المعملجي")</f>
        <v>المعملجي</v>
      </c>
      <c r="D607" s="56" t="str">
        <f ca="1">IFERROR(__xludf.DUMMYFUNCTION("""COMPUTED_VALUE"""),"وحدة الكهرباء")</f>
        <v>وحدة الكهرباء</v>
      </c>
      <c r="E607" s="26" t="str">
        <f ca="1">IFERROR(__xludf.DUMMYFUNCTION("""COMPUTED_VALUE"""),"قسم المشاريع الهندسية")</f>
        <v>قسم المشاريع الهندسية</v>
      </c>
      <c r="F607" s="26" t="str">
        <f ca="1">IFERROR(__xludf.DUMMYFUNCTION("""COMPUTED_VALUE"""),"A- المركز الثقافي")</f>
        <v>A- المركز الثقافي</v>
      </c>
      <c r="G607" s="26" t="str">
        <f ca="1">IFERROR(__xludf.DUMMYFUNCTION("""COMPUTED_VALUE"""),"الطابق الارضي")</f>
        <v>الطابق الارضي</v>
      </c>
      <c r="H607" s="26" t="str">
        <f ca="1">IFERROR(__xludf.DUMMYFUNCTION("""COMPUTED_VALUE"""),"إعادة اجهزة البدالة الداخلية الى الخدمة الخاصة بجميع مدارس مجموعة العميد حيث توقفت بسبب خلل في UPS")</f>
        <v>إعادة اجهزة البدالة الداخلية الى الخدمة الخاصة بجميع مدارس مجموعة العميد حيث توقفت بسبب خلل في UPS</v>
      </c>
      <c r="I607" s="26"/>
      <c r="J607" s="26" t="s">
        <v>3910</v>
      </c>
      <c r="K607" s="26" t="s">
        <v>13</v>
      </c>
      <c r="L607" s="55"/>
      <c r="M607" s="26"/>
    </row>
    <row r="608" spans="1:13" ht="75" customHeight="1" thickTop="1" thickBot="1">
      <c r="A608" s="26">
        <v>606</v>
      </c>
      <c r="B608" s="55">
        <f ca="1">IFERROR(__xludf.DUMMYFUNCTION("""COMPUTED_VALUE"""),46166.4258694444)</f>
        <v>46166.4258694444</v>
      </c>
      <c r="C608" s="56" t="str">
        <f ca="1">IFERROR(__xludf.DUMMYFUNCTION("""COMPUTED_VALUE"""),"المعملجي")</f>
        <v>المعملجي</v>
      </c>
      <c r="D608" s="56" t="str">
        <f ca="1">IFERROR(__xludf.DUMMYFUNCTION("""COMPUTED_VALUE"""),"وحدة التبريد")</f>
        <v>وحدة التبريد</v>
      </c>
      <c r="E608" s="26" t="str">
        <f ca="1">IFERROR(__xludf.DUMMYFUNCTION("""COMPUTED_VALUE"""),"مجموعة العميد التربوية")</f>
        <v>مجموعة العميد التربوية</v>
      </c>
      <c r="F608" s="26" t="str">
        <f ca="1">IFERROR(__xludf.DUMMYFUNCTION("""COMPUTED_VALUE"""),"I- ابتدائية الساقي للبنين (السادسة)")</f>
        <v>I- ابتدائية الساقي للبنين (السادسة)</v>
      </c>
      <c r="G608" s="26"/>
      <c r="H608" s="26" t="str">
        <f ca="1">IFERROR(__xludf.DUMMYFUNCTION("""COMPUTED_VALUE"""),"التبريد لايعمل في بعض الغرف ")</f>
        <v xml:space="preserve">التبريد لايعمل في بعض الغرف </v>
      </c>
      <c r="I608" s="26"/>
      <c r="J608" s="26" t="s">
        <v>15</v>
      </c>
      <c r="K608" s="26" t="s">
        <v>13</v>
      </c>
      <c r="L608" s="55">
        <v>46166.588434768521</v>
      </c>
      <c r="M608" s="26"/>
    </row>
    <row r="609" spans="1:13" ht="75" customHeight="1" thickTop="1" thickBot="1">
      <c r="A609" s="34">
        <v>607</v>
      </c>
      <c r="B609" s="55">
        <f ca="1">IFERROR(__xludf.DUMMYFUNCTION("""COMPUTED_VALUE"""),46166.4600501851)</f>
        <v>46166.460050185102</v>
      </c>
      <c r="C609" s="56" t="str">
        <f ca="1">IFERROR(__xludf.DUMMYFUNCTION("""COMPUTED_VALUE"""),"المعملجي")</f>
        <v>المعملجي</v>
      </c>
      <c r="D609" s="56" t="str">
        <f ca="1">IFERROR(__xludf.DUMMYFUNCTION("""COMPUTED_VALUE"""),"ابراهيم الخطابي")</f>
        <v>ابراهيم الخطابي</v>
      </c>
      <c r="E609" s="26" t="str">
        <f ca="1">IFERROR(__xludf.DUMMYFUNCTION("""COMPUTED_VALUE"""),"مجموعة العميد التربوية")</f>
        <v>مجموعة العميد التربوية</v>
      </c>
      <c r="F609" s="26" t="str">
        <f ca="1">IFERROR(__xludf.DUMMYFUNCTION("""COMPUTED_VALUE"""),"D- ثانوية العميد بناية المتوسطة  (الثانية), ")</f>
        <v xml:space="preserve">D- ثانوية العميد بناية المتوسطة  (الثانية), </v>
      </c>
      <c r="G609" s="26"/>
      <c r="H609" s="26" t="str">
        <f ca="1">IFERROR(__xludf.DUMMYFUNCTION("""COMPUTED_VALUE"""),"صيانة التبريد الهوتء حار يرجى حضور الكادر بعد الساعه ١٢")</f>
        <v>صيانة التبريد الهوتء حار يرجى حضور الكادر بعد الساعه ١٢</v>
      </c>
      <c r="I609" s="26"/>
      <c r="J609" s="26" t="s">
        <v>15</v>
      </c>
      <c r="K609" s="26" t="s">
        <v>13</v>
      </c>
      <c r="L609" s="55">
        <v>46167.37466173611</v>
      </c>
      <c r="M609" s="26"/>
    </row>
    <row r="610" spans="1:13" ht="75" customHeight="1" thickTop="1" thickBot="1">
      <c r="A610" s="26">
        <v>608</v>
      </c>
      <c r="B610" s="55">
        <f ca="1">IFERROR(__xludf.DUMMYFUNCTION("""COMPUTED_VALUE"""),46166.613703831)</f>
        <v>46166.613703830997</v>
      </c>
      <c r="C610" s="56" t="str">
        <f ca="1">IFERROR(__xludf.DUMMYFUNCTION("""COMPUTED_VALUE"""),"المعملجي")</f>
        <v>المعملجي</v>
      </c>
      <c r="D610" s="56" t="str">
        <f ca="1">IFERROR(__xludf.DUMMYFUNCTION("""COMPUTED_VALUE"""),"ابو سجاد ")</f>
        <v xml:space="preserve">ابو سجاد </v>
      </c>
      <c r="E610" s="26" t="str">
        <f ca="1">IFERROR(__xludf.DUMMYFUNCTION("""COMPUTED_VALUE"""),"مجموعة العميد التربوية")</f>
        <v>مجموعة العميد التربوية</v>
      </c>
      <c r="F610" s="26" t="str">
        <f ca="1">IFERROR(__xludf.DUMMYFUNCTION("""COMPUTED_VALUE"""),"A- المركز الثقافي")</f>
        <v>A- المركز الثقافي</v>
      </c>
      <c r="G610" s="26" t="str">
        <f ca="1">IFERROR(__xludf.DUMMYFUNCTION("""COMPUTED_VALUE"""),"الطابق الثاني")</f>
        <v>الطابق الثاني</v>
      </c>
      <c r="H610" s="26" t="str">
        <f ca="1">IFERROR(__xludf.DUMMYFUNCTION("""COMPUTED_VALUE"""),"صيانة مكينة خياطة")</f>
        <v>صيانة مكينة خياطة</v>
      </c>
      <c r="I610" s="26"/>
      <c r="J610" s="26" t="s">
        <v>16</v>
      </c>
      <c r="K610" s="26" t="s">
        <v>13</v>
      </c>
      <c r="L610" s="55">
        <v>46166.658842164354</v>
      </c>
      <c r="M610" s="26"/>
    </row>
    <row r="611" spans="1:13" ht="75" customHeight="1" thickTop="1" thickBot="1">
      <c r="A611" s="34">
        <v>609</v>
      </c>
      <c r="B611" s="55">
        <f ca="1">IFERROR(__xludf.DUMMYFUNCTION("""COMPUTED_VALUE"""),46166.6165886921)</f>
        <v>46166.616588692101</v>
      </c>
      <c r="C611" s="56" t="str">
        <f ca="1">IFERROR(__xludf.DUMMYFUNCTION("""COMPUTED_VALUE"""),"المعملجي")</f>
        <v>المعملجي</v>
      </c>
      <c r="D611" s="56" t="str">
        <f ca="1">IFERROR(__xludf.DUMMYFUNCTION("""COMPUTED_VALUE"""),"وحدة المدني")</f>
        <v>وحدة المدني</v>
      </c>
      <c r="E611" s="26" t="str">
        <f ca="1">IFERROR(__xludf.DUMMYFUNCTION("""COMPUTED_VALUE"""),"قسم المشاريع الهندسية")</f>
        <v>قسم المشاريع الهندسية</v>
      </c>
      <c r="F611" s="26" t="str">
        <f ca="1">IFERROR(__xludf.DUMMYFUNCTION("""COMPUTED_VALUE"""),"E- ابتدائية العميد للبنات (الثالثة)")</f>
        <v>E- ابتدائية العميد للبنات (الثالثة)</v>
      </c>
      <c r="G611" s="26" t="str">
        <f ca="1">IFERROR(__xludf.DUMMYFUNCTION("""COMPUTED_VALUE"""),"السطح")</f>
        <v>السطح</v>
      </c>
      <c r="H611" s="26" t="str">
        <f ca="1">IFERROR(__xludf.DUMMYFUNCTION("""COMPUTED_VALUE"""),"صيانة سيفونات عدد 6")</f>
        <v>صيانة سيفونات عدد 6</v>
      </c>
      <c r="I611" s="26"/>
      <c r="J611" s="26" t="s">
        <v>16</v>
      </c>
      <c r="K611" s="26" t="s">
        <v>13</v>
      </c>
      <c r="L611" s="55">
        <v>46166.659000474538</v>
      </c>
      <c r="M611" s="26"/>
    </row>
    <row r="612" spans="1:13" ht="75" customHeight="1" thickTop="1" thickBot="1">
      <c r="A612" s="26">
        <v>610</v>
      </c>
      <c r="B612" s="55">
        <f ca="1">IFERROR(__xludf.DUMMYFUNCTION("""COMPUTED_VALUE"""),46166.6168740509)</f>
        <v>46166.616874050902</v>
      </c>
      <c r="C612" s="56" t="str">
        <f ca="1">IFERROR(__xludf.DUMMYFUNCTION("""COMPUTED_VALUE"""),"المعملجي")</f>
        <v>المعملجي</v>
      </c>
      <c r="D612" s="56" t="str">
        <f ca="1">IFERROR(__xludf.DUMMYFUNCTION("""COMPUTED_VALUE"""),"وحدة المدني")</f>
        <v>وحدة المدني</v>
      </c>
      <c r="E612" s="26" t="str">
        <f ca="1">IFERROR(__xludf.DUMMYFUNCTION("""COMPUTED_VALUE"""),"قسم المشاريع الهندسية")</f>
        <v>قسم المشاريع الهندسية</v>
      </c>
      <c r="F612" s="26" t="str">
        <f ca="1">IFERROR(__xludf.DUMMYFUNCTION("""COMPUTED_VALUE"""),"F-  ابتدائية جود العميد للبنات (الرابعة)")</f>
        <v>F-  ابتدائية جود العميد للبنات (الرابعة)</v>
      </c>
      <c r="G612" s="26" t="str">
        <f ca="1">IFERROR(__xludf.DUMMYFUNCTION("""COMPUTED_VALUE"""),"السطح")</f>
        <v>السطح</v>
      </c>
      <c r="H612" s="26" t="str">
        <f ca="1">IFERROR(__xludf.DUMMYFUNCTION("""COMPUTED_VALUE"""),"فتح سيفونات عدد 4")</f>
        <v>فتح سيفونات عدد 4</v>
      </c>
      <c r="I612" s="26"/>
      <c r="J612" s="26" t="s">
        <v>16</v>
      </c>
      <c r="K612" s="26" t="s">
        <v>13</v>
      </c>
      <c r="L612" s="55">
        <v>46166.659330428243</v>
      </c>
      <c r="M612" s="26"/>
    </row>
    <row r="613" spans="1:13" ht="75" customHeight="1" thickTop="1" thickBot="1">
      <c r="A613" s="34">
        <v>611</v>
      </c>
      <c r="B613" s="55">
        <f ca="1">IFERROR(__xludf.DUMMYFUNCTION("""COMPUTED_VALUE"""),46167.4044929976)</f>
        <v>46167.404492997601</v>
      </c>
      <c r="C613" s="56" t="str">
        <f ca="1">IFERROR(__xludf.DUMMYFUNCTION("""COMPUTED_VALUE"""),"المعملجي")</f>
        <v>المعملجي</v>
      </c>
      <c r="D613" s="56" t="str">
        <f ca="1">IFERROR(__xludf.DUMMYFUNCTION("""COMPUTED_VALUE"""),"ابراهيم الخطابي")</f>
        <v>ابراهيم الخطابي</v>
      </c>
      <c r="E613" s="26" t="str">
        <f ca="1">IFERROR(__xludf.DUMMYFUNCTION("""COMPUTED_VALUE"""),"مجموعة العميد التربوية")</f>
        <v>مجموعة العميد التربوية</v>
      </c>
      <c r="F613" s="26" t="str">
        <f ca="1">IFERROR(__xludf.DUMMYFUNCTION("""COMPUTED_VALUE"""),"H- ابتدائية القمر للبنات (الخامسة)")</f>
        <v>H- ابتدائية القمر للبنات (الخامسة)</v>
      </c>
      <c r="G613" s="26" t="str">
        <f ca="1">IFERROR(__xludf.DUMMYFUNCTION("""COMPUTED_VALUE"""),"الطابق الاول, الساحه الخارجية ")</f>
        <v xml:space="preserve">الطابق الاول, الساحه الخارجية </v>
      </c>
      <c r="H613" s="26" t="str">
        <f ca="1">IFERROR(__xludf.DUMMYFUNCTION("""COMPUTED_VALUE"""),"صيانة باب الحمام ")</f>
        <v xml:space="preserve">صيانة باب الحمام </v>
      </c>
      <c r="I613" s="26"/>
      <c r="J613" s="26" t="s">
        <v>16</v>
      </c>
      <c r="K613" s="26" t="s">
        <v>13</v>
      </c>
      <c r="L613" s="55">
        <v>46167.562238275466</v>
      </c>
      <c r="M613" s="26"/>
    </row>
    <row r="614" spans="1:13" ht="75" customHeight="1" thickTop="1" thickBot="1">
      <c r="A614" s="26">
        <v>612</v>
      </c>
      <c r="B614" s="55">
        <f ca="1">IFERROR(__xludf.DUMMYFUNCTION("""COMPUTED_VALUE"""),46167.4050244791)</f>
        <v>46167.4050244791</v>
      </c>
      <c r="C614" s="56" t="str">
        <f ca="1">IFERROR(__xludf.DUMMYFUNCTION("""COMPUTED_VALUE"""),"المعملجي")</f>
        <v>المعملجي</v>
      </c>
      <c r="D614" s="56" t="str">
        <f ca="1">IFERROR(__xludf.DUMMYFUNCTION("""COMPUTED_VALUE"""),"ابراهيم الخطابي")</f>
        <v>ابراهيم الخطابي</v>
      </c>
      <c r="E614" s="26" t="str">
        <f ca="1">IFERROR(__xludf.DUMMYFUNCTION("""COMPUTED_VALUE"""),"مجموعة العميد التربوية, ")</f>
        <v xml:space="preserve">مجموعة العميد التربوية, </v>
      </c>
      <c r="F614" s="26" t="str">
        <f ca="1">IFERROR(__xludf.DUMMYFUNCTION("""COMPUTED_VALUE"""),"H- ابتدائية القمر للبنات (الخامسة)")</f>
        <v>H- ابتدائية القمر للبنات (الخامسة)</v>
      </c>
      <c r="G614" s="26" t="str">
        <f ca="1">IFERROR(__xludf.DUMMYFUNCTION("""COMPUTED_VALUE"""),"الطابق الارضي, خارجي")</f>
        <v>الطابق الارضي, خارجي</v>
      </c>
      <c r="H614" s="26" t="str">
        <f ca="1">IFERROR(__xludf.DUMMYFUNCTION("""COMPUTED_VALUE"""),"صيانة خلاط المغسلة")</f>
        <v>صيانة خلاط المغسلة</v>
      </c>
      <c r="I614" s="26"/>
      <c r="J614" s="26" t="s">
        <v>14</v>
      </c>
      <c r="K614" s="26" t="s">
        <v>13</v>
      </c>
      <c r="L614" s="55">
        <v>46167.562063576392</v>
      </c>
      <c r="M614" s="26"/>
    </row>
    <row r="615" spans="1:13" ht="75" customHeight="1" thickTop="1" thickBot="1">
      <c r="A615" s="34">
        <v>613</v>
      </c>
      <c r="B615" s="55">
        <f ca="1">IFERROR(__xludf.DUMMYFUNCTION("""COMPUTED_VALUE"""),46167.4056810416)</f>
        <v>46167.4056810416</v>
      </c>
      <c r="C615" s="56" t="str">
        <f ca="1">IFERROR(__xludf.DUMMYFUNCTION("""COMPUTED_VALUE"""),"المعملجي")</f>
        <v>المعملجي</v>
      </c>
      <c r="D615" s="56" t="str">
        <f ca="1">IFERROR(__xludf.DUMMYFUNCTION("""COMPUTED_VALUE"""),"ابراهيم الخطابي")</f>
        <v>ابراهيم الخطابي</v>
      </c>
      <c r="E615" s="26" t="str">
        <f ca="1">IFERROR(__xludf.DUMMYFUNCTION("""COMPUTED_VALUE"""),"مجموعة العميد التربوية")</f>
        <v>مجموعة العميد التربوية</v>
      </c>
      <c r="F615" s="26" t="str">
        <f ca="1">IFERROR(__xludf.DUMMYFUNCTION("""COMPUTED_VALUE"""),"H- ابتدائية القمر للبنات (الخامسة)")</f>
        <v>H- ابتدائية القمر للبنات (الخامسة)</v>
      </c>
      <c r="G615" s="26" t="str">
        <f ca="1">IFERROR(__xludf.DUMMYFUNCTION("""COMPUTED_VALUE"""),"الطابق الارضي, الطابق الثاني")</f>
        <v>الطابق الارضي, الطابق الثاني</v>
      </c>
      <c r="H615" s="26" t="str">
        <f ca="1">IFERROR(__xludf.DUMMYFUNCTION("""COMPUTED_VALUE"""),"صيانة برادات الماء وجود تسريب ")</f>
        <v xml:space="preserve">صيانة برادات الماء وجود تسريب </v>
      </c>
      <c r="I615" s="26"/>
      <c r="J615" s="26" t="s">
        <v>14</v>
      </c>
      <c r="K615" s="26" t="s">
        <v>13</v>
      </c>
      <c r="L615" s="55">
        <v>46174.498715231486</v>
      </c>
      <c r="M615" s="26"/>
    </row>
    <row r="616" spans="1:13" ht="75" customHeight="1" thickTop="1" thickBot="1">
      <c r="A616" s="26">
        <v>614</v>
      </c>
      <c r="B616" s="55">
        <f ca="1">IFERROR(__xludf.DUMMYFUNCTION("""COMPUTED_VALUE"""),46167.4775076157)</f>
        <v>46167.477507615702</v>
      </c>
      <c r="C616" s="56" t="str">
        <f ca="1">IFERROR(__xludf.DUMMYFUNCTION("""COMPUTED_VALUE"""),"المعملجي")</f>
        <v>المعملجي</v>
      </c>
      <c r="D616" s="56" t="str">
        <f ca="1">IFERROR(__xludf.DUMMYFUNCTION("""COMPUTED_VALUE"""),"وحدة المدني")</f>
        <v>وحدة المدني</v>
      </c>
      <c r="E616" s="26" t="str">
        <f ca="1">IFERROR(__xludf.DUMMYFUNCTION("""COMPUTED_VALUE"""),"قسم المشاريع الهندسية")</f>
        <v>قسم المشاريع الهندسية</v>
      </c>
      <c r="F616" s="26" t="str">
        <f ca="1">IFERROR(__xludf.DUMMYFUNCTION("""COMPUTED_VALUE"""),"F-  ابتدائية جود العميد للبنات (الرابعة)")</f>
        <v>F-  ابتدائية جود العميد للبنات (الرابعة)</v>
      </c>
      <c r="G616" s="26" t="str">
        <f ca="1">IFERROR(__xludf.DUMMYFUNCTION("""COMPUTED_VALUE"""),"السطح")</f>
        <v>السطح</v>
      </c>
      <c r="H616" s="26" t="str">
        <f ca="1">IFERROR(__xludf.DUMMYFUNCTION("""COMPUTED_VALUE"""),"صيانة وصب سيفونات عدد 6")</f>
        <v>صيانة وصب سيفونات عدد 6</v>
      </c>
      <c r="I616" s="26"/>
      <c r="J616" s="26" t="s">
        <v>16</v>
      </c>
      <c r="K616" s="26" t="s">
        <v>13</v>
      </c>
      <c r="L616" s="55">
        <v>46167.47887107639</v>
      </c>
      <c r="M616" s="26"/>
    </row>
    <row r="617" spans="1:13" ht="75" customHeight="1" thickTop="1" thickBot="1">
      <c r="A617" s="34">
        <v>615</v>
      </c>
      <c r="B617" s="55">
        <f ca="1">IFERROR(__xludf.DUMMYFUNCTION("""COMPUTED_VALUE"""),46167.4780729398)</f>
        <v>46167.478072939797</v>
      </c>
      <c r="C617" s="56" t="str">
        <f ca="1">IFERROR(__xludf.DUMMYFUNCTION("""COMPUTED_VALUE"""),"المعملجي")</f>
        <v>المعملجي</v>
      </c>
      <c r="D617" s="56" t="str">
        <f ca="1">IFERROR(__xludf.DUMMYFUNCTION("""COMPUTED_VALUE"""),"وحدة المدني")</f>
        <v>وحدة المدني</v>
      </c>
      <c r="E617" s="26" t="str">
        <f ca="1">IFERROR(__xludf.DUMMYFUNCTION("""COMPUTED_VALUE"""),"قسم المشاريع الهندسية")</f>
        <v>قسم المشاريع الهندسية</v>
      </c>
      <c r="F617" s="26" t="str">
        <f ca="1">IFERROR(__xludf.DUMMYFUNCTION("""COMPUTED_VALUE"""),"C- ثانوية العميد بناية الاعدادية  (الاولى)")</f>
        <v>C- ثانوية العميد بناية الاعدادية  (الاولى)</v>
      </c>
      <c r="G617" s="26" t="str">
        <f ca="1">IFERROR(__xludf.DUMMYFUNCTION("""COMPUTED_VALUE"""),"الطابق الاول")</f>
        <v>الطابق الاول</v>
      </c>
      <c r="H617" s="26" t="str">
        <f ca="1">IFERROR(__xludf.DUMMYFUNCTION("""COMPUTED_VALUE"""),"تبديل لبة باب خشب ")</f>
        <v xml:space="preserve">تبديل لبة باب خشب </v>
      </c>
      <c r="I617" s="26"/>
      <c r="J617" s="26" t="s">
        <v>16</v>
      </c>
      <c r="K617" s="26" t="s">
        <v>13</v>
      </c>
      <c r="L617" s="55"/>
      <c r="M617" s="26"/>
    </row>
    <row r="618" spans="1:13" ht="75" customHeight="1" thickTop="1" thickBot="1">
      <c r="A618" s="26">
        <v>616</v>
      </c>
      <c r="B618" s="55">
        <f ca="1">IFERROR(__xludf.DUMMYFUNCTION("""COMPUTED_VALUE"""),46167.4787375925)</f>
        <v>46167.478737592501</v>
      </c>
      <c r="C618" s="56" t="str">
        <f ca="1">IFERROR(__xludf.DUMMYFUNCTION("""COMPUTED_VALUE"""),"المعملجي")</f>
        <v>المعملجي</v>
      </c>
      <c r="D618" s="56" t="str">
        <f ca="1">IFERROR(__xludf.DUMMYFUNCTION("""COMPUTED_VALUE"""),"وحدة المدني")</f>
        <v>وحدة المدني</v>
      </c>
      <c r="E618" s="26" t="str">
        <f ca="1">IFERROR(__xludf.DUMMYFUNCTION("""COMPUTED_VALUE"""),"قسم المشاريع الهندسية")</f>
        <v>قسم المشاريع الهندسية</v>
      </c>
      <c r="F618" s="26" t="str">
        <f ca="1">IFERROR(__xludf.DUMMYFUNCTION("""COMPUTED_VALUE"""),"F-  ابتدائية جود العميد للبنات (الرابعة)")</f>
        <v>F-  ابتدائية جود العميد للبنات (الرابعة)</v>
      </c>
      <c r="G618" s="26" t="str">
        <f ca="1">IFERROR(__xludf.DUMMYFUNCTION("""COMPUTED_VALUE"""),"ZONE A, السطح")</f>
        <v>ZONE A, السطح</v>
      </c>
      <c r="H618" s="26" t="str">
        <f ca="1">IFERROR(__xludf.DUMMYFUNCTION("""COMPUTED_VALUE"""),"فتح سيفونات عدد 6")</f>
        <v>فتح سيفونات عدد 6</v>
      </c>
      <c r="I618" s="26"/>
      <c r="J618" s="26" t="s">
        <v>16</v>
      </c>
      <c r="K618" s="26" t="s">
        <v>13</v>
      </c>
      <c r="L618" s="55"/>
      <c r="M618" s="26"/>
    </row>
    <row r="619" spans="1:13" ht="75" customHeight="1" thickTop="1" thickBot="1">
      <c r="A619" s="34">
        <v>617</v>
      </c>
      <c r="B619" s="55">
        <f ca="1">IFERROR(__xludf.DUMMYFUNCTION("""COMPUTED_VALUE"""),46168.5338718518)</f>
        <v>46168.533871851803</v>
      </c>
      <c r="C619" s="56" t="str">
        <f ca="1">IFERROR(__xludf.DUMMYFUNCTION("""COMPUTED_VALUE"""),"المعملجي")</f>
        <v>المعملجي</v>
      </c>
      <c r="D619" s="56" t="str">
        <f ca="1">IFERROR(__xludf.DUMMYFUNCTION("""COMPUTED_VALUE"""),"ابراهيم الخطابي")</f>
        <v>ابراهيم الخطابي</v>
      </c>
      <c r="E619" s="26" t="str">
        <f ca="1">IFERROR(__xludf.DUMMYFUNCTION("""COMPUTED_VALUE"""),"مجموعة العميد التربوية")</f>
        <v>مجموعة العميد التربوية</v>
      </c>
      <c r="F619" s="26" t="str">
        <f ca="1">IFERROR(__xludf.DUMMYFUNCTION("""COMPUTED_VALUE"""),"الممر الي تحت المنصه الاستيج ")</f>
        <v xml:space="preserve">الممر الي تحت المنصه الاستيج </v>
      </c>
      <c r="G619" s="26"/>
      <c r="H619" s="26" t="str">
        <f ca="1">IFERROR(__xludf.DUMMYFUNCTION("""COMPUTED_VALUE"""),"اضافه شموع انارة ")</f>
        <v xml:space="preserve">اضافه شموع انارة </v>
      </c>
      <c r="I619" s="26"/>
      <c r="J619" s="26" t="s">
        <v>3910</v>
      </c>
      <c r="K619" s="26" t="s">
        <v>13</v>
      </c>
      <c r="L619" s="55">
        <v>46170.614747002313</v>
      </c>
      <c r="M619" s="26"/>
    </row>
    <row r="620" spans="1:13" ht="75" customHeight="1" thickTop="1" thickBot="1">
      <c r="A620" s="26">
        <v>618</v>
      </c>
      <c r="B620" s="55">
        <f ca="1">IFERROR(__xludf.DUMMYFUNCTION("""COMPUTED_VALUE"""),46172.3224131597)</f>
        <v>46172.322413159702</v>
      </c>
      <c r="C620" s="56" t="str">
        <f ca="1">IFERROR(__xludf.DUMMYFUNCTION("""COMPUTED_VALUE"""),"المعملجي")</f>
        <v>المعملجي</v>
      </c>
      <c r="D620" s="56" t="str">
        <f ca="1">IFERROR(__xludf.DUMMYFUNCTION("""COMPUTED_VALUE"""),"وحدة الميكانيك")</f>
        <v>وحدة الميكانيك</v>
      </c>
      <c r="E620" s="26" t="str">
        <f ca="1">IFERROR(__xludf.DUMMYFUNCTION("""COMPUTED_VALUE"""),"قسم المشاريع الهندسية")</f>
        <v>قسم المشاريع الهندسية</v>
      </c>
      <c r="F620" s="26" t="str">
        <f ca="1">IFERROR(__xludf.DUMMYFUNCTION("""COMPUTED_VALUE"""),"الاستعلامات الرئيسية")</f>
        <v>الاستعلامات الرئيسية</v>
      </c>
      <c r="G620" s="26" t="str">
        <f ca="1">IFERROR(__xludf.DUMMYFUNCTION("""COMPUTED_VALUE"""),"الطابق الارضي")</f>
        <v>الطابق الارضي</v>
      </c>
      <c r="H620" s="26" t="str">
        <f ca="1">IFERROR(__xludf.DUMMYFUNCTION("""COMPUTED_VALUE"""),"تبديل خرطوم مغسلة ")</f>
        <v xml:space="preserve">تبديل خرطوم مغسلة </v>
      </c>
      <c r="I620" s="26"/>
      <c r="J620" s="26" t="s">
        <v>14</v>
      </c>
      <c r="K620" s="26" t="s">
        <v>13</v>
      </c>
      <c r="L620" s="55"/>
      <c r="M620" s="26"/>
    </row>
    <row r="621" spans="1:13" ht="75" customHeight="1" thickTop="1" thickBot="1">
      <c r="A621" s="34">
        <v>619</v>
      </c>
      <c r="B621" s="55">
        <f ca="1">IFERROR(__xludf.DUMMYFUNCTION("""COMPUTED_VALUE"""),46172.3245963657)</f>
        <v>46172.324596365703</v>
      </c>
      <c r="C621" s="56" t="str">
        <f ca="1">IFERROR(__xludf.DUMMYFUNCTION("""COMPUTED_VALUE"""),"المعملجي")</f>
        <v>المعملجي</v>
      </c>
      <c r="D621" s="56" t="str">
        <f ca="1">IFERROR(__xludf.DUMMYFUNCTION("""COMPUTED_VALUE"""),"وحدة الميكانيك")</f>
        <v>وحدة الميكانيك</v>
      </c>
      <c r="E621" s="26" t="str">
        <f ca="1">IFERROR(__xludf.DUMMYFUNCTION("""COMPUTED_VALUE"""),"قسم المشاريع الهندسية")</f>
        <v>قسم المشاريع الهندسية</v>
      </c>
      <c r="F621" s="26" t="str">
        <f ca="1">IFERROR(__xludf.DUMMYFUNCTION("""COMPUTED_VALUE"""),"H- ابتدائية القمر للبنات (الخامسة)")</f>
        <v>H- ابتدائية القمر للبنات (الخامسة)</v>
      </c>
      <c r="G621" s="26" t="str">
        <f ca="1">IFERROR(__xludf.DUMMYFUNCTION("""COMPUTED_VALUE"""),"السطح")</f>
        <v>السطح</v>
      </c>
      <c r="H621" s="26" t="str">
        <f ca="1">IFERROR(__xludf.DUMMYFUNCTION("""COMPUTED_VALUE"""),"غسل غرفة محطة الماء ")</f>
        <v xml:space="preserve">غسل غرفة محطة الماء </v>
      </c>
      <c r="I621" s="26"/>
      <c r="J621" s="26" t="s">
        <v>14</v>
      </c>
      <c r="K621" s="26" t="s">
        <v>13</v>
      </c>
      <c r="L621" s="55"/>
      <c r="M621" s="26"/>
    </row>
    <row r="622" spans="1:13" ht="75" customHeight="1" thickTop="1" thickBot="1">
      <c r="A622" s="26">
        <v>620</v>
      </c>
      <c r="B622" s="55">
        <f ca="1">IFERROR(__xludf.DUMMYFUNCTION("""COMPUTED_VALUE"""),46172.3259906597)</f>
        <v>46172.325990659701</v>
      </c>
      <c r="C622" s="56" t="str">
        <f ca="1">IFERROR(__xludf.DUMMYFUNCTION("""COMPUTED_VALUE"""),"المعملجي")</f>
        <v>المعملجي</v>
      </c>
      <c r="D622" s="56" t="str">
        <f ca="1">IFERROR(__xludf.DUMMYFUNCTION("""COMPUTED_VALUE"""),"وحدة المدني")</f>
        <v>وحدة المدني</v>
      </c>
      <c r="E622" s="26" t="str">
        <f ca="1">IFERROR(__xludf.DUMMYFUNCTION("""COMPUTED_VALUE"""),"قسم المشاريع الهندسية")</f>
        <v>قسم المشاريع الهندسية</v>
      </c>
      <c r="F622" s="26" t="str">
        <f ca="1">IFERROR(__xludf.DUMMYFUNCTION("""COMPUTED_VALUE"""),"E- ابتدائية العميد للبنات (الثالثة)")</f>
        <v>E- ابتدائية العميد للبنات (الثالثة)</v>
      </c>
      <c r="G622" s="26" t="str">
        <f ca="1">IFERROR(__xludf.DUMMYFUNCTION("""COMPUTED_VALUE"""),"الطابق الاول")</f>
        <v>الطابق الاول</v>
      </c>
      <c r="H622" s="26" t="str">
        <f ca="1">IFERROR(__xludf.DUMMYFUNCTION("""COMPUTED_VALUE"""),"صيانة شباك ")</f>
        <v xml:space="preserve">صيانة شباك </v>
      </c>
      <c r="I622" s="26"/>
      <c r="J622" s="26" t="s">
        <v>16</v>
      </c>
      <c r="K622" s="26" t="s">
        <v>13</v>
      </c>
      <c r="L622" s="55"/>
      <c r="M622" s="26"/>
    </row>
    <row r="623" spans="1:13" ht="75" customHeight="1" thickTop="1" thickBot="1">
      <c r="A623" s="34">
        <v>621</v>
      </c>
      <c r="B623" s="55">
        <f ca="1">IFERROR(__xludf.DUMMYFUNCTION("""COMPUTED_VALUE"""),46172.3265185532)</f>
        <v>46172.3265185532</v>
      </c>
      <c r="C623" s="56" t="str">
        <f ca="1">IFERROR(__xludf.DUMMYFUNCTION("""COMPUTED_VALUE"""),"المعملجي")</f>
        <v>المعملجي</v>
      </c>
      <c r="D623" s="56" t="str">
        <f ca="1">IFERROR(__xludf.DUMMYFUNCTION("""COMPUTED_VALUE"""),"وحدة المدني")</f>
        <v>وحدة المدني</v>
      </c>
      <c r="E623" s="26" t="str">
        <f ca="1">IFERROR(__xludf.DUMMYFUNCTION("""COMPUTED_VALUE"""),"قسم المشاريع الهندسية")</f>
        <v>قسم المشاريع الهندسية</v>
      </c>
      <c r="F623" s="26" t="str">
        <f ca="1">IFERROR(__xludf.DUMMYFUNCTION("""COMPUTED_VALUE"""),"E- ابتدائية العميد للبنات (الثالثة)")</f>
        <v>E- ابتدائية العميد للبنات (الثالثة)</v>
      </c>
      <c r="G623" s="26" t="str">
        <f ca="1">IFERROR(__xludf.DUMMYFUNCTION("""COMPUTED_VALUE"""),"الطابق الارضي")</f>
        <v>الطابق الارضي</v>
      </c>
      <c r="H623" s="26" t="str">
        <f ca="1">IFERROR(__xludf.DUMMYFUNCTION("""COMPUTED_VALUE"""),"فتح باب وصيانة لبة")</f>
        <v>فتح باب وصيانة لبة</v>
      </c>
      <c r="I623" s="26"/>
      <c r="J623" s="26" t="s">
        <v>16</v>
      </c>
      <c r="K623" s="26" t="s">
        <v>13</v>
      </c>
      <c r="L623" s="55"/>
      <c r="M623" s="26"/>
    </row>
    <row r="624" spans="1:13" ht="75" customHeight="1" thickTop="1" thickBot="1">
      <c r="A624" s="26">
        <v>622</v>
      </c>
      <c r="B624" s="55">
        <f ca="1">IFERROR(__xludf.DUMMYFUNCTION("""COMPUTED_VALUE"""),46172.3270460185)</f>
        <v>46172.327046018501</v>
      </c>
      <c r="C624" s="56" t="str">
        <f ca="1">IFERROR(__xludf.DUMMYFUNCTION("""COMPUTED_VALUE"""),"المعملجي")</f>
        <v>المعملجي</v>
      </c>
      <c r="D624" s="56" t="str">
        <f ca="1">IFERROR(__xludf.DUMMYFUNCTION("""COMPUTED_VALUE"""),"وحدة التبريد")</f>
        <v>وحدة التبريد</v>
      </c>
      <c r="E624" s="26" t="str">
        <f ca="1">IFERROR(__xludf.DUMMYFUNCTION("""COMPUTED_VALUE"""),"قسم المشاريع الهندسية")</f>
        <v>قسم المشاريع الهندسية</v>
      </c>
      <c r="F624" s="26" t="str">
        <f ca="1">IFERROR(__xludf.DUMMYFUNCTION("""COMPUTED_VALUE"""),"E- ابتدائية العميد للبنات (الثالثة)")</f>
        <v>E- ابتدائية العميد للبنات (الثالثة)</v>
      </c>
      <c r="G624" s="26" t="str">
        <f ca="1">IFERROR(__xludf.DUMMYFUNCTION("""COMPUTED_VALUE"""),"الطابق الارضي, ZONE B")</f>
        <v>الطابق الارضي, ZONE B</v>
      </c>
      <c r="H624" s="26" t="str">
        <f ca="1">IFERROR(__xludf.DUMMYFUNCTION("""COMPUTED_VALUE"""),"تبديل يدة شباك حديد ")</f>
        <v xml:space="preserve">تبديل يدة شباك حديد </v>
      </c>
      <c r="I624" s="26"/>
      <c r="J624" s="26" t="s">
        <v>16</v>
      </c>
      <c r="K624" s="26" t="s">
        <v>13</v>
      </c>
      <c r="L624" s="55"/>
      <c r="M624" s="26"/>
    </row>
    <row r="625" spans="1:13" ht="75" customHeight="1" thickTop="1" thickBot="1">
      <c r="A625" s="34">
        <v>623</v>
      </c>
      <c r="B625" s="55">
        <f ca="1">IFERROR(__xludf.DUMMYFUNCTION("""COMPUTED_VALUE"""),46172.3277231481)</f>
        <v>46172.327723148097</v>
      </c>
      <c r="C625" s="56" t="str">
        <f ca="1">IFERROR(__xludf.DUMMYFUNCTION("""COMPUTED_VALUE"""),"المعملجي")</f>
        <v>المعملجي</v>
      </c>
      <c r="D625" s="56" t="str">
        <f ca="1">IFERROR(__xludf.DUMMYFUNCTION("""COMPUTED_VALUE"""),"وحدة المدني")</f>
        <v>وحدة المدني</v>
      </c>
      <c r="E625" s="26" t="str">
        <f ca="1">IFERROR(__xludf.DUMMYFUNCTION("""COMPUTED_VALUE"""),"قسم المشاريع الهندسية")</f>
        <v>قسم المشاريع الهندسية</v>
      </c>
      <c r="F625" s="26" t="str">
        <f ca="1">IFERROR(__xludf.DUMMYFUNCTION("""COMPUTED_VALUE"""),"H- ابتدائية القمر للبنات (الخامسة)")</f>
        <v>H- ابتدائية القمر للبنات (الخامسة)</v>
      </c>
      <c r="G625" s="26" t="str">
        <f ca="1">IFERROR(__xludf.DUMMYFUNCTION("""COMPUTED_VALUE"""),"الطابق الاول, ZONE A, ZONE B")</f>
        <v>الطابق الاول, ZONE A, ZONE B</v>
      </c>
      <c r="H625" s="26" t="str">
        <f ca="1">IFERROR(__xludf.DUMMYFUNCTION("""COMPUTED_VALUE"""),"تبديل يدة باب المنيوم بين الزونين")</f>
        <v>تبديل يدة باب المنيوم بين الزونين</v>
      </c>
      <c r="I625" s="26"/>
      <c r="J625" s="26" t="s">
        <v>16</v>
      </c>
      <c r="K625" s="26" t="s">
        <v>13</v>
      </c>
      <c r="L625" s="55"/>
      <c r="M625" s="26"/>
    </row>
    <row r="626" spans="1:13" ht="75" customHeight="1" thickTop="1" thickBot="1">
      <c r="A626" s="26">
        <v>624</v>
      </c>
      <c r="B626" s="55">
        <f ca="1">IFERROR(__xludf.DUMMYFUNCTION("""COMPUTED_VALUE"""),46172.3281242708)</f>
        <v>46172.328124270804</v>
      </c>
      <c r="C626" s="56" t="str">
        <f ca="1">IFERROR(__xludf.DUMMYFUNCTION("""COMPUTED_VALUE"""),"المعملجي")</f>
        <v>المعملجي</v>
      </c>
      <c r="D626" s="56" t="str">
        <f ca="1">IFERROR(__xludf.DUMMYFUNCTION("""COMPUTED_VALUE"""),"وحدة المدني")</f>
        <v>وحدة المدني</v>
      </c>
      <c r="E626" s="26" t="str">
        <f ca="1">IFERROR(__xludf.DUMMYFUNCTION("""COMPUTED_VALUE"""),"قسم المشاريع الهندسية")</f>
        <v>قسم المشاريع الهندسية</v>
      </c>
      <c r="F626" s="26" t="str">
        <f ca="1">IFERROR(__xludf.DUMMYFUNCTION("""COMPUTED_VALUE"""),"H- ابتدائية القمر للبنات (الخامسة)")</f>
        <v>H- ابتدائية القمر للبنات (الخامسة)</v>
      </c>
      <c r="G626" s="26" t="str">
        <f ca="1">IFERROR(__xludf.DUMMYFUNCTION("""COMPUTED_VALUE"""),"الطابق الاول")</f>
        <v>الطابق الاول</v>
      </c>
      <c r="H626" s="26" t="str">
        <f ca="1">IFERROR(__xludf.DUMMYFUNCTION("""COMPUTED_VALUE"""),"صيانة باب خشب ")</f>
        <v xml:space="preserve">صيانة باب خشب </v>
      </c>
      <c r="I626" s="26"/>
      <c r="J626" s="26" t="s">
        <v>16</v>
      </c>
      <c r="K626" s="26" t="s">
        <v>13</v>
      </c>
      <c r="L626" s="55"/>
      <c r="M626" s="26"/>
    </row>
    <row r="627" spans="1:13" ht="75" customHeight="1" thickTop="1" thickBot="1">
      <c r="A627" s="34">
        <v>625</v>
      </c>
      <c r="B627" s="55">
        <f ca="1">IFERROR(__xludf.DUMMYFUNCTION("""COMPUTED_VALUE"""),46172.3285330092)</f>
        <v>46172.328533009197</v>
      </c>
      <c r="C627" s="56" t="str">
        <f ca="1">IFERROR(__xludf.DUMMYFUNCTION("""COMPUTED_VALUE"""),"المعملجي")</f>
        <v>المعملجي</v>
      </c>
      <c r="D627" s="56" t="str">
        <f ca="1">IFERROR(__xludf.DUMMYFUNCTION("""COMPUTED_VALUE"""),"وحدة المدني")</f>
        <v>وحدة المدني</v>
      </c>
      <c r="E627" s="26" t="str">
        <f ca="1">IFERROR(__xludf.DUMMYFUNCTION("""COMPUTED_VALUE"""),"قسم المشاريع الهندسية")</f>
        <v>قسم المشاريع الهندسية</v>
      </c>
      <c r="F627" s="26" t="str">
        <f ca="1">IFERROR(__xludf.DUMMYFUNCTION("""COMPUTED_VALUE"""),"H- ابتدائية القمر للبنات (الخامسة)")</f>
        <v>H- ابتدائية القمر للبنات (الخامسة)</v>
      </c>
      <c r="G627" s="26" t="str">
        <f ca="1">IFERROR(__xludf.DUMMYFUNCTION("""COMPUTED_VALUE"""),"الطابق الاول, الطابق الثاني")</f>
        <v>الطابق الاول, الطابق الثاني</v>
      </c>
      <c r="H627" s="26" t="str">
        <f ca="1">IFERROR(__xludf.DUMMYFUNCTION("""COMPUTED_VALUE"""),"ارجاع سقوف ثانوية ")</f>
        <v xml:space="preserve">ارجاع سقوف ثانوية </v>
      </c>
      <c r="I627" s="26"/>
      <c r="J627" s="26" t="s">
        <v>16</v>
      </c>
      <c r="K627" s="26" t="s">
        <v>13</v>
      </c>
      <c r="L627" s="55"/>
      <c r="M627" s="26"/>
    </row>
    <row r="628" spans="1:13" ht="75" customHeight="1" thickTop="1" thickBot="1">
      <c r="A628" s="26">
        <v>626</v>
      </c>
      <c r="B628" s="55">
        <f ca="1">IFERROR(__xludf.DUMMYFUNCTION("""COMPUTED_VALUE"""),46172.32941625)</f>
        <v>46172.329416250002</v>
      </c>
      <c r="C628" s="56" t="str">
        <f ca="1">IFERROR(__xludf.DUMMYFUNCTION("""COMPUTED_VALUE"""),"المعملجي")</f>
        <v>المعملجي</v>
      </c>
      <c r="D628" s="56" t="str">
        <f ca="1">IFERROR(__xludf.DUMMYFUNCTION("""COMPUTED_VALUE"""),"وحدة المدني")</f>
        <v>وحدة المدني</v>
      </c>
      <c r="E628" s="26" t="str">
        <f ca="1">IFERROR(__xludf.DUMMYFUNCTION("""COMPUTED_VALUE"""),"قسم المشاريع الهندسية")</f>
        <v>قسم المشاريع الهندسية</v>
      </c>
      <c r="F628" s="26" t="str">
        <f ca="1">IFERROR(__xludf.DUMMYFUNCTION("""COMPUTED_VALUE"""),"H- ابتدائية القمر للبنات (الخامسة)")</f>
        <v>H- ابتدائية القمر للبنات (الخامسة)</v>
      </c>
      <c r="G628" s="26" t="str">
        <f ca="1">IFERROR(__xludf.DUMMYFUNCTION("""COMPUTED_VALUE"""),"الطابق الثاني")</f>
        <v>الطابق الثاني</v>
      </c>
      <c r="H628" s="26" t="str">
        <f ca="1">IFERROR(__xludf.DUMMYFUNCTION("""COMPUTED_VALUE"""),"تبديل يدة باب المنيوم في الصحيات ")</f>
        <v xml:space="preserve">تبديل يدة باب المنيوم في الصحيات </v>
      </c>
      <c r="I628" s="26"/>
      <c r="J628" s="26" t="s">
        <v>16</v>
      </c>
      <c r="K628" s="26" t="s">
        <v>13</v>
      </c>
      <c r="L628" s="55"/>
      <c r="M628" s="26"/>
    </row>
    <row r="629" spans="1:13" ht="75" customHeight="1" thickTop="1" thickBot="1">
      <c r="A629" s="34">
        <v>627</v>
      </c>
      <c r="B629" s="55">
        <f ca="1">IFERROR(__xludf.DUMMYFUNCTION("""COMPUTED_VALUE"""),46172.3300786458)</f>
        <v>46172.330078645798</v>
      </c>
      <c r="C629" s="56" t="str">
        <f ca="1">IFERROR(__xludf.DUMMYFUNCTION("""COMPUTED_VALUE"""),"المعملجي")</f>
        <v>المعملجي</v>
      </c>
      <c r="D629" s="56" t="str">
        <f ca="1">IFERROR(__xludf.DUMMYFUNCTION("""COMPUTED_VALUE"""),"وحدة المدني")</f>
        <v>وحدة المدني</v>
      </c>
      <c r="E629" s="26" t="str">
        <f ca="1">IFERROR(__xludf.DUMMYFUNCTION("""COMPUTED_VALUE"""),"قسم المشاريع الهندسية")</f>
        <v>قسم المشاريع الهندسية</v>
      </c>
      <c r="F629" s="26" t="str">
        <f ca="1">IFERROR(__xludf.DUMMYFUNCTION("""COMPUTED_VALUE"""),"F-  ابتدائية جود العميد للبنات (الرابعة)")</f>
        <v>F-  ابتدائية جود العميد للبنات (الرابعة)</v>
      </c>
      <c r="G629" s="26" t="str">
        <f ca="1">IFERROR(__xludf.DUMMYFUNCTION("""COMPUTED_VALUE"""),"الطابق الارضي")</f>
        <v>الطابق الارضي</v>
      </c>
      <c r="H629" s="26" t="str">
        <f ca="1">IFERROR(__xludf.DUMMYFUNCTION("""COMPUTED_VALUE"""),"صيانة يدة باب المنيوم في الصحيات ")</f>
        <v xml:space="preserve">صيانة يدة باب المنيوم في الصحيات </v>
      </c>
      <c r="I629" s="26"/>
      <c r="J629" s="26" t="s">
        <v>16</v>
      </c>
      <c r="K629" s="26" t="s">
        <v>13</v>
      </c>
      <c r="L629" s="55"/>
      <c r="M629" s="26"/>
    </row>
    <row r="630" spans="1:13" ht="75" customHeight="1" thickTop="1" thickBot="1">
      <c r="A630" s="26">
        <v>628</v>
      </c>
      <c r="B630" s="55">
        <f ca="1">IFERROR(__xludf.DUMMYFUNCTION("""COMPUTED_VALUE"""),46172.330462743)</f>
        <v>46172.330462742997</v>
      </c>
      <c r="C630" s="56" t="str">
        <f ca="1">IFERROR(__xludf.DUMMYFUNCTION("""COMPUTED_VALUE"""),"المعملجي")</f>
        <v>المعملجي</v>
      </c>
      <c r="D630" s="56" t="str">
        <f ca="1">IFERROR(__xludf.DUMMYFUNCTION("""COMPUTED_VALUE"""),"وحدة المدني")</f>
        <v>وحدة المدني</v>
      </c>
      <c r="E630" s="26" t="str">
        <f ca="1">IFERROR(__xludf.DUMMYFUNCTION("""COMPUTED_VALUE"""),"قسم المشاريع الهندسية")</f>
        <v>قسم المشاريع الهندسية</v>
      </c>
      <c r="F630" s="26" t="str">
        <f ca="1">IFERROR(__xludf.DUMMYFUNCTION("""COMPUTED_VALUE"""),"F-  ابتدائية جود العميد للبنات (الرابعة)")</f>
        <v>F-  ابتدائية جود العميد للبنات (الرابعة)</v>
      </c>
      <c r="G630" s="26" t="str">
        <f ca="1">IFERROR(__xludf.DUMMYFUNCTION("""COMPUTED_VALUE"""),"الطابق الثاني")</f>
        <v>الطابق الثاني</v>
      </c>
      <c r="H630" s="26" t="str">
        <f ca="1">IFERROR(__xludf.DUMMYFUNCTION("""COMPUTED_VALUE"""),"تبديل يدة باب ")</f>
        <v xml:space="preserve">تبديل يدة باب </v>
      </c>
      <c r="I630" s="26"/>
      <c r="J630" s="26" t="s">
        <v>16</v>
      </c>
      <c r="K630" s="26" t="s">
        <v>13</v>
      </c>
      <c r="L630" s="55"/>
      <c r="M630" s="26"/>
    </row>
    <row r="631" spans="1:13" ht="75" customHeight="1" thickTop="1" thickBot="1">
      <c r="A631" s="34">
        <v>629</v>
      </c>
      <c r="B631" s="55">
        <f ca="1">IFERROR(__xludf.DUMMYFUNCTION("""COMPUTED_VALUE"""),46172.3308805671)</f>
        <v>46172.330880567097</v>
      </c>
      <c r="C631" s="56" t="str">
        <f ca="1">IFERROR(__xludf.DUMMYFUNCTION("""COMPUTED_VALUE"""),"المعملجي")</f>
        <v>المعملجي</v>
      </c>
      <c r="D631" s="56" t="str">
        <f ca="1">IFERROR(__xludf.DUMMYFUNCTION("""COMPUTED_VALUE"""),"وحدة المدني")</f>
        <v>وحدة المدني</v>
      </c>
      <c r="E631" s="26" t="str">
        <f ca="1">IFERROR(__xludf.DUMMYFUNCTION("""COMPUTED_VALUE"""),"قسم المشاريع الهندسية")</f>
        <v>قسم المشاريع الهندسية</v>
      </c>
      <c r="F631" s="26" t="str">
        <f ca="1">IFERROR(__xludf.DUMMYFUNCTION("""COMPUTED_VALUE"""),"F-  ابتدائية جود العميد للبنات (الرابعة)")</f>
        <v>F-  ابتدائية جود العميد للبنات (الرابعة)</v>
      </c>
      <c r="G631" s="26" t="str">
        <f ca="1">IFERROR(__xludf.DUMMYFUNCTION("""COMPUTED_VALUE"""),"الطابق الاول")</f>
        <v>الطابق الاول</v>
      </c>
      <c r="H631" s="26" t="str">
        <f ca="1">IFERROR(__xludf.DUMMYFUNCTION("""COMPUTED_VALUE"""),"صيانة بردة ")</f>
        <v xml:space="preserve">صيانة بردة </v>
      </c>
      <c r="I631" s="26"/>
      <c r="J631" s="26" t="s">
        <v>16</v>
      </c>
      <c r="K631" s="26" t="s">
        <v>13</v>
      </c>
      <c r="L631" s="55"/>
      <c r="M631" s="26"/>
    </row>
    <row r="632" spans="1:13" ht="75" customHeight="1" thickTop="1" thickBot="1">
      <c r="A632" s="26">
        <v>630</v>
      </c>
      <c r="B632" s="55">
        <f ca="1">IFERROR(__xludf.DUMMYFUNCTION("""COMPUTED_VALUE"""),46172.3312612268)</f>
        <v>46172.331261226798</v>
      </c>
      <c r="C632" s="56" t="str">
        <f ca="1">IFERROR(__xludf.DUMMYFUNCTION("""COMPUTED_VALUE"""),"المعملجي")</f>
        <v>المعملجي</v>
      </c>
      <c r="D632" s="56" t="str">
        <f ca="1">IFERROR(__xludf.DUMMYFUNCTION("""COMPUTED_VALUE"""),"وحدة المدني")</f>
        <v>وحدة المدني</v>
      </c>
      <c r="E632" s="26" t="str">
        <f ca="1">IFERROR(__xludf.DUMMYFUNCTION("""COMPUTED_VALUE"""),"قسم المشاريع الهندسية")</f>
        <v>قسم المشاريع الهندسية</v>
      </c>
      <c r="F632" s="26" t="str">
        <f ca="1">IFERROR(__xludf.DUMMYFUNCTION("""COMPUTED_VALUE"""),"F-  ابتدائية جود العميد للبنات (الرابعة)")</f>
        <v>F-  ابتدائية جود العميد للبنات (الرابعة)</v>
      </c>
      <c r="G632" s="26" t="str">
        <f ca="1">IFERROR(__xludf.DUMMYFUNCTION("""COMPUTED_VALUE"""),"الطابق الاول, الطابق الثاني")</f>
        <v>الطابق الاول, الطابق الثاني</v>
      </c>
      <c r="H632" s="26" t="str">
        <f ca="1">IFERROR(__xludf.DUMMYFUNCTION("""COMPUTED_VALUE"""),"ارجاع سقوف ثانوية ")</f>
        <v xml:space="preserve">ارجاع سقوف ثانوية </v>
      </c>
      <c r="I632" s="26"/>
      <c r="J632" s="26" t="s">
        <v>16</v>
      </c>
      <c r="K632" s="26" t="s">
        <v>13</v>
      </c>
      <c r="L632" s="55"/>
      <c r="M632" s="26"/>
    </row>
    <row r="633" spans="1:13" ht="75" customHeight="1" thickTop="1" thickBot="1">
      <c r="A633" s="34">
        <v>631</v>
      </c>
      <c r="B633" s="55">
        <f ca="1">IFERROR(__xludf.DUMMYFUNCTION("""COMPUTED_VALUE"""),46172.3317531365)</f>
        <v>46172.331753136503</v>
      </c>
      <c r="C633" s="56" t="str">
        <f ca="1">IFERROR(__xludf.DUMMYFUNCTION("""COMPUTED_VALUE"""),"المعملجي")</f>
        <v>المعملجي</v>
      </c>
      <c r="D633" s="56" t="str">
        <f ca="1">IFERROR(__xludf.DUMMYFUNCTION("""COMPUTED_VALUE"""),"وحدة المدني")</f>
        <v>وحدة المدني</v>
      </c>
      <c r="E633" s="26" t="str">
        <f ca="1">IFERROR(__xludf.DUMMYFUNCTION("""COMPUTED_VALUE"""),"قسم المشاريع الهندسية")</f>
        <v>قسم المشاريع الهندسية</v>
      </c>
      <c r="F633" s="26" t="str">
        <f ca="1">IFERROR(__xludf.DUMMYFUNCTION("""COMPUTED_VALUE"""),"E- ابتدائية العميد للبنات (الثالثة)")</f>
        <v>E- ابتدائية العميد للبنات (الثالثة)</v>
      </c>
      <c r="G633" s="26" t="str">
        <f ca="1">IFERROR(__xludf.DUMMYFUNCTION("""COMPUTED_VALUE"""),"الطابق الثاني")</f>
        <v>الطابق الثاني</v>
      </c>
      <c r="H633" s="26" t="str">
        <f ca="1">IFERROR(__xludf.DUMMYFUNCTION("""COMPUTED_VALUE"""),"صيانة مصعد حائط ")</f>
        <v xml:space="preserve">صيانة مصعد حائط </v>
      </c>
      <c r="I633" s="26"/>
      <c r="J633" s="26" t="s">
        <v>16</v>
      </c>
      <c r="K633" s="26" t="s">
        <v>13</v>
      </c>
      <c r="L633" s="55"/>
      <c r="M633" s="26"/>
    </row>
    <row r="634" spans="1:13" ht="75" customHeight="1" thickTop="1" thickBot="1">
      <c r="A634" s="26">
        <v>632</v>
      </c>
      <c r="B634" s="55">
        <f ca="1">IFERROR(__xludf.DUMMYFUNCTION("""COMPUTED_VALUE"""),46172.3799468055)</f>
        <v>46172.3799468055</v>
      </c>
      <c r="C634" s="56" t="str">
        <f ca="1">IFERROR(__xludf.DUMMYFUNCTION("""COMPUTED_VALUE"""),"المعملجي")</f>
        <v>المعملجي</v>
      </c>
      <c r="D634" s="56" t="str">
        <f ca="1">IFERROR(__xludf.DUMMYFUNCTION("""COMPUTED_VALUE"""),"ابو سجاد ")</f>
        <v xml:space="preserve">ابو سجاد </v>
      </c>
      <c r="E634" s="26" t="str">
        <f ca="1">IFERROR(__xludf.DUMMYFUNCTION("""COMPUTED_VALUE"""),"مجموعة العميد التربوية")</f>
        <v>مجموعة العميد التربوية</v>
      </c>
      <c r="F634" s="26" t="str">
        <f ca="1">IFERROR(__xludf.DUMMYFUNCTION("""COMPUTED_VALUE"""),"النافورة")</f>
        <v>النافورة</v>
      </c>
      <c r="G634" s="26" t="str">
        <f ca="1">IFERROR(__xludf.DUMMYFUNCTION("""COMPUTED_VALUE"""),"الطابق الارضي")</f>
        <v>الطابق الارضي</v>
      </c>
      <c r="H634" s="26" t="str">
        <f ca="1">IFERROR(__xludf.DUMMYFUNCTION("""COMPUTED_VALUE"""),"تبديل بلك سويج ")</f>
        <v xml:space="preserve">تبديل بلك سويج </v>
      </c>
      <c r="I634" s="26"/>
      <c r="J634" s="26" t="s">
        <v>3910</v>
      </c>
      <c r="K634" s="26" t="s">
        <v>13</v>
      </c>
      <c r="L634" s="55">
        <v>46172.414192974538</v>
      </c>
      <c r="M634" s="26"/>
    </row>
    <row r="635" spans="1:13" ht="75" customHeight="1" thickTop="1" thickBot="1">
      <c r="A635" s="34">
        <v>633</v>
      </c>
      <c r="B635" s="55">
        <f ca="1">IFERROR(__xludf.DUMMYFUNCTION("""COMPUTED_VALUE"""),46172.3814955324)</f>
        <v>46172.381495532398</v>
      </c>
      <c r="C635" s="56" t="str">
        <f ca="1">IFERROR(__xludf.DUMMYFUNCTION("""COMPUTED_VALUE"""),"المعملجي")</f>
        <v>المعملجي</v>
      </c>
      <c r="D635" s="56" t="str">
        <f ca="1">IFERROR(__xludf.DUMMYFUNCTION("""COMPUTED_VALUE"""),"ابو سجاد ")</f>
        <v xml:space="preserve">ابو سجاد </v>
      </c>
      <c r="E635" s="26" t="str">
        <f ca="1">IFERROR(__xludf.DUMMYFUNCTION("""COMPUTED_VALUE"""),"مجموعة العميد التربوية")</f>
        <v>مجموعة العميد التربوية</v>
      </c>
      <c r="F635" s="26" t="str">
        <f ca="1">IFERROR(__xludf.DUMMYFUNCTION("""COMPUTED_VALUE"""),"الصحيات مقابل البناية الاولى ")</f>
        <v xml:space="preserve">الصحيات مقابل البناية الاولى </v>
      </c>
      <c r="G635" s="26" t="str">
        <f ca="1">IFERROR(__xludf.DUMMYFUNCTION("""COMPUTED_VALUE"""),"الطابق الارضي")</f>
        <v>الطابق الارضي</v>
      </c>
      <c r="H635" s="26" t="str">
        <f ca="1">IFERROR(__xludf.DUMMYFUNCTION("""COMPUTED_VALUE"""),"تبديل يدة باب المنيوم ")</f>
        <v xml:space="preserve">تبديل يدة باب المنيوم </v>
      </c>
      <c r="I635" s="26"/>
      <c r="J635" s="26" t="s">
        <v>16</v>
      </c>
      <c r="K635" s="26" t="s">
        <v>13</v>
      </c>
      <c r="L635" s="55">
        <v>46172.41425775463</v>
      </c>
      <c r="M635" s="26"/>
    </row>
    <row r="636" spans="1:13" ht="75" customHeight="1" thickTop="1" thickBot="1">
      <c r="A636" s="26">
        <v>634</v>
      </c>
      <c r="B636" s="55">
        <f ca="1">IFERROR(__xludf.DUMMYFUNCTION("""COMPUTED_VALUE"""),46172.383134155)</f>
        <v>46172.383134155003</v>
      </c>
      <c r="C636" s="56" t="str">
        <f ca="1">IFERROR(__xludf.DUMMYFUNCTION("""COMPUTED_VALUE"""),"المعملجي")</f>
        <v>المعملجي</v>
      </c>
      <c r="D636" s="56" t="str">
        <f ca="1">IFERROR(__xludf.DUMMYFUNCTION("""COMPUTED_VALUE"""),"ابو سجاد ")</f>
        <v xml:space="preserve">ابو سجاد </v>
      </c>
      <c r="E636" s="26" t="str">
        <f ca="1">IFERROR(__xludf.DUMMYFUNCTION("""COMPUTED_VALUE"""),"مجموعة العميد التربوية")</f>
        <v>مجموعة العميد التربوية</v>
      </c>
      <c r="F636" s="26" t="str">
        <f ca="1">IFERROR(__xludf.DUMMYFUNCTION("""COMPUTED_VALUE"""),"الصحيات مقابل البناية الاولى")</f>
        <v>الصحيات مقابل البناية الاولى</v>
      </c>
      <c r="G636" s="26" t="str">
        <f ca="1">IFERROR(__xludf.DUMMYFUNCTION("""COMPUTED_VALUE"""),"الطابق الارضي")</f>
        <v>الطابق الارضي</v>
      </c>
      <c r="H636" s="26" t="str">
        <f ca="1">IFERROR(__xludf.DUMMYFUNCTION("""COMPUTED_VALUE"""),"تبديل صوندة شطاف ")</f>
        <v xml:space="preserve">تبديل صوندة شطاف </v>
      </c>
      <c r="I636" s="26"/>
      <c r="J636" s="26" t="s">
        <v>14</v>
      </c>
      <c r="K636" s="26" t="s">
        <v>13</v>
      </c>
      <c r="L636" s="55">
        <v>46172.414272245369</v>
      </c>
      <c r="M636" s="26"/>
    </row>
    <row r="637" spans="1:13" ht="75" customHeight="1" thickTop="1" thickBot="1">
      <c r="A637" s="34">
        <v>635</v>
      </c>
      <c r="B637" s="55">
        <f ca="1">IFERROR(__xludf.DUMMYFUNCTION("""COMPUTED_VALUE"""),46172.384007199)</f>
        <v>46172.384007198998</v>
      </c>
      <c r="C637" s="56" t="str">
        <f ca="1">IFERROR(__xludf.DUMMYFUNCTION("""COMPUTED_VALUE"""),"المعملجي")</f>
        <v>المعملجي</v>
      </c>
      <c r="D637" s="56" t="str">
        <f ca="1">IFERROR(__xludf.DUMMYFUNCTION("""COMPUTED_VALUE"""),"ابو سجاد ")</f>
        <v xml:space="preserve">ابو سجاد </v>
      </c>
      <c r="E637" s="26" t="str">
        <f ca="1">IFERROR(__xludf.DUMMYFUNCTION("""COMPUTED_VALUE"""),"مجموعة العميد التربوية")</f>
        <v>مجموعة العميد التربوية</v>
      </c>
      <c r="F637" s="26" t="str">
        <f ca="1">IFERROR(__xludf.DUMMYFUNCTION("""COMPUTED_VALUE"""),"الصحيات مقابل البناية الاولى")</f>
        <v>الصحيات مقابل البناية الاولى</v>
      </c>
      <c r="G637" s="26" t="str">
        <f ca="1">IFERROR(__xludf.DUMMYFUNCTION("""COMPUTED_VALUE"""),"الطابق الارضي")</f>
        <v>الطابق الارضي</v>
      </c>
      <c r="H637" s="26" t="str">
        <f ca="1">IFERROR(__xludf.DUMMYFUNCTION("""COMPUTED_VALUE"""),"انسداد في مغسلة ")</f>
        <v xml:space="preserve">انسداد في مغسلة </v>
      </c>
      <c r="I637" s="26"/>
      <c r="J637" s="26" t="s">
        <v>14</v>
      </c>
      <c r="K637" s="26" t="s">
        <v>13</v>
      </c>
      <c r="L637" s="55">
        <v>46172.414310868058</v>
      </c>
      <c r="M637" s="26"/>
    </row>
    <row r="638" spans="1:13" ht="75" customHeight="1" thickTop="1" thickBot="1">
      <c r="A638" s="26">
        <v>636</v>
      </c>
      <c r="B638" s="55">
        <f ca="1">IFERROR(__xludf.DUMMYFUNCTION("""COMPUTED_VALUE"""),46172.3864813194)</f>
        <v>46172.386481319401</v>
      </c>
      <c r="C638" s="56" t="str">
        <f ca="1">IFERROR(__xludf.DUMMYFUNCTION("""COMPUTED_VALUE"""),"المعملجي")</f>
        <v>المعملجي</v>
      </c>
      <c r="D638" s="56" t="str">
        <f ca="1">IFERROR(__xludf.DUMMYFUNCTION("""COMPUTED_VALUE"""),"ابراهيم الخطابي")</f>
        <v>ابراهيم الخطابي</v>
      </c>
      <c r="E638" s="26" t="str">
        <f ca="1">IFERROR(__xludf.DUMMYFUNCTION("""COMPUTED_VALUE"""),"مجموعة العميد التربوية")</f>
        <v>مجموعة العميد التربوية</v>
      </c>
      <c r="F638" s="26" t="str">
        <f ca="1">IFERROR(__xludf.DUMMYFUNCTION("""COMPUTED_VALUE"""),"اطار الشاشة الرئيسية ")</f>
        <v xml:space="preserve">اطار الشاشة الرئيسية </v>
      </c>
      <c r="G638" s="26" t="str">
        <f ca="1">IFERROR(__xludf.DUMMYFUNCTION("""COMPUTED_VALUE"""),"الطابق الارضي")</f>
        <v>الطابق الارضي</v>
      </c>
      <c r="H638" s="26" t="str">
        <f ca="1">IFERROR(__xludf.DUMMYFUNCTION("""COMPUTED_VALUE"""),"صبغ برايمر ومعجون إطار الشاشة ")</f>
        <v xml:space="preserve">صبغ برايمر ومعجون إطار الشاشة </v>
      </c>
      <c r="I638" s="26"/>
      <c r="J638" s="26" t="s">
        <v>14</v>
      </c>
      <c r="K638" s="26" t="s">
        <v>13</v>
      </c>
      <c r="L638" s="55">
        <v>46172.414331423613</v>
      </c>
      <c r="M638" s="26"/>
    </row>
    <row r="639" spans="1:13" ht="75" customHeight="1" thickTop="1" thickBot="1">
      <c r="A639" s="34">
        <v>637</v>
      </c>
      <c r="B639" s="55">
        <f ca="1">IFERROR(__xludf.DUMMYFUNCTION("""COMPUTED_VALUE"""),46172.4344377314)</f>
        <v>46172.434437731397</v>
      </c>
      <c r="C639" s="56" t="str">
        <f ca="1">IFERROR(__xludf.DUMMYFUNCTION("""COMPUTED_VALUE"""),"المعملجي")</f>
        <v>المعملجي</v>
      </c>
      <c r="D639" s="56" t="str">
        <f ca="1">IFERROR(__xludf.DUMMYFUNCTION("""COMPUTED_VALUE"""),"ابو سجاد ")</f>
        <v xml:space="preserve">ابو سجاد </v>
      </c>
      <c r="E639" s="26" t="str">
        <f ca="1">IFERROR(__xludf.DUMMYFUNCTION("""COMPUTED_VALUE"""),"مجموعة العميد التربوية")</f>
        <v>مجموعة العميد التربوية</v>
      </c>
      <c r="F639" s="26" t="str">
        <f ca="1">IFERROR(__xludf.DUMMYFUNCTION("""COMPUTED_VALUE"""),"A- المركز الثقافي")</f>
        <v>A- المركز الثقافي</v>
      </c>
      <c r="G639" s="26" t="str">
        <f ca="1">IFERROR(__xludf.DUMMYFUNCTION("""COMPUTED_VALUE"""),"الطابق الارضي")</f>
        <v>الطابق الارضي</v>
      </c>
      <c r="H639" s="26" t="str">
        <f ca="1">IFERROR(__xludf.DUMMYFUNCTION("""COMPUTED_VALUE"""),"صيانة إطار لوحة تعرفية")</f>
        <v>صيانة إطار لوحة تعرفية</v>
      </c>
      <c r="I639" s="26"/>
      <c r="J639" s="26" t="s">
        <v>16</v>
      </c>
      <c r="K639" s="26" t="s">
        <v>13</v>
      </c>
      <c r="L639" s="55">
        <v>46172.528335740746</v>
      </c>
      <c r="M639" s="26"/>
    </row>
    <row r="640" spans="1:13" ht="75" customHeight="1" thickTop="1" thickBot="1">
      <c r="A640" s="26">
        <v>638</v>
      </c>
      <c r="B640" s="55">
        <f ca="1">IFERROR(__xludf.DUMMYFUNCTION("""COMPUTED_VALUE"""),46173.3469650578)</f>
        <v>46173.346965057797</v>
      </c>
      <c r="C640" s="56" t="str">
        <f ca="1">IFERROR(__xludf.DUMMYFUNCTION("""COMPUTED_VALUE"""),"المعملجي")</f>
        <v>المعملجي</v>
      </c>
      <c r="D640" s="56" t="str">
        <f ca="1">IFERROR(__xludf.DUMMYFUNCTION("""COMPUTED_VALUE"""),"وحدة التبريد")</f>
        <v>وحدة التبريد</v>
      </c>
      <c r="E640" s="26" t="str">
        <f ca="1">IFERROR(__xludf.DUMMYFUNCTION("""COMPUTED_VALUE"""),"قسم المشاريع الهندسية")</f>
        <v>قسم المشاريع الهندسية</v>
      </c>
      <c r="F640" s="26" t="str">
        <f ca="1">IFERROR(__xludf.DUMMYFUNCTION("""COMPUTED_VALUE"""),"A- المركز الثقافي")</f>
        <v>A- المركز الثقافي</v>
      </c>
      <c r="G640" s="26" t="str">
        <f ca="1">IFERROR(__xludf.DUMMYFUNCTION("""COMPUTED_VALUE"""),"السطح")</f>
        <v>السطح</v>
      </c>
      <c r="H640"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0" s="26"/>
      <c r="J640" s="26" t="s">
        <v>15</v>
      </c>
      <c r="K640" s="26" t="s">
        <v>13</v>
      </c>
      <c r="L640" s="55"/>
      <c r="M640" s="26"/>
    </row>
    <row r="641" spans="1:13" ht="75" customHeight="1" thickTop="1" thickBot="1">
      <c r="A641" s="34">
        <v>639</v>
      </c>
      <c r="B641" s="55">
        <f ca="1">IFERROR(__xludf.DUMMYFUNCTION("""COMPUTED_VALUE"""),46173.3472017939)</f>
        <v>46173.347201793898</v>
      </c>
      <c r="C641" s="56" t="str">
        <f ca="1">IFERROR(__xludf.DUMMYFUNCTION("""COMPUTED_VALUE"""),"المعملجي")</f>
        <v>المعملجي</v>
      </c>
      <c r="D641" s="56" t="str">
        <f ca="1">IFERROR(__xludf.DUMMYFUNCTION("""COMPUTED_VALUE"""),"وحدة التبريد")</f>
        <v>وحدة التبريد</v>
      </c>
      <c r="E641" s="26" t="str">
        <f ca="1">IFERROR(__xludf.DUMMYFUNCTION("""COMPUTED_VALUE"""),"قسم المشاريع الهندسية")</f>
        <v>قسم المشاريع الهندسية</v>
      </c>
      <c r="F641" s="26" t="str">
        <f ca="1">IFERROR(__xludf.DUMMYFUNCTION("""COMPUTED_VALUE"""),"B- روضة القمر")</f>
        <v>B- روضة القمر</v>
      </c>
      <c r="G641" s="26" t="str">
        <f ca="1">IFERROR(__xludf.DUMMYFUNCTION("""COMPUTED_VALUE"""),"السطح")</f>
        <v>السطح</v>
      </c>
      <c r="H641"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1" s="26"/>
      <c r="J641" s="26" t="s">
        <v>15</v>
      </c>
      <c r="K641" s="26" t="s">
        <v>13</v>
      </c>
      <c r="L641" s="55"/>
      <c r="M641" s="26"/>
    </row>
    <row r="642" spans="1:13" ht="75" customHeight="1" thickTop="1" thickBot="1">
      <c r="A642" s="26">
        <v>640</v>
      </c>
      <c r="B642" s="55">
        <f ca="1">IFERROR(__xludf.DUMMYFUNCTION("""COMPUTED_VALUE"""),46173.3474130787)</f>
        <v>46173.3474130787</v>
      </c>
      <c r="C642" s="56" t="str">
        <f ca="1">IFERROR(__xludf.DUMMYFUNCTION("""COMPUTED_VALUE"""),"المعملجي")</f>
        <v>المعملجي</v>
      </c>
      <c r="D642" s="56" t="str">
        <f ca="1">IFERROR(__xludf.DUMMYFUNCTION("""COMPUTED_VALUE"""),"وحدة التبريد")</f>
        <v>وحدة التبريد</v>
      </c>
      <c r="E642" s="26" t="str">
        <f ca="1">IFERROR(__xludf.DUMMYFUNCTION("""COMPUTED_VALUE"""),"قسم المشاريع الهندسية")</f>
        <v>قسم المشاريع الهندسية</v>
      </c>
      <c r="F642" s="26" t="str">
        <f ca="1">IFERROR(__xludf.DUMMYFUNCTION("""COMPUTED_VALUE"""),"G- روضة الجود")</f>
        <v>G- روضة الجود</v>
      </c>
      <c r="G642" s="26" t="str">
        <f ca="1">IFERROR(__xludf.DUMMYFUNCTION("""COMPUTED_VALUE"""),"السطح")</f>
        <v>السطح</v>
      </c>
      <c r="H642"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2" s="26"/>
      <c r="J642" s="26" t="s">
        <v>15</v>
      </c>
      <c r="K642" s="26" t="s">
        <v>13</v>
      </c>
      <c r="L642" s="55"/>
      <c r="M642" s="26"/>
    </row>
    <row r="643" spans="1:13" ht="75" customHeight="1" thickTop="1" thickBot="1">
      <c r="A643" s="34">
        <v>641</v>
      </c>
      <c r="B643" s="55">
        <f ca="1">IFERROR(__xludf.DUMMYFUNCTION("""COMPUTED_VALUE"""),46173.3476130671)</f>
        <v>46173.347613067097</v>
      </c>
      <c r="C643" s="56" t="str">
        <f ca="1">IFERROR(__xludf.DUMMYFUNCTION("""COMPUTED_VALUE"""),"المعملجي")</f>
        <v>المعملجي</v>
      </c>
      <c r="D643" s="56" t="str">
        <f ca="1">IFERROR(__xludf.DUMMYFUNCTION("""COMPUTED_VALUE"""),"وحدة التبريد")</f>
        <v>وحدة التبريد</v>
      </c>
      <c r="E643" s="26" t="str">
        <f ca="1">IFERROR(__xludf.DUMMYFUNCTION("""COMPUTED_VALUE"""),"قسم المشاريع الهندسية")</f>
        <v>قسم المشاريع الهندسية</v>
      </c>
      <c r="F643" s="26" t="str">
        <f ca="1">IFERROR(__xludf.DUMMYFUNCTION("""COMPUTED_VALUE"""),"C- ثانوية العميد بناية الاعدادية  (الاولى)")</f>
        <v>C- ثانوية العميد بناية الاعدادية  (الاولى)</v>
      </c>
      <c r="G643" s="26" t="str">
        <f ca="1">IFERROR(__xludf.DUMMYFUNCTION("""COMPUTED_VALUE"""),"السطح")</f>
        <v>السطح</v>
      </c>
      <c r="H643"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3" s="26"/>
      <c r="J643" s="26" t="s">
        <v>15</v>
      </c>
      <c r="K643" s="26" t="s">
        <v>13</v>
      </c>
      <c r="L643" s="55"/>
      <c r="M643" s="26"/>
    </row>
    <row r="644" spans="1:13" ht="75" customHeight="1" thickTop="1" thickBot="1">
      <c r="A644" s="26">
        <v>642</v>
      </c>
      <c r="B644" s="55">
        <f ca="1">IFERROR(__xludf.DUMMYFUNCTION("""COMPUTED_VALUE"""),46173.3477972337)</f>
        <v>46173.347797233699</v>
      </c>
      <c r="C644" s="56" t="str">
        <f ca="1">IFERROR(__xludf.DUMMYFUNCTION("""COMPUTED_VALUE"""),"المعملجي")</f>
        <v>المعملجي</v>
      </c>
      <c r="D644" s="56" t="str">
        <f ca="1">IFERROR(__xludf.DUMMYFUNCTION("""COMPUTED_VALUE"""),"وحدة التبريد")</f>
        <v>وحدة التبريد</v>
      </c>
      <c r="E644" s="26" t="str">
        <f ca="1">IFERROR(__xludf.DUMMYFUNCTION("""COMPUTED_VALUE"""),"قسم المشاريع الهندسية")</f>
        <v>قسم المشاريع الهندسية</v>
      </c>
      <c r="F644" s="26" t="str">
        <f ca="1">IFERROR(__xludf.DUMMYFUNCTION("""COMPUTED_VALUE"""),"D- ثانوية العميد بناية المتوسطة  (الثانية)")</f>
        <v>D- ثانوية العميد بناية المتوسطة  (الثانية)</v>
      </c>
      <c r="G644" s="26" t="str">
        <f ca="1">IFERROR(__xludf.DUMMYFUNCTION("""COMPUTED_VALUE"""),"السطح")</f>
        <v>السطح</v>
      </c>
      <c r="H644"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4" s="26"/>
      <c r="J644" s="26" t="s">
        <v>15</v>
      </c>
      <c r="K644" s="26" t="s">
        <v>13</v>
      </c>
      <c r="L644" s="55"/>
      <c r="M644" s="26"/>
    </row>
    <row r="645" spans="1:13" ht="75" customHeight="1" thickTop="1" thickBot="1">
      <c r="A645" s="34">
        <v>643</v>
      </c>
      <c r="B645" s="55">
        <f ca="1">IFERROR(__xludf.DUMMYFUNCTION("""COMPUTED_VALUE"""),46173.347990405)</f>
        <v>46173.347990404996</v>
      </c>
      <c r="C645" s="56" t="str">
        <f ca="1">IFERROR(__xludf.DUMMYFUNCTION("""COMPUTED_VALUE"""),"المعملجي")</f>
        <v>المعملجي</v>
      </c>
      <c r="D645" s="56" t="str">
        <f ca="1">IFERROR(__xludf.DUMMYFUNCTION("""COMPUTED_VALUE"""),"وحدة التبريد")</f>
        <v>وحدة التبريد</v>
      </c>
      <c r="E645" s="26" t="str">
        <f ca="1">IFERROR(__xludf.DUMMYFUNCTION("""COMPUTED_VALUE"""),"قسم المشاريع الهندسية")</f>
        <v>قسم المشاريع الهندسية</v>
      </c>
      <c r="F645" s="26" t="str">
        <f ca="1">IFERROR(__xludf.DUMMYFUNCTION("""COMPUTED_VALUE"""),"E- ابتدائية العميد للبنات (الثالثة)")</f>
        <v>E- ابتدائية العميد للبنات (الثالثة)</v>
      </c>
      <c r="G645" s="26" t="str">
        <f ca="1">IFERROR(__xludf.DUMMYFUNCTION("""COMPUTED_VALUE"""),"السطح")</f>
        <v>السطح</v>
      </c>
      <c r="H645"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5" s="26"/>
      <c r="J645" s="26" t="s">
        <v>15</v>
      </c>
      <c r="K645" s="26" t="s">
        <v>13</v>
      </c>
      <c r="L645" s="55"/>
      <c r="M645" s="26"/>
    </row>
    <row r="646" spans="1:13" ht="75" customHeight="1" thickTop="1" thickBot="1">
      <c r="A646" s="26">
        <v>644</v>
      </c>
      <c r="B646" s="55">
        <f ca="1">IFERROR(__xludf.DUMMYFUNCTION("""COMPUTED_VALUE"""),46173.3482275)</f>
        <v>46173.348227499999</v>
      </c>
      <c r="C646" s="56" t="str">
        <f ca="1">IFERROR(__xludf.DUMMYFUNCTION("""COMPUTED_VALUE"""),"المعملجي")</f>
        <v>المعملجي</v>
      </c>
      <c r="D646" s="56" t="str">
        <f ca="1">IFERROR(__xludf.DUMMYFUNCTION("""COMPUTED_VALUE"""),"وحدة التبريد")</f>
        <v>وحدة التبريد</v>
      </c>
      <c r="E646" s="26" t="str">
        <f ca="1">IFERROR(__xludf.DUMMYFUNCTION("""COMPUTED_VALUE"""),"قسم المشاريع الهندسية")</f>
        <v>قسم المشاريع الهندسية</v>
      </c>
      <c r="F646" s="26" t="str">
        <f ca="1">IFERROR(__xludf.DUMMYFUNCTION("""COMPUTED_VALUE"""),"F-  ابتدائية جود العميد للبنات (الرابعة)")</f>
        <v>F-  ابتدائية جود العميد للبنات (الرابعة)</v>
      </c>
      <c r="G646" s="26" t="str">
        <f ca="1">IFERROR(__xludf.DUMMYFUNCTION("""COMPUTED_VALUE"""),"السطح")</f>
        <v>السطح</v>
      </c>
      <c r="H646"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6" s="26"/>
      <c r="J646" s="26" t="s">
        <v>15</v>
      </c>
      <c r="K646" s="26" t="s">
        <v>13</v>
      </c>
      <c r="L646" s="55"/>
      <c r="M646" s="26"/>
    </row>
    <row r="647" spans="1:13" ht="75" customHeight="1" thickTop="1" thickBot="1">
      <c r="A647" s="34">
        <v>645</v>
      </c>
      <c r="B647" s="55">
        <f ca="1">IFERROR(__xludf.DUMMYFUNCTION("""COMPUTED_VALUE"""),46173.3484579282)</f>
        <v>46173.348457928201</v>
      </c>
      <c r="C647" s="56" t="str">
        <f ca="1">IFERROR(__xludf.DUMMYFUNCTION("""COMPUTED_VALUE"""),"المعملجي")</f>
        <v>المعملجي</v>
      </c>
      <c r="D647" s="56" t="str">
        <f ca="1">IFERROR(__xludf.DUMMYFUNCTION("""COMPUTED_VALUE"""),"وحدة التبريد")</f>
        <v>وحدة التبريد</v>
      </c>
      <c r="E647" s="26" t="str">
        <f ca="1">IFERROR(__xludf.DUMMYFUNCTION("""COMPUTED_VALUE"""),"قسم المشاريع الهندسية")</f>
        <v>قسم المشاريع الهندسية</v>
      </c>
      <c r="F647" s="26" t="str">
        <f ca="1">IFERROR(__xludf.DUMMYFUNCTION("""COMPUTED_VALUE"""),"H- ابتدائية القمر للبنات (الخامسة)")</f>
        <v>H- ابتدائية القمر للبنات (الخامسة)</v>
      </c>
      <c r="G647" s="26" t="str">
        <f ca="1">IFERROR(__xludf.DUMMYFUNCTION("""COMPUTED_VALUE"""),"السطح")</f>
        <v>السطح</v>
      </c>
      <c r="H647"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7" s="26"/>
      <c r="J647" s="26" t="s">
        <v>15</v>
      </c>
      <c r="K647" s="26" t="s">
        <v>13</v>
      </c>
      <c r="L647" s="55"/>
      <c r="M647" s="26"/>
    </row>
    <row r="648" spans="1:13" ht="75" customHeight="1" thickTop="1" thickBot="1">
      <c r="A648" s="26">
        <v>646</v>
      </c>
      <c r="B648" s="55">
        <f ca="1">IFERROR(__xludf.DUMMYFUNCTION("""COMPUTED_VALUE"""),46173.3486719444)</f>
        <v>46173.348671944397</v>
      </c>
      <c r="C648" s="56" t="str">
        <f ca="1">IFERROR(__xludf.DUMMYFUNCTION("""COMPUTED_VALUE"""),"المعملجي")</f>
        <v>المعملجي</v>
      </c>
      <c r="D648" s="56" t="str">
        <f ca="1">IFERROR(__xludf.DUMMYFUNCTION("""COMPUTED_VALUE"""),"وحدة التبريد")</f>
        <v>وحدة التبريد</v>
      </c>
      <c r="E648" s="26" t="str">
        <f ca="1">IFERROR(__xludf.DUMMYFUNCTION("""COMPUTED_VALUE"""),"قسم المشاريع الهندسية")</f>
        <v>قسم المشاريع الهندسية</v>
      </c>
      <c r="F648" s="26" t="str">
        <f ca="1">IFERROR(__xludf.DUMMYFUNCTION("""COMPUTED_VALUE"""),"I- ابتدائية الساقي للبنين (السادسة)")</f>
        <v>I- ابتدائية الساقي للبنين (السادسة)</v>
      </c>
      <c r="G648" s="26" t="str">
        <f ca="1">IFERROR(__xludf.DUMMYFUNCTION("""COMPUTED_VALUE"""),"السطح")</f>
        <v>السطح</v>
      </c>
      <c r="H648"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8" s="26"/>
      <c r="J648" s="26" t="s">
        <v>15</v>
      </c>
      <c r="K648" s="26" t="s">
        <v>13</v>
      </c>
      <c r="L648" s="55"/>
      <c r="M648" s="26"/>
    </row>
    <row r="649" spans="1:13" ht="75" customHeight="1" thickTop="1" thickBot="1">
      <c r="A649" s="34">
        <v>647</v>
      </c>
      <c r="B649" s="55">
        <f ca="1">IFERROR(__xludf.DUMMYFUNCTION("""COMPUTED_VALUE"""),46173.3489073263)</f>
        <v>46173.348907326297</v>
      </c>
      <c r="C649" s="56" t="str">
        <f ca="1">IFERROR(__xludf.DUMMYFUNCTION("""COMPUTED_VALUE"""),"المعملجي")</f>
        <v>المعملجي</v>
      </c>
      <c r="D649" s="56" t="str">
        <f ca="1">IFERROR(__xludf.DUMMYFUNCTION("""COMPUTED_VALUE"""),"وحدة التبريد")</f>
        <v>وحدة التبريد</v>
      </c>
      <c r="E649" s="26" t="str">
        <f ca="1">IFERROR(__xludf.DUMMYFUNCTION("""COMPUTED_VALUE"""),"قسم المشاريع الهندسية")</f>
        <v>قسم المشاريع الهندسية</v>
      </c>
      <c r="F649"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649" s="26" t="str">
        <f ca="1">IFERROR(__xludf.DUMMYFUNCTION("""COMPUTED_VALUE"""),"السطح")</f>
        <v>السطح</v>
      </c>
      <c r="H649"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649" s="26"/>
      <c r="J649" s="26" t="s">
        <v>15</v>
      </c>
      <c r="K649" s="26" t="s">
        <v>13</v>
      </c>
      <c r="L649" s="55"/>
      <c r="M649" s="26"/>
    </row>
    <row r="650" spans="1:13" ht="75" customHeight="1" thickTop="1" thickBot="1">
      <c r="A650" s="26">
        <v>648</v>
      </c>
      <c r="B650" s="55">
        <f ca="1">IFERROR(__xludf.DUMMYFUNCTION("""COMPUTED_VALUE"""),46173.3500402893)</f>
        <v>46173.350040289297</v>
      </c>
      <c r="C650" s="56" t="str">
        <f ca="1">IFERROR(__xludf.DUMMYFUNCTION("""COMPUTED_VALUE"""),"المعملجي")</f>
        <v>المعملجي</v>
      </c>
      <c r="D650" s="56" t="str">
        <f ca="1">IFERROR(__xludf.DUMMYFUNCTION("""COMPUTED_VALUE"""),"وحدة التبريد")</f>
        <v>وحدة التبريد</v>
      </c>
      <c r="E650" s="26" t="str">
        <f ca="1">IFERROR(__xludf.DUMMYFUNCTION("""COMPUTED_VALUE"""),"قسم المشاريع الهندسية")</f>
        <v>قسم المشاريع الهندسية</v>
      </c>
      <c r="F650" s="26" t="str">
        <f ca="1">IFERROR(__xludf.DUMMYFUNCTION("""COMPUTED_VALUE"""),"A- المركز الثقافي")</f>
        <v>A- المركز الثقافي</v>
      </c>
      <c r="G650" s="26" t="str">
        <f ca="1">IFERROR(__xludf.DUMMYFUNCTION("""COMPUTED_VALUE"""),"الطابق الارضي, الطابق الاول")</f>
        <v>الطابق الارضي, الطابق الاول</v>
      </c>
      <c r="H650" s="26" t="str">
        <f ca="1">IFERROR(__xludf.DUMMYFUNCTION("""COMPUTED_VALUE"""),"ادامة وتنظيف فلاتر منظومة ال vrf في البناية ")</f>
        <v xml:space="preserve">ادامة وتنظيف فلاتر منظومة ال vrf في البناية </v>
      </c>
      <c r="I650" s="26"/>
      <c r="J650" s="26" t="s">
        <v>15</v>
      </c>
      <c r="K650" s="26" t="s">
        <v>13</v>
      </c>
      <c r="L650" s="55"/>
      <c r="M650" s="26"/>
    </row>
    <row r="651" spans="1:13" ht="75" customHeight="1" thickTop="1" thickBot="1">
      <c r="A651" s="34">
        <v>649</v>
      </c>
      <c r="B651" s="55">
        <f ca="1">IFERROR(__xludf.DUMMYFUNCTION("""COMPUTED_VALUE"""),46173.352652662)</f>
        <v>46173.352652661997</v>
      </c>
      <c r="C651" s="56" t="str">
        <f ca="1">IFERROR(__xludf.DUMMYFUNCTION("""COMPUTED_VALUE"""),"المعملجي")</f>
        <v>المعملجي</v>
      </c>
      <c r="D651" s="56" t="str">
        <f ca="1">IFERROR(__xludf.DUMMYFUNCTION("""COMPUTED_VALUE"""),"وحدة التبريد")</f>
        <v>وحدة التبريد</v>
      </c>
      <c r="E651" s="26" t="str">
        <f ca="1">IFERROR(__xludf.DUMMYFUNCTION("""COMPUTED_VALUE"""),"قسم المشاريع الهندسية")</f>
        <v>قسم المشاريع الهندسية</v>
      </c>
      <c r="F651" s="26" t="str">
        <f ca="1">IFERROR(__xludf.DUMMYFUNCTION("""COMPUTED_VALUE"""),"A- المركز الثقافي")</f>
        <v>A- المركز الثقافي</v>
      </c>
      <c r="G651" s="26" t="str">
        <f ca="1">IFERROR(__xludf.DUMMYFUNCTION("""COMPUTED_VALUE"""),"الطابق الثاني, الطابق الثالث, الطابق الرابع")</f>
        <v>الطابق الثاني, الطابق الثالث, الطابق الرابع</v>
      </c>
      <c r="H651" s="26" t="str">
        <f ca="1">IFERROR(__xludf.DUMMYFUNCTION("""COMPUTED_VALUE"""),"ادامة وتنظيف فلاتر منظومة ال vrf في البناية ")</f>
        <v xml:space="preserve">ادامة وتنظيف فلاتر منظومة ال vrf في البناية </v>
      </c>
      <c r="I651" s="26"/>
      <c r="J651" s="26" t="s">
        <v>15</v>
      </c>
      <c r="K651" s="26" t="s">
        <v>13</v>
      </c>
      <c r="L651" s="55"/>
      <c r="M651" s="26"/>
    </row>
    <row r="652" spans="1:13" ht="75" customHeight="1" thickTop="1" thickBot="1">
      <c r="A652" s="26">
        <v>650</v>
      </c>
      <c r="B652" s="55">
        <f ca="1">IFERROR(__xludf.DUMMYFUNCTION("""COMPUTED_VALUE"""),46173.3528899074)</f>
        <v>46173.352889907401</v>
      </c>
      <c r="C652" s="56" t="str">
        <f ca="1">IFERROR(__xludf.DUMMYFUNCTION("""COMPUTED_VALUE"""),"المعملجي")</f>
        <v>المعملجي</v>
      </c>
      <c r="D652" s="56" t="str">
        <f ca="1">IFERROR(__xludf.DUMMYFUNCTION("""COMPUTED_VALUE"""),"وحدة التبريد")</f>
        <v>وحدة التبريد</v>
      </c>
      <c r="E652" s="26" t="str">
        <f ca="1">IFERROR(__xludf.DUMMYFUNCTION("""COMPUTED_VALUE"""),"قسم المشاريع الهندسية")</f>
        <v>قسم المشاريع الهندسية</v>
      </c>
      <c r="F652" s="26" t="str">
        <f ca="1">IFERROR(__xludf.DUMMYFUNCTION("""COMPUTED_VALUE"""),"B- روضة القمر")</f>
        <v>B- روضة القمر</v>
      </c>
      <c r="G652" s="26" t="str">
        <f ca="1">IFERROR(__xludf.DUMMYFUNCTION("""COMPUTED_VALUE"""),"الطابق الارضي, الطابق الاول, الطابق الثاني")</f>
        <v>الطابق الارضي, الطابق الاول, الطابق الثاني</v>
      </c>
      <c r="H652" s="26" t="str">
        <f ca="1">IFERROR(__xludf.DUMMYFUNCTION("""COMPUTED_VALUE"""),"ادامة وتنظيف فلاتر منظومة ال vrf في البناية ")</f>
        <v xml:space="preserve">ادامة وتنظيف فلاتر منظومة ال vrf في البناية </v>
      </c>
      <c r="I652" s="26"/>
      <c r="J652" s="26" t="s">
        <v>15</v>
      </c>
      <c r="K652" s="26" t="s">
        <v>13</v>
      </c>
      <c r="L652" s="55"/>
      <c r="M652" s="26"/>
    </row>
    <row r="653" spans="1:13" ht="75" customHeight="1" thickTop="1" thickBot="1">
      <c r="A653" s="34">
        <v>651</v>
      </c>
      <c r="B653" s="55">
        <f ca="1">IFERROR(__xludf.DUMMYFUNCTION("""COMPUTED_VALUE"""),46173.3531370717)</f>
        <v>46173.353137071703</v>
      </c>
      <c r="C653" s="56" t="str">
        <f ca="1">IFERROR(__xludf.DUMMYFUNCTION("""COMPUTED_VALUE"""),"المعملجي")</f>
        <v>المعملجي</v>
      </c>
      <c r="D653" s="56" t="str">
        <f ca="1">IFERROR(__xludf.DUMMYFUNCTION("""COMPUTED_VALUE"""),"وحدة التبريد")</f>
        <v>وحدة التبريد</v>
      </c>
      <c r="E653" s="26" t="str">
        <f ca="1">IFERROR(__xludf.DUMMYFUNCTION("""COMPUTED_VALUE"""),"قسم المشاريع الهندسية")</f>
        <v>قسم المشاريع الهندسية</v>
      </c>
      <c r="F653" s="26" t="str">
        <f ca="1">IFERROR(__xludf.DUMMYFUNCTION("""COMPUTED_VALUE"""),"G- روضة الجود")</f>
        <v>G- روضة الجود</v>
      </c>
      <c r="G653" s="26" t="str">
        <f ca="1">IFERROR(__xludf.DUMMYFUNCTION("""COMPUTED_VALUE"""),"الطابق الارضي, الطابق الاول, الطابق الثاني")</f>
        <v>الطابق الارضي, الطابق الاول, الطابق الثاني</v>
      </c>
      <c r="H653" s="26" t="str">
        <f ca="1">IFERROR(__xludf.DUMMYFUNCTION("""COMPUTED_VALUE"""),"ادامة وتنظيف فلاتر منظومة ال vrf في البناية ")</f>
        <v xml:space="preserve">ادامة وتنظيف فلاتر منظومة ال vrf في البناية </v>
      </c>
      <c r="I653" s="26"/>
      <c r="J653" s="26" t="s">
        <v>15</v>
      </c>
      <c r="K653" s="26" t="s">
        <v>13</v>
      </c>
      <c r="L653" s="55"/>
      <c r="M653" s="26"/>
    </row>
    <row r="654" spans="1:13" ht="75" customHeight="1" thickTop="1" thickBot="1">
      <c r="A654" s="26">
        <v>652</v>
      </c>
      <c r="B654" s="55">
        <f ca="1">IFERROR(__xludf.DUMMYFUNCTION("""COMPUTED_VALUE"""),46173.3533402082)</f>
        <v>46173.353340208298</v>
      </c>
      <c r="C654" s="56" t="str">
        <f ca="1">IFERROR(__xludf.DUMMYFUNCTION("""COMPUTED_VALUE"""),"المعملجي")</f>
        <v>المعملجي</v>
      </c>
      <c r="D654" s="56" t="str">
        <f ca="1">IFERROR(__xludf.DUMMYFUNCTION("""COMPUTED_VALUE"""),"وحدة التبريد")</f>
        <v>وحدة التبريد</v>
      </c>
      <c r="E654" s="26" t="str">
        <f ca="1">IFERROR(__xludf.DUMMYFUNCTION("""COMPUTED_VALUE"""),"قسم المشاريع الهندسية")</f>
        <v>قسم المشاريع الهندسية</v>
      </c>
      <c r="F654" s="26" t="str">
        <f ca="1">IFERROR(__xludf.DUMMYFUNCTION("""COMPUTED_VALUE"""),"C- ثانوية العميد بناية الاعدادية  (الاولى)")</f>
        <v>C- ثانوية العميد بناية الاعدادية  (الاولى)</v>
      </c>
      <c r="G654" s="26" t="str">
        <f ca="1">IFERROR(__xludf.DUMMYFUNCTION("""COMPUTED_VALUE"""),"الطابق الارضي, الطابق الاول, الطابق الثاني")</f>
        <v>الطابق الارضي, الطابق الاول, الطابق الثاني</v>
      </c>
      <c r="H654" s="26" t="str">
        <f ca="1">IFERROR(__xludf.DUMMYFUNCTION("""COMPUTED_VALUE"""),"ادامة وتنظيف فلاتر منظومة ال vrf في البناية ")</f>
        <v xml:space="preserve">ادامة وتنظيف فلاتر منظومة ال vrf في البناية </v>
      </c>
      <c r="I654" s="26"/>
      <c r="J654" s="26" t="s">
        <v>15</v>
      </c>
      <c r="K654" s="26" t="s">
        <v>13</v>
      </c>
      <c r="L654" s="55"/>
      <c r="M654" s="26"/>
    </row>
    <row r="655" spans="1:13" ht="75" customHeight="1" thickTop="1" thickBot="1">
      <c r="A655" s="34">
        <v>653</v>
      </c>
      <c r="B655" s="55">
        <f ca="1">IFERROR(__xludf.DUMMYFUNCTION("""COMPUTED_VALUE"""),46173.3535564467)</f>
        <v>46173.353556446702</v>
      </c>
      <c r="C655" s="56" t="str">
        <f ca="1">IFERROR(__xludf.DUMMYFUNCTION("""COMPUTED_VALUE"""),"المعملجي")</f>
        <v>المعملجي</v>
      </c>
      <c r="D655" s="56" t="str">
        <f ca="1">IFERROR(__xludf.DUMMYFUNCTION("""COMPUTED_VALUE"""),"وحدة التبريد")</f>
        <v>وحدة التبريد</v>
      </c>
      <c r="E655" s="26" t="str">
        <f ca="1">IFERROR(__xludf.DUMMYFUNCTION("""COMPUTED_VALUE"""),"قسم المشاريع الهندسية")</f>
        <v>قسم المشاريع الهندسية</v>
      </c>
      <c r="F655" s="26" t="str">
        <f ca="1">IFERROR(__xludf.DUMMYFUNCTION("""COMPUTED_VALUE"""),"D- ثانوية العميد بناية المتوسطة  (الثانية)")</f>
        <v>D- ثانوية العميد بناية المتوسطة  (الثانية)</v>
      </c>
      <c r="G655" s="26" t="str">
        <f ca="1">IFERROR(__xludf.DUMMYFUNCTION("""COMPUTED_VALUE"""),"الطابق الارضي, الطابق الاول, الطابق الثاني")</f>
        <v>الطابق الارضي, الطابق الاول, الطابق الثاني</v>
      </c>
      <c r="H655" s="26" t="str">
        <f ca="1">IFERROR(__xludf.DUMMYFUNCTION("""COMPUTED_VALUE"""),"ادامة وتنظيف فلاتر منظومة ال vrf في البناية ")</f>
        <v xml:space="preserve">ادامة وتنظيف فلاتر منظومة ال vrf في البناية </v>
      </c>
      <c r="I655" s="26"/>
      <c r="J655" s="26" t="s">
        <v>15</v>
      </c>
      <c r="K655" s="26" t="s">
        <v>13</v>
      </c>
      <c r="L655" s="55"/>
      <c r="M655" s="26"/>
    </row>
    <row r="656" spans="1:13" ht="75" customHeight="1" thickTop="1" thickBot="1">
      <c r="A656" s="26">
        <v>654</v>
      </c>
      <c r="B656" s="55">
        <f ca="1">IFERROR(__xludf.DUMMYFUNCTION("""COMPUTED_VALUE"""),46173.3537492013)</f>
        <v>46173.353749201298</v>
      </c>
      <c r="C656" s="56" t="str">
        <f ca="1">IFERROR(__xludf.DUMMYFUNCTION("""COMPUTED_VALUE"""),"المعملجي")</f>
        <v>المعملجي</v>
      </c>
      <c r="D656" s="56" t="str">
        <f ca="1">IFERROR(__xludf.DUMMYFUNCTION("""COMPUTED_VALUE"""),"وحدة التبريد")</f>
        <v>وحدة التبريد</v>
      </c>
      <c r="E656" s="26" t="str">
        <f ca="1">IFERROR(__xludf.DUMMYFUNCTION("""COMPUTED_VALUE"""),"قسم المشاريع الهندسية")</f>
        <v>قسم المشاريع الهندسية</v>
      </c>
      <c r="F656" s="26" t="str">
        <f ca="1">IFERROR(__xludf.DUMMYFUNCTION("""COMPUTED_VALUE"""),"E- ابتدائية العميد للبنات (الثالثة)")</f>
        <v>E- ابتدائية العميد للبنات (الثالثة)</v>
      </c>
      <c r="G656" s="26" t="str">
        <f ca="1">IFERROR(__xludf.DUMMYFUNCTION("""COMPUTED_VALUE"""),"الطابق الارضي, الطابق الاول, الطابق الثاني")</f>
        <v>الطابق الارضي, الطابق الاول, الطابق الثاني</v>
      </c>
      <c r="H656" s="26" t="str">
        <f ca="1">IFERROR(__xludf.DUMMYFUNCTION("""COMPUTED_VALUE"""),"ادامة وتنظيف فلاتر منظومة ال vrf في البناية ")</f>
        <v xml:space="preserve">ادامة وتنظيف فلاتر منظومة ال vrf في البناية </v>
      </c>
      <c r="I656" s="26"/>
      <c r="J656" s="26" t="s">
        <v>15</v>
      </c>
      <c r="K656" s="26" t="s">
        <v>13</v>
      </c>
      <c r="L656" s="55"/>
      <c r="M656" s="26"/>
    </row>
    <row r="657" spans="1:13" ht="75" customHeight="1" thickTop="1" thickBot="1">
      <c r="A657" s="34">
        <v>655</v>
      </c>
      <c r="B657" s="55">
        <f ca="1">IFERROR(__xludf.DUMMYFUNCTION("""COMPUTED_VALUE"""),46173.3539912615)</f>
        <v>46173.353991261502</v>
      </c>
      <c r="C657" s="56" t="str">
        <f ca="1">IFERROR(__xludf.DUMMYFUNCTION("""COMPUTED_VALUE"""),"المعملجي")</f>
        <v>المعملجي</v>
      </c>
      <c r="D657" s="56" t="str">
        <f ca="1">IFERROR(__xludf.DUMMYFUNCTION("""COMPUTED_VALUE"""),"وحدة التبريد")</f>
        <v>وحدة التبريد</v>
      </c>
      <c r="E657" s="26" t="str">
        <f ca="1">IFERROR(__xludf.DUMMYFUNCTION("""COMPUTED_VALUE"""),"قسم المشاريع الهندسية")</f>
        <v>قسم المشاريع الهندسية</v>
      </c>
      <c r="F657" s="26" t="str">
        <f ca="1">IFERROR(__xludf.DUMMYFUNCTION("""COMPUTED_VALUE"""),"F-  ابتدائية جود العميد للبنات (الرابعة)")</f>
        <v>F-  ابتدائية جود العميد للبنات (الرابعة)</v>
      </c>
      <c r="G657" s="26" t="str">
        <f ca="1">IFERROR(__xludf.DUMMYFUNCTION("""COMPUTED_VALUE"""),"الطابق الارضي, الطابق الاول, الطابق الثاني")</f>
        <v>الطابق الارضي, الطابق الاول, الطابق الثاني</v>
      </c>
      <c r="H657" s="26" t="str">
        <f ca="1">IFERROR(__xludf.DUMMYFUNCTION("""COMPUTED_VALUE"""),"ادامة وتنظيف فلاتر منظومة ال vrf في البناية ")</f>
        <v xml:space="preserve">ادامة وتنظيف فلاتر منظومة ال vrf في البناية </v>
      </c>
      <c r="I657" s="26"/>
      <c r="J657" s="26" t="s">
        <v>15</v>
      </c>
      <c r="K657" s="26" t="s">
        <v>13</v>
      </c>
      <c r="L657" s="55"/>
      <c r="M657" s="26"/>
    </row>
    <row r="658" spans="1:13" ht="75" customHeight="1" thickTop="1" thickBot="1">
      <c r="A658" s="26">
        <v>656</v>
      </c>
      <c r="B658" s="55">
        <f ca="1">IFERROR(__xludf.DUMMYFUNCTION("""COMPUTED_VALUE"""),46173.3542349768)</f>
        <v>46173.354234976803</v>
      </c>
      <c r="C658" s="56" t="str">
        <f ca="1">IFERROR(__xludf.DUMMYFUNCTION("""COMPUTED_VALUE"""),"المعملجي")</f>
        <v>المعملجي</v>
      </c>
      <c r="D658" s="56" t="str">
        <f ca="1">IFERROR(__xludf.DUMMYFUNCTION("""COMPUTED_VALUE"""),"وحدة التبريد")</f>
        <v>وحدة التبريد</v>
      </c>
      <c r="E658" s="26" t="str">
        <f ca="1">IFERROR(__xludf.DUMMYFUNCTION("""COMPUTED_VALUE"""),"قسم المشاريع الهندسية")</f>
        <v>قسم المشاريع الهندسية</v>
      </c>
      <c r="F658" s="26" t="str">
        <f ca="1">IFERROR(__xludf.DUMMYFUNCTION("""COMPUTED_VALUE"""),"H- ابتدائية القمر للبنات (الخامسة)")</f>
        <v>H- ابتدائية القمر للبنات (الخامسة)</v>
      </c>
      <c r="G658" s="26" t="str">
        <f ca="1">IFERROR(__xludf.DUMMYFUNCTION("""COMPUTED_VALUE"""),"الطابق الارضي, الطابق الاول, الطابق الثاني")</f>
        <v>الطابق الارضي, الطابق الاول, الطابق الثاني</v>
      </c>
      <c r="H658" s="26" t="str">
        <f ca="1">IFERROR(__xludf.DUMMYFUNCTION("""COMPUTED_VALUE"""),"ادامة وتنظيف فلاتر منظومة ال vrf في البناية ")</f>
        <v xml:space="preserve">ادامة وتنظيف فلاتر منظومة ال vrf في البناية </v>
      </c>
      <c r="I658" s="26"/>
      <c r="J658" s="26" t="s">
        <v>15</v>
      </c>
      <c r="K658" s="26" t="s">
        <v>13</v>
      </c>
      <c r="L658" s="55"/>
      <c r="M658" s="26"/>
    </row>
    <row r="659" spans="1:13" ht="75" customHeight="1" thickTop="1" thickBot="1">
      <c r="A659" s="34">
        <v>657</v>
      </c>
      <c r="B659" s="55">
        <f ca="1">IFERROR(__xludf.DUMMYFUNCTION("""COMPUTED_VALUE"""),46173.3544704398)</f>
        <v>46173.354470439801</v>
      </c>
      <c r="C659" s="56" t="str">
        <f ca="1">IFERROR(__xludf.DUMMYFUNCTION("""COMPUTED_VALUE"""),"المعملجي")</f>
        <v>المعملجي</v>
      </c>
      <c r="D659" s="56" t="str">
        <f ca="1">IFERROR(__xludf.DUMMYFUNCTION("""COMPUTED_VALUE"""),"وحدة التبريد")</f>
        <v>وحدة التبريد</v>
      </c>
      <c r="E659" s="26" t="str">
        <f ca="1">IFERROR(__xludf.DUMMYFUNCTION("""COMPUTED_VALUE"""),"قسم المشاريع الهندسية")</f>
        <v>قسم المشاريع الهندسية</v>
      </c>
      <c r="F659" s="26" t="str">
        <f ca="1">IFERROR(__xludf.DUMMYFUNCTION("""COMPUTED_VALUE"""),"I- ابتدائية الساقي للبنين (السادسة)")</f>
        <v>I- ابتدائية الساقي للبنين (السادسة)</v>
      </c>
      <c r="G659" s="26" t="str">
        <f ca="1">IFERROR(__xludf.DUMMYFUNCTION("""COMPUTED_VALUE"""),"الطابق الارضي, الطابق الاول, الطابق الثاني")</f>
        <v>الطابق الارضي, الطابق الاول, الطابق الثاني</v>
      </c>
      <c r="H659" s="26" t="str">
        <f ca="1">IFERROR(__xludf.DUMMYFUNCTION("""COMPUTED_VALUE"""),"ادامة وتنظيف فلاتر منظومة ال vrf في البناية ")</f>
        <v xml:space="preserve">ادامة وتنظيف فلاتر منظومة ال vrf في البناية </v>
      </c>
      <c r="I659" s="26"/>
      <c r="J659" s="26" t="s">
        <v>15</v>
      </c>
      <c r="K659" s="26" t="s">
        <v>13</v>
      </c>
      <c r="L659" s="55"/>
      <c r="M659" s="26"/>
    </row>
    <row r="660" spans="1:13" ht="75" customHeight="1" thickTop="1" thickBot="1">
      <c r="A660" s="26">
        <v>658</v>
      </c>
      <c r="B660" s="55">
        <f ca="1">IFERROR(__xludf.DUMMYFUNCTION("""COMPUTED_VALUE"""),46173.3546769907)</f>
        <v>46173.354676990697</v>
      </c>
      <c r="C660" s="56" t="str">
        <f ca="1">IFERROR(__xludf.DUMMYFUNCTION("""COMPUTED_VALUE"""),"المعملجي")</f>
        <v>المعملجي</v>
      </c>
      <c r="D660" s="56" t="str">
        <f ca="1">IFERROR(__xludf.DUMMYFUNCTION("""COMPUTED_VALUE"""),"وحدة التبريد")</f>
        <v>وحدة التبريد</v>
      </c>
      <c r="E660" s="26" t="str">
        <f ca="1">IFERROR(__xludf.DUMMYFUNCTION("""COMPUTED_VALUE"""),"قسم المشاريع الهندسية")</f>
        <v>قسم المشاريع الهندسية</v>
      </c>
      <c r="F660"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660" s="26" t="str">
        <f ca="1">IFERROR(__xludf.DUMMYFUNCTION("""COMPUTED_VALUE"""),"الطابق الارضي, الطابق الاول, الطابق الثاني")</f>
        <v>الطابق الارضي, الطابق الاول, الطابق الثاني</v>
      </c>
      <c r="H660" s="26" t="str">
        <f ca="1">IFERROR(__xludf.DUMMYFUNCTION("""COMPUTED_VALUE"""),"ادامة وتنظيف فلاتر منظومة ال vrf في البناية ")</f>
        <v xml:space="preserve">ادامة وتنظيف فلاتر منظومة ال vrf في البناية </v>
      </c>
      <c r="I660" s="26"/>
      <c r="J660" s="26" t="s">
        <v>15</v>
      </c>
      <c r="K660" s="26" t="s">
        <v>13</v>
      </c>
      <c r="L660" s="55"/>
      <c r="M660" s="26"/>
    </row>
    <row r="661" spans="1:13" ht="75" customHeight="1" thickTop="1" thickBot="1">
      <c r="A661" s="34">
        <v>659</v>
      </c>
      <c r="B661" s="55">
        <f ca="1">IFERROR(__xludf.DUMMYFUNCTION("""COMPUTED_VALUE"""),46173.355315625)</f>
        <v>46173.355315624998</v>
      </c>
      <c r="C661" s="56" t="str">
        <f ca="1">IFERROR(__xludf.DUMMYFUNCTION("""COMPUTED_VALUE"""),"المعملجي")</f>
        <v>المعملجي</v>
      </c>
      <c r="D661" s="56" t="str">
        <f ca="1">IFERROR(__xludf.DUMMYFUNCTION("""COMPUTED_VALUE"""),"وحدة التبريد")</f>
        <v>وحدة التبريد</v>
      </c>
      <c r="E661" s="26" t="str">
        <f ca="1">IFERROR(__xludf.DUMMYFUNCTION("""COMPUTED_VALUE"""),"قسم المشاريع الهندسية")</f>
        <v>قسم المشاريع الهندسية</v>
      </c>
      <c r="F661" s="26" t="str">
        <f ca="1">IFERROR(__xludf.DUMMYFUNCTION("""COMPUTED_VALUE"""),"A- المركز الثقافي")</f>
        <v>A- المركز الثقافي</v>
      </c>
      <c r="G661" s="26" t="str">
        <f ca="1">IFERROR(__xludf.DUMMYFUNCTION("""COMPUTED_VALUE"""),"السطح")</f>
        <v>السطح</v>
      </c>
      <c r="H661" s="26" t="str">
        <f ca="1">IFERROR(__xludf.DUMMYFUNCTION("""COMPUTED_VALUE"""),"ادامة وتنظيف منظومة ال dx في البناية ")</f>
        <v xml:space="preserve">ادامة وتنظيف منظومة ال dx في البناية </v>
      </c>
      <c r="I661" s="26"/>
      <c r="J661" s="26" t="s">
        <v>15</v>
      </c>
      <c r="K661" s="26" t="s">
        <v>13</v>
      </c>
      <c r="L661" s="55"/>
      <c r="M661" s="26"/>
    </row>
    <row r="662" spans="1:13" ht="75" customHeight="1" thickTop="1" thickBot="1">
      <c r="A662" s="26">
        <v>660</v>
      </c>
      <c r="B662" s="55">
        <f ca="1">IFERROR(__xludf.DUMMYFUNCTION("""COMPUTED_VALUE"""),46173.3555374421)</f>
        <v>46173.355537442098</v>
      </c>
      <c r="C662" s="56" t="str">
        <f ca="1">IFERROR(__xludf.DUMMYFUNCTION("""COMPUTED_VALUE"""),"المعملجي")</f>
        <v>المعملجي</v>
      </c>
      <c r="D662" s="56" t="str">
        <f ca="1">IFERROR(__xludf.DUMMYFUNCTION("""COMPUTED_VALUE"""),"وحدة التبريد")</f>
        <v>وحدة التبريد</v>
      </c>
      <c r="E662" s="26" t="str">
        <f ca="1">IFERROR(__xludf.DUMMYFUNCTION("""COMPUTED_VALUE"""),"قسم المشاريع الهندسية")</f>
        <v>قسم المشاريع الهندسية</v>
      </c>
      <c r="F662" s="26" t="str">
        <f ca="1">IFERROR(__xludf.DUMMYFUNCTION("""COMPUTED_VALUE"""),"B- روضة القمر")</f>
        <v>B- روضة القمر</v>
      </c>
      <c r="G662" s="26" t="str">
        <f ca="1">IFERROR(__xludf.DUMMYFUNCTION("""COMPUTED_VALUE"""),"السطح")</f>
        <v>السطح</v>
      </c>
      <c r="H662" s="26" t="str">
        <f ca="1">IFERROR(__xludf.DUMMYFUNCTION("""COMPUTED_VALUE"""),"ادامة وتنظيف منظومة ال dx في البناية ")</f>
        <v xml:space="preserve">ادامة وتنظيف منظومة ال dx في البناية </v>
      </c>
      <c r="I662" s="26"/>
      <c r="J662" s="26" t="s">
        <v>15</v>
      </c>
      <c r="K662" s="26" t="s">
        <v>13</v>
      </c>
      <c r="L662" s="55"/>
      <c r="M662" s="26"/>
    </row>
    <row r="663" spans="1:13" ht="75" customHeight="1" thickTop="1" thickBot="1">
      <c r="A663" s="34">
        <v>661</v>
      </c>
      <c r="B663" s="55">
        <f ca="1">IFERROR(__xludf.DUMMYFUNCTION("""COMPUTED_VALUE"""),46173.3557275463)</f>
        <v>46173.355727546303</v>
      </c>
      <c r="C663" s="56" t="str">
        <f ca="1">IFERROR(__xludf.DUMMYFUNCTION("""COMPUTED_VALUE"""),"المعملجي")</f>
        <v>المعملجي</v>
      </c>
      <c r="D663" s="56" t="str">
        <f ca="1">IFERROR(__xludf.DUMMYFUNCTION("""COMPUTED_VALUE"""),"وحدة التبريد")</f>
        <v>وحدة التبريد</v>
      </c>
      <c r="E663" s="26" t="str">
        <f ca="1">IFERROR(__xludf.DUMMYFUNCTION("""COMPUTED_VALUE"""),"قسم المشاريع الهندسية")</f>
        <v>قسم المشاريع الهندسية</v>
      </c>
      <c r="F663" s="26" t="str">
        <f ca="1">IFERROR(__xludf.DUMMYFUNCTION("""COMPUTED_VALUE"""),"G- روضة الجود")</f>
        <v>G- روضة الجود</v>
      </c>
      <c r="G663" s="26" t="str">
        <f ca="1">IFERROR(__xludf.DUMMYFUNCTION("""COMPUTED_VALUE"""),"السطح")</f>
        <v>السطح</v>
      </c>
      <c r="H663" s="26" t="str">
        <f ca="1">IFERROR(__xludf.DUMMYFUNCTION("""COMPUTED_VALUE"""),"ادامة وتنظيف منظومة ال dx في البناية ")</f>
        <v xml:space="preserve">ادامة وتنظيف منظومة ال dx في البناية </v>
      </c>
      <c r="I663" s="26"/>
      <c r="J663" s="26" t="s">
        <v>15</v>
      </c>
      <c r="K663" s="26" t="s">
        <v>13</v>
      </c>
      <c r="L663" s="55"/>
      <c r="M663" s="26"/>
    </row>
    <row r="664" spans="1:13" ht="75" customHeight="1" thickTop="1" thickBot="1">
      <c r="A664" s="26">
        <v>662</v>
      </c>
      <c r="B664" s="55">
        <f ca="1">IFERROR(__xludf.DUMMYFUNCTION("""COMPUTED_VALUE"""),46173.355909074)</f>
        <v>46173.355909074002</v>
      </c>
      <c r="C664" s="56" t="str">
        <f ca="1">IFERROR(__xludf.DUMMYFUNCTION("""COMPUTED_VALUE"""),"المعملجي")</f>
        <v>المعملجي</v>
      </c>
      <c r="D664" s="56" t="str">
        <f ca="1">IFERROR(__xludf.DUMMYFUNCTION("""COMPUTED_VALUE"""),"وحدة التبريد")</f>
        <v>وحدة التبريد</v>
      </c>
      <c r="E664" s="26" t="str">
        <f ca="1">IFERROR(__xludf.DUMMYFUNCTION("""COMPUTED_VALUE"""),"قسم المشاريع الهندسية")</f>
        <v>قسم المشاريع الهندسية</v>
      </c>
      <c r="F664" s="26" t="str">
        <f ca="1">IFERROR(__xludf.DUMMYFUNCTION("""COMPUTED_VALUE"""),"C- ثانوية العميد بناية الاعدادية  (الاولى)")</f>
        <v>C- ثانوية العميد بناية الاعدادية  (الاولى)</v>
      </c>
      <c r="G664" s="26" t="str">
        <f ca="1">IFERROR(__xludf.DUMMYFUNCTION("""COMPUTED_VALUE"""),"السطح")</f>
        <v>السطح</v>
      </c>
      <c r="H664" s="26" t="str">
        <f ca="1">IFERROR(__xludf.DUMMYFUNCTION("""COMPUTED_VALUE"""),"ادامة وتنظيف منظومة ال dx في البناية ")</f>
        <v xml:space="preserve">ادامة وتنظيف منظومة ال dx في البناية </v>
      </c>
      <c r="I664" s="26"/>
      <c r="J664" s="26" t="s">
        <v>15</v>
      </c>
      <c r="K664" s="26" t="s">
        <v>13</v>
      </c>
      <c r="L664" s="55"/>
      <c r="M664" s="26"/>
    </row>
    <row r="665" spans="1:13" ht="75" customHeight="1" thickTop="1" thickBot="1">
      <c r="A665" s="34">
        <v>663</v>
      </c>
      <c r="B665" s="55">
        <f ca="1">IFERROR(__xludf.DUMMYFUNCTION("""COMPUTED_VALUE"""),46173.3561337615)</f>
        <v>46173.356133761503</v>
      </c>
      <c r="C665" s="56" t="str">
        <f ca="1">IFERROR(__xludf.DUMMYFUNCTION("""COMPUTED_VALUE"""),"المعملجي")</f>
        <v>المعملجي</v>
      </c>
      <c r="D665" s="56" t="str">
        <f ca="1">IFERROR(__xludf.DUMMYFUNCTION("""COMPUTED_VALUE"""),"وحدة التبريد")</f>
        <v>وحدة التبريد</v>
      </c>
      <c r="E665" s="26" t="str">
        <f ca="1">IFERROR(__xludf.DUMMYFUNCTION("""COMPUTED_VALUE"""),"قسم المشاريع الهندسية")</f>
        <v>قسم المشاريع الهندسية</v>
      </c>
      <c r="F665" s="26" t="str">
        <f ca="1">IFERROR(__xludf.DUMMYFUNCTION("""COMPUTED_VALUE"""),"E- ابتدائية العميد للبنات (الثالثة)")</f>
        <v>E- ابتدائية العميد للبنات (الثالثة)</v>
      </c>
      <c r="G665" s="26" t="str">
        <f ca="1">IFERROR(__xludf.DUMMYFUNCTION("""COMPUTED_VALUE"""),"السطح")</f>
        <v>السطح</v>
      </c>
      <c r="H665" s="26" t="str">
        <f ca="1">IFERROR(__xludf.DUMMYFUNCTION("""COMPUTED_VALUE"""),"ادامة وتنظيف منظومة ال dx في البناية ")</f>
        <v xml:space="preserve">ادامة وتنظيف منظومة ال dx في البناية </v>
      </c>
      <c r="I665" s="26"/>
      <c r="J665" s="26" t="s">
        <v>15</v>
      </c>
      <c r="K665" s="26" t="s">
        <v>13</v>
      </c>
      <c r="L665" s="55"/>
      <c r="M665" s="26"/>
    </row>
    <row r="666" spans="1:13" ht="75" customHeight="1" thickTop="1" thickBot="1">
      <c r="A666" s="26">
        <v>664</v>
      </c>
      <c r="B666" s="55">
        <f ca="1">IFERROR(__xludf.DUMMYFUNCTION("""COMPUTED_VALUE"""),46173.3563636458)</f>
        <v>46173.356363645798</v>
      </c>
      <c r="C666" s="56" t="str">
        <f ca="1">IFERROR(__xludf.DUMMYFUNCTION("""COMPUTED_VALUE"""),"المعملجي")</f>
        <v>المعملجي</v>
      </c>
      <c r="D666" s="56" t="str">
        <f ca="1">IFERROR(__xludf.DUMMYFUNCTION("""COMPUTED_VALUE"""),"وحدة التبريد")</f>
        <v>وحدة التبريد</v>
      </c>
      <c r="E666" s="26" t="str">
        <f ca="1">IFERROR(__xludf.DUMMYFUNCTION("""COMPUTED_VALUE"""),"قسم المشاريع الهندسية")</f>
        <v>قسم المشاريع الهندسية</v>
      </c>
      <c r="F666" s="26" t="str">
        <f ca="1">IFERROR(__xludf.DUMMYFUNCTION("""COMPUTED_VALUE"""),"F-  ابتدائية جود العميد للبنات (الرابعة)")</f>
        <v>F-  ابتدائية جود العميد للبنات (الرابعة)</v>
      </c>
      <c r="G666" s="26" t="str">
        <f ca="1">IFERROR(__xludf.DUMMYFUNCTION("""COMPUTED_VALUE"""),"السطح")</f>
        <v>السطح</v>
      </c>
      <c r="H666" s="26" t="str">
        <f ca="1">IFERROR(__xludf.DUMMYFUNCTION("""COMPUTED_VALUE"""),"ادامة وتنظيف منظومة ال dx في البناية ")</f>
        <v xml:space="preserve">ادامة وتنظيف منظومة ال dx في البناية </v>
      </c>
      <c r="I666" s="26"/>
      <c r="J666" s="26" t="s">
        <v>15</v>
      </c>
      <c r="K666" s="26" t="s">
        <v>13</v>
      </c>
      <c r="L666" s="55"/>
      <c r="M666" s="26"/>
    </row>
    <row r="667" spans="1:13" ht="75" customHeight="1" thickTop="1" thickBot="1">
      <c r="A667" s="34">
        <v>665</v>
      </c>
      <c r="B667" s="55">
        <f ca="1">IFERROR(__xludf.DUMMYFUNCTION("""COMPUTED_VALUE"""),46173.3566080439)</f>
        <v>46173.356608043898</v>
      </c>
      <c r="C667" s="56" t="str">
        <f ca="1">IFERROR(__xludf.DUMMYFUNCTION("""COMPUTED_VALUE"""),"المعملجي")</f>
        <v>المعملجي</v>
      </c>
      <c r="D667" s="56" t="str">
        <f ca="1">IFERROR(__xludf.DUMMYFUNCTION("""COMPUTED_VALUE"""),"وحدة التبريد")</f>
        <v>وحدة التبريد</v>
      </c>
      <c r="E667" s="26" t="str">
        <f ca="1">IFERROR(__xludf.DUMMYFUNCTION("""COMPUTED_VALUE"""),"قسم المشاريع الهندسية")</f>
        <v>قسم المشاريع الهندسية</v>
      </c>
      <c r="F667" s="26" t="str">
        <f ca="1">IFERROR(__xludf.DUMMYFUNCTION("""COMPUTED_VALUE"""),"H- ابتدائية القمر للبنات (الخامسة)")</f>
        <v>H- ابتدائية القمر للبنات (الخامسة)</v>
      </c>
      <c r="G667" s="26" t="str">
        <f ca="1">IFERROR(__xludf.DUMMYFUNCTION("""COMPUTED_VALUE"""),"السطح")</f>
        <v>السطح</v>
      </c>
      <c r="H667" s="26" t="str">
        <f ca="1">IFERROR(__xludf.DUMMYFUNCTION("""COMPUTED_VALUE"""),"ادامة وتنظيف منظومة ال dx في البناية ")</f>
        <v xml:space="preserve">ادامة وتنظيف منظومة ال dx في البناية </v>
      </c>
      <c r="I667" s="26"/>
      <c r="J667" s="26" t="s">
        <v>15</v>
      </c>
      <c r="K667" s="26" t="s">
        <v>13</v>
      </c>
      <c r="L667" s="55"/>
      <c r="M667" s="26"/>
    </row>
    <row r="668" spans="1:13" ht="75" customHeight="1" thickTop="1" thickBot="1">
      <c r="A668" s="26">
        <v>666</v>
      </c>
      <c r="B668" s="55">
        <f ca="1">IFERROR(__xludf.DUMMYFUNCTION("""COMPUTED_VALUE"""),46173.3568051503)</f>
        <v>46173.356805150397</v>
      </c>
      <c r="C668" s="56" t="str">
        <f ca="1">IFERROR(__xludf.DUMMYFUNCTION("""COMPUTED_VALUE"""),"المعملجي")</f>
        <v>المعملجي</v>
      </c>
      <c r="D668" s="56" t="str">
        <f ca="1">IFERROR(__xludf.DUMMYFUNCTION("""COMPUTED_VALUE"""),"وحدة التبريد")</f>
        <v>وحدة التبريد</v>
      </c>
      <c r="E668" s="26" t="str">
        <f ca="1">IFERROR(__xludf.DUMMYFUNCTION("""COMPUTED_VALUE"""),"قسم المشاريع الهندسية")</f>
        <v>قسم المشاريع الهندسية</v>
      </c>
      <c r="F668" s="26" t="str">
        <f ca="1">IFERROR(__xludf.DUMMYFUNCTION("""COMPUTED_VALUE"""),"I- ابتدائية الساقي للبنين (السادسة)")</f>
        <v>I- ابتدائية الساقي للبنين (السادسة)</v>
      </c>
      <c r="G668" s="26" t="str">
        <f ca="1">IFERROR(__xludf.DUMMYFUNCTION("""COMPUTED_VALUE"""),"السطح")</f>
        <v>السطح</v>
      </c>
      <c r="H668" s="26" t="str">
        <f ca="1">IFERROR(__xludf.DUMMYFUNCTION("""COMPUTED_VALUE"""),"ادامة وتنظيف منظومة ال dx في البناية ")</f>
        <v xml:space="preserve">ادامة وتنظيف منظومة ال dx في البناية </v>
      </c>
      <c r="I668" s="26"/>
      <c r="J668" s="26" t="s">
        <v>15</v>
      </c>
      <c r="K668" s="26" t="s">
        <v>13</v>
      </c>
      <c r="L668" s="55"/>
      <c r="M668" s="26"/>
    </row>
    <row r="669" spans="1:13" ht="75" customHeight="1" thickTop="1" thickBot="1">
      <c r="A669" s="34">
        <v>667</v>
      </c>
      <c r="B669" s="55">
        <f ca="1">IFERROR(__xludf.DUMMYFUNCTION("""COMPUTED_VALUE"""),46173.3570169328)</f>
        <v>46173.357016932801</v>
      </c>
      <c r="C669" s="56" t="str">
        <f ca="1">IFERROR(__xludf.DUMMYFUNCTION("""COMPUTED_VALUE"""),"المعملجي")</f>
        <v>المعملجي</v>
      </c>
      <c r="D669" s="56" t="str">
        <f ca="1">IFERROR(__xludf.DUMMYFUNCTION("""COMPUTED_VALUE"""),"وحدة التبريد")</f>
        <v>وحدة التبريد</v>
      </c>
      <c r="E669" s="26" t="str">
        <f ca="1">IFERROR(__xludf.DUMMYFUNCTION("""COMPUTED_VALUE"""),"قسم المشاريع الهندسية")</f>
        <v>قسم المشاريع الهندسية</v>
      </c>
      <c r="F669"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669" s="26" t="str">
        <f ca="1">IFERROR(__xludf.DUMMYFUNCTION("""COMPUTED_VALUE"""),"السطح")</f>
        <v>السطح</v>
      </c>
      <c r="H669" s="26" t="str">
        <f ca="1">IFERROR(__xludf.DUMMYFUNCTION("""COMPUTED_VALUE"""),"ادامة وتنظيف منظومة ال dx في البناية ")</f>
        <v xml:space="preserve">ادامة وتنظيف منظومة ال dx في البناية </v>
      </c>
      <c r="I669" s="26"/>
      <c r="J669" s="26" t="s">
        <v>15</v>
      </c>
      <c r="K669" s="26" t="s">
        <v>13</v>
      </c>
      <c r="L669" s="55"/>
      <c r="M669" s="26"/>
    </row>
    <row r="670" spans="1:13" ht="75" customHeight="1" thickTop="1" thickBot="1">
      <c r="A670" s="26">
        <v>668</v>
      </c>
      <c r="B670" s="55">
        <f ca="1">IFERROR(__xludf.DUMMYFUNCTION("""COMPUTED_VALUE"""),46173.3577247916)</f>
        <v>46173.357724791596</v>
      </c>
      <c r="C670" s="56" t="str">
        <f ca="1">IFERROR(__xludf.DUMMYFUNCTION("""COMPUTED_VALUE"""),"المعملجي")</f>
        <v>المعملجي</v>
      </c>
      <c r="D670" s="56" t="str">
        <f ca="1">IFERROR(__xludf.DUMMYFUNCTION("""COMPUTED_VALUE"""),"وحدة التبريد")</f>
        <v>وحدة التبريد</v>
      </c>
      <c r="E670" s="26" t="str">
        <f ca="1">IFERROR(__xludf.DUMMYFUNCTION("""COMPUTED_VALUE"""),"قسم المشاريع الهندسية")</f>
        <v>قسم المشاريع الهندسية</v>
      </c>
      <c r="F670" s="26" t="str">
        <f ca="1">IFERROR(__xludf.DUMMYFUNCTION("""COMPUTED_VALUE"""),"A- المركز الثقافي")</f>
        <v>A- المركز الثقافي</v>
      </c>
      <c r="G670" s="26"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H670"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0" s="26"/>
      <c r="J670" s="26" t="s">
        <v>15</v>
      </c>
      <c r="K670" s="26" t="s">
        <v>13</v>
      </c>
      <c r="L670" s="55"/>
      <c r="M670" s="26"/>
    </row>
    <row r="671" spans="1:13" ht="75" customHeight="1" thickTop="1" thickBot="1">
      <c r="A671" s="34">
        <v>669</v>
      </c>
      <c r="B671" s="55">
        <f ca="1">IFERROR(__xludf.DUMMYFUNCTION("""COMPUTED_VALUE"""),46173.3579912499)</f>
        <v>46173.357991249999</v>
      </c>
      <c r="C671" s="56" t="str">
        <f ca="1">IFERROR(__xludf.DUMMYFUNCTION("""COMPUTED_VALUE"""),"المعملجي")</f>
        <v>المعملجي</v>
      </c>
      <c r="D671" s="56" t="str">
        <f ca="1">IFERROR(__xludf.DUMMYFUNCTION("""COMPUTED_VALUE"""),"وحدة التبريد")</f>
        <v>وحدة التبريد</v>
      </c>
      <c r="E671" s="26" t="str">
        <f ca="1">IFERROR(__xludf.DUMMYFUNCTION("""COMPUTED_VALUE"""),"قسم المشاريع الهندسية")</f>
        <v>قسم المشاريع الهندسية</v>
      </c>
      <c r="F671" s="26" t="str">
        <f ca="1">IFERROR(__xludf.DUMMYFUNCTION("""COMPUTED_VALUE"""),"B- روضة القمر")</f>
        <v>B- روضة القمر</v>
      </c>
      <c r="G671" s="26" t="str">
        <f ca="1">IFERROR(__xludf.DUMMYFUNCTION("""COMPUTED_VALUE"""),"الطابق الارضي, الطابق الاول, الطابق الثاني")</f>
        <v>الطابق الارضي, الطابق الاول, الطابق الثاني</v>
      </c>
      <c r="H671"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671" s="26"/>
      <c r="J671" s="26" t="s">
        <v>15</v>
      </c>
      <c r="K671" s="26" t="s">
        <v>13</v>
      </c>
      <c r="L671" s="55"/>
      <c r="M671" s="26"/>
    </row>
    <row r="672" spans="1:13" ht="75" customHeight="1" thickTop="1" thickBot="1">
      <c r="A672" s="26">
        <v>670</v>
      </c>
      <c r="B672" s="55">
        <f ca="1">IFERROR(__xludf.DUMMYFUNCTION("""COMPUTED_VALUE"""),46173.3582458564)</f>
        <v>46173.358245856398</v>
      </c>
      <c r="C672" s="56" t="str">
        <f ca="1">IFERROR(__xludf.DUMMYFUNCTION("""COMPUTED_VALUE"""),"المعملجي")</f>
        <v>المعملجي</v>
      </c>
      <c r="D672" s="56" t="str">
        <f ca="1">IFERROR(__xludf.DUMMYFUNCTION("""COMPUTED_VALUE"""),"وحدة التبريد")</f>
        <v>وحدة التبريد</v>
      </c>
      <c r="E672" s="26" t="str">
        <f ca="1">IFERROR(__xludf.DUMMYFUNCTION("""COMPUTED_VALUE"""),"قسم المشاريع الهندسية")</f>
        <v>قسم المشاريع الهندسية</v>
      </c>
      <c r="F672" s="26" t="str">
        <f ca="1">IFERROR(__xludf.DUMMYFUNCTION("""COMPUTED_VALUE"""),"B- روضة القمر")</f>
        <v>B- روضة القمر</v>
      </c>
      <c r="G672" s="26" t="str">
        <f ca="1">IFERROR(__xludf.DUMMYFUNCTION("""COMPUTED_VALUE"""),"الطابق الارضي, الطابق الاول, الطابق الثاني")</f>
        <v>الطابق الارضي, الطابق الاول, الطابق الثاني</v>
      </c>
      <c r="H672"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672" s="26"/>
      <c r="J672" s="26" t="s">
        <v>15</v>
      </c>
      <c r="K672" s="26" t="s">
        <v>13</v>
      </c>
      <c r="L672" s="55"/>
      <c r="M672" s="26"/>
    </row>
    <row r="673" spans="1:13" ht="75" customHeight="1" thickTop="1" thickBot="1">
      <c r="A673" s="34">
        <v>671</v>
      </c>
      <c r="B673" s="55">
        <f ca="1">IFERROR(__xludf.DUMMYFUNCTION("""COMPUTED_VALUE"""),46173.3584506365)</f>
        <v>46173.3584506365</v>
      </c>
      <c r="C673" s="56" t="str">
        <f ca="1">IFERROR(__xludf.DUMMYFUNCTION("""COMPUTED_VALUE"""),"المعملجي")</f>
        <v>المعملجي</v>
      </c>
      <c r="D673" s="56" t="str">
        <f ca="1">IFERROR(__xludf.DUMMYFUNCTION("""COMPUTED_VALUE"""),"وحدة التبريد")</f>
        <v>وحدة التبريد</v>
      </c>
      <c r="E673" s="26" t="str">
        <f ca="1">IFERROR(__xludf.DUMMYFUNCTION("""COMPUTED_VALUE"""),"قسم المشاريع الهندسية")</f>
        <v>قسم المشاريع الهندسية</v>
      </c>
      <c r="F673" s="26" t="str">
        <f ca="1">IFERROR(__xludf.DUMMYFUNCTION("""COMPUTED_VALUE"""),"C- ثانوية العميد بناية الاعدادية  (الاولى)")</f>
        <v>C- ثانوية العميد بناية الاعدادية  (الاولى)</v>
      </c>
      <c r="G673" s="26" t="str">
        <f ca="1">IFERROR(__xludf.DUMMYFUNCTION("""COMPUTED_VALUE"""),"الطابق الارضي, الطابق الاول, الطابق الثاني, السطح")</f>
        <v>الطابق الارضي, الطابق الاول, الطابق الثاني, السطح</v>
      </c>
      <c r="H673"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3" s="26"/>
      <c r="J673" s="26" t="s">
        <v>15</v>
      </c>
      <c r="K673" s="26" t="s">
        <v>13</v>
      </c>
      <c r="L673" s="55"/>
      <c r="M673" s="26"/>
    </row>
    <row r="674" spans="1:13" ht="75" customHeight="1" thickTop="1" thickBot="1">
      <c r="A674" s="26">
        <v>672</v>
      </c>
      <c r="B674" s="55">
        <f ca="1">IFERROR(__xludf.DUMMYFUNCTION("""COMPUTED_VALUE"""),46173.3586932407)</f>
        <v>46173.358693240698</v>
      </c>
      <c r="C674" s="56" t="str">
        <f ca="1">IFERROR(__xludf.DUMMYFUNCTION("""COMPUTED_VALUE"""),"المعملجي")</f>
        <v>المعملجي</v>
      </c>
      <c r="D674" s="56" t="str">
        <f ca="1">IFERROR(__xludf.DUMMYFUNCTION("""COMPUTED_VALUE"""),"وحدة التبريد")</f>
        <v>وحدة التبريد</v>
      </c>
      <c r="E674" s="26" t="str">
        <f ca="1">IFERROR(__xludf.DUMMYFUNCTION("""COMPUTED_VALUE"""),"قسم المشاريع الهندسية")</f>
        <v>قسم المشاريع الهندسية</v>
      </c>
      <c r="F674" s="26" t="str">
        <f ca="1">IFERROR(__xludf.DUMMYFUNCTION("""COMPUTED_VALUE"""),"D- ثانوية العميد بناية المتوسطة  (الثانية)")</f>
        <v>D- ثانوية العميد بناية المتوسطة  (الثانية)</v>
      </c>
      <c r="G674" s="26" t="str">
        <f ca="1">IFERROR(__xludf.DUMMYFUNCTION("""COMPUTED_VALUE"""),"الطابق الارضي, الطابق الاول, الطابق الثاني, السطح")</f>
        <v>الطابق الارضي, الطابق الاول, الطابق الثاني, السطح</v>
      </c>
      <c r="H674"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4" s="26"/>
      <c r="J674" s="26" t="s">
        <v>15</v>
      </c>
      <c r="K674" s="26" t="s">
        <v>13</v>
      </c>
      <c r="L674" s="55"/>
      <c r="M674" s="26"/>
    </row>
    <row r="675" spans="1:13" ht="75" customHeight="1" thickTop="1" thickBot="1">
      <c r="A675" s="34">
        <v>673</v>
      </c>
      <c r="B675" s="55">
        <f ca="1">IFERROR(__xludf.DUMMYFUNCTION("""COMPUTED_VALUE"""),46173.3589168402)</f>
        <v>46173.358916840203</v>
      </c>
      <c r="C675" s="56" t="str">
        <f ca="1">IFERROR(__xludf.DUMMYFUNCTION("""COMPUTED_VALUE"""),"المعملجي")</f>
        <v>المعملجي</v>
      </c>
      <c r="D675" s="56" t="str">
        <f ca="1">IFERROR(__xludf.DUMMYFUNCTION("""COMPUTED_VALUE"""),"وحدة التبريد")</f>
        <v>وحدة التبريد</v>
      </c>
      <c r="E675" s="26" t="str">
        <f ca="1">IFERROR(__xludf.DUMMYFUNCTION("""COMPUTED_VALUE"""),"قسم المشاريع الهندسية")</f>
        <v>قسم المشاريع الهندسية</v>
      </c>
      <c r="F675" s="26" t="str">
        <f ca="1">IFERROR(__xludf.DUMMYFUNCTION("""COMPUTED_VALUE"""),"D- ثانوية العميد بناية المتوسطة  (الثانية)")</f>
        <v>D- ثانوية العميد بناية المتوسطة  (الثانية)</v>
      </c>
      <c r="G675" s="26" t="str">
        <f ca="1">IFERROR(__xludf.DUMMYFUNCTION("""COMPUTED_VALUE"""),"الطابق الارضي, الطابق الاول, الطابق الثاني, السطح")</f>
        <v>الطابق الارضي, الطابق الاول, الطابق الثاني, السطح</v>
      </c>
      <c r="H675"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5" s="26"/>
      <c r="J675" s="26" t="s">
        <v>15</v>
      </c>
      <c r="K675" s="26" t="s">
        <v>13</v>
      </c>
      <c r="L675" s="55"/>
      <c r="M675" s="26"/>
    </row>
    <row r="676" spans="1:13" ht="75" customHeight="1" thickTop="1" thickBot="1">
      <c r="A676" s="26">
        <v>674</v>
      </c>
      <c r="B676" s="55">
        <f ca="1">IFERROR(__xludf.DUMMYFUNCTION("""COMPUTED_VALUE"""),46173.3591087268)</f>
        <v>46173.3591087268</v>
      </c>
      <c r="C676" s="56" t="str">
        <f ca="1">IFERROR(__xludf.DUMMYFUNCTION("""COMPUTED_VALUE"""),"المعملجي")</f>
        <v>المعملجي</v>
      </c>
      <c r="D676" s="56" t="str">
        <f ca="1">IFERROR(__xludf.DUMMYFUNCTION("""COMPUTED_VALUE"""),"وحدة التبريد")</f>
        <v>وحدة التبريد</v>
      </c>
      <c r="E676" s="26" t="str">
        <f ca="1">IFERROR(__xludf.DUMMYFUNCTION("""COMPUTED_VALUE"""),"قسم المشاريع الهندسية")</f>
        <v>قسم المشاريع الهندسية</v>
      </c>
      <c r="F676" s="26" t="str">
        <f ca="1">IFERROR(__xludf.DUMMYFUNCTION("""COMPUTED_VALUE"""),"E- ابتدائية العميد للبنات (الثالثة)")</f>
        <v>E- ابتدائية العميد للبنات (الثالثة)</v>
      </c>
      <c r="G676" s="26" t="str">
        <f ca="1">IFERROR(__xludf.DUMMYFUNCTION("""COMPUTED_VALUE"""),"الطابق الارضي, الطابق الاول, الطابق الثاني, السطح")</f>
        <v>الطابق الارضي, الطابق الاول, الطابق الثاني, السطح</v>
      </c>
      <c r="H676"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6" s="26"/>
      <c r="J676" s="26" t="s">
        <v>15</v>
      </c>
      <c r="K676" s="26" t="s">
        <v>13</v>
      </c>
      <c r="L676" s="55"/>
      <c r="M676" s="26"/>
    </row>
    <row r="677" spans="1:13" ht="75" customHeight="1" thickTop="1" thickBot="1">
      <c r="A677" s="34">
        <v>675</v>
      </c>
      <c r="B677" s="55">
        <f ca="1">IFERROR(__xludf.DUMMYFUNCTION("""COMPUTED_VALUE"""),46173.3593337963)</f>
        <v>46173.359333796303</v>
      </c>
      <c r="C677" s="56" t="str">
        <f ca="1">IFERROR(__xludf.DUMMYFUNCTION("""COMPUTED_VALUE"""),"المعملجي")</f>
        <v>المعملجي</v>
      </c>
      <c r="D677" s="56" t="str">
        <f ca="1">IFERROR(__xludf.DUMMYFUNCTION("""COMPUTED_VALUE"""),"وحدة التبريد")</f>
        <v>وحدة التبريد</v>
      </c>
      <c r="E677" s="26" t="str">
        <f ca="1">IFERROR(__xludf.DUMMYFUNCTION("""COMPUTED_VALUE"""),"قسم المشاريع الهندسية")</f>
        <v>قسم المشاريع الهندسية</v>
      </c>
      <c r="F677" s="26" t="str">
        <f ca="1">IFERROR(__xludf.DUMMYFUNCTION("""COMPUTED_VALUE"""),"F-  ابتدائية جود العميد للبنات (الرابعة)")</f>
        <v>F-  ابتدائية جود العميد للبنات (الرابعة)</v>
      </c>
      <c r="G677" s="26" t="str">
        <f ca="1">IFERROR(__xludf.DUMMYFUNCTION("""COMPUTED_VALUE"""),"الطابق الارضي, الطابق الاول, الطابق الثاني, السطح")</f>
        <v>الطابق الارضي, الطابق الاول, الطابق الثاني, السطح</v>
      </c>
      <c r="H677"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7" s="26"/>
      <c r="J677" s="26" t="s">
        <v>15</v>
      </c>
      <c r="K677" s="26" t="s">
        <v>13</v>
      </c>
      <c r="L677" s="55"/>
      <c r="M677" s="26"/>
    </row>
    <row r="678" spans="1:13" ht="75" customHeight="1" thickTop="1" thickBot="1">
      <c r="A678" s="26">
        <v>676</v>
      </c>
      <c r="B678" s="55">
        <f ca="1">IFERROR(__xludf.DUMMYFUNCTION("""COMPUTED_VALUE"""),46173.3595456134)</f>
        <v>46173.359545613399</v>
      </c>
      <c r="C678" s="56" t="str">
        <f ca="1">IFERROR(__xludf.DUMMYFUNCTION("""COMPUTED_VALUE"""),"المعملجي")</f>
        <v>المعملجي</v>
      </c>
      <c r="D678" s="56" t="str">
        <f ca="1">IFERROR(__xludf.DUMMYFUNCTION("""COMPUTED_VALUE"""),"وحدة التبريد")</f>
        <v>وحدة التبريد</v>
      </c>
      <c r="E678" s="26" t="str">
        <f ca="1">IFERROR(__xludf.DUMMYFUNCTION("""COMPUTED_VALUE"""),"قسم المشاريع الهندسية")</f>
        <v>قسم المشاريع الهندسية</v>
      </c>
      <c r="F678" s="26" t="str">
        <f ca="1">IFERROR(__xludf.DUMMYFUNCTION("""COMPUTED_VALUE"""),"H- ابتدائية القمر للبنات (الخامسة)")</f>
        <v>H- ابتدائية القمر للبنات (الخامسة)</v>
      </c>
      <c r="G678" s="26" t="str">
        <f ca="1">IFERROR(__xludf.DUMMYFUNCTION("""COMPUTED_VALUE"""),"الطابق الارضي, الطابق الاول, الطابق الثاني, السطح")</f>
        <v>الطابق الارضي, الطابق الاول, الطابق الثاني, السطح</v>
      </c>
      <c r="H678"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8" s="26"/>
      <c r="J678" s="26" t="s">
        <v>15</v>
      </c>
      <c r="K678" s="26" t="s">
        <v>13</v>
      </c>
      <c r="L678" s="55"/>
      <c r="M678" s="26"/>
    </row>
    <row r="679" spans="1:13" ht="75" customHeight="1" thickTop="1" thickBot="1">
      <c r="A679" s="34">
        <v>677</v>
      </c>
      <c r="B679" s="55">
        <f ca="1">IFERROR(__xludf.DUMMYFUNCTION("""COMPUTED_VALUE"""),46173.3598309722)</f>
        <v>46173.3598309722</v>
      </c>
      <c r="C679" s="56" t="str">
        <f ca="1">IFERROR(__xludf.DUMMYFUNCTION("""COMPUTED_VALUE"""),"المعملجي")</f>
        <v>المعملجي</v>
      </c>
      <c r="D679" s="56" t="str">
        <f ca="1">IFERROR(__xludf.DUMMYFUNCTION("""COMPUTED_VALUE"""),"وحدة التبريد")</f>
        <v>وحدة التبريد</v>
      </c>
      <c r="E679" s="26" t="str">
        <f ca="1">IFERROR(__xludf.DUMMYFUNCTION("""COMPUTED_VALUE"""),"قسم المشاريع الهندسية")</f>
        <v>قسم المشاريع الهندسية</v>
      </c>
      <c r="F679" s="26" t="str">
        <f ca="1">IFERROR(__xludf.DUMMYFUNCTION("""COMPUTED_VALUE"""),"I- ابتدائية الساقي للبنين (السادسة), J- ابتدائية الساقي للبنين الجانب الثاني (السابعة), J- جامعة العميد (السابعة)")</f>
        <v>I- ابتدائية الساقي للبنين (السادسة), J- ابتدائية الساقي للبنين الجانب الثاني (السابعة), J- جامعة العميد (السابعة)</v>
      </c>
      <c r="G679" s="26" t="str">
        <f ca="1">IFERROR(__xludf.DUMMYFUNCTION("""COMPUTED_VALUE"""),"السطح")</f>
        <v>السطح</v>
      </c>
      <c r="H679"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79" s="26"/>
      <c r="J679" s="26" t="s">
        <v>15</v>
      </c>
      <c r="K679" s="26" t="s">
        <v>13</v>
      </c>
      <c r="L679" s="55"/>
      <c r="M679" s="26"/>
    </row>
    <row r="680" spans="1:13" ht="75" customHeight="1" thickTop="1" thickBot="1">
      <c r="A680" s="26">
        <v>678</v>
      </c>
      <c r="B680" s="55">
        <f ca="1">IFERROR(__xludf.DUMMYFUNCTION("""COMPUTED_VALUE"""),46173.3602038541)</f>
        <v>46173.360203854099</v>
      </c>
      <c r="C680" s="56" t="str">
        <f ca="1">IFERROR(__xludf.DUMMYFUNCTION("""COMPUTED_VALUE"""),"المعملجي")</f>
        <v>المعملجي</v>
      </c>
      <c r="D680" s="56" t="str">
        <f ca="1">IFERROR(__xludf.DUMMYFUNCTION("""COMPUTED_VALUE"""),"وحدة التبريد")</f>
        <v>وحدة التبريد</v>
      </c>
      <c r="E680" s="26" t="str">
        <f ca="1">IFERROR(__xludf.DUMMYFUNCTION("""COMPUTED_VALUE"""),"قسم المشاريع الهندسية")</f>
        <v>قسم المشاريع الهندسية</v>
      </c>
      <c r="F680" s="26" t="str">
        <f ca="1">IFERROR(__xludf.DUMMYFUNCTION("""COMPUTED_VALUE"""),"الاستعلامات الرئيسية, المالية, المختبرات, شعبة الصيانة, النافورة")</f>
        <v>الاستعلامات الرئيسية, المالية, المختبرات, شعبة الصيانة, النافورة</v>
      </c>
      <c r="G680" s="26" t="str">
        <f ca="1">IFERROR(__xludf.DUMMYFUNCTION("""COMPUTED_VALUE"""),"غرفة الكهرباء, محطة الرفع")</f>
        <v>غرفة الكهرباء, محطة الرفع</v>
      </c>
      <c r="H680" s="26" t="str">
        <f ca="1">IFERROR(__xludf.DUMMYFUNCTION("""COMPUTED_VALUE"""),"ادامة وتنظيف السبالت الاعتيادية الخاصة بغرف الكهرباء والاتصالات والمصاعد ")</f>
        <v xml:space="preserve">ادامة وتنظيف السبالت الاعتيادية الخاصة بغرف الكهرباء والاتصالات والمصاعد </v>
      </c>
      <c r="I680" s="26"/>
      <c r="J680" s="26" t="s">
        <v>15</v>
      </c>
      <c r="K680" s="26" t="s">
        <v>13</v>
      </c>
      <c r="L680" s="55"/>
      <c r="M680" s="26"/>
    </row>
    <row r="681" spans="1:13" ht="75" customHeight="1" thickTop="1" thickBot="1">
      <c r="A681" s="34">
        <v>679</v>
      </c>
      <c r="B681" s="55">
        <f ca="1">IFERROR(__xludf.DUMMYFUNCTION("""COMPUTED_VALUE"""),46173.3608334953)</f>
        <v>46173.360833495302</v>
      </c>
      <c r="C681" s="56" t="str">
        <f ca="1">IFERROR(__xludf.DUMMYFUNCTION("""COMPUTED_VALUE"""),"المعملجي")</f>
        <v>المعملجي</v>
      </c>
      <c r="D681" s="56" t="str">
        <f ca="1">IFERROR(__xludf.DUMMYFUNCTION("""COMPUTED_VALUE"""),"وحدة التبريد")</f>
        <v>وحدة التبريد</v>
      </c>
      <c r="E681" s="26" t="str">
        <f ca="1">IFERROR(__xludf.DUMMYFUNCTION("""COMPUTED_VALUE"""),"قسم المشاريع الهندسية")</f>
        <v>قسم المشاريع الهندسية</v>
      </c>
      <c r="F681" s="26" t="str">
        <f ca="1">IFERROR(__xludf.DUMMYFUNCTION("""COMPUTED_VALUE"""),"B- روضة القمر")</f>
        <v>B- روضة القمر</v>
      </c>
      <c r="G681" s="26" t="str">
        <f ca="1">IFERROR(__xludf.DUMMYFUNCTION("""COMPUTED_VALUE"""),"القاعة الرياضية مقابل الاولى ")</f>
        <v xml:space="preserve">القاعة الرياضية مقابل الاولى </v>
      </c>
      <c r="H681" s="26" t="str">
        <f ca="1">IFERROR(__xludf.DUMMYFUNCTION("""COMPUTED_VALUE"""),"ادامة وتنظيف منظومة البكج الخاصة بالقاعة")</f>
        <v>ادامة وتنظيف منظومة البكج الخاصة بالقاعة</v>
      </c>
      <c r="I681" s="26"/>
      <c r="J681" s="26" t="s">
        <v>15</v>
      </c>
      <c r="K681" s="26" t="s">
        <v>13</v>
      </c>
      <c r="L681" s="55"/>
      <c r="M681" s="26"/>
    </row>
    <row r="682" spans="1:13" ht="75" customHeight="1" thickTop="1" thickBot="1">
      <c r="A682" s="26">
        <v>680</v>
      </c>
      <c r="B682" s="55">
        <f ca="1">IFERROR(__xludf.DUMMYFUNCTION("""COMPUTED_VALUE"""),46173.3611497569)</f>
        <v>46173.3611497569</v>
      </c>
      <c r="C682" s="56" t="str">
        <f ca="1">IFERROR(__xludf.DUMMYFUNCTION("""COMPUTED_VALUE"""),"المعملجي")</f>
        <v>المعملجي</v>
      </c>
      <c r="D682" s="56" t="str">
        <f ca="1">IFERROR(__xludf.DUMMYFUNCTION("""COMPUTED_VALUE"""),"وحدة التبريد")</f>
        <v>وحدة التبريد</v>
      </c>
      <c r="E682" s="26" t="str">
        <f ca="1">IFERROR(__xludf.DUMMYFUNCTION("""COMPUTED_VALUE"""),"قسم المشاريع الهندسية")</f>
        <v>قسم المشاريع الهندسية</v>
      </c>
      <c r="F682" s="26" t="str">
        <f ca="1">IFERROR(__xludf.DUMMYFUNCTION("""COMPUTED_VALUE"""),"B- روضة القمر")</f>
        <v>B- روضة القمر</v>
      </c>
      <c r="G682" s="26" t="str">
        <f ca="1">IFERROR(__xludf.DUMMYFUNCTION("""COMPUTED_VALUE"""),"القاعة الرياضية مقابل المركز الثقافي ")</f>
        <v xml:space="preserve">القاعة الرياضية مقابل المركز الثقافي </v>
      </c>
      <c r="H682" s="26" t="str">
        <f ca="1">IFERROR(__xludf.DUMMYFUNCTION("""COMPUTED_VALUE"""),"ادامة وتنظيف منظومة البكج الخاصة بالقاعة")</f>
        <v>ادامة وتنظيف منظومة البكج الخاصة بالقاعة</v>
      </c>
      <c r="I682" s="26"/>
      <c r="J682" s="26" t="s">
        <v>15</v>
      </c>
      <c r="K682" s="26" t="s">
        <v>13</v>
      </c>
      <c r="L682" s="55"/>
      <c r="M682" s="26"/>
    </row>
    <row r="683" spans="1:13" ht="75" customHeight="1" thickTop="1" thickBot="1">
      <c r="A683" s="34">
        <v>681</v>
      </c>
      <c r="B683" s="55">
        <f ca="1">IFERROR(__xludf.DUMMYFUNCTION("""COMPUTED_VALUE"""),46173.3614496874)</f>
        <v>46173.3614496874</v>
      </c>
      <c r="C683" s="56" t="str">
        <f ca="1">IFERROR(__xludf.DUMMYFUNCTION("""COMPUTED_VALUE"""),"المعملجي")</f>
        <v>المعملجي</v>
      </c>
      <c r="D683" s="56" t="str">
        <f ca="1">IFERROR(__xludf.DUMMYFUNCTION("""COMPUTED_VALUE"""),"وحدة التبريد")</f>
        <v>وحدة التبريد</v>
      </c>
      <c r="E683" s="26" t="str">
        <f ca="1">IFERROR(__xludf.DUMMYFUNCTION("""COMPUTED_VALUE"""),"قسم المشاريع الهندسية")</f>
        <v>قسم المشاريع الهندسية</v>
      </c>
      <c r="F683" s="26" t="str">
        <f ca="1">IFERROR(__xludf.DUMMYFUNCTION("""COMPUTED_VALUE"""),"G- روضة الجود")</f>
        <v>G- روضة الجود</v>
      </c>
      <c r="G683" s="26" t="str">
        <f ca="1">IFERROR(__xludf.DUMMYFUNCTION("""COMPUTED_VALUE"""),"القاعة الرياضية مقابل الرابعة ")</f>
        <v xml:space="preserve">القاعة الرياضية مقابل الرابعة </v>
      </c>
      <c r="H683" s="26" t="str">
        <f ca="1">IFERROR(__xludf.DUMMYFUNCTION("""COMPUTED_VALUE"""),"ادامة وتنظيف منظومة البكج الخاصة بالقاعة")</f>
        <v>ادامة وتنظيف منظومة البكج الخاصة بالقاعة</v>
      </c>
      <c r="I683" s="26"/>
      <c r="J683" s="26" t="s">
        <v>15</v>
      </c>
      <c r="K683" s="26" t="s">
        <v>13</v>
      </c>
      <c r="L683" s="55"/>
      <c r="M683" s="26"/>
    </row>
    <row r="684" spans="1:13" ht="75" customHeight="1" thickTop="1" thickBot="1">
      <c r="A684" s="26">
        <v>682</v>
      </c>
      <c r="B684" s="55">
        <f ca="1">IFERROR(__xludf.DUMMYFUNCTION("""COMPUTED_VALUE"""),46173.3617909143)</f>
        <v>46173.361790914299</v>
      </c>
      <c r="C684" s="56" t="str">
        <f ca="1">IFERROR(__xludf.DUMMYFUNCTION("""COMPUTED_VALUE"""),"المعملجي")</f>
        <v>المعملجي</v>
      </c>
      <c r="D684" s="56" t="str">
        <f ca="1">IFERROR(__xludf.DUMMYFUNCTION("""COMPUTED_VALUE"""),"وحدة التبريد")</f>
        <v>وحدة التبريد</v>
      </c>
      <c r="E684" s="26" t="str">
        <f ca="1">IFERROR(__xludf.DUMMYFUNCTION("""COMPUTED_VALUE"""),"قسم المشاريع الهندسية")</f>
        <v>قسم المشاريع الهندسية</v>
      </c>
      <c r="F684" s="26" t="str">
        <f ca="1">IFERROR(__xludf.DUMMYFUNCTION("""COMPUTED_VALUE"""),"G- روضة الجود")</f>
        <v>G- روضة الجود</v>
      </c>
      <c r="G684" s="26" t="str">
        <f ca="1">IFERROR(__xludf.DUMMYFUNCTION("""COMPUTED_VALUE"""),"القاعة الرياضية مقابل الخامسة ")</f>
        <v xml:space="preserve">القاعة الرياضية مقابل الخامسة </v>
      </c>
      <c r="H684" s="26" t="str">
        <f ca="1">IFERROR(__xludf.DUMMYFUNCTION("""COMPUTED_VALUE"""),"ادامة وتنظيف منظومة البكج الخاصة بالقاعة")</f>
        <v>ادامة وتنظيف منظومة البكج الخاصة بالقاعة</v>
      </c>
      <c r="I684" s="26"/>
      <c r="J684" s="26" t="s">
        <v>15</v>
      </c>
      <c r="K684" s="26" t="s">
        <v>13</v>
      </c>
      <c r="L684" s="55"/>
      <c r="M684" s="26"/>
    </row>
    <row r="685" spans="1:13" ht="75" customHeight="1" thickTop="1" thickBot="1">
      <c r="A685" s="34">
        <v>683</v>
      </c>
      <c r="B685" s="55">
        <f ca="1">IFERROR(__xludf.DUMMYFUNCTION("""COMPUTED_VALUE"""),46173.3629432754)</f>
        <v>46173.362943275402</v>
      </c>
      <c r="C685" s="56" t="str">
        <f ca="1">IFERROR(__xludf.DUMMYFUNCTION("""COMPUTED_VALUE"""),"المعملجي")</f>
        <v>المعملجي</v>
      </c>
      <c r="D685" s="56" t="str">
        <f ca="1">IFERROR(__xludf.DUMMYFUNCTION("""COMPUTED_VALUE"""),"وحدة التبريد")</f>
        <v>وحدة التبريد</v>
      </c>
      <c r="E685" s="26" t="str">
        <f ca="1">IFERROR(__xludf.DUMMYFUNCTION("""COMPUTED_VALUE"""),"قسم المشاريع الهندسية")</f>
        <v>قسم المشاريع الهندسية</v>
      </c>
      <c r="F685" s="26" t="str">
        <f ca="1">IFERROR(__xludf.DUMMYFUNCTION("""COMPUTED_VALUE"""),"A- المركز الثقافي")</f>
        <v>A- المركز الثقافي</v>
      </c>
      <c r="G685" s="26" t="str">
        <f ca="1">IFERROR(__xludf.DUMMYFUNCTION("""COMPUTED_VALUE"""),"الطابق الارضي, الطابق الاول, قاعة المؤتمرات ")</f>
        <v xml:space="preserve">الطابق الارضي, الطابق الاول, قاعة المؤتمرات </v>
      </c>
      <c r="H685" s="26" t="str">
        <f ca="1">IFERROR(__xludf.DUMMYFUNCTION("""COMPUTED_VALUE"""),"ادامة وتنظيف منظومة السبلت بكج الخاصة بقاعة المؤتمرات ")</f>
        <v xml:space="preserve">ادامة وتنظيف منظومة السبلت بكج الخاصة بقاعة المؤتمرات </v>
      </c>
      <c r="I685" s="26"/>
      <c r="J685" s="26" t="s">
        <v>15</v>
      </c>
      <c r="K685" s="26" t="s">
        <v>13</v>
      </c>
      <c r="L685" s="55"/>
      <c r="M685" s="26"/>
    </row>
    <row r="686" spans="1:13" ht="75" customHeight="1" thickTop="1" thickBot="1">
      <c r="A686" s="26">
        <v>684</v>
      </c>
      <c r="B686" s="55">
        <f ca="1">IFERROR(__xludf.DUMMYFUNCTION("""COMPUTED_VALUE"""),46173.3633149768)</f>
        <v>46173.363314976799</v>
      </c>
      <c r="C686" s="56" t="str">
        <f ca="1">IFERROR(__xludf.DUMMYFUNCTION("""COMPUTED_VALUE"""),"المعملجي")</f>
        <v>المعملجي</v>
      </c>
      <c r="D686" s="56" t="str">
        <f ca="1">IFERROR(__xludf.DUMMYFUNCTION("""COMPUTED_VALUE"""),"وحدة التبريد")</f>
        <v>وحدة التبريد</v>
      </c>
      <c r="E686" s="26" t="str">
        <f ca="1">IFERROR(__xludf.DUMMYFUNCTION("""COMPUTED_VALUE"""),"قسم المشاريع الهندسية")</f>
        <v>قسم المشاريع الهندسية</v>
      </c>
      <c r="F686" s="26" t="str">
        <f ca="1">IFERROR(__xludf.DUMMYFUNCTION("""COMPUTED_VALUE"""),"A- المركز الثقافي")</f>
        <v>A- المركز الثقافي</v>
      </c>
      <c r="G686" s="26" t="str">
        <f ca="1">IFERROR(__xludf.DUMMYFUNCTION("""COMPUTED_VALUE"""),"الطابق الارضي, الطابق الاول, قاعة سراج العميد ")</f>
        <v xml:space="preserve">الطابق الارضي, الطابق الاول, قاعة سراج العميد </v>
      </c>
      <c r="H686" s="26" t="str">
        <f ca="1">IFERROR(__xludf.DUMMYFUNCTION("""COMPUTED_VALUE"""),"ادامة وتنظيف منظومة السبلت بكج الخاصة بقاعة سراج العميد ")</f>
        <v xml:space="preserve">ادامة وتنظيف منظومة السبلت بكج الخاصة بقاعة سراج العميد </v>
      </c>
      <c r="I686" s="26"/>
      <c r="J686" s="26" t="s">
        <v>15</v>
      </c>
      <c r="K686" s="26" t="s">
        <v>13</v>
      </c>
      <c r="L686" s="55"/>
      <c r="M686" s="26"/>
    </row>
    <row r="687" spans="1:13" ht="75" customHeight="1" thickTop="1" thickBot="1">
      <c r="A687" s="34">
        <v>685</v>
      </c>
      <c r="B687" s="55">
        <f ca="1">IFERROR(__xludf.DUMMYFUNCTION("""COMPUTED_VALUE"""),46173.3648873032)</f>
        <v>46173.3648873032</v>
      </c>
      <c r="C687" s="56" t="str">
        <f ca="1">IFERROR(__xludf.DUMMYFUNCTION("""COMPUTED_VALUE"""),"المعملجي")</f>
        <v>المعملجي</v>
      </c>
      <c r="D687" s="56" t="str">
        <f ca="1">IFERROR(__xludf.DUMMYFUNCTION("""COMPUTED_VALUE"""),"وحدة التبريد")</f>
        <v>وحدة التبريد</v>
      </c>
      <c r="E687" s="26" t="str">
        <f ca="1">IFERROR(__xludf.DUMMYFUNCTION("""COMPUTED_VALUE"""),"قسم المشاريع الهندسية")</f>
        <v>قسم المشاريع الهندسية</v>
      </c>
      <c r="F687" s="26" t="str">
        <f ca="1">IFERROR(__xludf.DUMMYFUNCTION("""COMPUTED_VALUE"""),"A- المركز الثقافي")</f>
        <v>A- المركز الثقافي</v>
      </c>
      <c r="G687" s="26" t="str">
        <f ca="1">IFERROR(__xludf.DUMMYFUNCTION("""COMPUTED_VALUE"""),"الطابق الارضي, قاعة المؤتمرات ")</f>
        <v xml:space="preserve">الطابق الارضي, قاعة المؤتمرات </v>
      </c>
      <c r="H687" s="26" t="str">
        <f ca="1">IFERROR(__xludf.DUMMYFUNCTION("""COMPUTED_VALUE"""),"فتح منظومة السبلت بكج وضغط الشبكة بالنايتروجين وتحديد اماكن التسريب")</f>
        <v>فتح منظومة السبلت بكج وضغط الشبكة بالنايتروجين وتحديد اماكن التسريب</v>
      </c>
      <c r="I687" s="26"/>
      <c r="J687" s="26" t="s">
        <v>15</v>
      </c>
      <c r="K687" s="26" t="s">
        <v>13</v>
      </c>
      <c r="L687" s="55"/>
      <c r="M687" s="26"/>
    </row>
    <row r="688" spans="1:13" ht="75" customHeight="1" thickTop="1" thickBot="1">
      <c r="A688" s="26">
        <v>686</v>
      </c>
      <c r="B688" s="55">
        <f ca="1">IFERROR(__xludf.DUMMYFUNCTION("""COMPUTED_VALUE"""),46173.36566875)</f>
        <v>46173.365668749997</v>
      </c>
      <c r="C688" s="56" t="str">
        <f ca="1">IFERROR(__xludf.DUMMYFUNCTION("""COMPUTED_VALUE"""),"المعملجي")</f>
        <v>المعملجي</v>
      </c>
      <c r="D688" s="56" t="str">
        <f ca="1">IFERROR(__xludf.DUMMYFUNCTION("""COMPUTED_VALUE"""),"وحدة التبريد")</f>
        <v>وحدة التبريد</v>
      </c>
      <c r="E688" s="26" t="str">
        <f ca="1">IFERROR(__xludf.DUMMYFUNCTION("""COMPUTED_VALUE"""),"قسم المشاريع الهندسية")</f>
        <v>قسم المشاريع الهندسية</v>
      </c>
      <c r="F688" s="26" t="str">
        <f ca="1">IFERROR(__xludf.DUMMYFUNCTION("""COMPUTED_VALUE"""),"A- المركز الثقافي")</f>
        <v>A- المركز الثقافي</v>
      </c>
      <c r="G688" s="26" t="str">
        <f ca="1">IFERROR(__xludf.DUMMYFUNCTION("""COMPUTED_VALUE"""),"الطابق الارضي, قاعة المؤتمرات ")</f>
        <v xml:space="preserve">الطابق الارضي, قاعة المؤتمرات </v>
      </c>
      <c r="H688" s="26" t="str">
        <f ca="1">IFERROR(__xludf.DUMMYFUNCTION("""COMPUTED_VALUE"""),"لحام مناطق الجوينات والليكات بالكامل وضغط الشبكة لمدة 4 ايام للتأكد من سلامتها ")</f>
        <v xml:space="preserve">لحام مناطق الجوينات والليكات بالكامل وضغط الشبكة لمدة 4 ايام للتأكد من سلامتها </v>
      </c>
      <c r="I688" s="26"/>
      <c r="J688" s="26" t="s">
        <v>15</v>
      </c>
      <c r="K688" s="26" t="s">
        <v>13</v>
      </c>
      <c r="L688" s="55"/>
      <c r="M688" s="26"/>
    </row>
    <row r="689" spans="1:13" ht="75" customHeight="1" thickTop="1" thickBot="1">
      <c r="A689" s="34">
        <v>687</v>
      </c>
      <c r="B689" s="55">
        <f ca="1">IFERROR(__xludf.DUMMYFUNCTION("""COMPUTED_VALUE"""),46173.3663379861)</f>
        <v>46173.366337986103</v>
      </c>
      <c r="C689" s="56" t="str">
        <f ca="1">IFERROR(__xludf.DUMMYFUNCTION("""COMPUTED_VALUE"""),"المعملجي")</f>
        <v>المعملجي</v>
      </c>
      <c r="D689" s="56" t="str">
        <f ca="1">IFERROR(__xludf.DUMMYFUNCTION("""COMPUTED_VALUE"""),"وحدة التبريد")</f>
        <v>وحدة التبريد</v>
      </c>
      <c r="E689" s="26" t="str">
        <f ca="1">IFERROR(__xludf.DUMMYFUNCTION("""COMPUTED_VALUE"""),"قسم المشاريع الهندسية")</f>
        <v>قسم المشاريع الهندسية</v>
      </c>
      <c r="F689" s="26" t="str">
        <f ca="1">IFERROR(__xludf.DUMMYFUNCTION("""COMPUTED_VALUE"""),"A- المركز الثقافي")</f>
        <v>A- المركز الثقافي</v>
      </c>
      <c r="G689" s="26" t="str">
        <f ca="1">IFERROR(__xludf.DUMMYFUNCTION("""COMPUTED_VALUE"""),"الطابق الارضي, قاعة المؤتمرات ")</f>
        <v xml:space="preserve">الطابق الارضي, قاعة المؤتمرات </v>
      </c>
      <c r="H689" s="26" t="str">
        <f ca="1">IFERROR(__xludf.DUMMYFUNCTION("""COMPUTED_VALUE"""),"عمل فاكيوم للسبلت بكج والشبكه واعادة شحن غاز التبريد وتشغيل المنظومة")</f>
        <v>عمل فاكيوم للسبلت بكج والشبكه واعادة شحن غاز التبريد وتشغيل المنظومة</v>
      </c>
      <c r="I689" s="26"/>
      <c r="J689" s="26" t="s">
        <v>15</v>
      </c>
      <c r="K689" s="26" t="s">
        <v>13</v>
      </c>
      <c r="L689" s="55"/>
      <c r="M689" s="26"/>
    </row>
    <row r="690" spans="1:13" ht="75" customHeight="1" thickTop="1" thickBot="1">
      <c r="A690" s="26">
        <v>688</v>
      </c>
      <c r="B690" s="55">
        <f ca="1">IFERROR(__xludf.DUMMYFUNCTION("""COMPUTED_VALUE"""),46173.3675406713)</f>
        <v>46173.367540671301</v>
      </c>
      <c r="C690" s="56" t="str">
        <f ca="1">IFERROR(__xludf.DUMMYFUNCTION("""COMPUTED_VALUE"""),"المعملجي")</f>
        <v>المعملجي</v>
      </c>
      <c r="D690" s="56" t="str">
        <f ca="1">IFERROR(__xludf.DUMMYFUNCTION("""COMPUTED_VALUE"""),"وحدة التبريد")</f>
        <v>وحدة التبريد</v>
      </c>
      <c r="E690" s="26" t="str">
        <f ca="1">IFERROR(__xludf.DUMMYFUNCTION("""COMPUTED_VALUE"""),"قسم المشاريع الهندسية")</f>
        <v>قسم المشاريع الهندسية</v>
      </c>
      <c r="F690" s="26" t="str">
        <f ca="1">IFERROR(__xludf.DUMMYFUNCTION("""COMPUTED_VALUE"""),"H- ابتدائية القمر للبنات (الخامسة)")</f>
        <v>H- ابتدائية القمر للبنات (الخامسة)</v>
      </c>
      <c r="G690" s="26" t="str">
        <f ca="1">IFERROR(__xludf.DUMMYFUNCTION("""COMPUTED_VALUE"""),"الطابق الثاني")</f>
        <v>الطابق الثاني</v>
      </c>
      <c r="H690" s="26" t="str">
        <f ca="1">IFERROR(__xludf.DUMMYFUNCTION("""COMPUTED_VALUE"""),"صيانة ثرموستات وقطع بأحد توصيلات الاشارة الخاصة بمنظومة الvrf")</f>
        <v>صيانة ثرموستات وقطع بأحد توصيلات الاشارة الخاصة بمنظومة الvrf</v>
      </c>
      <c r="I690" s="26"/>
      <c r="J690" s="26" t="s">
        <v>15</v>
      </c>
      <c r="K690" s="26" t="s">
        <v>13</v>
      </c>
      <c r="L690" s="55"/>
      <c r="M690" s="26"/>
    </row>
    <row r="691" spans="1:13" ht="75" customHeight="1" thickTop="1" thickBot="1">
      <c r="A691" s="34">
        <v>689</v>
      </c>
      <c r="B691" s="55">
        <f ca="1">IFERROR(__xludf.DUMMYFUNCTION("""COMPUTED_VALUE"""),46173.3683117939)</f>
        <v>46173.3683117939</v>
      </c>
      <c r="C691" s="56" t="str">
        <f ca="1">IFERROR(__xludf.DUMMYFUNCTION("""COMPUTED_VALUE"""),"المعملجي")</f>
        <v>المعملجي</v>
      </c>
      <c r="D691" s="56" t="str">
        <f ca="1">IFERROR(__xludf.DUMMYFUNCTION("""COMPUTED_VALUE"""),"وحدة التبريد")</f>
        <v>وحدة التبريد</v>
      </c>
      <c r="E691" s="26" t="str">
        <f ca="1">IFERROR(__xludf.DUMMYFUNCTION("""COMPUTED_VALUE"""),"قسم المشاريع الهندسية")</f>
        <v>قسم المشاريع الهندسية</v>
      </c>
      <c r="F691" s="26" t="str">
        <f ca="1">IFERROR(__xludf.DUMMYFUNCTION("""COMPUTED_VALUE"""),"H- ابتدائية القمر للبنات (الخامسة)")</f>
        <v>H- ابتدائية القمر للبنات (الخامسة)</v>
      </c>
      <c r="G691" s="26" t="str">
        <f ca="1">IFERROR(__xludf.DUMMYFUNCTION("""COMPUTED_VALUE"""),"السطح")</f>
        <v>السطح</v>
      </c>
      <c r="H691" s="26" t="str">
        <f ca="1">IFERROR(__xludf.DUMMYFUNCTION("""COMPUTED_VALUE"""),"صيانة 4 كارتات كهربائية الخاصة بمنظومة الvrf")</f>
        <v>صيانة 4 كارتات كهربائية الخاصة بمنظومة الvrf</v>
      </c>
      <c r="I691" s="26"/>
      <c r="J691" s="26" t="s">
        <v>15</v>
      </c>
      <c r="K691" s="26" t="s">
        <v>13</v>
      </c>
      <c r="L691" s="55"/>
      <c r="M691" s="26"/>
    </row>
    <row r="692" spans="1:13" ht="75" customHeight="1" thickTop="1" thickBot="1">
      <c r="A692" s="26">
        <v>690</v>
      </c>
      <c r="B692" s="55">
        <f ca="1">IFERROR(__xludf.DUMMYFUNCTION("""COMPUTED_VALUE"""),46173.3687134953)</f>
        <v>46173.3687134953</v>
      </c>
      <c r="C692" s="56" t="str">
        <f ca="1">IFERROR(__xludf.DUMMYFUNCTION("""COMPUTED_VALUE"""),"المعملجي")</f>
        <v>المعملجي</v>
      </c>
      <c r="D692" s="56" t="str">
        <f ca="1">IFERROR(__xludf.DUMMYFUNCTION("""COMPUTED_VALUE"""),"وحدة التبريد")</f>
        <v>وحدة التبريد</v>
      </c>
      <c r="E692" s="26" t="str">
        <f ca="1">IFERROR(__xludf.DUMMYFUNCTION("""COMPUTED_VALUE"""),"قسم المشاريع الهندسية")</f>
        <v>قسم المشاريع الهندسية</v>
      </c>
      <c r="F692" s="26" t="str">
        <f ca="1">IFERROR(__xludf.DUMMYFUNCTION("""COMPUTED_VALUE"""),"G- روضة الجود")</f>
        <v>G- روضة الجود</v>
      </c>
      <c r="G692" s="26" t="str">
        <f ca="1">IFERROR(__xludf.DUMMYFUNCTION("""COMPUTED_VALUE"""),"السطح")</f>
        <v>السطح</v>
      </c>
      <c r="H692" s="26" t="str">
        <f ca="1">IFERROR(__xludf.DUMMYFUNCTION("""COMPUTED_VALUE"""),"صيانة 2 كارتات كهربائية الخاصة بمنظومة الvrf")</f>
        <v>صيانة 2 كارتات كهربائية الخاصة بمنظومة الvrf</v>
      </c>
      <c r="I692" s="26"/>
      <c r="J692" s="26" t="s">
        <v>15</v>
      </c>
      <c r="K692" s="26" t="s">
        <v>13</v>
      </c>
      <c r="L692" s="55"/>
      <c r="M692" s="26"/>
    </row>
    <row r="693" spans="1:13" ht="75" customHeight="1" thickTop="1" thickBot="1">
      <c r="A693" s="34">
        <v>691</v>
      </c>
      <c r="B693" s="55">
        <f ca="1">IFERROR(__xludf.DUMMYFUNCTION("""COMPUTED_VALUE"""),46173.3690496527)</f>
        <v>46173.369049652698</v>
      </c>
      <c r="C693" s="56" t="str">
        <f ca="1">IFERROR(__xludf.DUMMYFUNCTION("""COMPUTED_VALUE"""),"المعملجي")</f>
        <v>المعملجي</v>
      </c>
      <c r="D693" s="56" t="str">
        <f ca="1">IFERROR(__xludf.DUMMYFUNCTION("""COMPUTED_VALUE"""),"وحدة التبريد")</f>
        <v>وحدة التبريد</v>
      </c>
      <c r="E693" s="26" t="str">
        <f ca="1">IFERROR(__xludf.DUMMYFUNCTION("""COMPUTED_VALUE"""),"قسم المشاريع الهندسية")</f>
        <v>قسم المشاريع الهندسية</v>
      </c>
      <c r="F693" s="26" t="str">
        <f ca="1">IFERROR(__xludf.DUMMYFUNCTION("""COMPUTED_VALUE"""),"D- ثانوية العميد بناية المتوسطة  (الثانية)")</f>
        <v>D- ثانوية العميد بناية المتوسطة  (الثانية)</v>
      </c>
      <c r="G693" s="26" t="str">
        <f ca="1">IFERROR(__xludf.DUMMYFUNCTION("""COMPUTED_VALUE"""),"السطح")</f>
        <v>السطح</v>
      </c>
      <c r="H693" s="26" t="str">
        <f ca="1">IFERROR(__xludf.DUMMYFUNCTION("""COMPUTED_VALUE"""),"صيانة 3 كارتات كهربائية الخاصة بمنظومة الvrf")</f>
        <v>صيانة 3 كارتات كهربائية الخاصة بمنظومة الvrf</v>
      </c>
      <c r="I693" s="26"/>
      <c r="J693" s="26" t="s">
        <v>15</v>
      </c>
      <c r="K693" s="26" t="s">
        <v>13</v>
      </c>
      <c r="L693" s="55"/>
      <c r="M693" s="26"/>
    </row>
    <row r="694" spans="1:13" ht="75" customHeight="1" thickTop="1" thickBot="1">
      <c r="A694" s="26">
        <v>692</v>
      </c>
      <c r="B694" s="55">
        <f ca="1">IFERROR(__xludf.DUMMYFUNCTION("""COMPUTED_VALUE"""),46173.3692593402)</f>
        <v>46173.369259340201</v>
      </c>
      <c r="C694" s="56" t="str">
        <f ca="1">IFERROR(__xludf.DUMMYFUNCTION("""COMPUTED_VALUE"""),"المعملجي")</f>
        <v>المعملجي</v>
      </c>
      <c r="D694" s="56" t="str">
        <f ca="1">IFERROR(__xludf.DUMMYFUNCTION("""COMPUTED_VALUE"""),"وحدة التبريد")</f>
        <v>وحدة التبريد</v>
      </c>
      <c r="E694" s="26" t="str">
        <f ca="1">IFERROR(__xludf.DUMMYFUNCTION("""COMPUTED_VALUE"""),"قسم المشاريع الهندسية")</f>
        <v>قسم المشاريع الهندسية</v>
      </c>
      <c r="F694" s="26" t="str">
        <f ca="1">IFERROR(__xludf.DUMMYFUNCTION("""COMPUTED_VALUE"""),"E- ابتدائية العميد للبنات (الثالثة)")</f>
        <v>E- ابتدائية العميد للبنات (الثالثة)</v>
      </c>
      <c r="G694" s="26" t="str">
        <f ca="1">IFERROR(__xludf.DUMMYFUNCTION("""COMPUTED_VALUE"""),"السطح")</f>
        <v>السطح</v>
      </c>
      <c r="H694" s="26" t="str">
        <f ca="1">IFERROR(__xludf.DUMMYFUNCTION("""COMPUTED_VALUE"""),"صيانة 4 كارتات كهربائية الخاصة بمنظومة الvrf")</f>
        <v>صيانة 4 كارتات كهربائية الخاصة بمنظومة الvrf</v>
      </c>
      <c r="I694" s="26"/>
      <c r="J694" s="26" t="s">
        <v>15</v>
      </c>
      <c r="K694" s="26" t="s">
        <v>13</v>
      </c>
      <c r="L694" s="55"/>
      <c r="M694" s="26"/>
    </row>
    <row r="695" spans="1:13" ht="75" customHeight="1" thickTop="1" thickBot="1">
      <c r="A695" s="34">
        <v>693</v>
      </c>
      <c r="B695" s="55">
        <f ca="1">IFERROR(__xludf.DUMMYFUNCTION("""COMPUTED_VALUE"""),46173.369665324)</f>
        <v>46173.369665323997</v>
      </c>
      <c r="C695" s="56" t="str">
        <f ca="1">IFERROR(__xludf.DUMMYFUNCTION("""COMPUTED_VALUE"""),"المعملجي")</f>
        <v>المعملجي</v>
      </c>
      <c r="D695" s="56" t="str">
        <f ca="1">IFERROR(__xludf.DUMMYFUNCTION("""COMPUTED_VALUE"""),"وحدة التبريد")</f>
        <v>وحدة التبريد</v>
      </c>
      <c r="E695" s="26" t="str">
        <f ca="1">IFERROR(__xludf.DUMMYFUNCTION("""COMPUTED_VALUE"""),"قسم المشاريع الهندسية")</f>
        <v>قسم المشاريع الهندسية</v>
      </c>
      <c r="F695" s="26" t="str">
        <f ca="1">IFERROR(__xludf.DUMMYFUNCTION("""COMPUTED_VALUE"""),"E- ابتدائية العميد للبنات (الثالثة)")</f>
        <v>E- ابتدائية العميد للبنات (الثالثة)</v>
      </c>
      <c r="G695" s="26" t="str">
        <f ca="1">IFERROR(__xludf.DUMMYFUNCTION("""COMPUTED_VALUE"""),"الطابق الثاني")</f>
        <v>الطابق الثاني</v>
      </c>
      <c r="H695" s="26" t="str">
        <f ca="1">IFERROR(__xludf.DUMMYFUNCTION("""COMPUTED_VALUE"""),"صيانة ضعف في تبريد المصلى ")</f>
        <v xml:space="preserve">صيانة ضعف في تبريد المصلى </v>
      </c>
      <c r="I695" s="26"/>
      <c r="J695" s="26" t="s">
        <v>15</v>
      </c>
      <c r="K695" s="26" t="s">
        <v>13</v>
      </c>
      <c r="L695" s="55"/>
      <c r="M695" s="26"/>
    </row>
    <row r="696" spans="1:13" ht="75" customHeight="1" thickTop="1" thickBot="1">
      <c r="A696" s="26">
        <v>694</v>
      </c>
      <c r="B696" s="55">
        <f ca="1">IFERROR(__xludf.DUMMYFUNCTION("""COMPUTED_VALUE"""),46173.3706035879)</f>
        <v>46173.3706035879</v>
      </c>
      <c r="C696" s="56" t="str">
        <f ca="1">IFERROR(__xludf.DUMMYFUNCTION("""COMPUTED_VALUE"""),"المعملجي")</f>
        <v>المعملجي</v>
      </c>
      <c r="D696" s="56" t="str">
        <f ca="1">IFERROR(__xludf.DUMMYFUNCTION("""COMPUTED_VALUE"""),"وحدة التبريد")</f>
        <v>وحدة التبريد</v>
      </c>
      <c r="E696" s="26" t="str">
        <f ca="1">IFERROR(__xludf.DUMMYFUNCTION("""COMPUTED_VALUE"""),"قسم المشاريع الهندسية")</f>
        <v>قسم المشاريع الهندسية</v>
      </c>
      <c r="F696" s="26" t="str">
        <f ca="1">IFERROR(__xludf.DUMMYFUNCTION("""COMPUTED_VALUE"""),"A- المركز الثقافي")</f>
        <v>A- المركز الثقافي</v>
      </c>
      <c r="G696" s="26" t="str">
        <f ca="1">IFERROR(__xludf.DUMMYFUNCTION("""COMPUTED_VALUE"""),"الطابق الارضي, غرفة الكهرباء")</f>
        <v>الطابق الارضي, غرفة الكهرباء</v>
      </c>
      <c r="H696" s="26" t="str">
        <f ca="1">IFERROR(__xludf.DUMMYFUNCTION("""COMPUTED_VALUE"""),"صيانة ليك في سبلت غرفة الكهرباء وإعادة شحن الغاز")</f>
        <v>صيانة ليك في سبلت غرفة الكهرباء وإعادة شحن الغاز</v>
      </c>
      <c r="I696" s="26"/>
      <c r="J696" s="26" t="s">
        <v>15</v>
      </c>
      <c r="K696" s="26" t="s">
        <v>13</v>
      </c>
      <c r="L696" s="55"/>
      <c r="M696" s="26"/>
    </row>
    <row r="697" spans="1:13" ht="75" customHeight="1" thickTop="1" thickBot="1">
      <c r="A697" s="34">
        <v>695</v>
      </c>
      <c r="B697" s="55">
        <f ca="1">IFERROR(__xludf.DUMMYFUNCTION("""COMPUTED_VALUE"""),46173.3708176967)</f>
        <v>46173.370817696697</v>
      </c>
      <c r="C697" s="56" t="str">
        <f ca="1">IFERROR(__xludf.DUMMYFUNCTION("""COMPUTED_VALUE"""),"المعملجي")</f>
        <v>المعملجي</v>
      </c>
      <c r="D697" s="56" t="str">
        <f ca="1">IFERROR(__xludf.DUMMYFUNCTION("""COMPUTED_VALUE"""),"وحدة التبريد")</f>
        <v>وحدة التبريد</v>
      </c>
      <c r="E697" s="26" t="str">
        <f ca="1">IFERROR(__xludf.DUMMYFUNCTION("""COMPUTED_VALUE"""),"قسم المشاريع الهندسية")</f>
        <v>قسم المشاريع الهندسية</v>
      </c>
      <c r="F697" s="26" t="str">
        <f ca="1">IFERROR(__xludf.DUMMYFUNCTION("""COMPUTED_VALUE"""),"B- روضة القمر")</f>
        <v>B- روضة القمر</v>
      </c>
      <c r="G697" s="26" t="str">
        <f ca="1">IFERROR(__xludf.DUMMYFUNCTION("""COMPUTED_VALUE"""),"الطابق الثاني, غرفة الكهرباء")</f>
        <v>الطابق الثاني, غرفة الكهرباء</v>
      </c>
      <c r="H697" s="26" t="str">
        <f ca="1">IFERROR(__xludf.DUMMYFUNCTION("""COMPUTED_VALUE"""),"صيانة ليك في سبلت غرفة الكهرباء وإعادة شحن الغاز")</f>
        <v>صيانة ليك في سبلت غرفة الكهرباء وإعادة شحن الغاز</v>
      </c>
      <c r="I697" s="26"/>
      <c r="J697" s="26" t="s">
        <v>15</v>
      </c>
      <c r="K697" s="26" t="s">
        <v>13</v>
      </c>
      <c r="L697" s="55"/>
      <c r="M697" s="26"/>
    </row>
    <row r="698" spans="1:13" ht="75" customHeight="1" thickTop="1" thickBot="1">
      <c r="A698" s="26">
        <v>696</v>
      </c>
      <c r="B698" s="55">
        <f ca="1">IFERROR(__xludf.DUMMYFUNCTION("""COMPUTED_VALUE"""),46173.3710165162)</f>
        <v>46173.371016516197</v>
      </c>
      <c r="C698" s="56" t="str">
        <f ca="1">IFERROR(__xludf.DUMMYFUNCTION("""COMPUTED_VALUE"""),"المعملجي")</f>
        <v>المعملجي</v>
      </c>
      <c r="D698" s="56" t="str">
        <f ca="1">IFERROR(__xludf.DUMMYFUNCTION("""COMPUTED_VALUE"""),"وحدة التبريد")</f>
        <v>وحدة التبريد</v>
      </c>
      <c r="E698" s="26" t="str">
        <f ca="1">IFERROR(__xludf.DUMMYFUNCTION("""COMPUTED_VALUE"""),"قسم المشاريع الهندسية")</f>
        <v>قسم المشاريع الهندسية</v>
      </c>
      <c r="F698" s="26" t="str">
        <f ca="1">IFERROR(__xludf.DUMMYFUNCTION("""COMPUTED_VALUE"""),"B- روضة القمر")</f>
        <v>B- روضة القمر</v>
      </c>
      <c r="G698" s="26" t="str">
        <f ca="1">IFERROR(__xludf.DUMMYFUNCTION("""COMPUTED_VALUE"""),"الطابق الارضي, غرفة الكهرباء")</f>
        <v>الطابق الارضي, غرفة الكهرباء</v>
      </c>
      <c r="H698" s="26" t="str">
        <f ca="1">IFERROR(__xludf.DUMMYFUNCTION("""COMPUTED_VALUE"""),"صيانة ليك في سبلت غرفة الكهرباء وإعادة شحن الغاز")</f>
        <v>صيانة ليك في سبلت غرفة الكهرباء وإعادة شحن الغاز</v>
      </c>
      <c r="I698" s="26"/>
      <c r="J698" s="26" t="s">
        <v>15</v>
      </c>
      <c r="K698" s="26" t="s">
        <v>13</v>
      </c>
      <c r="L698" s="55"/>
      <c r="M698" s="26"/>
    </row>
    <row r="699" spans="1:13" ht="75" customHeight="1" thickTop="1" thickBot="1">
      <c r="A699" s="34">
        <v>697</v>
      </c>
      <c r="B699" s="55">
        <f ca="1">IFERROR(__xludf.DUMMYFUNCTION("""COMPUTED_VALUE"""),46173.3713149421)</f>
        <v>46173.371314942102</v>
      </c>
      <c r="C699" s="56" t="str">
        <f ca="1">IFERROR(__xludf.DUMMYFUNCTION("""COMPUTED_VALUE"""),"المعملجي")</f>
        <v>المعملجي</v>
      </c>
      <c r="D699" s="56" t="str">
        <f ca="1">IFERROR(__xludf.DUMMYFUNCTION("""COMPUTED_VALUE"""),"وحدة التبريد")</f>
        <v>وحدة التبريد</v>
      </c>
      <c r="E699" s="26" t="str">
        <f ca="1">IFERROR(__xludf.DUMMYFUNCTION("""COMPUTED_VALUE"""),"قسم المشاريع الهندسية")</f>
        <v>قسم المشاريع الهندسية</v>
      </c>
      <c r="F699" s="26" t="str">
        <f ca="1">IFERROR(__xludf.DUMMYFUNCTION("""COMPUTED_VALUE"""),"الاستعلامات الرئيسية")</f>
        <v>الاستعلامات الرئيسية</v>
      </c>
      <c r="G699" s="26"/>
      <c r="H699" s="26" t="str">
        <f ca="1">IFERROR(__xludf.DUMMYFUNCTION("""COMPUTED_VALUE"""),"صيانة ليك في سبلت غرفة الكهرباء وإعادة شحن الغاز")</f>
        <v>صيانة ليك في سبلت غرفة الكهرباء وإعادة شحن الغاز</v>
      </c>
      <c r="I699" s="26"/>
      <c r="J699" s="26" t="s">
        <v>15</v>
      </c>
      <c r="K699" s="26" t="s">
        <v>13</v>
      </c>
      <c r="L699" s="55"/>
      <c r="M699" s="26"/>
    </row>
    <row r="700" spans="1:13" ht="75" customHeight="1" thickTop="1" thickBot="1">
      <c r="A700" s="26">
        <v>698</v>
      </c>
      <c r="B700" s="55">
        <f ca="1">IFERROR(__xludf.DUMMYFUNCTION("""COMPUTED_VALUE"""),46173.3716915509)</f>
        <v>46173.371691550899</v>
      </c>
      <c r="C700" s="56" t="str">
        <f ca="1">IFERROR(__xludf.DUMMYFUNCTION("""COMPUTED_VALUE"""),"المعملجي")</f>
        <v>المعملجي</v>
      </c>
      <c r="D700" s="56" t="str">
        <f ca="1">IFERROR(__xludf.DUMMYFUNCTION("""COMPUTED_VALUE"""),"وحدة التبريد")</f>
        <v>وحدة التبريد</v>
      </c>
      <c r="E700" s="26" t="str">
        <f ca="1">IFERROR(__xludf.DUMMYFUNCTION("""COMPUTED_VALUE"""),"قسم المشاريع الهندسية")</f>
        <v>قسم المشاريع الهندسية</v>
      </c>
      <c r="F700" s="26" t="str">
        <f ca="1">IFERROR(__xludf.DUMMYFUNCTION("""COMPUTED_VALUE"""),"A- المركز الثقافي")</f>
        <v>A- المركز الثقافي</v>
      </c>
      <c r="G700" s="26" t="str">
        <f ca="1">IFERROR(__xludf.DUMMYFUNCTION("""COMPUTED_VALUE"""),"غرفة الكهرباء, السنكرو")</f>
        <v>غرفة الكهرباء, السنكرو</v>
      </c>
      <c r="H700" s="26" t="str">
        <f ca="1">IFERROR(__xludf.DUMMYFUNCTION("""COMPUTED_VALUE"""),"صيانة ليك في سبلت غرفة الكهرباء وإعادة شحن الغاز")</f>
        <v>صيانة ليك في سبلت غرفة الكهرباء وإعادة شحن الغاز</v>
      </c>
      <c r="I700" s="26"/>
      <c r="J700" s="26" t="s">
        <v>15</v>
      </c>
      <c r="K700" s="26" t="s">
        <v>13</v>
      </c>
      <c r="L700" s="55"/>
      <c r="M700" s="26"/>
    </row>
    <row r="701" spans="1:13" ht="75" customHeight="1" thickTop="1" thickBot="1">
      <c r="A701" s="34">
        <v>699</v>
      </c>
      <c r="B701" s="55">
        <f ca="1">IFERROR(__xludf.DUMMYFUNCTION("""COMPUTED_VALUE"""),46173.3719586342)</f>
        <v>46173.371958634198</v>
      </c>
      <c r="C701" s="56" t="str">
        <f ca="1">IFERROR(__xludf.DUMMYFUNCTION("""COMPUTED_VALUE"""),"المعملجي")</f>
        <v>المعملجي</v>
      </c>
      <c r="D701" s="56" t="str">
        <f ca="1">IFERROR(__xludf.DUMMYFUNCTION("""COMPUTED_VALUE"""),"وحدة التبريد")</f>
        <v>وحدة التبريد</v>
      </c>
      <c r="E701" s="26" t="str">
        <f ca="1">IFERROR(__xludf.DUMMYFUNCTION("""COMPUTED_VALUE"""),"قسم المشاريع الهندسية")</f>
        <v>قسم المشاريع الهندسية</v>
      </c>
      <c r="F701" s="26" t="str">
        <f ca="1">IFERROR(__xludf.DUMMYFUNCTION("""COMPUTED_VALUE"""),"شعبة الصيانة")</f>
        <v>شعبة الصيانة</v>
      </c>
      <c r="G701" s="26"/>
      <c r="H701" s="26" t="str">
        <f ca="1">IFERROR(__xludf.DUMMYFUNCTION("""COMPUTED_VALUE"""),"صيانة ليك في سبلت غرفة الكهرباء وإعادة شحن الغاز")</f>
        <v>صيانة ليك في سبلت غرفة الكهرباء وإعادة شحن الغاز</v>
      </c>
      <c r="I701" s="26"/>
      <c r="J701" s="26" t="s">
        <v>15</v>
      </c>
      <c r="K701" s="26" t="s">
        <v>13</v>
      </c>
      <c r="L701" s="55"/>
      <c r="M701" s="26"/>
    </row>
    <row r="702" spans="1:13" ht="75" customHeight="1" thickTop="1" thickBot="1">
      <c r="A702" s="26">
        <v>700</v>
      </c>
      <c r="B702" s="55">
        <f ca="1">IFERROR(__xludf.DUMMYFUNCTION("""COMPUTED_VALUE"""),46173.3724501851)</f>
        <v>46173.372450185103</v>
      </c>
      <c r="C702" s="56" t="str">
        <f ca="1">IFERROR(__xludf.DUMMYFUNCTION("""COMPUTED_VALUE"""),"المعملجي")</f>
        <v>المعملجي</v>
      </c>
      <c r="D702" s="56" t="str">
        <f ca="1">IFERROR(__xludf.DUMMYFUNCTION("""COMPUTED_VALUE"""),"وحدة التبريد")</f>
        <v>وحدة التبريد</v>
      </c>
      <c r="E702" s="26" t="str">
        <f ca="1">IFERROR(__xludf.DUMMYFUNCTION("""COMPUTED_VALUE"""),"قسم المشاريع الهندسية")</f>
        <v>قسم المشاريع الهندسية</v>
      </c>
      <c r="F702" s="26" t="str">
        <f ca="1">IFERROR(__xludf.DUMMYFUNCTION("""COMPUTED_VALUE"""),"C- ثانوية العميد بناية الاعدادية  (الاولى)")</f>
        <v>C- ثانوية العميد بناية الاعدادية  (الاولى)</v>
      </c>
      <c r="G702" s="26" t="str">
        <f ca="1">IFERROR(__xludf.DUMMYFUNCTION("""COMPUTED_VALUE"""),"الطابق الارضي, غرفة الكهرباء")</f>
        <v>الطابق الارضي, غرفة الكهرباء</v>
      </c>
      <c r="H702" s="26" t="str">
        <f ca="1">IFERROR(__xludf.DUMMYFUNCTION("""COMPUTED_VALUE"""),"صيانة ليك في سبلت غرفة الكهرباء وإعادة شحن الغاز")</f>
        <v>صيانة ليك في سبلت غرفة الكهرباء وإعادة شحن الغاز</v>
      </c>
      <c r="I702" s="26"/>
      <c r="J702" s="26" t="s">
        <v>15</v>
      </c>
      <c r="K702" s="26" t="s">
        <v>13</v>
      </c>
      <c r="L702" s="55"/>
      <c r="M702" s="26"/>
    </row>
    <row r="703" spans="1:13" ht="75" customHeight="1" thickTop="1" thickBot="1">
      <c r="A703" s="34">
        <v>701</v>
      </c>
      <c r="B703" s="55">
        <f ca="1">IFERROR(__xludf.DUMMYFUNCTION("""COMPUTED_VALUE"""),46173.3730798842)</f>
        <v>46173.373079884201</v>
      </c>
      <c r="C703" s="56" t="str">
        <f ca="1">IFERROR(__xludf.DUMMYFUNCTION("""COMPUTED_VALUE"""),"المعملجي")</f>
        <v>المعملجي</v>
      </c>
      <c r="D703" s="56" t="str">
        <f ca="1">IFERROR(__xludf.DUMMYFUNCTION("""COMPUTED_VALUE"""),"وحدة التبريد")</f>
        <v>وحدة التبريد</v>
      </c>
      <c r="E703" s="26" t="str">
        <f ca="1">IFERROR(__xludf.DUMMYFUNCTION("""COMPUTED_VALUE"""),"قسم المشاريع الهندسية")</f>
        <v>قسم المشاريع الهندسية</v>
      </c>
      <c r="F703" s="26" t="str">
        <f ca="1">IFERROR(__xludf.DUMMYFUNCTION("""COMPUTED_VALUE"""),"E- ابتدائية العميد للبنات (الثالثة)")</f>
        <v>E- ابتدائية العميد للبنات (الثالثة)</v>
      </c>
      <c r="G703" s="26" t="str">
        <f ca="1">IFERROR(__xludf.DUMMYFUNCTION("""COMPUTED_VALUE"""),"الطابق الثاني")</f>
        <v>الطابق الثاني</v>
      </c>
      <c r="H703" s="26" t="str">
        <f ca="1">IFERROR(__xludf.DUMMYFUNCTION("""COMPUTED_VALUE"""),"صيانة مضخة الدرين الخاصة بأحد القطع الداخلي لمنظومة الvrf")</f>
        <v>صيانة مضخة الدرين الخاصة بأحد القطع الداخلي لمنظومة الvrf</v>
      </c>
      <c r="I703" s="26"/>
      <c r="J703" s="26" t="s">
        <v>15</v>
      </c>
      <c r="K703" s="26" t="s">
        <v>13</v>
      </c>
      <c r="L703" s="55"/>
      <c r="M703" s="26"/>
    </row>
    <row r="704" spans="1:13" ht="75" customHeight="1" thickTop="1" thickBot="1">
      <c r="A704" s="26">
        <v>702</v>
      </c>
      <c r="B704" s="55">
        <f ca="1">IFERROR(__xludf.DUMMYFUNCTION("""COMPUTED_VALUE"""),46173.3785278356)</f>
        <v>46173.378527835601</v>
      </c>
      <c r="C704" s="56" t="str">
        <f ca="1">IFERROR(__xludf.DUMMYFUNCTION("""COMPUTED_VALUE"""),"المعملجي")</f>
        <v>المعملجي</v>
      </c>
      <c r="D704" s="56" t="str">
        <f ca="1">IFERROR(__xludf.DUMMYFUNCTION("""COMPUTED_VALUE"""),"وحدة التبريد")</f>
        <v>وحدة التبريد</v>
      </c>
      <c r="E704" s="26" t="str">
        <f ca="1">IFERROR(__xludf.DUMMYFUNCTION("""COMPUTED_VALUE"""),"قسم المشاريع الهندسية")</f>
        <v>قسم المشاريع الهندسية</v>
      </c>
      <c r="F704" s="26" t="str">
        <f ca="1">IFERROR(__xludf.DUMMYFUNCTION("""COMPUTED_VALUE"""),"شعبة الصيانة")</f>
        <v>شعبة الصيانة</v>
      </c>
      <c r="G704" s="26"/>
      <c r="H704" s="26" t="str">
        <f ca="1">IFERROR(__xludf.DUMMYFUNCTION("""COMPUTED_VALUE"""),"ادامة وتنظيف منظومة الاطفاء الرئيسية ومضخات المياه ")</f>
        <v xml:space="preserve">ادامة وتنظيف منظومة الاطفاء الرئيسية ومضخات المياه </v>
      </c>
      <c r="I704" s="26"/>
      <c r="J704" s="26" t="s">
        <v>14</v>
      </c>
      <c r="K704" s="26" t="s">
        <v>13</v>
      </c>
      <c r="L704" s="55"/>
      <c r="M704" s="26"/>
    </row>
    <row r="705" spans="1:13" ht="75" customHeight="1" thickTop="1" thickBot="1">
      <c r="A705" s="34">
        <v>703</v>
      </c>
      <c r="B705" s="55">
        <f ca="1">IFERROR(__xludf.DUMMYFUNCTION("""COMPUTED_VALUE"""),46173.3789289699)</f>
        <v>46173.378928969898</v>
      </c>
      <c r="C705" s="56" t="str">
        <f ca="1">IFERROR(__xludf.DUMMYFUNCTION("""COMPUTED_VALUE"""),"المعملجي")</f>
        <v>المعملجي</v>
      </c>
      <c r="D705" s="56" t="str">
        <f ca="1">IFERROR(__xludf.DUMMYFUNCTION("""COMPUTED_VALUE"""),"وحدة الميكانيك")</f>
        <v>وحدة الميكانيك</v>
      </c>
      <c r="E705" s="26" t="str">
        <f ca="1">IFERROR(__xludf.DUMMYFUNCTION("""COMPUTED_VALUE"""),"قسم المشاريع الهندسية")</f>
        <v>قسم المشاريع الهندسية</v>
      </c>
      <c r="F705" s="26" t="str">
        <f ca="1">IFERROR(__xludf.DUMMYFUNCTION("""COMPUTED_VALUE"""),"A- المركز الثقافي")</f>
        <v>A- المركز الثقافي</v>
      </c>
      <c r="G705" s="26" t="str">
        <f ca="1">IFERROR(__xludf.DUMMYFUNCTION("""COMPUTED_VALUE"""),"السطح")</f>
        <v>السطح</v>
      </c>
      <c r="H705" s="26" t="str">
        <f ca="1">IFERROR(__xludf.DUMMYFUNCTION("""COMPUTED_VALUE"""),"ادامة وتنظيف منظومة الاطفاء في البناية ")</f>
        <v xml:space="preserve">ادامة وتنظيف منظومة الاطفاء في البناية </v>
      </c>
      <c r="I705" s="26"/>
      <c r="J705" s="26" t="s">
        <v>14</v>
      </c>
      <c r="K705" s="26" t="s">
        <v>13</v>
      </c>
      <c r="L705" s="55"/>
      <c r="M705" s="26"/>
    </row>
    <row r="706" spans="1:13" ht="75" customHeight="1" thickTop="1" thickBot="1">
      <c r="A706" s="26">
        <v>704</v>
      </c>
      <c r="B706" s="55">
        <f ca="1">IFERROR(__xludf.DUMMYFUNCTION("""COMPUTED_VALUE"""),46173.379101493)</f>
        <v>46173.379101493003</v>
      </c>
      <c r="C706" s="56" t="str">
        <f ca="1">IFERROR(__xludf.DUMMYFUNCTION("""COMPUTED_VALUE"""),"المعملجي")</f>
        <v>المعملجي</v>
      </c>
      <c r="D706" s="56" t="str">
        <f ca="1">IFERROR(__xludf.DUMMYFUNCTION("""COMPUTED_VALUE"""),"وحدة الميكانيك")</f>
        <v>وحدة الميكانيك</v>
      </c>
      <c r="E706" s="26" t="str">
        <f ca="1">IFERROR(__xludf.DUMMYFUNCTION("""COMPUTED_VALUE"""),"قسم المشاريع الهندسية")</f>
        <v>قسم المشاريع الهندسية</v>
      </c>
      <c r="F706" s="26" t="str">
        <f ca="1">IFERROR(__xludf.DUMMYFUNCTION("""COMPUTED_VALUE"""),"B- روضة القمر")</f>
        <v>B- روضة القمر</v>
      </c>
      <c r="G706" s="26" t="str">
        <f ca="1">IFERROR(__xludf.DUMMYFUNCTION("""COMPUTED_VALUE"""),"السطح")</f>
        <v>السطح</v>
      </c>
      <c r="H706" s="26" t="str">
        <f ca="1">IFERROR(__xludf.DUMMYFUNCTION("""COMPUTED_VALUE"""),"ادامة وتنظيف منظومة الاطفاء في البناية")</f>
        <v>ادامة وتنظيف منظومة الاطفاء في البناية</v>
      </c>
      <c r="I706" s="26"/>
      <c r="J706" s="26" t="s">
        <v>14</v>
      </c>
      <c r="K706" s="26" t="s">
        <v>13</v>
      </c>
      <c r="L706" s="55"/>
      <c r="M706" s="26"/>
    </row>
    <row r="707" spans="1:13" ht="75" customHeight="1" thickTop="1" thickBot="1">
      <c r="A707" s="34">
        <v>705</v>
      </c>
      <c r="B707" s="55">
        <f ca="1">IFERROR(__xludf.DUMMYFUNCTION("""COMPUTED_VALUE"""),46173.3793057291)</f>
        <v>46173.379305729097</v>
      </c>
      <c r="C707" s="56" t="str">
        <f ca="1">IFERROR(__xludf.DUMMYFUNCTION("""COMPUTED_VALUE"""),"المعملجي")</f>
        <v>المعملجي</v>
      </c>
      <c r="D707" s="56" t="str">
        <f ca="1">IFERROR(__xludf.DUMMYFUNCTION("""COMPUTED_VALUE"""),"وحدة الميكانيك")</f>
        <v>وحدة الميكانيك</v>
      </c>
      <c r="E707" s="26" t="str">
        <f ca="1">IFERROR(__xludf.DUMMYFUNCTION("""COMPUTED_VALUE"""),"قسم المشاريع الهندسية")</f>
        <v>قسم المشاريع الهندسية</v>
      </c>
      <c r="F707" s="26" t="str">
        <f ca="1">IFERROR(__xludf.DUMMYFUNCTION("""COMPUTED_VALUE"""),"G- روضة الجود")</f>
        <v>G- روضة الجود</v>
      </c>
      <c r="G707" s="26" t="str">
        <f ca="1">IFERROR(__xludf.DUMMYFUNCTION("""COMPUTED_VALUE"""),"السطح")</f>
        <v>السطح</v>
      </c>
      <c r="H707" s="26" t="str">
        <f ca="1">IFERROR(__xludf.DUMMYFUNCTION("""COMPUTED_VALUE"""),"ادامة وتنظيف منظومة الاطفاء في البناية")</f>
        <v>ادامة وتنظيف منظومة الاطفاء في البناية</v>
      </c>
      <c r="I707" s="26"/>
      <c r="J707" s="26" t="s">
        <v>14</v>
      </c>
      <c r="K707" s="26" t="s">
        <v>13</v>
      </c>
      <c r="L707" s="55"/>
      <c r="M707" s="26"/>
    </row>
    <row r="708" spans="1:13" ht="75" customHeight="1" thickTop="1" thickBot="1">
      <c r="A708" s="26">
        <v>706</v>
      </c>
      <c r="B708" s="55">
        <f ca="1">IFERROR(__xludf.DUMMYFUNCTION("""COMPUTED_VALUE"""),46173.3795063888)</f>
        <v>46173.379506388803</v>
      </c>
      <c r="C708" s="56" t="str">
        <f ca="1">IFERROR(__xludf.DUMMYFUNCTION("""COMPUTED_VALUE"""),"المعملجي")</f>
        <v>المعملجي</v>
      </c>
      <c r="D708" s="56" t="str">
        <f ca="1">IFERROR(__xludf.DUMMYFUNCTION("""COMPUTED_VALUE"""),"وحدة الميكانيك")</f>
        <v>وحدة الميكانيك</v>
      </c>
      <c r="E708" s="26" t="str">
        <f ca="1">IFERROR(__xludf.DUMMYFUNCTION("""COMPUTED_VALUE"""),"قسم المشاريع الهندسية")</f>
        <v>قسم المشاريع الهندسية</v>
      </c>
      <c r="F708" s="26" t="str">
        <f ca="1">IFERROR(__xludf.DUMMYFUNCTION("""COMPUTED_VALUE"""),"G- روضة الجود")</f>
        <v>G- روضة الجود</v>
      </c>
      <c r="G708" s="26" t="str">
        <f ca="1">IFERROR(__xludf.DUMMYFUNCTION("""COMPUTED_VALUE"""),"السطح")</f>
        <v>السطح</v>
      </c>
      <c r="H708" s="26" t="str">
        <f ca="1">IFERROR(__xludf.DUMMYFUNCTION("""COMPUTED_VALUE"""),"ادامة وتنظيف منظومة الاطفاء في البناية")</f>
        <v>ادامة وتنظيف منظومة الاطفاء في البناية</v>
      </c>
      <c r="I708" s="26"/>
      <c r="J708" s="26" t="s">
        <v>14</v>
      </c>
      <c r="K708" s="26" t="s">
        <v>13</v>
      </c>
      <c r="L708" s="55"/>
      <c r="M708" s="26"/>
    </row>
    <row r="709" spans="1:13" ht="75" customHeight="1" thickTop="1" thickBot="1">
      <c r="A709" s="34">
        <v>707</v>
      </c>
      <c r="B709" s="55">
        <f ca="1">IFERROR(__xludf.DUMMYFUNCTION("""COMPUTED_VALUE"""),46173.379675625)</f>
        <v>46173.379675625001</v>
      </c>
      <c r="C709" s="56" t="str">
        <f ca="1">IFERROR(__xludf.DUMMYFUNCTION("""COMPUTED_VALUE"""),"المعملجي")</f>
        <v>المعملجي</v>
      </c>
      <c r="D709" s="56" t="str">
        <f ca="1">IFERROR(__xludf.DUMMYFUNCTION("""COMPUTED_VALUE"""),"وحدة الميكانيك")</f>
        <v>وحدة الميكانيك</v>
      </c>
      <c r="E709" s="26" t="str">
        <f ca="1">IFERROR(__xludf.DUMMYFUNCTION("""COMPUTED_VALUE"""),"قسم المشاريع الهندسية")</f>
        <v>قسم المشاريع الهندسية</v>
      </c>
      <c r="F709" s="26" t="str">
        <f ca="1">IFERROR(__xludf.DUMMYFUNCTION("""COMPUTED_VALUE"""),"C- ثانوية العميد بناية الاعدادية  (الاولى)")</f>
        <v>C- ثانوية العميد بناية الاعدادية  (الاولى)</v>
      </c>
      <c r="G709" s="26" t="str">
        <f ca="1">IFERROR(__xludf.DUMMYFUNCTION("""COMPUTED_VALUE"""),"السطح")</f>
        <v>السطح</v>
      </c>
      <c r="H709" s="26" t="str">
        <f ca="1">IFERROR(__xludf.DUMMYFUNCTION("""COMPUTED_VALUE"""),"ادامة وتنظيف منظومة الاطفاء في البناية")</f>
        <v>ادامة وتنظيف منظومة الاطفاء في البناية</v>
      </c>
      <c r="I709" s="26"/>
      <c r="J709" s="26" t="s">
        <v>14</v>
      </c>
      <c r="K709" s="26" t="s">
        <v>13</v>
      </c>
      <c r="L709" s="55"/>
      <c r="M709" s="26"/>
    </row>
    <row r="710" spans="1:13" ht="75" customHeight="1" thickTop="1" thickBot="1">
      <c r="A710" s="26">
        <v>708</v>
      </c>
      <c r="B710" s="55">
        <f ca="1">IFERROR(__xludf.DUMMYFUNCTION("""COMPUTED_VALUE"""),46173.3799638888)</f>
        <v>46173.379963888801</v>
      </c>
      <c r="C710" s="56" t="str">
        <f ca="1">IFERROR(__xludf.DUMMYFUNCTION("""COMPUTED_VALUE"""),"المعملجي")</f>
        <v>المعملجي</v>
      </c>
      <c r="D710" s="56" t="str">
        <f ca="1">IFERROR(__xludf.DUMMYFUNCTION("""COMPUTED_VALUE"""),"وحدة الميكانيك")</f>
        <v>وحدة الميكانيك</v>
      </c>
      <c r="E710" s="26" t="str">
        <f ca="1">IFERROR(__xludf.DUMMYFUNCTION("""COMPUTED_VALUE"""),"قسم المشاريع الهندسية")</f>
        <v>قسم المشاريع الهندسية</v>
      </c>
      <c r="F710" s="26" t="str">
        <f ca="1">IFERROR(__xludf.DUMMYFUNCTION("""COMPUTED_VALUE"""),"D- ثانوية العميد بناية المتوسطة  (الثانية)")</f>
        <v>D- ثانوية العميد بناية المتوسطة  (الثانية)</v>
      </c>
      <c r="G710" s="26" t="str">
        <f ca="1">IFERROR(__xludf.DUMMYFUNCTION("""COMPUTED_VALUE"""),"السطح")</f>
        <v>السطح</v>
      </c>
      <c r="H710" s="26" t="str">
        <f ca="1">IFERROR(__xludf.DUMMYFUNCTION("""COMPUTED_VALUE"""),"ادامة وتنظيف منظومة الاطفاء في البناية")</f>
        <v>ادامة وتنظيف منظومة الاطفاء في البناية</v>
      </c>
      <c r="I710" s="26"/>
      <c r="J710" s="26" t="s">
        <v>14</v>
      </c>
      <c r="K710" s="26" t="s">
        <v>13</v>
      </c>
      <c r="L710" s="55"/>
      <c r="M710" s="26"/>
    </row>
    <row r="711" spans="1:13" ht="75" customHeight="1" thickTop="1" thickBot="1">
      <c r="A711" s="34">
        <v>709</v>
      </c>
      <c r="B711" s="55">
        <f ca="1">IFERROR(__xludf.DUMMYFUNCTION("""COMPUTED_VALUE"""),46173.3801783796)</f>
        <v>46173.380178379601</v>
      </c>
      <c r="C711" s="56" t="str">
        <f ca="1">IFERROR(__xludf.DUMMYFUNCTION("""COMPUTED_VALUE"""),"المعملجي")</f>
        <v>المعملجي</v>
      </c>
      <c r="D711" s="56" t="str">
        <f ca="1">IFERROR(__xludf.DUMMYFUNCTION("""COMPUTED_VALUE"""),"وحدة الميكانيك")</f>
        <v>وحدة الميكانيك</v>
      </c>
      <c r="E711" s="26" t="str">
        <f ca="1">IFERROR(__xludf.DUMMYFUNCTION("""COMPUTED_VALUE"""),"قسم المشاريع الهندسية")</f>
        <v>قسم المشاريع الهندسية</v>
      </c>
      <c r="F711" s="26" t="str">
        <f ca="1">IFERROR(__xludf.DUMMYFUNCTION("""COMPUTED_VALUE"""),"E- ابتدائية العميد للبنات (الثالثة)")</f>
        <v>E- ابتدائية العميد للبنات (الثالثة)</v>
      </c>
      <c r="G711" s="26" t="str">
        <f ca="1">IFERROR(__xludf.DUMMYFUNCTION("""COMPUTED_VALUE"""),"السطح")</f>
        <v>السطح</v>
      </c>
      <c r="H711" s="26" t="str">
        <f ca="1">IFERROR(__xludf.DUMMYFUNCTION("""COMPUTED_VALUE"""),"ادامة وتنظيف منظومة الاطفاء في البناية")</f>
        <v>ادامة وتنظيف منظومة الاطفاء في البناية</v>
      </c>
      <c r="I711" s="26"/>
      <c r="J711" s="26" t="s">
        <v>14</v>
      </c>
      <c r="K711" s="26" t="s">
        <v>13</v>
      </c>
      <c r="L711" s="55"/>
      <c r="M711" s="26"/>
    </row>
    <row r="712" spans="1:13" ht="75" customHeight="1" thickTop="1" thickBot="1">
      <c r="A712" s="26">
        <v>710</v>
      </c>
      <c r="B712" s="55">
        <f ca="1">IFERROR(__xludf.DUMMYFUNCTION("""COMPUTED_VALUE"""),46173.3803552893)</f>
        <v>46173.3803552893</v>
      </c>
      <c r="C712" s="56" t="str">
        <f ca="1">IFERROR(__xludf.DUMMYFUNCTION("""COMPUTED_VALUE"""),"المعملجي")</f>
        <v>المعملجي</v>
      </c>
      <c r="D712" s="56" t="str">
        <f ca="1">IFERROR(__xludf.DUMMYFUNCTION("""COMPUTED_VALUE"""),"وحدة الميكانيك")</f>
        <v>وحدة الميكانيك</v>
      </c>
      <c r="E712" s="26" t="str">
        <f ca="1">IFERROR(__xludf.DUMMYFUNCTION("""COMPUTED_VALUE"""),"قسم المشاريع الهندسية")</f>
        <v>قسم المشاريع الهندسية</v>
      </c>
      <c r="F712" s="26" t="str">
        <f ca="1">IFERROR(__xludf.DUMMYFUNCTION("""COMPUTED_VALUE"""),"F-  ابتدائية جود العميد للبنات (الرابعة)")</f>
        <v>F-  ابتدائية جود العميد للبنات (الرابعة)</v>
      </c>
      <c r="G712" s="26" t="str">
        <f ca="1">IFERROR(__xludf.DUMMYFUNCTION("""COMPUTED_VALUE"""),"السطح")</f>
        <v>السطح</v>
      </c>
      <c r="H712" s="26" t="str">
        <f ca="1">IFERROR(__xludf.DUMMYFUNCTION("""COMPUTED_VALUE"""),"ادامة وتنظيف منظومة الاطفاء في البناية")</f>
        <v>ادامة وتنظيف منظومة الاطفاء في البناية</v>
      </c>
      <c r="I712" s="26"/>
      <c r="J712" s="26" t="s">
        <v>14</v>
      </c>
      <c r="K712" s="26" t="s">
        <v>13</v>
      </c>
      <c r="L712" s="55"/>
      <c r="M712" s="26"/>
    </row>
    <row r="713" spans="1:13" ht="75" customHeight="1" thickTop="1" thickBot="1">
      <c r="A713" s="34">
        <v>711</v>
      </c>
      <c r="B713" s="55">
        <f ca="1">IFERROR(__xludf.DUMMYFUNCTION("""COMPUTED_VALUE"""),46173.3805232291)</f>
        <v>46173.380523229098</v>
      </c>
      <c r="C713" s="56" t="str">
        <f ca="1">IFERROR(__xludf.DUMMYFUNCTION("""COMPUTED_VALUE"""),"المعملجي")</f>
        <v>المعملجي</v>
      </c>
      <c r="D713" s="56" t="str">
        <f ca="1">IFERROR(__xludf.DUMMYFUNCTION("""COMPUTED_VALUE"""),"وحدة الميكانيك")</f>
        <v>وحدة الميكانيك</v>
      </c>
      <c r="E713" s="26" t="str">
        <f ca="1">IFERROR(__xludf.DUMMYFUNCTION("""COMPUTED_VALUE"""),"قسم المشاريع الهندسية")</f>
        <v>قسم المشاريع الهندسية</v>
      </c>
      <c r="F713" s="26" t="str">
        <f ca="1">IFERROR(__xludf.DUMMYFUNCTION("""COMPUTED_VALUE"""),"H- ابتدائية القمر للبنات (الخامسة)")</f>
        <v>H- ابتدائية القمر للبنات (الخامسة)</v>
      </c>
      <c r="G713" s="26" t="str">
        <f ca="1">IFERROR(__xludf.DUMMYFUNCTION("""COMPUTED_VALUE"""),"السطح")</f>
        <v>السطح</v>
      </c>
      <c r="H713" s="26" t="str">
        <f ca="1">IFERROR(__xludf.DUMMYFUNCTION("""COMPUTED_VALUE"""),"ادامة وتنظيف منظومة الاطفاء في البناية")</f>
        <v>ادامة وتنظيف منظومة الاطفاء في البناية</v>
      </c>
      <c r="I713" s="26"/>
      <c r="J713" s="26" t="s">
        <v>14</v>
      </c>
      <c r="K713" s="26" t="s">
        <v>13</v>
      </c>
      <c r="L713" s="55"/>
      <c r="M713" s="26"/>
    </row>
    <row r="714" spans="1:13" ht="75" customHeight="1" thickTop="1" thickBot="1">
      <c r="A714" s="26">
        <v>712</v>
      </c>
      <c r="B714" s="55">
        <f ca="1">IFERROR(__xludf.DUMMYFUNCTION("""COMPUTED_VALUE"""),46173.3807355208)</f>
        <v>46173.380735520797</v>
      </c>
      <c r="C714" s="56" t="str">
        <f ca="1">IFERROR(__xludf.DUMMYFUNCTION("""COMPUTED_VALUE"""),"المعملجي")</f>
        <v>المعملجي</v>
      </c>
      <c r="D714" s="56" t="str">
        <f ca="1">IFERROR(__xludf.DUMMYFUNCTION("""COMPUTED_VALUE"""),"وحدة الميكانيك")</f>
        <v>وحدة الميكانيك</v>
      </c>
      <c r="E714" s="26" t="str">
        <f ca="1">IFERROR(__xludf.DUMMYFUNCTION("""COMPUTED_VALUE"""),"قسم المشاريع الهندسية")</f>
        <v>قسم المشاريع الهندسية</v>
      </c>
      <c r="F714" s="26" t="str">
        <f ca="1">IFERROR(__xludf.DUMMYFUNCTION("""COMPUTED_VALUE"""),"I- ابتدائية الساقي للبنين (السادسة)")</f>
        <v>I- ابتدائية الساقي للبنين (السادسة)</v>
      </c>
      <c r="G714" s="26" t="str">
        <f ca="1">IFERROR(__xludf.DUMMYFUNCTION("""COMPUTED_VALUE"""),"السطح")</f>
        <v>السطح</v>
      </c>
      <c r="H714" s="26" t="str">
        <f ca="1">IFERROR(__xludf.DUMMYFUNCTION("""COMPUTED_VALUE"""),"ادامة وتنظيف منظومة الاطفاء في البناية")</f>
        <v>ادامة وتنظيف منظومة الاطفاء في البناية</v>
      </c>
      <c r="I714" s="26"/>
      <c r="J714" s="26" t="s">
        <v>14</v>
      </c>
      <c r="K714" s="26" t="s">
        <v>13</v>
      </c>
      <c r="L714" s="55"/>
      <c r="M714" s="26"/>
    </row>
    <row r="715" spans="1:13" ht="75" customHeight="1" thickTop="1" thickBot="1">
      <c r="A715" s="34">
        <v>713</v>
      </c>
      <c r="B715" s="55">
        <f ca="1">IFERROR(__xludf.DUMMYFUNCTION("""COMPUTED_VALUE"""),46173.3809445254)</f>
        <v>46173.380944525401</v>
      </c>
      <c r="C715" s="56" t="str">
        <f ca="1">IFERROR(__xludf.DUMMYFUNCTION("""COMPUTED_VALUE"""),"المعملجي")</f>
        <v>المعملجي</v>
      </c>
      <c r="D715" s="56" t="str">
        <f ca="1">IFERROR(__xludf.DUMMYFUNCTION("""COMPUTED_VALUE"""),"وحدة الميكانيك")</f>
        <v>وحدة الميكانيك</v>
      </c>
      <c r="E715" s="26" t="str">
        <f ca="1">IFERROR(__xludf.DUMMYFUNCTION("""COMPUTED_VALUE"""),"قسم المشاريع الهندسية")</f>
        <v>قسم المشاريع الهندسية</v>
      </c>
      <c r="F715"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715" s="26" t="str">
        <f ca="1">IFERROR(__xludf.DUMMYFUNCTION("""COMPUTED_VALUE"""),"السطح")</f>
        <v>السطح</v>
      </c>
      <c r="H715" s="26" t="str">
        <f ca="1">IFERROR(__xludf.DUMMYFUNCTION("""COMPUTED_VALUE"""),"ادامة وتنظيف منظومة الاطفاء في البناية")</f>
        <v>ادامة وتنظيف منظومة الاطفاء في البناية</v>
      </c>
      <c r="I715" s="26"/>
      <c r="J715" s="26" t="s">
        <v>14</v>
      </c>
      <c r="K715" s="26" t="s">
        <v>13</v>
      </c>
      <c r="L715" s="55"/>
      <c r="M715" s="26"/>
    </row>
    <row r="716" spans="1:13" ht="75" customHeight="1" thickTop="1" thickBot="1">
      <c r="A716" s="26">
        <v>714</v>
      </c>
      <c r="B716" s="55">
        <f ca="1">IFERROR(__xludf.DUMMYFUNCTION("""COMPUTED_VALUE"""),46173.3813750347)</f>
        <v>46173.381375034704</v>
      </c>
      <c r="C716" s="56" t="str">
        <f ca="1">IFERROR(__xludf.DUMMYFUNCTION("""COMPUTED_VALUE"""),"المعملجي")</f>
        <v>المعملجي</v>
      </c>
      <c r="D716" s="56" t="str">
        <f ca="1">IFERROR(__xludf.DUMMYFUNCTION("""COMPUTED_VALUE"""),"وحدة الميكانيك")</f>
        <v>وحدة الميكانيك</v>
      </c>
      <c r="E716" s="26" t="str">
        <f ca="1">IFERROR(__xludf.DUMMYFUNCTION("""COMPUTED_VALUE"""),"قسم المشاريع الهندسية")</f>
        <v>قسم المشاريع الهندسية</v>
      </c>
      <c r="F716" s="26" t="str">
        <f ca="1">IFERROR(__xludf.DUMMYFUNCTION("""COMPUTED_VALUE"""),"B- روضة القمر")</f>
        <v>B- روضة القمر</v>
      </c>
      <c r="G716" s="26" t="str">
        <f ca="1">IFERROR(__xludf.DUMMYFUNCTION("""COMPUTED_VALUE"""),"السطح")</f>
        <v>السطح</v>
      </c>
      <c r="H716" s="26" t="str">
        <f ca="1">IFERROR(__xludf.DUMMYFUNCTION("""COMPUTED_VALUE"""),"ادامة وتنظيف منظومة تحلية المياه في البناية ")</f>
        <v xml:space="preserve">ادامة وتنظيف منظومة تحلية المياه في البناية </v>
      </c>
      <c r="I716" s="26"/>
      <c r="J716" s="26" t="s">
        <v>14</v>
      </c>
      <c r="K716" s="26" t="s">
        <v>13</v>
      </c>
      <c r="L716" s="55"/>
      <c r="M716" s="26"/>
    </row>
    <row r="717" spans="1:13" ht="75" customHeight="1" thickTop="1" thickBot="1">
      <c r="A717" s="34">
        <v>715</v>
      </c>
      <c r="B717" s="55">
        <f ca="1">IFERROR(__xludf.DUMMYFUNCTION("""COMPUTED_VALUE"""),46173.3815473841)</f>
        <v>46173.381547384197</v>
      </c>
      <c r="C717" s="56" t="str">
        <f ca="1">IFERROR(__xludf.DUMMYFUNCTION("""COMPUTED_VALUE"""),"المعملجي")</f>
        <v>المعملجي</v>
      </c>
      <c r="D717" s="56" t="str">
        <f ca="1">IFERROR(__xludf.DUMMYFUNCTION("""COMPUTED_VALUE"""),"وحدة الميكانيك")</f>
        <v>وحدة الميكانيك</v>
      </c>
      <c r="E717" s="26" t="str">
        <f ca="1">IFERROR(__xludf.DUMMYFUNCTION("""COMPUTED_VALUE"""),"قسم المشاريع الهندسية")</f>
        <v>قسم المشاريع الهندسية</v>
      </c>
      <c r="F717" s="26" t="str">
        <f ca="1">IFERROR(__xludf.DUMMYFUNCTION("""COMPUTED_VALUE"""),"G- روضة الجود")</f>
        <v>G- روضة الجود</v>
      </c>
      <c r="G717" s="26" t="str">
        <f ca="1">IFERROR(__xludf.DUMMYFUNCTION("""COMPUTED_VALUE"""),"السطح")</f>
        <v>السطح</v>
      </c>
      <c r="H717" s="26" t="str">
        <f ca="1">IFERROR(__xludf.DUMMYFUNCTION("""COMPUTED_VALUE"""),"ادامة وتنظيف منظومة تحلية المياه في البناية ")</f>
        <v xml:space="preserve">ادامة وتنظيف منظومة تحلية المياه في البناية </v>
      </c>
      <c r="I717" s="26"/>
      <c r="J717" s="26" t="s">
        <v>14</v>
      </c>
      <c r="K717" s="26" t="s">
        <v>13</v>
      </c>
      <c r="L717" s="55"/>
      <c r="M717" s="26"/>
    </row>
    <row r="718" spans="1:13" ht="75" customHeight="1" thickTop="1" thickBot="1">
      <c r="A718" s="26">
        <v>716</v>
      </c>
      <c r="B718" s="55">
        <f ca="1">IFERROR(__xludf.DUMMYFUNCTION("""COMPUTED_VALUE"""),46173.3817116666)</f>
        <v>46173.381711666603</v>
      </c>
      <c r="C718" s="56" t="str">
        <f ca="1">IFERROR(__xludf.DUMMYFUNCTION("""COMPUTED_VALUE"""),"المعملجي")</f>
        <v>المعملجي</v>
      </c>
      <c r="D718" s="56" t="str">
        <f ca="1">IFERROR(__xludf.DUMMYFUNCTION("""COMPUTED_VALUE"""),"وحدة الميكانيك")</f>
        <v>وحدة الميكانيك</v>
      </c>
      <c r="E718" s="26" t="str">
        <f ca="1">IFERROR(__xludf.DUMMYFUNCTION("""COMPUTED_VALUE"""),"قسم المشاريع الهندسية")</f>
        <v>قسم المشاريع الهندسية</v>
      </c>
      <c r="F718" s="26" t="str">
        <f ca="1">IFERROR(__xludf.DUMMYFUNCTION("""COMPUTED_VALUE"""),"C- ثانوية العميد بناية الاعدادية  (الاولى)")</f>
        <v>C- ثانوية العميد بناية الاعدادية  (الاولى)</v>
      </c>
      <c r="G718" s="26" t="str">
        <f ca="1">IFERROR(__xludf.DUMMYFUNCTION("""COMPUTED_VALUE"""),"السطح")</f>
        <v>السطح</v>
      </c>
      <c r="H718" s="26" t="str">
        <f ca="1">IFERROR(__xludf.DUMMYFUNCTION("""COMPUTED_VALUE"""),"ادامة وتنظيف منظومة تحلية المياه في البناية ")</f>
        <v xml:space="preserve">ادامة وتنظيف منظومة تحلية المياه في البناية </v>
      </c>
      <c r="I718" s="26"/>
      <c r="J718" s="26" t="s">
        <v>14</v>
      </c>
      <c r="K718" s="26" t="s">
        <v>13</v>
      </c>
      <c r="L718" s="55"/>
      <c r="M718" s="26"/>
    </row>
    <row r="719" spans="1:13" ht="75" customHeight="1" thickTop="1" thickBot="1">
      <c r="A719" s="34">
        <v>717</v>
      </c>
      <c r="B719" s="55">
        <f ca="1">IFERROR(__xludf.DUMMYFUNCTION("""COMPUTED_VALUE"""),46173.3819066435)</f>
        <v>46173.381906643503</v>
      </c>
      <c r="C719" s="56" t="str">
        <f ca="1">IFERROR(__xludf.DUMMYFUNCTION("""COMPUTED_VALUE"""),"المعملجي")</f>
        <v>المعملجي</v>
      </c>
      <c r="D719" s="56" t="str">
        <f ca="1">IFERROR(__xludf.DUMMYFUNCTION("""COMPUTED_VALUE"""),"وحدة الميكانيك")</f>
        <v>وحدة الميكانيك</v>
      </c>
      <c r="E719" s="26" t="str">
        <f ca="1">IFERROR(__xludf.DUMMYFUNCTION("""COMPUTED_VALUE"""),"قسم المشاريع الهندسية")</f>
        <v>قسم المشاريع الهندسية</v>
      </c>
      <c r="F719" s="26" t="str">
        <f ca="1">IFERROR(__xludf.DUMMYFUNCTION("""COMPUTED_VALUE"""),"C- ثانوية العميد بناية الاعدادية  (الاولى)")</f>
        <v>C- ثانوية العميد بناية الاعدادية  (الاولى)</v>
      </c>
      <c r="G719" s="26" t="str">
        <f ca="1">IFERROR(__xludf.DUMMYFUNCTION("""COMPUTED_VALUE"""),"السطح")</f>
        <v>السطح</v>
      </c>
      <c r="H719" s="26" t="str">
        <f ca="1">IFERROR(__xludf.DUMMYFUNCTION("""COMPUTED_VALUE"""),"ادامة وتنظيف منظومة تحلية المياه في البناية ")</f>
        <v xml:space="preserve">ادامة وتنظيف منظومة تحلية المياه في البناية </v>
      </c>
      <c r="I719" s="26"/>
      <c r="J719" s="26" t="s">
        <v>14</v>
      </c>
      <c r="K719" s="26" t="s">
        <v>13</v>
      </c>
      <c r="L719" s="55"/>
      <c r="M719" s="26"/>
    </row>
    <row r="720" spans="1:13" ht="75" customHeight="1" thickTop="1" thickBot="1">
      <c r="A720" s="26">
        <v>718</v>
      </c>
      <c r="B720" s="55">
        <f ca="1">IFERROR(__xludf.DUMMYFUNCTION("""COMPUTED_VALUE"""),46173.3820910879)</f>
        <v>46173.3820910879</v>
      </c>
      <c r="C720" s="56" t="str">
        <f ca="1">IFERROR(__xludf.DUMMYFUNCTION("""COMPUTED_VALUE"""),"المعملجي")</f>
        <v>المعملجي</v>
      </c>
      <c r="D720" s="56" t="str">
        <f ca="1">IFERROR(__xludf.DUMMYFUNCTION("""COMPUTED_VALUE"""),"وحدة الميكانيك")</f>
        <v>وحدة الميكانيك</v>
      </c>
      <c r="E720" s="26" t="str">
        <f ca="1">IFERROR(__xludf.DUMMYFUNCTION("""COMPUTED_VALUE"""),"قسم المشاريع الهندسية")</f>
        <v>قسم المشاريع الهندسية</v>
      </c>
      <c r="F720" s="26" t="str">
        <f ca="1">IFERROR(__xludf.DUMMYFUNCTION("""COMPUTED_VALUE"""),"D- ثانوية العميد بناية المتوسطة  (الثانية)")</f>
        <v>D- ثانوية العميد بناية المتوسطة  (الثانية)</v>
      </c>
      <c r="G720" s="26" t="str">
        <f ca="1">IFERROR(__xludf.DUMMYFUNCTION("""COMPUTED_VALUE"""),"السطح")</f>
        <v>السطح</v>
      </c>
      <c r="H720" s="26" t="str">
        <f ca="1">IFERROR(__xludf.DUMMYFUNCTION("""COMPUTED_VALUE"""),"ادامة وتنظيف منظومة تحلية المياه في البناية ")</f>
        <v xml:space="preserve">ادامة وتنظيف منظومة تحلية المياه في البناية </v>
      </c>
      <c r="I720" s="26"/>
      <c r="J720" s="26" t="s">
        <v>14</v>
      </c>
      <c r="K720" s="26" t="s">
        <v>13</v>
      </c>
      <c r="L720" s="55"/>
      <c r="M720" s="26"/>
    </row>
    <row r="721" spans="1:13" ht="75" customHeight="1" thickTop="1" thickBot="1">
      <c r="A721" s="34">
        <v>719</v>
      </c>
      <c r="B721" s="55">
        <f ca="1">IFERROR(__xludf.DUMMYFUNCTION("""COMPUTED_VALUE"""),46173.3822869791)</f>
        <v>46173.382286979097</v>
      </c>
      <c r="C721" s="56" t="str">
        <f ca="1">IFERROR(__xludf.DUMMYFUNCTION("""COMPUTED_VALUE"""),"المعملجي")</f>
        <v>المعملجي</v>
      </c>
      <c r="D721" s="56" t="str">
        <f ca="1">IFERROR(__xludf.DUMMYFUNCTION("""COMPUTED_VALUE"""),"وحدة الميكانيك")</f>
        <v>وحدة الميكانيك</v>
      </c>
      <c r="E721" s="26" t="str">
        <f ca="1">IFERROR(__xludf.DUMMYFUNCTION("""COMPUTED_VALUE"""),"قسم المشاريع الهندسية")</f>
        <v>قسم المشاريع الهندسية</v>
      </c>
      <c r="F721" s="26" t="str">
        <f ca="1">IFERROR(__xludf.DUMMYFUNCTION("""COMPUTED_VALUE"""),"E- ابتدائية العميد للبنات (الثالثة)")</f>
        <v>E- ابتدائية العميد للبنات (الثالثة)</v>
      </c>
      <c r="G721" s="26" t="str">
        <f ca="1">IFERROR(__xludf.DUMMYFUNCTION("""COMPUTED_VALUE"""),"السطح")</f>
        <v>السطح</v>
      </c>
      <c r="H721" s="26" t="str">
        <f ca="1">IFERROR(__xludf.DUMMYFUNCTION("""COMPUTED_VALUE"""),"ادامة وتنظيف منظومة تحلية المياه في البناية ")</f>
        <v xml:space="preserve">ادامة وتنظيف منظومة تحلية المياه في البناية </v>
      </c>
      <c r="I721" s="26"/>
      <c r="J721" s="26" t="s">
        <v>14</v>
      </c>
      <c r="K721" s="26" t="s">
        <v>13</v>
      </c>
      <c r="L721" s="55"/>
      <c r="M721" s="26"/>
    </row>
    <row r="722" spans="1:13" ht="75" customHeight="1" thickTop="1" thickBot="1">
      <c r="A722" s="26">
        <v>720</v>
      </c>
      <c r="B722" s="55">
        <f ca="1">IFERROR(__xludf.DUMMYFUNCTION("""COMPUTED_VALUE"""),46173.3825000347)</f>
        <v>46173.382500034699</v>
      </c>
      <c r="C722" s="56" t="str">
        <f ca="1">IFERROR(__xludf.DUMMYFUNCTION("""COMPUTED_VALUE"""),"المعملجي")</f>
        <v>المعملجي</v>
      </c>
      <c r="D722" s="56" t="str">
        <f ca="1">IFERROR(__xludf.DUMMYFUNCTION("""COMPUTED_VALUE"""),"وحدة الميكانيك")</f>
        <v>وحدة الميكانيك</v>
      </c>
      <c r="E722" s="26" t="str">
        <f ca="1">IFERROR(__xludf.DUMMYFUNCTION("""COMPUTED_VALUE"""),"قسم المشاريع الهندسية")</f>
        <v>قسم المشاريع الهندسية</v>
      </c>
      <c r="F722" s="26" t="str">
        <f ca="1">IFERROR(__xludf.DUMMYFUNCTION("""COMPUTED_VALUE"""),"F-  ابتدائية جود العميد للبنات (الرابعة)")</f>
        <v>F-  ابتدائية جود العميد للبنات (الرابعة)</v>
      </c>
      <c r="G722" s="26" t="str">
        <f ca="1">IFERROR(__xludf.DUMMYFUNCTION("""COMPUTED_VALUE"""),"السطح")</f>
        <v>السطح</v>
      </c>
      <c r="H722" s="26" t="str">
        <f ca="1">IFERROR(__xludf.DUMMYFUNCTION("""COMPUTED_VALUE"""),"ادامة وتنظيف منظومة تحلية المياه في البناية ")</f>
        <v xml:space="preserve">ادامة وتنظيف منظومة تحلية المياه في البناية </v>
      </c>
      <c r="I722" s="26"/>
      <c r="J722" s="26" t="s">
        <v>14</v>
      </c>
      <c r="K722" s="26" t="s">
        <v>13</v>
      </c>
      <c r="L722" s="55"/>
      <c r="M722" s="26"/>
    </row>
    <row r="723" spans="1:13" ht="75" customHeight="1" thickTop="1" thickBot="1">
      <c r="A723" s="34">
        <v>721</v>
      </c>
      <c r="B723" s="55">
        <f ca="1">IFERROR(__xludf.DUMMYFUNCTION("""COMPUTED_VALUE"""),46173.3842041435)</f>
        <v>46173.384204143498</v>
      </c>
      <c r="C723" s="56" t="str">
        <f ca="1">IFERROR(__xludf.DUMMYFUNCTION("""COMPUTED_VALUE"""),"المعملجي")</f>
        <v>المعملجي</v>
      </c>
      <c r="D723" s="56" t="str">
        <f ca="1">IFERROR(__xludf.DUMMYFUNCTION("""COMPUTED_VALUE"""),"وحدة الميكانيك")</f>
        <v>وحدة الميكانيك</v>
      </c>
      <c r="E723" s="26" t="str">
        <f ca="1">IFERROR(__xludf.DUMMYFUNCTION("""COMPUTED_VALUE"""),"قسم المشاريع الهندسية")</f>
        <v>قسم المشاريع الهندسية</v>
      </c>
      <c r="F723" s="26" t="str">
        <f ca="1">IFERROR(__xludf.DUMMYFUNCTION("""COMPUTED_VALUE"""),"I- ابتدائية الساقي للبنين (السادسة)")</f>
        <v>I- ابتدائية الساقي للبنين (السادسة)</v>
      </c>
      <c r="G723" s="26" t="str">
        <f ca="1">IFERROR(__xludf.DUMMYFUNCTION("""COMPUTED_VALUE"""),"السطح")</f>
        <v>السطح</v>
      </c>
      <c r="H723" s="26" t="str">
        <f ca="1">IFERROR(__xludf.DUMMYFUNCTION("""COMPUTED_VALUE"""),"ادامة وتنظيف منظومة تحلية المياه في البناية ")</f>
        <v xml:space="preserve">ادامة وتنظيف منظومة تحلية المياه في البناية </v>
      </c>
      <c r="I723" s="26"/>
      <c r="J723" s="26" t="s">
        <v>14</v>
      </c>
      <c r="K723" s="26" t="s">
        <v>13</v>
      </c>
      <c r="L723" s="55"/>
      <c r="M723" s="26"/>
    </row>
    <row r="724" spans="1:13" ht="75" customHeight="1" thickTop="1" thickBot="1">
      <c r="A724" s="26">
        <v>722</v>
      </c>
      <c r="B724" s="55">
        <f ca="1">IFERROR(__xludf.DUMMYFUNCTION("""COMPUTED_VALUE"""),46173.3843983101)</f>
        <v>46173.384398310103</v>
      </c>
      <c r="C724" s="56" t="str">
        <f ca="1">IFERROR(__xludf.DUMMYFUNCTION("""COMPUTED_VALUE"""),"المعملجي")</f>
        <v>المعملجي</v>
      </c>
      <c r="D724" s="56" t="str">
        <f ca="1">IFERROR(__xludf.DUMMYFUNCTION("""COMPUTED_VALUE"""),"وحدة الميكانيك")</f>
        <v>وحدة الميكانيك</v>
      </c>
      <c r="E724" s="26" t="str">
        <f ca="1">IFERROR(__xludf.DUMMYFUNCTION("""COMPUTED_VALUE"""),"قسم المشاريع الهندسية")</f>
        <v>قسم المشاريع الهندسية</v>
      </c>
      <c r="F724"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724" s="26" t="str">
        <f ca="1">IFERROR(__xludf.DUMMYFUNCTION("""COMPUTED_VALUE"""),"السطح")</f>
        <v>السطح</v>
      </c>
      <c r="H724" s="26" t="str">
        <f ca="1">IFERROR(__xludf.DUMMYFUNCTION("""COMPUTED_VALUE"""),"ادامة وتنظيف منظومة تحلية المياه في البناية ")</f>
        <v xml:space="preserve">ادامة وتنظيف منظومة تحلية المياه في البناية </v>
      </c>
      <c r="I724" s="26"/>
      <c r="J724" s="26" t="s">
        <v>14</v>
      </c>
      <c r="K724" s="26" t="s">
        <v>13</v>
      </c>
      <c r="L724" s="55"/>
      <c r="M724" s="26"/>
    </row>
    <row r="725" spans="1:13" ht="75" customHeight="1" thickTop="1" thickBot="1">
      <c r="A725" s="34">
        <v>723</v>
      </c>
      <c r="B725" s="55">
        <f ca="1">IFERROR(__xludf.DUMMYFUNCTION("""COMPUTED_VALUE"""),46173.3850698611)</f>
        <v>46173.385069861099</v>
      </c>
      <c r="C725" s="56" t="str">
        <f ca="1">IFERROR(__xludf.DUMMYFUNCTION("""COMPUTED_VALUE"""),"المعملجي")</f>
        <v>المعملجي</v>
      </c>
      <c r="D725" s="56" t="str">
        <f ca="1">IFERROR(__xludf.DUMMYFUNCTION("""COMPUTED_VALUE"""),"وحدة الميكانيك")</f>
        <v>وحدة الميكانيك</v>
      </c>
      <c r="E725" s="26" t="str">
        <f ca="1">IFERROR(__xludf.DUMMYFUNCTION("""COMPUTED_VALUE"""),"قسم المشاريع الهندسية")</f>
        <v>قسم المشاريع الهندسية</v>
      </c>
      <c r="F725" s="26" t="str">
        <f ca="1">IFERROR(__xludf.DUMMYFUNCTION("""COMPUTED_VALUE"""),"B- روضة القمر")</f>
        <v>B- روضة القمر</v>
      </c>
      <c r="G725" s="26" t="str">
        <f ca="1">IFERROR(__xludf.DUMMYFUNCTION("""COMPUTED_VALUE"""),"السطح")</f>
        <v>السطح</v>
      </c>
      <c r="H725"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25" s="26"/>
      <c r="J725" s="26" t="s">
        <v>14</v>
      </c>
      <c r="K725" s="26" t="s">
        <v>13</v>
      </c>
      <c r="L725" s="55"/>
      <c r="M725" s="26"/>
    </row>
    <row r="726" spans="1:13" ht="75" customHeight="1" thickTop="1" thickBot="1">
      <c r="A726" s="26">
        <v>724</v>
      </c>
      <c r="B726" s="55">
        <f ca="1">IFERROR(__xludf.DUMMYFUNCTION("""COMPUTED_VALUE"""),46173.3852279166)</f>
        <v>46173.385227916602</v>
      </c>
      <c r="C726" s="56" t="str">
        <f ca="1">IFERROR(__xludf.DUMMYFUNCTION("""COMPUTED_VALUE"""),"المعملجي")</f>
        <v>المعملجي</v>
      </c>
      <c r="D726" s="56" t="str">
        <f ca="1">IFERROR(__xludf.DUMMYFUNCTION("""COMPUTED_VALUE"""),"وحدة الميكانيك")</f>
        <v>وحدة الميكانيك</v>
      </c>
      <c r="E726" s="26" t="str">
        <f ca="1">IFERROR(__xludf.DUMMYFUNCTION("""COMPUTED_VALUE"""),"قسم المشاريع الهندسية")</f>
        <v>قسم المشاريع الهندسية</v>
      </c>
      <c r="F726" s="26" t="str">
        <f ca="1">IFERROR(__xludf.DUMMYFUNCTION("""COMPUTED_VALUE"""),"G- روضة الجود")</f>
        <v>G- روضة الجود</v>
      </c>
      <c r="G726" s="26" t="str">
        <f ca="1">IFERROR(__xludf.DUMMYFUNCTION("""COMPUTED_VALUE"""),"السطح")</f>
        <v>السطح</v>
      </c>
      <c r="H726"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26" s="26"/>
      <c r="J726" s="26" t="s">
        <v>14</v>
      </c>
      <c r="K726" s="26" t="s">
        <v>13</v>
      </c>
      <c r="L726" s="55"/>
      <c r="M726" s="26"/>
    </row>
    <row r="727" spans="1:13" ht="75" customHeight="1" thickTop="1" thickBot="1">
      <c r="A727" s="34">
        <v>725</v>
      </c>
      <c r="B727" s="55">
        <f ca="1">IFERROR(__xludf.DUMMYFUNCTION("""COMPUTED_VALUE"""),46173.385410787)</f>
        <v>46173.385410786999</v>
      </c>
      <c r="C727" s="56" t="str">
        <f ca="1">IFERROR(__xludf.DUMMYFUNCTION("""COMPUTED_VALUE"""),"المعملجي")</f>
        <v>المعملجي</v>
      </c>
      <c r="D727" s="56" t="str">
        <f ca="1">IFERROR(__xludf.DUMMYFUNCTION("""COMPUTED_VALUE"""),"وحدة الميكانيك")</f>
        <v>وحدة الميكانيك</v>
      </c>
      <c r="E727" s="26" t="str">
        <f ca="1">IFERROR(__xludf.DUMMYFUNCTION("""COMPUTED_VALUE"""),"قسم المشاريع الهندسية")</f>
        <v>قسم المشاريع الهندسية</v>
      </c>
      <c r="F727" s="26" t="str">
        <f ca="1">IFERROR(__xludf.DUMMYFUNCTION("""COMPUTED_VALUE"""),"C- ثانوية العميد بناية الاعدادية  (الاولى)")</f>
        <v>C- ثانوية العميد بناية الاعدادية  (الاولى)</v>
      </c>
      <c r="G727" s="26" t="str">
        <f ca="1">IFERROR(__xludf.DUMMYFUNCTION("""COMPUTED_VALUE"""),"السطح")</f>
        <v>السطح</v>
      </c>
      <c r="H727"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27" s="26"/>
      <c r="J727" s="26" t="s">
        <v>14</v>
      </c>
      <c r="K727" s="26" t="s">
        <v>13</v>
      </c>
      <c r="L727" s="55"/>
      <c r="M727" s="26"/>
    </row>
    <row r="728" spans="1:13" ht="75" customHeight="1" thickTop="1" thickBot="1">
      <c r="A728" s="26">
        <v>726</v>
      </c>
      <c r="B728" s="55">
        <f ca="1">IFERROR(__xludf.DUMMYFUNCTION("""COMPUTED_VALUE"""),46173.3855898148)</f>
        <v>46173.385589814803</v>
      </c>
      <c r="C728" s="56" t="str">
        <f ca="1">IFERROR(__xludf.DUMMYFUNCTION("""COMPUTED_VALUE"""),"المعملجي")</f>
        <v>المعملجي</v>
      </c>
      <c r="D728" s="56" t="str">
        <f ca="1">IFERROR(__xludf.DUMMYFUNCTION("""COMPUTED_VALUE"""),"وحدة الميكانيك")</f>
        <v>وحدة الميكانيك</v>
      </c>
      <c r="E728" s="26" t="str">
        <f ca="1">IFERROR(__xludf.DUMMYFUNCTION("""COMPUTED_VALUE"""),"قسم المشاريع الهندسية")</f>
        <v>قسم المشاريع الهندسية</v>
      </c>
      <c r="F728" s="26" t="str">
        <f ca="1">IFERROR(__xludf.DUMMYFUNCTION("""COMPUTED_VALUE"""),"C- ثانوية العميد بناية الاعدادية  (الاولى)")</f>
        <v>C- ثانوية العميد بناية الاعدادية  (الاولى)</v>
      </c>
      <c r="G728" s="26" t="str">
        <f ca="1">IFERROR(__xludf.DUMMYFUNCTION("""COMPUTED_VALUE"""),"السطح")</f>
        <v>السطح</v>
      </c>
      <c r="H728"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28" s="26"/>
      <c r="J728" s="26" t="s">
        <v>14</v>
      </c>
      <c r="K728" s="26" t="s">
        <v>13</v>
      </c>
      <c r="L728" s="55"/>
      <c r="M728" s="26"/>
    </row>
    <row r="729" spans="1:13" ht="75" customHeight="1" thickTop="1" thickBot="1">
      <c r="A729" s="34">
        <v>727</v>
      </c>
      <c r="B729" s="55">
        <f ca="1">IFERROR(__xludf.DUMMYFUNCTION("""COMPUTED_VALUE"""),46173.3857528472)</f>
        <v>46173.3857528472</v>
      </c>
      <c r="C729" s="56" t="str">
        <f ca="1">IFERROR(__xludf.DUMMYFUNCTION("""COMPUTED_VALUE"""),"المعملجي")</f>
        <v>المعملجي</v>
      </c>
      <c r="D729" s="56" t="str">
        <f ca="1">IFERROR(__xludf.DUMMYFUNCTION("""COMPUTED_VALUE"""),"وحدة الميكانيك")</f>
        <v>وحدة الميكانيك</v>
      </c>
      <c r="E729" s="26" t="str">
        <f ca="1">IFERROR(__xludf.DUMMYFUNCTION("""COMPUTED_VALUE"""),"قسم المشاريع الهندسية")</f>
        <v>قسم المشاريع الهندسية</v>
      </c>
      <c r="F729" s="26" t="str">
        <f ca="1">IFERROR(__xludf.DUMMYFUNCTION("""COMPUTED_VALUE"""),"D- ثانوية العميد بناية المتوسطة  (الثانية)")</f>
        <v>D- ثانوية العميد بناية المتوسطة  (الثانية)</v>
      </c>
      <c r="G729" s="26" t="str">
        <f ca="1">IFERROR(__xludf.DUMMYFUNCTION("""COMPUTED_VALUE"""),"السطح")</f>
        <v>السطح</v>
      </c>
      <c r="H729"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29" s="26"/>
      <c r="J729" s="26" t="s">
        <v>14</v>
      </c>
      <c r="K729" s="26" t="s">
        <v>13</v>
      </c>
      <c r="L729" s="55"/>
      <c r="M729" s="26"/>
    </row>
    <row r="730" spans="1:13" ht="75" customHeight="1" thickTop="1" thickBot="1">
      <c r="A730" s="26">
        <v>728</v>
      </c>
      <c r="B730" s="55">
        <f ca="1">IFERROR(__xludf.DUMMYFUNCTION("""COMPUTED_VALUE"""),46173.3859588541)</f>
        <v>46173.385958854102</v>
      </c>
      <c r="C730" s="56" t="str">
        <f ca="1">IFERROR(__xludf.DUMMYFUNCTION("""COMPUTED_VALUE"""),"المعملجي")</f>
        <v>المعملجي</v>
      </c>
      <c r="D730" s="56" t="str">
        <f ca="1">IFERROR(__xludf.DUMMYFUNCTION("""COMPUTED_VALUE"""),"وحدة الميكانيك")</f>
        <v>وحدة الميكانيك</v>
      </c>
      <c r="E730" s="26" t="str">
        <f ca="1">IFERROR(__xludf.DUMMYFUNCTION("""COMPUTED_VALUE"""),"قسم المشاريع الهندسية")</f>
        <v>قسم المشاريع الهندسية</v>
      </c>
      <c r="F730" s="26" t="str">
        <f ca="1">IFERROR(__xludf.DUMMYFUNCTION("""COMPUTED_VALUE"""),"E- ابتدائية العميد للبنات (الثالثة)")</f>
        <v>E- ابتدائية العميد للبنات (الثالثة)</v>
      </c>
      <c r="G730" s="26" t="str">
        <f ca="1">IFERROR(__xludf.DUMMYFUNCTION("""COMPUTED_VALUE"""),"السطح")</f>
        <v>السطح</v>
      </c>
      <c r="H730"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30" s="26"/>
      <c r="J730" s="26" t="s">
        <v>14</v>
      </c>
      <c r="K730" s="26" t="s">
        <v>13</v>
      </c>
      <c r="L730" s="55"/>
      <c r="M730" s="26"/>
    </row>
    <row r="731" spans="1:13" ht="75" customHeight="1" thickTop="1" thickBot="1">
      <c r="A731" s="34">
        <v>729</v>
      </c>
      <c r="B731" s="55">
        <f ca="1">IFERROR(__xludf.DUMMYFUNCTION("""COMPUTED_VALUE"""),46173.3861829745)</f>
        <v>46173.3861829745</v>
      </c>
      <c r="C731" s="56" t="str">
        <f ca="1">IFERROR(__xludf.DUMMYFUNCTION("""COMPUTED_VALUE"""),"المعملجي")</f>
        <v>المعملجي</v>
      </c>
      <c r="D731" s="56" t="str">
        <f ca="1">IFERROR(__xludf.DUMMYFUNCTION("""COMPUTED_VALUE"""),"وحدة الميكانيك")</f>
        <v>وحدة الميكانيك</v>
      </c>
      <c r="E731" s="26" t="str">
        <f ca="1">IFERROR(__xludf.DUMMYFUNCTION("""COMPUTED_VALUE"""),"قسم المشاريع الهندسية")</f>
        <v>قسم المشاريع الهندسية</v>
      </c>
      <c r="F731" s="26" t="str">
        <f ca="1">IFERROR(__xludf.DUMMYFUNCTION("""COMPUTED_VALUE"""),"F-  ابتدائية جود العميد للبنات (الرابعة)")</f>
        <v>F-  ابتدائية جود العميد للبنات (الرابعة)</v>
      </c>
      <c r="G731" s="26" t="str">
        <f ca="1">IFERROR(__xludf.DUMMYFUNCTION("""COMPUTED_VALUE"""),"السطح")</f>
        <v>السطح</v>
      </c>
      <c r="H731"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31" s="26"/>
      <c r="J731" s="26" t="s">
        <v>14</v>
      </c>
      <c r="K731" s="26" t="s">
        <v>13</v>
      </c>
      <c r="L731" s="55"/>
      <c r="M731" s="26"/>
    </row>
    <row r="732" spans="1:13" ht="75" customHeight="1" thickTop="1" thickBot="1">
      <c r="A732" s="26">
        <v>730</v>
      </c>
      <c r="B732" s="55">
        <f ca="1">IFERROR(__xludf.DUMMYFUNCTION("""COMPUTED_VALUE"""),46173.3863508564)</f>
        <v>46173.386350856403</v>
      </c>
      <c r="C732" s="56" t="str">
        <f ca="1">IFERROR(__xludf.DUMMYFUNCTION("""COMPUTED_VALUE"""),"المعملجي")</f>
        <v>المعملجي</v>
      </c>
      <c r="D732" s="56" t="str">
        <f ca="1">IFERROR(__xludf.DUMMYFUNCTION("""COMPUTED_VALUE"""),"وحدة الميكانيك")</f>
        <v>وحدة الميكانيك</v>
      </c>
      <c r="E732" s="26" t="str">
        <f ca="1">IFERROR(__xludf.DUMMYFUNCTION("""COMPUTED_VALUE"""),"قسم المشاريع الهندسية")</f>
        <v>قسم المشاريع الهندسية</v>
      </c>
      <c r="F732" s="26" t="str">
        <f ca="1">IFERROR(__xludf.DUMMYFUNCTION("""COMPUTED_VALUE"""),"H- ابتدائية القمر للبنات (الخامسة)")</f>
        <v>H- ابتدائية القمر للبنات (الخامسة)</v>
      </c>
      <c r="G732" s="26" t="str">
        <f ca="1">IFERROR(__xludf.DUMMYFUNCTION("""COMPUTED_VALUE"""),"السطح")</f>
        <v>السطح</v>
      </c>
      <c r="H732"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32" s="26"/>
      <c r="J732" s="26" t="s">
        <v>14</v>
      </c>
      <c r="K732" s="26" t="s">
        <v>13</v>
      </c>
      <c r="L732" s="55"/>
      <c r="M732" s="26"/>
    </row>
    <row r="733" spans="1:13" ht="75" customHeight="1" thickTop="1" thickBot="1">
      <c r="A733" s="34">
        <v>731</v>
      </c>
      <c r="B733" s="55">
        <f ca="1">IFERROR(__xludf.DUMMYFUNCTION("""COMPUTED_VALUE"""),46173.3865207986)</f>
        <v>46173.386520798602</v>
      </c>
      <c r="C733" s="56" t="str">
        <f ca="1">IFERROR(__xludf.DUMMYFUNCTION("""COMPUTED_VALUE"""),"المعملجي")</f>
        <v>المعملجي</v>
      </c>
      <c r="D733" s="56" t="str">
        <f ca="1">IFERROR(__xludf.DUMMYFUNCTION("""COMPUTED_VALUE"""),"وحدة الميكانيك")</f>
        <v>وحدة الميكانيك</v>
      </c>
      <c r="E733" s="26" t="str">
        <f ca="1">IFERROR(__xludf.DUMMYFUNCTION("""COMPUTED_VALUE"""),"قسم المشاريع الهندسية")</f>
        <v>قسم المشاريع الهندسية</v>
      </c>
      <c r="F733" s="26" t="str">
        <f ca="1">IFERROR(__xludf.DUMMYFUNCTION("""COMPUTED_VALUE"""),"I- ابتدائية الساقي للبنين (السادسة)")</f>
        <v>I- ابتدائية الساقي للبنين (السادسة)</v>
      </c>
      <c r="G733" s="26" t="str">
        <f ca="1">IFERROR(__xludf.DUMMYFUNCTION("""COMPUTED_VALUE"""),"السطح")</f>
        <v>السطح</v>
      </c>
      <c r="H733"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33" s="26"/>
      <c r="J733" s="26" t="s">
        <v>14</v>
      </c>
      <c r="K733" s="26" t="s">
        <v>13</v>
      </c>
      <c r="L733" s="55"/>
      <c r="M733" s="26"/>
    </row>
    <row r="734" spans="1:13" ht="75" customHeight="1" thickTop="1" thickBot="1">
      <c r="A734" s="26">
        <v>732</v>
      </c>
      <c r="B734" s="55">
        <f ca="1">IFERROR(__xludf.DUMMYFUNCTION("""COMPUTED_VALUE"""),46173.386804236)</f>
        <v>46173.386804236099</v>
      </c>
      <c r="C734" s="56" t="str">
        <f ca="1">IFERROR(__xludf.DUMMYFUNCTION("""COMPUTED_VALUE"""),"المعملجي")</f>
        <v>المعملجي</v>
      </c>
      <c r="D734" s="56" t="str">
        <f ca="1">IFERROR(__xludf.DUMMYFUNCTION("""COMPUTED_VALUE"""),"وحدة الميكانيك")</f>
        <v>وحدة الميكانيك</v>
      </c>
      <c r="E734" s="26" t="str">
        <f ca="1">IFERROR(__xludf.DUMMYFUNCTION("""COMPUTED_VALUE"""),"قسم المشاريع الهندسية")</f>
        <v>قسم المشاريع الهندسية</v>
      </c>
      <c r="F734"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734" s="26" t="str">
        <f ca="1">IFERROR(__xludf.DUMMYFUNCTION("""COMPUTED_VALUE"""),"السطح")</f>
        <v>السطح</v>
      </c>
      <c r="H734" s="26" t="str">
        <f ca="1">IFERROR(__xludf.DUMMYFUNCTION("""COMPUTED_VALUE"""),"تبديل الفلاتر والمواد الكيميائية الخاصة بمنظومة تحلية المياه في البناية ")</f>
        <v xml:space="preserve">تبديل الفلاتر والمواد الكيميائية الخاصة بمنظومة تحلية المياه في البناية </v>
      </c>
      <c r="I734" s="26"/>
      <c r="J734" s="26" t="s">
        <v>14</v>
      </c>
      <c r="K734" s="26" t="s">
        <v>13</v>
      </c>
      <c r="L734" s="55"/>
      <c r="M734" s="26"/>
    </row>
    <row r="735" spans="1:13" ht="75" customHeight="1" thickTop="1" thickBot="1">
      <c r="A735" s="34">
        <v>733</v>
      </c>
      <c r="B735" s="55">
        <f ca="1">IFERROR(__xludf.DUMMYFUNCTION("""COMPUTED_VALUE"""),46173.3877607175)</f>
        <v>46173.387760717502</v>
      </c>
      <c r="C735" s="56" t="str">
        <f ca="1">IFERROR(__xludf.DUMMYFUNCTION("""COMPUTED_VALUE"""),"المعملجي")</f>
        <v>المعملجي</v>
      </c>
      <c r="D735" s="56" t="str">
        <f ca="1">IFERROR(__xludf.DUMMYFUNCTION("""COMPUTED_VALUE"""),"وحدة الميكانيك")</f>
        <v>وحدة الميكانيك</v>
      </c>
      <c r="E735" s="26" t="str">
        <f ca="1">IFERROR(__xludf.DUMMYFUNCTION("""COMPUTED_VALUE"""),"قسم المشاريع الهندسية")</f>
        <v>قسم المشاريع الهندسية</v>
      </c>
      <c r="F735" s="26" t="str">
        <f ca="1">IFERROR(__xludf.DUMMYFUNCTION("""COMPUTED_VALUE"""),"A- المركز الثقافي")</f>
        <v>A- المركز الثقافي</v>
      </c>
      <c r="G735" s="26" t="str">
        <f ca="1">IFERROR(__xludf.DUMMYFUNCTION("""COMPUTED_VALUE"""),"الطابق الاول")</f>
        <v>الطابق الاول</v>
      </c>
      <c r="H735" s="26" t="str">
        <f ca="1">IFERROR(__xludf.DUMMYFUNCTION("""COMPUTED_VALUE"""),"اضافة خزان مياه داخلي ومضخة بوستر لتبريد المياه الخاصة بصحيات رئاسة القسم")</f>
        <v>اضافة خزان مياه داخلي ومضخة بوستر لتبريد المياه الخاصة بصحيات رئاسة القسم</v>
      </c>
      <c r="I735" s="26"/>
      <c r="J735" s="26" t="s">
        <v>14</v>
      </c>
      <c r="K735" s="26" t="s">
        <v>13</v>
      </c>
      <c r="L735" s="55"/>
      <c r="M735" s="26"/>
    </row>
    <row r="736" spans="1:13" ht="75" customHeight="1" thickTop="1" thickBot="1">
      <c r="A736" s="26">
        <v>734</v>
      </c>
      <c r="B736" s="55">
        <f ca="1">IFERROR(__xludf.DUMMYFUNCTION("""COMPUTED_VALUE"""),46173.4120894907)</f>
        <v>46173.412089490703</v>
      </c>
      <c r="C736" s="56" t="str">
        <f ca="1">IFERROR(__xludf.DUMMYFUNCTION("""COMPUTED_VALUE"""),"المعملجي")</f>
        <v>المعملجي</v>
      </c>
      <c r="D736" s="56" t="str">
        <f ca="1">IFERROR(__xludf.DUMMYFUNCTION("""COMPUTED_VALUE"""),"ابو سجاد ")</f>
        <v xml:space="preserve">ابو سجاد </v>
      </c>
      <c r="E736" s="26" t="str">
        <f ca="1">IFERROR(__xludf.DUMMYFUNCTION("""COMPUTED_VALUE"""),"مجموعة العميد التربوية")</f>
        <v>مجموعة العميد التربوية</v>
      </c>
      <c r="F736" s="26" t="str">
        <f ca="1">IFERROR(__xludf.DUMMYFUNCTION("""COMPUTED_VALUE"""),"النافورة")</f>
        <v>النافورة</v>
      </c>
      <c r="G736" s="26" t="str">
        <f ca="1">IFERROR(__xludf.DUMMYFUNCTION("""COMPUTED_VALUE"""),"الطابق الارضي")</f>
        <v>الطابق الارضي</v>
      </c>
      <c r="H736" s="26" t="str">
        <f ca="1">IFERROR(__xludf.DUMMYFUNCTION("""COMPUTED_VALUE"""),"تثبيت كاربت الاستيج")</f>
        <v>تثبيت كاربت الاستيج</v>
      </c>
      <c r="I736" s="26"/>
      <c r="J736" s="26" t="s">
        <v>16</v>
      </c>
      <c r="K736" s="26" t="s">
        <v>13</v>
      </c>
      <c r="L736" s="55">
        <v>46173.412219895836</v>
      </c>
      <c r="M736" s="26"/>
    </row>
    <row r="737" spans="1:13" ht="75" customHeight="1" thickTop="1" thickBot="1">
      <c r="A737" s="34">
        <v>735</v>
      </c>
      <c r="B737" s="55">
        <f ca="1">IFERROR(__xludf.DUMMYFUNCTION("""COMPUTED_VALUE"""),46173.4126701388)</f>
        <v>46173.412670138801</v>
      </c>
      <c r="C737" s="56" t="str">
        <f ca="1">IFERROR(__xludf.DUMMYFUNCTION("""COMPUTED_VALUE"""),"المعملجي")</f>
        <v>المعملجي</v>
      </c>
      <c r="D737" s="56" t="str">
        <f ca="1">IFERROR(__xludf.DUMMYFUNCTION("""COMPUTED_VALUE"""),"ابو سجاد ")</f>
        <v xml:space="preserve">ابو سجاد </v>
      </c>
      <c r="E737" s="26" t="str">
        <f ca="1">IFERROR(__xludf.DUMMYFUNCTION("""COMPUTED_VALUE"""),"مجموعة العميد التربوية")</f>
        <v>مجموعة العميد التربوية</v>
      </c>
      <c r="F737" s="26" t="str">
        <f ca="1">IFERROR(__xludf.DUMMYFUNCTION("""COMPUTED_VALUE"""),"الشاشة الرئيسية ")</f>
        <v xml:space="preserve">الشاشة الرئيسية </v>
      </c>
      <c r="G737" s="26" t="str">
        <f ca="1">IFERROR(__xludf.DUMMYFUNCTION("""COMPUTED_VALUE"""),"الطابق الارضي")</f>
        <v>الطابق الارضي</v>
      </c>
      <c r="H737" s="26" t="str">
        <f ca="1">IFERROR(__xludf.DUMMYFUNCTION("""COMPUTED_VALUE"""),"صبغ إطار الشاشة الرئيسية ")</f>
        <v xml:space="preserve">صبغ إطار الشاشة الرئيسية </v>
      </c>
      <c r="I737" s="26"/>
      <c r="J737" s="26" t="s">
        <v>16</v>
      </c>
      <c r="K737" s="26" t="s">
        <v>13</v>
      </c>
      <c r="L737" s="55"/>
      <c r="M737" s="26"/>
    </row>
    <row r="738" spans="1:13" ht="75" customHeight="1" thickTop="1" thickBot="1">
      <c r="A738" s="26">
        <v>736</v>
      </c>
      <c r="B738" s="55">
        <f ca="1">IFERROR(__xludf.DUMMYFUNCTION("""COMPUTED_VALUE"""),46173.413436412)</f>
        <v>46173.413436411996</v>
      </c>
      <c r="C738" s="56" t="str">
        <f ca="1">IFERROR(__xludf.DUMMYFUNCTION("""COMPUTED_VALUE"""),"المعملجي")</f>
        <v>المعملجي</v>
      </c>
      <c r="D738" s="56" t="str">
        <f ca="1">IFERROR(__xludf.DUMMYFUNCTION("""COMPUTED_VALUE"""),"ابو سجاد ")</f>
        <v xml:space="preserve">ابو سجاد </v>
      </c>
      <c r="E738" s="26" t="str">
        <f ca="1">IFERROR(__xludf.DUMMYFUNCTION("""COMPUTED_VALUE"""),"مجموعة العميد التربوية")</f>
        <v>مجموعة العميد التربوية</v>
      </c>
      <c r="F738" s="26" t="str">
        <f ca="1">IFERROR(__xludf.DUMMYFUNCTION("""COMPUTED_VALUE"""),"النافورة")</f>
        <v>النافورة</v>
      </c>
      <c r="G738" s="26" t="str">
        <f ca="1">IFERROR(__xludf.DUMMYFUNCTION("""COMPUTED_VALUE"""),"الطابق الارضي")</f>
        <v>الطابق الارضي</v>
      </c>
      <c r="H738" s="26" t="str">
        <f ca="1">IFERROR(__xludf.DUMMYFUNCTION("""COMPUTED_VALUE"""),"تثبيت كاربت قواعد المحيطة بالنافورة ")</f>
        <v xml:space="preserve">تثبيت كاربت قواعد المحيطة بالنافورة </v>
      </c>
      <c r="I738" s="26"/>
      <c r="J738" s="26" t="s">
        <v>16</v>
      </c>
      <c r="K738" s="26" t="s">
        <v>13</v>
      </c>
      <c r="L738" s="55"/>
      <c r="M738" s="26"/>
    </row>
    <row r="739" spans="1:13" ht="75" customHeight="1" thickTop="1" thickBot="1">
      <c r="A739" s="34">
        <v>737</v>
      </c>
      <c r="B739" s="55">
        <f ca="1">IFERROR(__xludf.DUMMYFUNCTION("""COMPUTED_VALUE"""),46173.503078912)</f>
        <v>46173.503078911999</v>
      </c>
      <c r="C739" s="56" t="str">
        <f ca="1">IFERROR(__xludf.DUMMYFUNCTION("""COMPUTED_VALUE"""),"المعملجي")</f>
        <v>المعملجي</v>
      </c>
      <c r="D739" s="56" t="str">
        <f ca="1">IFERROR(__xludf.DUMMYFUNCTION("""COMPUTED_VALUE"""),"ابو سجاد")</f>
        <v>ابو سجاد</v>
      </c>
      <c r="E739" s="26" t="str">
        <f ca="1">IFERROR(__xludf.DUMMYFUNCTION("""COMPUTED_VALUE"""),"مجموعة العميد التربوية")</f>
        <v>مجموعة العميد التربوية</v>
      </c>
      <c r="F739" s="26" t="str">
        <f ca="1">IFERROR(__xludf.DUMMYFUNCTION("""COMPUTED_VALUE"""),"D- ثانوية العميد بناية المتوسطة  (الثانية)")</f>
        <v>D- ثانوية العميد بناية المتوسطة  (الثانية)</v>
      </c>
      <c r="G739" s="26" t="str">
        <f ca="1">IFERROR(__xludf.DUMMYFUNCTION("""COMPUTED_VALUE"""),"الطابق الارضي, ZONE B")</f>
        <v>الطابق الارضي, ZONE B</v>
      </c>
      <c r="H739" s="26" t="str">
        <f ca="1">IFERROR(__xludf.DUMMYFUNCTION("""COMPUTED_VALUE"""),"صيانة حنفية حمام")</f>
        <v>صيانة حنفية حمام</v>
      </c>
      <c r="I739" s="26"/>
      <c r="J739" s="26" t="s">
        <v>14</v>
      </c>
      <c r="K739" s="26" t="s">
        <v>13</v>
      </c>
      <c r="L739" s="55">
        <v>46174.498608530092</v>
      </c>
      <c r="M739" s="26"/>
    </row>
    <row r="740" spans="1:13" ht="75" customHeight="1" thickTop="1" thickBot="1">
      <c r="A740" s="26">
        <v>738</v>
      </c>
      <c r="B740" s="55">
        <f ca="1">IFERROR(__xludf.DUMMYFUNCTION("""COMPUTED_VALUE"""),46173.6309527662)</f>
        <v>46173.630952766202</v>
      </c>
      <c r="C740" s="56" t="str">
        <f ca="1">IFERROR(__xludf.DUMMYFUNCTION("""COMPUTED_VALUE"""),"المعملجي")</f>
        <v>المعملجي</v>
      </c>
      <c r="D740" s="56" t="str">
        <f ca="1">IFERROR(__xludf.DUMMYFUNCTION("""COMPUTED_VALUE"""),"ابو سجاد ")</f>
        <v xml:space="preserve">ابو سجاد </v>
      </c>
      <c r="E740" s="26" t="str">
        <f ca="1">IFERROR(__xludf.DUMMYFUNCTION("""COMPUTED_VALUE"""),"مجموعة العميد التربوية")</f>
        <v>مجموعة العميد التربوية</v>
      </c>
      <c r="F740" s="26" t="str">
        <f ca="1">IFERROR(__xludf.DUMMYFUNCTION("""COMPUTED_VALUE"""),"A- المركز الثقافي")</f>
        <v>A- المركز الثقافي</v>
      </c>
      <c r="G740" s="26" t="str">
        <f ca="1">IFERROR(__xludf.DUMMYFUNCTION("""COMPUTED_VALUE"""),"الطابق الثالث")</f>
        <v>الطابق الثالث</v>
      </c>
      <c r="H740" s="26" t="str">
        <f ca="1">IFERROR(__xludf.DUMMYFUNCTION("""COMPUTED_VALUE"""),"صيانة حنفية ")</f>
        <v xml:space="preserve">صيانة حنفية </v>
      </c>
      <c r="I740" s="26"/>
      <c r="J740" s="26" t="s">
        <v>14</v>
      </c>
      <c r="K740" s="26" t="s">
        <v>13</v>
      </c>
      <c r="L740" s="55">
        <v>46173.631056875005</v>
      </c>
      <c r="M740" s="26"/>
    </row>
    <row r="741" spans="1:13" ht="75" customHeight="1" thickTop="1" thickBot="1">
      <c r="A741" s="34">
        <v>739</v>
      </c>
      <c r="B741" s="55">
        <f ca="1">IFERROR(__xludf.DUMMYFUNCTION("""COMPUTED_VALUE"""),46174.5008863773)</f>
        <v>46174.500886377296</v>
      </c>
      <c r="C741" s="56" t="str">
        <f ca="1">IFERROR(__xludf.DUMMYFUNCTION("""COMPUTED_VALUE"""),"المعملجي")</f>
        <v>المعملجي</v>
      </c>
      <c r="D741" s="56" t="str">
        <f ca="1">IFERROR(__xludf.DUMMYFUNCTION("""COMPUTED_VALUE"""),"ابراهيم الخطابي")</f>
        <v>ابراهيم الخطابي</v>
      </c>
      <c r="E741" s="26" t="str">
        <f ca="1">IFERROR(__xludf.DUMMYFUNCTION("""COMPUTED_VALUE"""),"مجموعة العميد التربوية")</f>
        <v>مجموعة العميد التربوية</v>
      </c>
      <c r="F741" s="26" t="str">
        <f ca="1">IFERROR(__xludf.DUMMYFUNCTION("""COMPUTED_VALUE"""),"النافورة")</f>
        <v>النافورة</v>
      </c>
      <c r="G741" s="26" t="str">
        <f ca="1">IFERROR(__xludf.DUMMYFUNCTION("""COMPUTED_VALUE"""),"الطابق الارضي")</f>
        <v>الطابق الارضي</v>
      </c>
      <c r="H741" s="26" t="str">
        <f ca="1">IFERROR(__xludf.DUMMYFUNCTION("""COMPUTED_VALUE"""),"غسل النافورة")</f>
        <v>غسل النافورة</v>
      </c>
      <c r="I741" s="26"/>
      <c r="J741" s="26" t="s">
        <v>16</v>
      </c>
      <c r="K741" s="26" t="s">
        <v>13</v>
      </c>
      <c r="L741" s="55"/>
      <c r="M741" s="26"/>
    </row>
    <row r="742" spans="1:13" ht="75" customHeight="1" thickTop="1" thickBot="1">
      <c r="A742" s="26">
        <v>740</v>
      </c>
      <c r="B742" s="55">
        <f ca="1">IFERROR(__xludf.DUMMYFUNCTION("""COMPUTED_VALUE"""),46174.5013326851)</f>
        <v>46174.501332685097</v>
      </c>
      <c r="C742" s="56" t="str">
        <f ca="1">IFERROR(__xludf.DUMMYFUNCTION("""COMPUTED_VALUE"""),"المعملجي")</f>
        <v>المعملجي</v>
      </c>
      <c r="D742" s="56" t="str">
        <f ca="1">IFERROR(__xludf.DUMMYFUNCTION("""COMPUTED_VALUE"""),"وحدة المدني")</f>
        <v>وحدة المدني</v>
      </c>
      <c r="E742" s="26" t="str">
        <f ca="1">IFERROR(__xludf.DUMMYFUNCTION("""COMPUTED_VALUE"""),"قسم المشاريع الهندسية")</f>
        <v>قسم المشاريع الهندسية</v>
      </c>
      <c r="F742" s="26" t="str">
        <f ca="1">IFERROR(__xludf.DUMMYFUNCTION("""COMPUTED_VALUE"""),"E- ابتدائية العميد للبنات (الثالثة)")</f>
        <v>E- ابتدائية العميد للبنات (الثالثة)</v>
      </c>
      <c r="G742" s="26" t="str">
        <f ca="1">IFERROR(__xludf.DUMMYFUNCTION("""COMPUTED_VALUE"""),"ZONE A, السطح")</f>
        <v>ZONE A, السطح</v>
      </c>
      <c r="H742" s="26" t="str">
        <f ca="1">IFERROR(__xludf.DUMMYFUNCTION("""COMPUTED_VALUE"""),"صب سيفونات عدد ٢")</f>
        <v>صب سيفونات عدد ٢</v>
      </c>
      <c r="I742" s="26"/>
      <c r="J742" s="26" t="s">
        <v>16</v>
      </c>
      <c r="K742" s="26" t="s">
        <v>13</v>
      </c>
      <c r="L742" s="55"/>
      <c r="M742" s="26"/>
    </row>
    <row r="743" spans="1:13" ht="75" customHeight="1" thickTop="1" thickBot="1">
      <c r="A743" s="34">
        <v>741</v>
      </c>
      <c r="B743" s="55">
        <f ca="1">IFERROR(__xludf.DUMMYFUNCTION("""COMPUTED_VALUE"""),46174.5026222222)</f>
        <v>46174.5026222222</v>
      </c>
      <c r="C743" s="56" t="str">
        <f ca="1">IFERROR(__xludf.DUMMYFUNCTION("""COMPUTED_VALUE"""),"المعملجي")</f>
        <v>المعملجي</v>
      </c>
      <c r="D743" s="56" t="str">
        <f ca="1">IFERROR(__xludf.DUMMYFUNCTION("""COMPUTED_VALUE"""),"ابو سجاد ")</f>
        <v xml:space="preserve">ابو سجاد </v>
      </c>
      <c r="E743" s="26" t="str">
        <f ca="1">IFERROR(__xludf.DUMMYFUNCTION("""COMPUTED_VALUE"""),"مجموعة العميد التربوية")</f>
        <v>مجموعة العميد التربوية</v>
      </c>
      <c r="F743" s="26" t="str">
        <f ca="1">IFERROR(__xludf.DUMMYFUNCTION("""COMPUTED_VALUE"""),"قرب النافورة")</f>
        <v>قرب النافورة</v>
      </c>
      <c r="G743" s="26" t="str">
        <f ca="1">IFERROR(__xludf.DUMMYFUNCTION("""COMPUTED_VALUE"""),"الطابق الارضي")</f>
        <v>الطابق الارضي</v>
      </c>
      <c r="H743" s="26" t="str">
        <f ca="1">IFERROR(__xludf.DUMMYFUNCTION("""COMPUTED_VALUE"""),"شد مبردات هواء")</f>
        <v>شد مبردات هواء</v>
      </c>
      <c r="I743" s="26"/>
      <c r="J743" s="26" t="s">
        <v>16</v>
      </c>
      <c r="K743" s="26" t="s">
        <v>13</v>
      </c>
      <c r="L743" s="55"/>
      <c r="M743" s="26"/>
    </row>
    <row r="744" spans="1:13" ht="75" customHeight="1" thickTop="1" thickBot="1">
      <c r="A744" s="26">
        <v>742</v>
      </c>
      <c r="B744" s="55">
        <f ca="1">IFERROR(__xludf.DUMMYFUNCTION("""COMPUTED_VALUE"""),46175.46200875)</f>
        <v>46175.462008750001</v>
      </c>
      <c r="C744" s="56" t="str">
        <f ca="1">IFERROR(__xludf.DUMMYFUNCTION("""COMPUTED_VALUE"""),"المعملجي")</f>
        <v>المعملجي</v>
      </c>
      <c r="D744" s="56" t="str">
        <f ca="1">IFERROR(__xludf.DUMMYFUNCTION("""COMPUTED_VALUE"""),"وحدة المدني")</f>
        <v>وحدة المدني</v>
      </c>
      <c r="E744" s="26" t="str">
        <f ca="1">IFERROR(__xludf.DUMMYFUNCTION("""COMPUTED_VALUE"""),"قسم المشاريع الهندسية")</f>
        <v>قسم المشاريع الهندسية</v>
      </c>
      <c r="F744" s="26" t="str">
        <f ca="1">IFERROR(__xludf.DUMMYFUNCTION("""COMPUTED_VALUE"""),"G- روضة الجود")</f>
        <v>G- روضة الجود</v>
      </c>
      <c r="G744" s="26" t="str">
        <f ca="1">IFERROR(__xludf.DUMMYFUNCTION("""COMPUTED_VALUE"""),"الطابق الثاني")</f>
        <v>الطابق الثاني</v>
      </c>
      <c r="H744" s="26" t="str">
        <f ca="1">IFERROR(__xludf.DUMMYFUNCTION("""COMPUTED_VALUE"""),"صيانة باب صحيات ")</f>
        <v xml:space="preserve">صيانة باب صحيات </v>
      </c>
      <c r="I744" s="26"/>
      <c r="J744" s="26" t="s">
        <v>16</v>
      </c>
      <c r="K744" s="26" t="s">
        <v>13</v>
      </c>
      <c r="L744" s="55"/>
      <c r="M744" s="26"/>
    </row>
    <row r="745" spans="1:13" ht="75" customHeight="1" thickTop="1" thickBot="1">
      <c r="A745" s="34">
        <v>743</v>
      </c>
      <c r="B745" s="55">
        <f ca="1">IFERROR(__xludf.DUMMYFUNCTION("""COMPUTED_VALUE"""),46175.4624487731)</f>
        <v>46175.462448773098</v>
      </c>
      <c r="C745" s="56" t="str">
        <f ca="1">IFERROR(__xludf.DUMMYFUNCTION("""COMPUTED_VALUE"""),"المعملجي")</f>
        <v>المعملجي</v>
      </c>
      <c r="D745" s="56" t="str">
        <f ca="1">IFERROR(__xludf.DUMMYFUNCTION("""COMPUTED_VALUE"""),"وحدة المدني")</f>
        <v>وحدة المدني</v>
      </c>
      <c r="E745" s="26" t="str">
        <f ca="1">IFERROR(__xludf.DUMMYFUNCTION("""COMPUTED_VALUE"""),"قسم المشاريع الهندسية")</f>
        <v>قسم المشاريع الهندسية</v>
      </c>
      <c r="F745" s="26" t="str">
        <f ca="1">IFERROR(__xludf.DUMMYFUNCTION("""COMPUTED_VALUE"""),"D- ثانوية العميد بناية المتوسطة  (الثانية)")</f>
        <v>D- ثانوية العميد بناية المتوسطة  (الثانية)</v>
      </c>
      <c r="G745" s="26" t="str">
        <f ca="1">IFERROR(__xludf.DUMMYFUNCTION("""COMPUTED_VALUE"""),"السطح")</f>
        <v>السطح</v>
      </c>
      <c r="H745" s="26" t="str">
        <f ca="1">IFERROR(__xludf.DUMMYFUNCTION("""COMPUTED_VALUE"""),"صب سيفونات عدد ٢")</f>
        <v>صب سيفونات عدد ٢</v>
      </c>
      <c r="I745" s="26"/>
      <c r="J745" s="26" t="s">
        <v>16</v>
      </c>
      <c r="K745" s="26" t="s">
        <v>13</v>
      </c>
      <c r="L745" s="55"/>
      <c r="M745" s="26"/>
    </row>
    <row r="746" spans="1:13" ht="75" customHeight="1" thickTop="1" thickBot="1">
      <c r="A746" s="26">
        <v>744</v>
      </c>
      <c r="B746" s="55">
        <f ca="1">IFERROR(__xludf.DUMMYFUNCTION("""COMPUTED_VALUE"""),46176.5627936458)</f>
        <v>46176.562793645797</v>
      </c>
      <c r="C746" s="56" t="str">
        <f ca="1">IFERROR(__xludf.DUMMYFUNCTION("""COMPUTED_VALUE"""),"المعملجي")</f>
        <v>المعملجي</v>
      </c>
      <c r="D746" s="56" t="str">
        <f ca="1">IFERROR(__xludf.DUMMYFUNCTION("""COMPUTED_VALUE"""),"ابو سجاد ")</f>
        <v xml:space="preserve">ابو سجاد </v>
      </c>
      <c r="E746" s="26" t="str">
        <f ca="1">IFERROR(__xludf.DUMMYFUNCTION("""COMPUTED_VALUE"""),"مجموعة العميد التربوية")</f>
        <v>مجموعة العميد التربوية</v>
      </c>
      <c r="F746" s="26" t="str">
        <f ca="1">IFERROR(__xludf.DUMMYFUNCTION("""COMPUTED_VALUE"""),"A- المركز الثقافي")</f>
        <v>A- المركز الثقافي</v>
      </c>
      <c r="G746" s="26" t="str">
        <f ca="1">IFERROR(__xludf.DUMMYFUNCTION("""COMPUTED_VALUE"""),"الطابق الثاني")</f>
        <v>الطابق الثاني</v>
      </c>
      <c r="H746" s="26" t="str">
        <f ca="1">IFERROR(__xludf.DUMMYFUNCTION("""COMPUTED_VALUE"""),"صيانة كاونتر ")</f>
        <v xml:space="preserve">صيانة كاونتر </v>
      </c>
      <c r="I746" s="26"/>
      <c r="J746" s="26" t="s">
        <v>16</v>
      </c>
      <c r="K746" s="26" t="s">
        <v>13</v>
      </c>
      <c r="L746" s="55">
        <v>46176.565424236112</v>
      </c>
      <c r="M746" s="26"/>
    </row>
    <row r="747" spans="1:13" ht="75" customHeight="1" thickTop="1" thickBot="1">
      <c r="A747" s="34">
        <v>745</v>
      </c>
      <c r="B747" s="55">
        <f ca="1">IFERROR(__xludf.DUMMYFUNCTION("""COMPUTED_VALUE"""),46176.5642971064)</f>
        <v>46176.564297106401</v>
      </c>
      <c r="C747" s="56" t="str">
        <f ca="1">IFERROR(__xludf.DUMMYFUNCTION("""COMPUTED_VALUE"""),"المعملجي")</f>
        <v>المعملجي</v>
      </c>
      <c r="D747" s="56" t="str">
        <f ca="1">IFERROR(__xludf.DUMMYFUNCTION("""COMPUTED_VALUE"""),"ابو سجاد ")</f>
        <v xml:space="preserve">ابو سجاد </v>
      </c>
      <c r="E747" s="26" t="str">
        <f ca="1">IFERROR(__xludf.DUMMYFUNCTION("""COMPUTED_VALUE"""),"مجموعة العميد التربوية")</f>
        <v>مجموعة العميد التربوية</v>
      </c>
      <c r="F747" s="26" t="str">
        <f ca="1">IFERROR(__xludf.DUMMYFUNCTION("""COMPUTED_VALUE"""),"E- ابتدائية العميد للبنات (الثالثة)")</f>
        <v>E- ابتدائية العميد للبنات (الثالثة)</v>
      </c>
      <c r="G747" s="26" t="str">
        <f ca="1">IFERROR(__xludf.DUMMYFUNCTION("""COMPUTED_VALUE"""),"الطابق الاول, ZONE B")</f>
        <v>الطابق الاول, ZONE B</v>
      </c>
      <c r="H747" s="26" t="str">
        <f ca="1">IFERROR(__xludf.DUMMYFUNCTION("""COMPUTED_VALUE"""),"صيانة إطار الشاشة ")</f>
        <v xml:space="preserve">صيانة إطار الشاشة </v>
      </c>
      <c r="I747" s="26"/>
      <c r="J747" s="26" t="s">
        <v>16</v>
      </c>
      <c r="K747" s="26" t="s">
        <v>13</v>
      </c>
      <c r="L747" s="55">
        <v>46176.585892384261</v>
      </c>
      <c r="M747" s="26"/>
    </row>
    <row r="748" spans="1:13" ht="75" customHeight="1" thickTop="1" thickBot="1">
      <c r="A748" s="26">
        <v>746</v>
      </c>
      <c r="B748" s="55">
        <f ca="1">IFERROR(__xludf.DUMMYFUNCTION("""COMPUTED_VALUE"""),46176.5654019212)</f>
        <v>46176.565401921202</v>
      </c>
      <c r="C748" s="56" t="str">
        <f ca="1">IFERROR(__xludf.DUMMYFUNCTION("""COMPUTED_VALUE"""),"المعملجي")</f>
        <v>المعملجي</v>
      </c>
      <c r="D748" s="56" t="str">
        <f ca="1">IFERROR(__xludf.DUMMYFUNCTION("""COMPUTED_VALUE"""),"ابو سجاد ")</f>
        <v xml:space="preserve">ابو سجاد </v>
      </c>
      <c r="E748" s="26" t="str">
        <f ca="1">IFERROR(__xludf.DUMMYFUNCTION("""COMPUTED_VALUE"""),"مجموعة العميد التربوية")</f>
        <v>مجموعة العميد التربوية</v>
      </c>
      <c r="F748" s="26" t="str">
        <f ca="1">IFERROR(__xludf.DUMMYFUNCTION("""COMPUTED_VALUE"""),"A- المركز الثقافي")</f>
        <v>A- المركز الثقافي</v>
      </c>
      <c r="G748" s="26" t="str">
        <f ca="1">IFERROR(__xludf.DUMMYFUNCTION("""COMPUTED_VALUE"""),"الطابق الارضي")</f>
        <v>الطابق الارضي</v>
      </c>
      <c r="H748" s="26" t="str">
        <f ca="1">IFERROR(__xludf.DUMMYFUNCTION("""COMPUTED_VALUE"""),"صيانة باب المنيوم ")</f>
        <v xml:space="preserve">صيانة باب المنيوم </v>
      </c>
      <c r="I748" s="26"/>
      <c r="J748" s="26" t="s">
        <v>16</v>
      </c>
      <c r="K748" s="26" t="s">
        <v>13</v>
      </c>
      <c r="L748" s="55">
        <v>46176.565505682869</v>
      </c>
      <c r="M748" s="26"/>
    </row>
    <row r="749" spans="1:13" ht="75" customHeight="1" thickTop="1" thickBot="1">
      <c r="A749" s="34">
        <v>747</v>
      </c>
      <c r="B749" s="55">
        <f ca="1">IFERROR(__xludf.DUMMYFUNCTION("""COMPUTED_VALUE"""),46179.357958287)</f>
        <v>46179.357958287001</v>
      </c>
      <c r="C749" s="56" t="str">
        <f ca="1">IFERROR(__xludf.DUMMYFUNCTION("""COMPUTED_VALUE"""),"المعملجي")</f>
        <v>المعملجي</v>
      </c>
      <c r="D749" s="56" t="str">
        <f ca="1">IFERROR(__xludf.DUMMYFUNCTION("""COMPUTED_VALUE"""),"ابو سجاد ")</f>
        <v xml:space="preserve">ابو سجاد </v>
      </c>
      <c r="E749" s="26" t="str">
        <f ca="1">IFERROR(__xludf.DUMMYFUNCTION("""COMPUTED_VALUE"""),"مجموعة العميد التربوية")</f>
        <v>مجموعة العميد التربوية</v>
      </c>
      <c r="F749" s="26" t="str">
        <f ca="1">IFERROR(__xludf.DUMMYFUNCTION("""COMPUTED_VALUE"""),"H- ابتدائية القمر للبنات (الخامسة)")</f>
        <v>H- ابتدائية القمر للبنات (الخامسة)</v>
      </c>
      <c r="G749" s="26" t="str">
        <f ca="1">IFERROR(__xludf.DUMMYFUNCTION("""COMPUTED_VALUE"""),"السطح")</f>
        <v>السطح</v>
      </c>
      <c r="H749" s="26" t="str">
        <f ca="1">IFERROR(__xludf.DUMMYFUNCTION("""COMPUTED_VALUE"""),"Ro لا يوجد ماء")</f>
        <v>Ro لا يوجد ماء</v>
      </c>
      <c r="I749" s="26"/>
      <c r="J749" s="26" t="s">
        <v>14</v>
      </c>
      <c r="K749" s="26" t="s">
        <v>13</v>
      </c>
      <c r="L749" s="55">
        <v>46179.437059456017</v>
      </c>
      <c r="M749" s="26"/>
    </row>
    <row r="750" spans="1:13" ht="75" customHeight="1" thickTop="1" thickBot="1">
      <c r="A750" s="26">
        <v>748</v>
      </c>
      <c r="B750" s="55">
        <f ca="1">IFERROR(__xludf.DUMMYFUNCTION("""COMPUTED_VALUE"""),46179.433389456)</f>
        <v>46179.433389455997</v>
      </c>
      <c r="C750" s="56" t="str">
        <f ca="1">IFERROR(__xludf.DUMMYFUNCTION("""COMPUTED_VALUE"""),"المعملجي")</f>
        <v>المعملجي</v>
      </c>
      <c r="D750" s="56" t="str">
        <f ca="1">IFERROR(__xludf.DUMMYFUNCTION("""COMPUTED_VALUE"""),"ابو سجاد ")</f>
        <v xml:space="preserve">ابو سجاد </v>
      </c>
      <c r="E750" s="26" t="str">
        <f ca="1">IFERROR(__xludf.DUMMYFUNCTION("""COMPUTED_VALUE"""),"مجموعة العميد التربوية")</f>
        <v>مجموعة العميد التربوية</v>
      </c>
      <c r="F750" s="26" t="str">
        <f ca="1">IFERROR(__xludf.DUMMYFUNCTION("""COMPUTED_VALUE"""),"G- روضة الجود")</f>
        <v>G- روضة الجود</v>
      </c>
      <c r="G750" s="26" t="str">
        <f ca="1">IFERROR(__xludf.DUMMYFUNCTION("""COMPUTED_VALUE"""),"السطح")</f>
        <v>السطح</v>
      </c>
      <c r="H750" s="26" t="str">
        <f ca="1">IFERROR(__xludf.DUMMYFUNCTION("""COMPUTED_VALUE"""),"Ro لايوجد ماء")</f>
        <v>Ro لايوجد ماء</v>
      </c>
      <c r="I750" s="26"/>
      <c r="J750" s="26" t="s">
        <v>14</v>
      </c>
      <c r="K750" s="26" t="s">
        <v>13</v>
      </c>
      <c r="L750" s="55"/>
      <c r="M750" s="26"/>
    </row>
    <row r="751" spans="1:13" ht="75" customHeight="1" thickTop="1" thickBot="1">
      <c r="A751" s="34">
        <v>749</v>
      </c>
      <c r="B751" s="55">
        <f ca="1">IFERROR(__xludf.DUMMYFUNCTION("""COMPUTED_VALUE"""),46179.4342257754)</f>
        <v>46179.434225775403</v>
      </c>
      <c r="C751" s="56" t="str">
        <f ca="1">IFERROR(__xludf.DUMMYFUNCTION("""COMPUTED_VALUE"""),"المعملجي")</f>
        <v>المعملجي</v>
      </c>
      <c r="D751" s="56" t="str">
        <f ca="1">IFERROR(__xludf.DUMMYFUNCTION("""COMPUTED_VALUE"""),"ابو سجاد ")</f>
        <v xml:space="preserve">ابو سجاد </v>
      </c>
      <c r="E751" s="26" t="str">
        <f ca="1">IFERROR(__xludf.DUMMYFUNCTION("""COMPUTED_VALUE"""),"مجموعة العميد التربوية")</f>
        <v>مجموعة العميد التربوية</v>
      </c>
      <c r="F751" s="26" t="str">
        <f ca="1">IFERROR(__xludf.DUMMYFUNCTION("""COMPUTED_VALUE"""),"A- المركز الثقافي")</f>
        <v>A- المركز الثقافي</v>
      </c>
      <c r="G751" s="26" t="str">
        <f ca="1">IFERROR(__xludf.DUMMYFUNCTION("""COMPUTED_VALUE"""),"الطابق الارضي")</f>
        <v>الطابق الارضي</v>
      </c>
      <c r="H751" s="26" t="str">
        <f ca="1">IFERROR(__xludf.DUMMYFUNCTION("""COMPUTED_VALUE"""),"صيانة باب المنيوم ")</f>
        <v xml:space="preserve">صيانة باب المنيوم </v>
      </c>
      <c r="I751" s="26"/>
      <c r="J751" s="26" t="s">
        <v>16</v>
      </c>
      <c r="K751" s="26" t="s">
        <v>13</v>
      </c>
      <c r="L751" s="55"/>
      <c r="M751" s="26"/>
    </row>
    <row r="752" spans="1:13" ht="75" customHeight="1" thickTop="1" thickBot="1">
      <c r="A752" s="26">
        <v>750</v>
      </c>
      <c r="B752" s="55">
        <f ca="1">IFERROR(__xludf.DUMMYFUNCTION("""COMPUTED_VALUE"""),46179.4347918865)</f>
        <v>46179.434791886502</v>
      </c>
      <c r="C752" s="56" t="str">
        <f ca="1">IFERROR(__xludf.DUMMYFUNCTION("""COMPUTED_VALUE"""),"المعملجي")</f>
        <v>المعملجي</v>
      </c>
      <c r="D752" s="56" t="str">
        <f ca="1">IFERROR(__xludf.DUMMYFUNCTION("""COMPUTED_VALUE"""),"ابو سجاد ")</f>
        <v xml:space="preserve">ابو سجاد </v>
      </c>
      <c r="E752" s="26" t="str">
        <f ca="1">IFERROR(__xludf.DUMMYFUNCTION("""COMPUTED_VALUE"""),"مجموعة العميد التربوية")</f>
        <v>مجموعة العميد التربوية</v>
      </c>
      <c r="F752" s="26" t="str">
        <f ca="1">IFERROR(__xludf.DUMMYFUNCTION("""COMPUTED_VALUE"""),"A- المركز الثقافي")</f>
        <v>A- المركز الثقافي</v>
      </c>
      <c r="G752" s="26" t="str">
        <f ca="1">IFERROR(__xludf.DUMMYFUNCTION("""COMPUTED_VALUE"""),"الطابق الثاني")</f>
        <v>الطابق الثاني</v>
      </c>
      <c r="H752" s="26" t="str">
        <f ca="1">IFERROR(__xludf.DUMMYFUNCTION("""COMPUTED_VALUE"""),"صيانة كاونتر")</f>
        <v>صيانة كاونتر</v>
      </c>
      <c r="I752" s="26"/>
      <c r="J752" s="26" t="s">
        <v>16</v>
      </c>
      <c r="K752" s="26" t="s">
        <v>13</v>
      </c>
      <c r="L752" s="55"/>
      <c r="M752" s="26"/>
    </row>
    <row r="753" spans="1:13" ht="75" customHeight="1" thickTop="1" thickBot="1">
      <c r="A753" s="34">
        <v>751</v>
      </c>
      <c r="B753" s="55">
        <f ca="1">IFERROR(__xludf.DUMMYFUNCTION("""COMPUTED_VALUE"""),46179.4357466435)</f>
        <v>46179.435746643503</v>
      </c>
      <c r="C753" s="56" t="str">
        <f ca="1">IFERROR(__xludf.DUMMYFUNCTION("""COMPUTED_VALUE"""),"المعملجي")</f>
        <v>المعملجي</v>
      </c>
      <c r="D753" s="56" t="str">
        <f ca="1">IFERROR(__xludf.DUMMYFUNCTION("""COMPUTED_VALUE"""),"ابو سجاد ")</f>
        <v xml:space="preserve">ابو سجاد </v>
      </c>
      <c r="E753" s="26" t="str">
        <f ca="1">IFERROR(__xludf.DUMMYFUNCTION("""COMPUTED_VALUE"""),"مجموعة العميد التربوية")</f>
        <v>مجموعة العميد التربوية</v>
      </c>
      <c r="F753" s="26" t="str">
        <f ca="1">IFERROR(__xludf.DUMMYFUNCTION("""COMPUTED_VALUE"""),"النافورة")</f>
        <v>النافورة</v>
      </c>
      <c r="G753" s="26" t="str">
        <f ca="1">IFERROR(__xludf.DUMMYFUNCTION("""COMPUTED_VALUE"""),"الطابق الارضي")</f>
        <v>الطابق الارضي</v>
      </c>
      <c r="H753" s="26" t="str">
        <f ca="1">IFERROR(__xludf.DUMMYFUNCTION("""COMPUTED_VALUE"""),"قرب النافورة صيانة رجل قنفة عدد 2 ")</f>
        <v xml:space="preserve">قرب النافورة صيانة رجل قنفة عدد 2 </v>
      </c>
      <c r="I753" s="26"/>
      <c r="J753" s="26" t="s">
        <v>16</v>
      </c>
      <c r="K753" s="26" t="s">
        <v>13</v>
      </c>
      <c r="L753" s="55"/>
      <c r="M753" s="26"/>
    </row>
    <row r="754" spans="1:13" ht="75" customHeight="1" thickTop="1" thickBot="1">
      <c r="A754" s="26">
        <v>752</v>
      </c>
      <c r="B754" s="55">
        <f ca="1">IFERROR(__xludf.DUMMYFUNCTION("""COMPUTED_VALUE"""),46179.4361918518)</f>
        <v>46179.436191851797</v>
      </c>
      <c r="C754" s="56" t="str">
        <f ca="1">IFERROR(__xludf.DUMMYFUNCTION("""COMPUTED_VALUE"""),"المعملجي")</f>
        <v>المعملجي</v>
      </c>
      <c r="D754" s="56" t="str">
        <f ca="1">IFERROR(__xludf.DUMMYFUNCTION("""COMPUTED_VALUE"""),"ابو سجاد ")</f>
        <v xml:space="preserve">ابو سجاد </v>
      </c>
      <c r="E754" s="26" t="str">
        <f ca="1">IFERROR(__xludf.DUMMYFUNCTION("""COMPUTED_VALUE"""),"مجموعة العميد التربوية")</f>
        <v>مجموعة العميد التربوية</v>
      </c>
      <c r="F754" s="26" t="str">
        <f ca="1">IFERROR(__xludf.DUMMYFUNCTION("""COMPUTED_VALUE"""),"النافورة")</f>
        <v>النافورة</v>
      </c>
      <c r="G754" s="26" t="str">
        <f ca="1">IFERROR(__xludf.DUMMYFUNCTION("""COMPUTED_VALUE"""),"الطابق الارضي")</f>
        <v>الطابق الارضي</v>
      </c>
      <c r="H754" s="26" t="str">
        <f ca="1">IFERROR(__xludf.DUMMYFUNCTION("""COMPUTED_VALUE"""),"قرب النافورة شد مبردات")</f>
        <v>قرب النافورة شد مبردات</v>
      </c>
      <c r="I754" s="26"/>
      <c r="J754" s="26" t="s">
        <v>16</v>
      </c>
      <c r="K754" s="26" t="s">
        <v>13</v>
      </c>
      <c r="L754" s="55"/>
      <c r="M754" s="26"/>
    </row>
    <row r="755" spans="1:13" ht="75" customHeight="1" thickTop="1" thickBot="1">
      <c r="A755" s="34">
        <v>753</v>
      </c>
      <c r="B755" s="55">
        <f ca="1">IFERROR(__xludf.DUMMYFUNCTION("""COMPUTED_VALUE"""),46179.4368031481)</f>
        <v>46179.436803148099</v>
      </c>
      <c r="C755" s="56" t="str">
        <f ca="1">IFERROR(__xludf.DUMMYFUNCTION("""COMPUTED_VALUE"""),"المعملجي")</f>
        <v>المعملجي</v>
      </c>
      <c r="D755" s="56" t="str">
        <f ca="1">IFERROR(__xludf.DUMMYFUNCTION("""COMPUTED_VALUE"""),"ابو سجاد ")</f>
        <v xml:space="preserve">ابو سجاد </v>
      </c>
      <c r="E755" s="26" t="str">
        <f ca="1">IFERROR(__xludf.DUMMYFUNCTION("""COMPUTED_VALUE"""),"مجموعة العميد التربوية")</f>
        <v>مجموعة العميد التربوية</v>
      </c>
      <c r="F755" s="26" t="str">
        <f ca="1">IFERROR(__xludf.DUMMYFUNCTION("""COMPUTED_VALUE"""),"النافورة")</f>
        <v>النافورة</v>
      </c>
      <c r="G755" s="26" t="str">
        <f ca="1">IFERROR(__xludf.DUMMYFUNCTION("""COMPUTED_VALUE"""),"الطابق الارضي")</f>
        <v>الطابق الارضي</v>
      </c>
      <c r="H755" s="26" t="str">
        <f ca="1">IFERROR(__xludf.DUMMYFUNCTION("""COMPUTED_VALUE"""),"توصيل كهرباء للمبردات")</f>
        <v>توصيل كهرباء للمبردات</v>
      </c>
      <c r="I755" s="26"/>
      <c r="J755" s="26" t="s">
        <v>3910</v>
      </c>
      <c r="K755" s="26" t="s">
        <v>13</v>
      </c>
      <c r="L755" s="55"/>
      <c r="M755" s="26"/>
    </row>
    <row r="756" spans="1:13" ht="75" customHeight="1" thickTop="1" thickBot="1">
      <c r="A756" s="26">
        <v>754</v>
      </c>
      <c r="B756" s="55">
        <f ca="1">IFERROR(__xludf.DUMMYFUNCTION("""COMPUTED_VALUE"""),46180.3195571179)</f>
        <v>46180.319557117997</v>
      </c>
      <c r="C756" s="56" t="str">
        <f ca="1">IFERROR(__xludf.DUMMYFUNCTION("""COMPUTED_VALUE"""),"المعملجي")</f>
        <v>المعملجي</v>
      </c>
      <c r="D756" s="56" t="str">
        <f ca="1">IFERROR(__xludf.DUMMYFUNCTION("""COMPUTED_VALUE"""),"ابو سجاد ")</f>
        <v xml:space="preserve">ابو سجاد </v>
      </c>
      <c r="E756" s="26" t="str">
        <f ca="1">IFERROR(__xludf.DUMMYFUNCTION("""COMPUTED_VALUE"""),"مجموعة العميد التربوية")</f>
        <v>مجموعة العميد التربوية</v>
      </c>
      <c r="F756" s="26" t="str">
        <f ca="1">IFERROR(__xludf.DUMMYFUNCTION("""COMPUTED_VALUE"""),"A- المركز الثقافي")</f>
        <v>A- المركز الثقافي</v>
      </c>
      <c r="G756" s="26" t="str">
        <f ca="1">IFERROR(__xludf.DUMMYFUNCTION("""COMPUTED_VALUE"""),"الطابق الثاني")</f>
        <v>الطابق الثاني</v>
      </c>
      <c r="H756" s="26" t="str">
        <f ca="1">IFERROR(__xludf.DUMMYFUNCTION("""COMPUTED_VALUE"""),"ارجاع سقوف ثانوية ")</f>
        <v xml:space="preserve">ارجاع سقوف ثانوية </v>
      </c>
      <c r="I756" s="26"/>
      <c r="J756" s="26" t="s">
        <v>16</v>
      </c>
      <c r="K756" s="26" t="s">
        <v>13</v>
      </c>
      <c r="L756" s="55">
        <v>46180.389733009259</v>
      </c>
      <c r="M756" s="26"/>
    </row>
    <row r="757" spans="1:13" ht="75" customHeight="1" thickTop="1" thickBot="1">
      <c r="A757" s="34">
        <v>755</v>
      </c>
      <c r="B757" s="55">
        <f ca="1">IFERROR(__xludf.DUMMYFUNCTION("""COMPUTED_VALUE"""),46180.319941331)</f>
        <v>46180.319941330999</v>
      </c>
      <c r="C757" s="56" t="str">
        <f ca="1">IFERROR(__xludf.DUMMYFUNCTION("""COMPUTED_VALUE"""),"المعملجي")</f>
        <v>المعملجي</v>
      </c>
      <c r="D757" s="56" t="str">
        <f ca="1">IFERROR(__xludf.DUMMYFUNCTION("""COMPUTED_VALUE"""),"ابو سجاد ")</f>
        <v xml:space="preserve">ابو سجاد </v>
      </c>
      <c r="E757" s="26" t="str">
        <f ca="1">IFERROR(__xludf.DUMMYFUNCTION("""COMPUTED_VALUE"""),"مجموعة العميد التربوية")</f>
        <v>مجموعة العميد التربوية</v>
      </c>
      <c r="F757" s="26" t="str">
        <f ca="1">IFERROR(__xludf.DUMMYFUNCTION("""COMPUTED_VALUE"""),"A- المركز الثقافي")</f>
        <v>A- المركز الثقافي</v>
      </c>
      <c r="G757" s="26" t="str">
        <f ca="1">IFERROR(__xludf.DUMMYFUNCTION("""COMPUTED_VALUE"""),"الطابق الاول")</f>
        <v>الطابق الاول</v>
      </c>
      <c r="H757" s="26" t="str">
        <f ca="1">IFERROR(__xludf.DUMMYFUNCTION("""COMPUTED_VALUE"""),"صيانة كرسي ")</f>
        <v xml:space="preserve">صيانة كرسي </v>
      </c>
      <c r="I757" s="26"/>
      <c r="J757" s="26" t="s">
        <v>16</v>
      </c>
      <c r="K757" s="26" t="s">
        <v>13</v>
      </c>
      <c r="L757" s="55">
        <v>46180.390395486116</v>
      </c>
      <c r="M757" s="26"/>
    </row>
    <row r="758" spans="1:13" ht="75" customHeight="1" thickTop="1" thickBot="1">
      <c r="A758" s="26">
        <v>756</v>
      </c>
      <c r="B758" s="55">
        <f ca="1">IFERROR(__xludf.DUMMYFUNCTION("""COMPUTED_VALUE"""),46180.3204823958)</f>
        <v>46180.3204823958</v>
      </c>
      <c r="C758" s="56" t="str">
        <f ca="1">IFERROR(__xludf.DUMMYFUNCTION("""COMPUTED_VALUE"""),"المعملجي")</f>
        <v>المعملجي</v>
      </c>
      <c r="D758" s="56" t="str">
        <f ca="1">IFERROR(__xludf.DUMMYFUNCTION("""COMPUTED_VALUE"""),"ابو سجاد ")</f>
        <v xml:space="preserve">ابو سجاد </v>
      </c>
      <c r="E758" s="26" t="str">
        <f ca="1">IFERROR(__xludf.DUMMYFUNCTION("""COMPUTED_VALUE"""),"مجموعة العميد التربوية")</f>
        <v>مجموعة العميد التربوية</v>
      </c>
      <c r="F758" s="26" t="str">
        <f ca="1">IFERROR(__xludf.DUMMYFUNCTION("""COMPUTED_VALUE"""),"النافورة")</f>
        <v>النافورة</v>
      </c>
      <c r="G758" s="26" t="str">
        <f ca="1">IFERROR(__xludf.DUMMYFUNCTION("""COMPUTED_VALUE"""),"الطابق الارضي")</f>
        <v>الطابق الارضي</v>
      </c>
      <c r="H758" s="26" t="str">
        <f ca="1">IFERROR(__xludf.DUMMYFUNCTION("""COMPUTED_VALUE"""),"فتح مبردات")</f>
        <v>فتح مبردات</v>
      </c>
      <c r="I758" s="26"/>
      <c r="J758" s="26" t="s">
        <v>16</v>
      </c>
      <c r="K758" s="26" t="s">
        <v>13</v>
      </c>
      <c r="L758" s="55">
        <v>46180.390473101856</v>
      </c>
      <c r="M758" s="26"/>
    </row>
    <row r="759" spans="1:13" ht="75" customHeight="1" thickTop="1" thickBot="1">
      <c r="A759" s="34">
        <v>757</v>
      </c>
      <c r="B759" s="55">
        <f ca="1">IFERROR(__xludf.DUMMYFUNCTION("""COMPUTED_VALUE"""),46180.3227274421)</f>
        <v>46180.322727442101</v>
      </c>
      <c r="C759" s="56" t="str">
        <f ca="1">IFERROR(__xludf.DUMMYFUNCTION("""COMPUTED_VALUE"""),"المعملجي")</f>
        <v>المعملجي</v>
      </c>
      <c r="D759" s="56" t="str">
        <f ca="1">IFERROR(__xludf.DUMMYFUNCTION("""COMPUTED_VALUE"""),"ابراهيم الخطابي")</f>
        <v>ابراهيم الخطابي</v>
      </c>
      <c r="E759" s="26" t="str">
        <f ca="1">IFERROR(__xludf.DUMMYFUNCTION("""COMPUTED_VALUE"""),"مجموعة العميد التربوية")</f>
        <v>مجموعة العميد التربوية</v>
      </c>
      <c r="F759" s="26" t="str">
        <f ca="1">IFERROR(__xludf.DUMMYFUNCTION("""COMPUTED_VALUE"""),"A- المركز الثقافي")</f>
        <v>A- المركز الثقافي</v>
      </c>
      <c r="G759" s="26" t="str">
        <f ca="1">IFERROR(__xludf.DUMMYFUNCTION("""COMPUTED_VALUE"""),"الطابق الاول, الطابق الثاني")</f>
        <v>الطابق الاول, الطابق الثاني</v>
      </c>
      <c r="H759" s="26" t="str">
        <f ca="1">IFERROR(__xludf.DUMMYFUNCTION("""COMPUTED_VALUE"""),"ارجاع القطع سقوف الثانوية الى وضعها")</f>
        <v>ارجاع القطع سقوف الثانوية الى وضعها</v>
      </c>
      <c r="I759" s="26"/>
      <c r="J759" s="26" t="s">
        <v>16</v>
      </c>
      <c r="K759" s="26" t="s">
        <v>13</v>
      </c>
      <c r="L759" s="55">
        <v>46180.390499039349</v>
      </c>
      <c r="M759" s="26"/>
    </row>
    <row r="760" spans="1:13" ht="75" customHeight="1" thickTop="1" thickBot="1">
      <c r="A760" s="26">
        <v>758</v>
      </c>
      <c r="B760" s="55">
        <f ca="1">IFERROR(__xludf.DUMMYFUNCTION("""COMPUTED_VALUE"""),46180.323177118)</f>
        <v>46180.323177118</v>
      </c>
      <c r="C760" s="56" t="str">
        <f ca="1">IFERROR(__xludf.DUMMYFUNCTION("""COMPUTED_VALUE"""),"المعملجي")</f>
        <v>المعملجي</v>
      </c>
      <c r="D760" s="56" t="str">
        <f ca="1">IFERROR(__xludf.DUMMYFUNCTION("""COMPUTED_VALUE"""),"ابراهيم الخطابي")</f>
        <v>ابراهيم الخطابي</v>
      </c>
      <c r="E760" s="26" t="str">
        <f ca="1">IFERROR(__xludf.DUMMYFUNCTION("""COMPUTED_VALUE"""),"مجموعة العميد التربوية")</f>
        <v>مجموعة العميد التربوية</v>
      </c>
      <c r="F760" s="26" t="str">
        <f ca="1">IFERROR(__xludf.DUMMYFUNCTION("""COMPUTED_VALUE"""),"A- المركز الثقافي")</f>
        <v>A- المركز الثقافي</v>
      </c>
      <c r="G760" s="26" t="str">
        <f ca="1">IFERROR(__xludf.DUMMYFUNCTION("""COMPUTED_VALUE"""),"الطابق الثاني")</f>
        <v>الطابق الثاني</v>
      </c>
      <c r="H760" s="26" t="str">
        <f ca="1">IFERROR(__xludf.DUMMYFUNCTION("""COMPUTED_VALUE"""),"تصليح بلك سويج ")</f>
        <v xml:space="preserve">تصليح بلك سويج </v>
      </c>
      <c r="I760" s="26"/>
      <c r="J760" s="26" t="s">
        <v>3910</v>
      </c>
      <c r="K760" s="26" t="s">
        <v>13</v>
      </c>
      <c r="L760" s="55">
        <v>46180.537853703703</v>
      </c>
      <c r="M760" s="26"/>
    </row>
    <row r="761" spans="1:13" ht="75" customHeight="1" thickTop="1" thickBot="1">
      <c r="A761" s="34">
        <v>759</v>
      </c>
      <c r="B761" s="55">
        <f ca="1">IFERROR(__xludf.DUMMYFUNCTION("""COMPUTED_VALUE"""),46180.3482503703)</f>
        <v>46180.348250370298</v>
      </c>
      <c r="C761" s="56" t="str">
        <f ca="1">IFERROR(__xludf.DUMMYFUNCTION("""COMPUTED_VALUE"""),"المعملجي")</f>
        <v>المعملجي</v>
      </c>
      <c r="D761" s="56" t="str">
        <f ca="1">IFERROR(__xludf.DUMMYFUNCTION("""COMPUTED_VALUE"""),"ابو سجاد ")</f>
        <v xml:space="preserve">ابو سجاد </v>
      </c>
      <c r="E761" s="26" t="str">
        <f ca="1">IFERROR(__xludf.DUMMYFUNCTION("""COMPUTED_VALUE"""),"مجموعة العميد التربوية")</f>
        <v>مجموعة العميد التربوية</v>
      </c>
      <c r="F761" s="26" t="str">
        <f ca="1">IFERROR(__xludf.DUMMYFUNCTION("""COMPUTED_VALUE"""),"A- المركز الثقافي")</f>
        <v>A- المركز الثقافي</v>
      </c>
      <c r="G761" s="26" t="str">
        <f ca="1">IFERROR(__xludf.DUMMYFUNCTION("""COMPUTED_VALUE"""),"الطابق الارضي")</f>
        <v>الطابق الارضي</v>
      </c>
      <c r="H761" s="26" t="str">
        <f ca="1">IFERROR(__xludf.DUMMYFUNCTION("""COMPUTED_VALUE"""),"صيانة باب كاونتر ")</f>
        <v xml:space="preserve">صيانة باب كاونتر </v>
      </c>
      <c r="I761" s="26"/>
      <c r="J761" s="26" t="s">
        <v>16</v>
      </c>
      <c r="K761" s="26" t="s">
        <v>13</v>
      </c>
      <c r="L761" s="55">
        <v>46180.390530092591</v>
      </c>
      <c r="M761" s="26"/>
    </row>
    <row r="762" spans="1:13" ht="75" customHeight="1" thickTop="1" thickBot="1">
      <c r="A762" s="26">
        <v>760</v>
      </c>
      <c r="B762" s="55">
        <f ca="1">IFERROR(__xludf.DUMMYFUNCTION("""COMPUTED_VALUE"""),46180.3501273611)</f>
        <v>46180.350127361096</v>
      </c>
      <c r="C762" s="56" t="str">
        <f ca="1">IFERROR(__xludf.DUMMYFUNCTION("""COMPUTED_VALUE"""),"المعملجي")</f>
        <v>المعملجي</v>
      </c>
      <c r="D762" s="56" t="str">
        <f ca="1">IFERROR(__xludf.DUMMYFUNCTION("""COMPUTED_VALUE"""),"وحدة المدني")</f>
        <v>وحدة المدني</v>
      </c>
      <c r="E762" s="26" t="str">
        <f ca="1">IFERROR(__xludf.DUMMYFUNCTION("""COMPUTED_VALUE"""),"قسم المشاريع الهندسية")</f>
        <v>قسم المشاريع الهندسية</v>
      </c>
      <c r="F762" s="26" t="str">
        <f ca="1">IFERROR(__xludf.DUMMYFUNCTION("""COMPUTED_VALUE"""),"D- ثانوية العميد بناية المتوسطة  (الثانية)")</f>
        <v>D- ثانوية العميد بناية المتوسطة  (الثانية)</v>
      </c>
      <c r="G762" s="26" t="str">
        <f ca="1">IFERROR(__xludf.DUMMYFUNCTION("""COMPUTED_VALUE"""),"الطابق الاول")</f>
        <v>الطابق الاول</v>
      </c>
      <c r="H762" s="26" t="str">
        <f ca="1">IFERROR(__xludf.DUMMYFUNCTION("""COMPUTED_VALUE"""),"صيانة باب خشب عدد 2 ")</f>
        <v xml:space="preserve">صيانة باب خشب عدد 2 </v>
      </c>
      <c r="I762" s="26"/>
      <c r="J762" s="26" t="s">
        <v>16</v>
      </c>
      <c r="K762" s="26" t="s">
        <v>13</v>
      </c>
      <c r="L762" s="55">
        <v>46180.390553391204</v>
      </c>
      <c r="M762" s="26"/>
    </row>
    <row r="763" spans="1:13" ht="75" customHeight="1" thickTop="1" thickBot="1">
      <c r="A763" s="34">
        <v>761</v>
      </c>
      <c r="B763" s="55">
        <f ca="1">IFERROR(__xludf.DUMMYFUNCTION("""COMPUTED_VALUE"""),46180.3505718402)</f>
        <v>46180.350571840201</v>
      </c>
      <c r="C763" s="56" t="str">
        <f ca="1">IFERROR(__xludf.DUMMYFUNCTION("""COMPUTED_VALUE"""),"المعملجي")</f>
        <v>المعملجي</v>
      </c>
      <c r="D763" s="56" t="str">
        <f ca="1">IFERROR(__xludf.DUMMYFUNCTION("""COMPUTED_VALUE"""),"وحدة المدني")</f>
        <v>وحدة المدني</v>
      </c>
      <c r="E763" s="26" t="str">
        <f ca="1">IFERROR(__xludf.DUMMYFUNCTION("""COMPUTED_VALUE"""),"قسم المشاريع الهندسية")</f>
        <v>قسم المشاريع الهندسية</v>
      </c>
      <c r="F763" s="26" t="str">
        <f ca="1">IFERROR(__xludf.DUMMYFUNCTION("""COMPUTED_VALUE"""),"D- ثانوية العميد بناية المتوسطة  (الثانية)")</f>
        <v>D- ثانوية العميد بناية المتوسطة  (الثانية)</v>
      </c>
      <c r="G763" s="26" t="str">
        <f ca="1">IFERROR(__xludf.DUMMYFUNCTION("""COMPUTED_VALUE"""),"الطابق الاول")</f>
        <v>الطابق الاول</v>
      </c>
      <c r="H763" s="26" t="str">
        <f ca="1">IFERROR(__xludf.DUMMYFUNCTION("""COMPUTED_VALUE"""),"صيانة باب المنيوم عدد 2 ")</f>
        <v xml:space="preserve">صيانة باب المنيوم عدد 2 </v>
      </c>
      <c r="I763" s="26"/>
      <c r="J763" s="26" t="s">
        <v>16</v>
      </c>
      <c r="K763" s="26" t="s">
        <v>13</v>
      </c>
      <c r="L763" s="55">
        <v>46180.39056777778</v>
      </c>
      <c r="M763" s="26"/>
    </row>
    <row r="764" spans="1:13" ht="75" customHeight="1" thickTop="1" thickBot="1">
      <c r="A764" s="26">
        <v>762</v>
      </c>
      <c r="B764" s="55">
        <f ca="1">IFERROR(__xludf.DUMMYFUNCTION("""COMPUTED_VALUE"""),46180.3508241666)</f>
        <v>46180.350824166599</v>
      </c>
      <c r="C764" s="56" t="str">
        <f ca="1">IFERROR(__xludf.DUMMYFUNCTION("""COMPUTED_VALUE"""),"المعملجي")</f>
        <v>المعملجي</v>
      </c>
      <c r="D764" s="56" t="str">
        <f ca="1">IFERROR(__xludf.DUMMYFUNCTION("""COMPUTED_VALUE"""),"وحدة المدني")</f>
        <v>وحدة المدني</v>
      </c>
      <c r="E764" s="26" t="str">
        <f ca="1">IFERROR(__xludf.DUMMYFUNCTION("""COMPUTED_VALUE"""),"قسم المشاريع الهندسية")</f>
        <v>قسم المشاريع الهندسية</v>
      </c>
      <c r="F764" s="26" t="str">
        <f ca="1">IFERROR(__xludf.DUMMYFUNCTION("""COMPUTED_VALUE"""),"D- ثانوية العميد بناية المتوسطة  (الثانية)")</f>
        <v>D- ثانوية العميد بناية المتوسطة  (الثانية)</v>
      </c>
      <c r="G764" s="26" t="str">
        <f ca="1">IFERROR(__xludf.DUMMYFUNCTION("""COMPUTED_VALUE"""),"الطابق الثاني")</f>
        <v>الطابق الثاني</v>
      </c>
      <c r="H764" s="26" t="str">
        <f ca="1">IFERROR(__xludf.DUMMYFUNCTION("""COMPUTED_VALUE"""),"صيانة باب المنيوم عدد 2 ")</f>
        <v xml:space="preserve">صيانة باب المنيوم عدد 2 </v>
      </c>
      <c r="I764" s="26"/>
      <c r="J764" s="26" t="s">
        <v>16</v>
      </c>
      <c r="K764" s="26" t="s">
        <v>13</v>
      </c>
      <c r="L764" s="55">
        <v>46180.390590416668</v>
      </c>
      <c r="M764" s="26"/>
    </row>
    <row r="765" spans="1:13" ht="75" customHeight="1" thickTop="1" thickBot="1">
      <c r="A765" s="34">
        <v>763</v>
      </c>
      <c r="B765" s="55">
        <f ca="1">IFERROR(__xludf.DUMMYFUNCTION("""COMPUTED_VALUE"""),46180.3537991087)</f>
        <v>46180.3537991087</v>
      </c>
      <c r="C765" s="56" t="str">
        <f ca="1">IFERROR(__xludf.DUMMYFUNCTION("""COMPUTED_VALUE"""),"المعملجي")</f>
        <v>المعملجي</v>
      </c>
      <c r="D765" s="56" t="str">
        <f ca="1">IFERROR(__xludf.DUMMYFUNCTION("""COMPUTED_VALUE"""),"وحدة المدني")</f>
        <v>وحدة المدني</v>
      </c>
      <c r="E765" s="26" t="str">
        <f ca="1">IFERROR(__xludf.DUMMYFUNCTION("""COMPUTED_VALUE"""),"قسم المشاريع الهندسية")</f>
        <v>قسم المشاريع الهندسية</v>
      </c>
      <c r="F765" s="26" t="str">
        <f ca="1">IFERROR(__xludf.DUMMYFUNCTION("""COMPUTED_VALUE"""),"D- ثانوية العميد بناية المتوسطة  (الثانية), H- ابتدائية القمر للبنات (الخامسة)")</f>
        <v>D- ثانوية العميد بناية المتوسطة  (الثانية), H- ابتدائية القمر للبنات (الخامسة)</v>
      </c>
      <c r="G765" s="26" t="str">
        <f ca="1">IFERROR(__xludf.DUMMYFUNCTION("""COMPUTED_VALUE"""),"السطح")</f>
        <v>السطح</v>
      </c>
      <c r="H765" s="26" t="str">
        <f ca="1">IFERROR(__xludf.DUMMYFUNCTION("""COMPUTED_VALUE"""),"تنزيل الانقاذ")</f>
        <v>تنزيل الانقاذ</v>
      </c>
      <c r="I765" s="26"/>
      <c r="J765" s="26" t="s">
        <v>16</v>
      </c>
      <c r="K765" s="26" t="s">
        <v>13</v>
      </c>
      <c r="L765" s="55">
        <v>46180.3906240625</v>
      </c>
      <c r="M765" s="26"/>
    </row>
    <row r="766" spans="1:13" ht="75" customHeight="1" thickTop="1" thickBot="1">
      <c r="A766" s="26">
        <v>764</v>
      </c>
      <c r="B766" s="55">
        <f ca="1">IFERROR(__xludf.DUMMYFUNCTION("""COMPUTED_VALUE"""),46180.378737905)</f>
        <v>46180.378737904997</v>
      </c>
      <c r="C766" s="56" t="str">
        <f ca="1">IFERROR(__xludf.DUMMYFUNCTION("""COMPUTED_VALUE"""),"المعملجي")</f>
        <v>المعملجي</v>
      </c>
      <c r="D766" s="56" t="str">
        <f ca="1">IFERROR(__xludf.DUMMYFUNCTION("""COMPUTED_VALUE"""),"ابو سجاد ")</f>
        <v xml:space="preserve">ابو سجاد </v>
      </c>
      <c r="E766" s="26" t="str">
        <f ca="1">IFERROR(__xludf.DUMMYFUNCTION("""COMPUTED_VALUE"""),"مجموعة العميد التربوية")</f>
        <v>مجموعة العميد التربوية</v>
      </c>
      <c r="F766" s="26" t="str">
        <f ca="1">IFERROR(__xludf.DUMMYFUNCTION("""COMPUTED_VALUE"""),"A- المركز الثقافي")</f>
        <v>A- المركز الثقافي</v>
      </c>
      <c r="G766" s="26" t="str">
        <f ca="1">IFERROR(__xludf.DUMMYFUNCTION("""COMPUTED_VALUE"""),"الطابق الثاني")</f>
        <v>الطابق الثاني</v>
      </c>
      <c r="H766" s="26" t="str">
        <f ca="1">IFERROR(__xludf.DUMMYFUNCTION("""COMPUTED_VALUE"""),"صيانة نقطة كهرباء ")</f>
        <v xml:space="preserve">صيانة نقطة كهرباء </v>
      </c>
      <c r="I766" s="26"/>
      <c r="J766" s="26" t="s">
        <v>3910</v>
      </c>
      <c r="K766" s="26" t="s">
        <v>13</v>
      </c>
      <c r="L766" s="55">
        <v>46180.537892719905</v>
      </c>
      <c r="M766" s="26"/>
    </row>
    <row r="767" spans="1:13" ht="75" customHeight="1" thickTop="1" thickBot="1">
      <c r="A767" s="34">
        <v>765</v>
      </c>
      <c r="B767" s="55">
        <f ca="1">IFERROR(__xludf.DUMMYFUNCTION("""COMPUTED_VALUE"""),46180.5388118402)</f>
        <v>46180.538811840197</v>
      </c>
      <c r="C767" s="56" t="str">
        <f ca="1">IFERROR(__xludf.DUMMYFUNCTION("""COMPUTED_VALUE"""),"المعملجي")</f>
        <v>المعملجي</v>
      </c>
      <c r="D767" s="56" t="str">
        <f ca="1">IFERROR(__xludf.DUMMYFUNCTION("""COMPUTED_VALUE"""),"ابو سجاد ")</f>
        <v xml:space="preserve">ابو سجاد </v>
      </c>
      <c r="E767" s="26" t="str">
        <f ca="1">IFERROR(__xludf.DUMMYFUNCTION("""COMPUTED_VALUE"""),"مجموعة العميد التربوية")</f>
        <v>مجموعة العميد التربوية</v>
      </c>
      <c r="F767" s="26" t="str">
        <f ca="1">IFERROR(__xludf.DUMMYFUNCTION("""COMPUTED_VALUE"""),"H- ابتدائية القمر للبنات (الخامسة)")</f>
        <v>H- ابتدائية القمر للبنات (الخامسة)</v>
      </c>
      <c r="G767" s="26" t="str">
        <f ca="1">IFERROR(__xludf.DUMMYFUNCTION("""COMPUTED_VALUE"""),"الطابق الاول")</f>
        <v>الطابق الاول</v>
      </c>
      <c r="H767" s="26" t="str">
        <f ca="1">IFERROR(__xludf.DUMMYFUNCTION("""COMPUTED_VALUE"""),"التبريد لا يعمل")</f>
        <v>التبريد لا يعمل</v>
      </c>
      <c r="I767" s="26"/>
      <c r="J767" s="26" t="s">
        <v>15</v>
      </c>
      <c r="K767" s="26" t="s">
        <v>13</v>
      </c>
      <c r="L767" s="55">
        <v>46182.317761770828</v>
      </c>
      <c r="M767" s="26"/>
    </row>
    <row r="768" spans="1:13" ht="75" customHeight="1" thickTop="1" thickBot="1">
      <c r="A768" s="26">
        <v>766</v>
      </c>
      <c r="B768" s="55">
        <f ca="1">IFERROR(__xludf.DUMMYFUNCTION("""COMPUTED_VALUE"""),46181.3025778009)</f>
        <v>46181.302577800903</v>
      </c>
      <c r="C768" s="56" t="str">
        <f ca="1">IFERROR(__xludf.DUMMYFUNCTION("""COMPUTED_VALUE"""),"المعملجي")</f>
        <v>المعملجي</v>
      </c>
      <c r="D768" s="56" t="str">
        <f ca="1">IFERROR(__xludf.DUMMYFUNCTION("""COMPUTED_VALUE"""),"وحدة الكهرباء")</f>
        <v>وحدة الكهرباء</v>
      </c>
      <c r="E768" s="26" t="str">
        <f ca="1">IFERROR(__xludf.DUMMYFUNCTION("""COMPUTED_VALUE"""),"قسم المشاريع الهندسية")</f>
        <v>قسم المشاريع الهندسية</v>
      </c>
      <c r="F768" s="26" t="str">
        <f ca="1">IFERROR(__xludf.DUMMYFUNCTION("""COMPUTED_VALUE"""),"A- المركز الثقافي")</f>
        <v>A- المركز الثقافي</v>
      </c>
      <c r="G768" s="26" t="str">
        <f ca="1">IFERROR(__xludf.DUMMYFUNCTION("""COMPUTED_VALUE"""),"غرفة الكهرباء")</f>
        <v>غرفة الكهرباء</v>
      </c>
      <c r="H768" s="26" t="str">
        <f ca="1">IFERROR(__xludf.DUMMYFUNCTION("""COMPUTED_VALUE""")," تحويل تغذية UPS شعبة الكاميرات من الكهرباء العادية الى الطاقة الشمسية")</f>
        <v xml:space="preserve"> تحويل تغذية UPS شعبة الكاميرات من الكهرباء العادية الى الطاقة الشمسية</v>
      </c>
      <c r="I768" s="26"/>
      <c r="J768" s="26" t="s">
        <v>3910</v>
      </c>
      <c r="K768" s="26" t="s">
        <v>13</v>
      </c>
      <c r="L768" s="55">
        <v>46181.316788506942</v>
      </c>
      <c r="M768" s="26"/>
    </row>
    <row r="769" spans="1:13" ht="75" customHeight="1" thickTop="1" thickBot="1">
      <c r="A769" s="34">
        <v>767</v>
      </c>
      <c r="B769" s="55">
        <f ca="1">IFERROR(__xludf.DUMMYFUNCTION("""COMPUTED_VALUE"""),46181.3031295486)</f>
        <v>46181.3031295486</v>
      </c>
      <c r="C769" s="56" t="str">
        <f ca="1">IFERROR(__xludf.DUMMYFUNCTION("""COMPUTED_VALUE"""),"المعملجي")</f>
        <v>المعملجي</v>
      </c>
      <c r="D769" s="56" t="str">
        <f ca="1">IFERROR(__xludf.DUMMYFUNCTION("""COMPUTED_VALUE"""),"وحدة الكهرباء")</f>
        <v>وحدة الكهرباء</v>
      </c>
      <c r="E769" s="26" t="str">
        <f ca="1">IFERROR(__xludf.DUMMYFUNCTION("""COMPUTED_VALUE"""),"قسم المشاريع الهندسية")</f>
        <v>قسم المشاريع الهندسية</v>
      </c>
      <c r="F769" s="26" t="str">
        <f ca="1">IFERROR(__xludf.DUMMYFUNCTION("""COMPUTED_VALUE"""),"A- المركز الثقافي")</f>
        <v>A- المركز الثقافي</v>
      </c>
      <c r="G769" s="26" t="str">
        <f ca="1">IFERROR(__xludf.DUMMYFUNCTION("""COMPUTED_VALUE"""),"الطابق الرابع, محطة الرفع, شعبة المراقبة")</f>
        <v>الطابق الرابع, محطة الرفع, شعبة المراقبة</v>
      </c>
      <c r="H769" s="26" t="str">
        <f ca="1">IFERROR(__xludf.DUMMYFUNCTION("""COMPUTED_VALUE"""),"استبدال محولات سبوت لايت تالفة  عدد 4.")</f>
        <v>استبدال محولات سبوت لايت تالفة  عدد 4.</v>
      </c>
      <c r="I769" s="26"/>
      <c r="J769" s="26" t="s">
        <v>3910</v>
      </c>
      <c r="K769" s="26" t="s">
        <v>13</v>
      </c>
      <c r="L769" s="55">
        <v>46181.316809282405</v>
      </c>
      <c r="M769" s="26"/>
    </row>
    <row r="770" spans="1:13" ht="75" customHeight="1" thickTop="1" thickBot="1">
      <c r="A770" s="26">
        <v>768</v>
      </c>
      <c r="B770" s="55">
        <f ca="1">IFERROR(__xludf.DUMMYFUNCTION("""COMPUTED_VALUE"""),46181.3037055787)</f>
        <v>46181.303705578699</v>
      </c>
      <c r="C770" s="56" t="str">
        <f ca="1">IFERROR(__xludf.DUMMYFUNCTION("""COMPUTED_VALUE"""),"المعملجي")</f>
        <v>المعملجي</v>
      </c>
      <c r="D770" s="56" t="str">
        <f ca="1">IFERROR(__xludf.DUMMYFUNCTION("""COMPUTED_VALUE"""),"وحدة الكهرباء")</f>
        <v>وحدة الكهرباء</v>
      </c>
      <c r="E770" s="26" t="str">
        <f ca="1">IFERROR(__xludf.DUMMYFUNCTION("""COMPUTED_VALUE"""),"قسم المشاريع الهندسية")</f>
        <v>قسم المشاريع الهندسية</v>
      </c>
      <c r="F770" s="26" t="str">
        <f ca="1">IFERROR(__xludf.DUMMYFUNCTION("""COMPUTED_VALUE"""),"النافورة")</f>
        <v>النافورة</v>
      </c>
      <c r="G770" s="26"/>
      <c r="H770" s="26" t="str">
        <f ca="1">IFERROR(__xludf.DUMMYFUNCTION("""COMPUTED_VALUE"""),"ربط سيار لغرض اعمال الحدادة من احد الاعمدة")</f>
        <v>ربط سيار لغرض اعمال الحدادة من احد الاعمدة</v>
      </c>
      <c r="I770" s="26"/>
      <c r="J770" s="26" t="s">
        <v>3910</v>
      </c>
      <c r="K770" s="26" t="s">
        <v>13</v>
      </c>
      <c r="L770" s="55">
        <v>46181.316818217594</v>
      </c>
      <c r="M770" s="26"/>
    </row>
    <row r="771" spans="1:13" ht="75" customHeight="1" thickTop="1" thickBot="1">
      <c r="A771" s="34">
        <v>769</v>
      </c>
      <c r="B771" s="55">
        <f ca="1">IFERROR(__xludf.DUMMYFUNCTION("""COMPUTED_VALUE"""),46181.3045873148)</f>
        <v>46181.3045873148</v>
      </c>
      <c r="C771" s="56" t="str">
        <f ca="1">IFERROR(__xludf.DUMMYFUNCTION("""COMPUTED_VALUE"""),"المعملجي")</f>
        <v>المعملجي</v>
      </c>
      <c r="D771" s="56" t="str">
        <f ca="1">IFERROR(__xludf.DUMMYFUNCTION("""COMPUTED_VALUE"""),"وحدة الكهرباء")</f>
        <v>وحدة الكهرباء</v>
      </c>
      <c r="E771" s="26" t="str">
        <f ca="1">IFERROR(__xludf.DUMMYFUNCTION("""COMPUTED_VALUE"""),"قسم المشاريع الهندسية")</f>
        <v>قسم المشاريع الهندسية</v>
      </c>
      <c r="F771" s="26" t="str">
        <f ca="1">IFERROR(__xludf.DUMMYFUNCTION("""COMPUTED_VALUE"""),"شعبة الصيانة")</f>
        <v>شعبة الصيانة</v>
      </c>
      <c r="G771" s="26"/>
      <c r="H771" s="26" t="str">
        <f ca="1">IFERROR(__xludf.DUMMYFUNCTION("""COMPUTED_VALUE"""),"تسليك كيبل لربط مروحة تانكي ماء و تثبيت بوكس استراحة قرب التناكي وربط تايمر 24h")</f>
        <v>تسليك كيبل لربط مروحة تانكي ماء و تثبيت بوكس استراحة قرب التناكي وربط تايمر 24h</v>
      </c>
      <c r="I771" s="26"/>
      <c r="J771" s="26" t="s">
        <v>3910</v>
      </c>
      <c r="K771" s="26" t="s">
        <v>13</v>
      </c>
      <c r="L771" s="55">
        <v>46181.316829675925</v>
      </c>
      <c r="M771" s="26"/>
    </row>
    <row r="772" spans="1:13" ht="75" customHeight="1" thickTop="1" thickBot="1">
      <c r="A772" s="26">
        <v>770</v>
      </c>
      <c r="B772" s="55">
        <f ca="1">IFERROR(__xludf.DUMMYFUNCTION("""COMPUTED_VALUE"""),46181.3053625462)</f>
        <v>46181.305362546198</v>
      </c>
      <c r="C772" s="56" t="str">
        <f ca="1">IFERROR(__xludf.DUMMYFUNCTION("""COMPUTED_VALUE"""),"المعملجي")</f>
        <v>المعملجي</v>
      </c>
      <c r="D772" s="56" t="str">
        <f ca="1">IFERROR(__xludf.DUMMYFUNCTION("""COMPUTED_VALUE"""),"وحدة الكهرباء")</f>
        <v>وحدة الكهرباء</v>
      </c>
      <c r="E772" s="26" t="str">
        <f ca="1">IFERROR(__xludf.DUMMYFUNCTION("""COMPUTED_VALUE"""),"قسم المشاريع الهندسية")</f>
        <v>قسم المشاريع الهندسية</v>
      </c>
      <c r="F772" s="26" t="str">
        <f ca="1">IFERROR(__xludf.DUMMYFUNCTION("""COMPUTED_VALUE"""),"A- المركز الثقافي")</f>
        <v>A- المركز الثقافي</v>
      </c>
      <c r="G772" s="26"/>
      <c r="H772" s="26" t="str">
        <f ca="1">IFERROR(__xludf.DUMMYFUNCTION("""COMPUTED_VALUE"""),"اعادة مستوى المصعد الى وضعه الطبيعي بعد توقفه عن العمل
")</f>
        <v xml:space="preserve">اعادة مستوى المصعد الى وضعه الطبيعي بعد توقفه عن العمل
</v>
      </c>
      <c r="I772" s="26"/>
      <c r="J772" s="26" t="s">
        <v>3910</v>
      </c>
      <c r="K772" s="26" t="s">
        <v>13</v>
      </c>
      <c r="L772" s="55">
        <v>46181.316845231486</v>
      </c>
      <c r="M772" s="26"/>
    </row>
    <row r="773" spans="1:13" ht="75" customHeight="1" thickTop="1" thickBot="1">
      <c r="A773" s="34">
        <v>771</v>
      </c>
      <c r="B773" s="55">
        <f ca="1">IFERROR(__xludf.DUMMYFUNCTION("""COMPUTED_VALUE"""),46181.3057789004)</f>
        <v>46181.305778900401</v>
      </c>
      <c r="C773" s="56" t="str">
        <f ca="1">IFERROR(__xludf.DUMMYFUNCTION("""COMPUTED_VALUE"""),"المعملجي")</f>
        <v>المعملجي</v>
      </c>
      <c r="D773" s="56" t="str">
        <f ca="1">IFERROR(__xludf.DUMMYFUNCTION("""COMPUTED_VALUE"""),"وحدة الكهرباء")</f>
        <v>وحدة الكهرباء</v>
      </c>
      <c r="E773" s="26" t="str">
        <f ca="1">IFERROR(__xludf.DUMMYFUNCTION("""COMPUTED_VALUE"""),"قسم المشاريع الهندسية")</f>
        <v>قسم المشاريع الهندسية</v>
      </c>
      <c r="F773" s="26" t="str">
        <f ca="1">IFERROR(__xludf.DUMMYFUNCTION("""COMPUTED_VALUE"""),"A- المركز الثقافي")</f>
        <v>A- المركز الثقافي</v>
      </c>
      <c r="G773" s="26" t="str">
        <f ca="1">IFERROR(__xludf.DUMMYFUNCTION("""COMPUTED_VALUE"""),"data center")</f>
        <v>data center</v>
      </c>
      <c r="H773" s="26" t="str">
        <f ca="1">IFERROR(__xludf.DUMMYFUNCTION("""COMPUTED_VALUE"""),"نقل تغذية اجهزة البدالة الخاصة بجميع مدارس مجموعة العميد في كربلاء الى UPS 2.")</f>
        <v>نقل تغذية اجهزة البدالة الخاصة بجميع مدارس مجموعة العميد في كربلاء الى UPS 2.</v>
      </c>
      <c r="I773" s="26"/>
      <c r="J773" s="26" t="s">
        <v>3910</v>
      </c>
      <c r="K773" s="26" t="s">
        <v>13</v>
      </c>
      <c r="L773" s="55">
        <v>46181.316861979169</v>
      </c>
      <c r="M773" s="26"/>
    </row>
    <row r="774" spans="1:13" ht="75" customHeight="1" thickTop="1" thickBot="1">
      <c r="A774" s="26">
        <v>772</v>
      </c>
      <c r="B774" s="55">
        <f ca="1">IFERROR(__xludf.DUMMYFUNCTION("""COMPUTED_VALUE"""),46181.3063856018)</f>
        <v>46181.306385601798</v>
      </c>
      <c r="C774" s="56" t="str">
        <f ca="1">IFERROR(__xludf.DUMMYFUNCTION("""COMPUTED_VALUE"""),"المعملجي")</f>
        <v>المعملجي</v>
      </c>
      <c r="D774" s="56" t="str">
        <f ca="1">IFERROR(__xludf.DUMMYFUNCTION("""COMPUTED_VALUE"""),"وحدة الكهرباء")</f>
        <v>وحدة الكهرباء</v>
      </c>
      <c r="E774" s="26" t="str">
        <f ca="1">IFERROR(__xludf.DUMMYFUNCTION("""COMPUTED_VALUE"""),"قسم المشاريع الهندسية")</f>
        <v>قسم المشاريع الهندسية</v>
      </c>
      <c r="F774" s="26" t="str">
        <f ca="1">IFERROR(__xludf.DUMMYFUNCTION("""COMPUTED_VALUE"""),"C- ثانوية العميد بناية الاعدادية  (الاولى)")</f>
        <v>C- ثانوية العميد بناية الاعدادية  (الاولى)</v>
      </c>
      <c r="G774" s="26" t="str">
        <f ca="1">IFERROR(__xludf.DUMMYFUNCTION("""COMPUTED_VALUE"""),"غرفة الكهرباء")</f>
        <v>غرفة الكهرباء</v>
      </c>
      <c r="H774" s="26" t="str">
        <f ca="1">IFERROR(__xludf.DUMMYFUNCTION("""COMPUTED_VALUE"""),"تثبيت شاشة samsung حجم 58 في غرفة وحدة الكهرباء")</f>
        <v>تثبيت شاشة samsung حجم 58 في غرفة وحدة الكهرباء</v>
      </c>
      <c r="I774" s="26"/>
      <c r="J774" s="26" t="s">
        <v>3910</v>
      </c>
      <c r="K774" s="26" t="s">
        <v>13</v>
      </c>
      <c r="L774" s="55">
        <v>46181.316869131944</v>
      </c>
      <c r="M774" s="26"/>
    </row>
    <row r="775" spans="1:13" ht="75" customHeight="1" thickTop="1" thickBot="1">
      <c r="A775" s="34">
        <v>773</v>
      </c>
      <c r="B775" s="55">
        <f ca="1">IFERROR(__xludf.DUMMYFUNCTION("""COMPUTED_VALUE"""),46181.3075677083)</f>
        <v>46181.307567708303</v>
      </c>
      <c r="C775" s="56" t="str">
        <f ca="1">IFERROR(__xludf.DUMMYFUNCTION("""COMPUTED_VALUE"""),"المعملجي")</f>
        <v>المعملجي</v>
      </c>
      <c r="D775" s="56" t="str">
        <f ca="1">IFERROR(__xludf.DUMMYFUNCTION("""COMPUTED_VALUE"""),"وحدة الكهرباء")</f>
        <v>وحدة الكهرباء</v>
      </c>
      <c r="E775" s="26" t="str">
        <f ca="1">IFERROR(__xludf.DUMMYFUNCTION("""COMPUTED_VALUE"""),"قسم المشاريع الهندسية")</f>
        <v>قسم المشاريع الهندسية</v>
      </c>
      <c r="F775" s="26" t="str">
        <f ca="1">IFERROR(__xludf.DUMMYFUNCTION("""COMPUTED_VALUE""")," كل المجمع")</f>
        <v xml:space="preserve"> كل المجمع</v>
      </c>
      <c r="G775" s="26"/>
      <c r="H775" s="26" t="str">
        <f ca="1">IFERROR(__xludf.DUMMYFUNCTION("""COMPUTED_VALUE"""),"تم تشغيل جميع  انارة اعمدة الموقع لغرض جرد التالف  منها تحضيراً للمهرجان القادم")</f>
        <v>تم تشغيل جميع  انارة اعمدة الموقع لغرض جرد التالف  منها تحضيراً للمهرجان القادم</v>
      </c>
      <c r="I775" s="26"/>
      <c r="J775" s="26" t="s">
        <v>3910</v>
      </c>
      <c r="K775" s="26" t="s">
        <v>13</v>
      </c>
      <c r="L775" s="55">
        <v>46181.316880891201</v>
      </c>
      <c r="M775" s="26"/>
    </row>
    <row r="776" spans="1:13" ht="75" customHeight="1" thickTop="1" thickBot="1">
      <c r="A776" s="26">
        <v>774</v>
      </c>
      <c r="B776" s="55">
        <f ca="1">IFERROR(__xludf.DUMMYFUNCTION("""COMPUTED_VALUE"""),46181.3194340046)</f>
        <v>46181.319434004603</v>
      </c>
      <c r="C776" s="56" t="str">
        <f ca="1">IFERROR(__xludf.DUMMYFUNCTION("""COMPUTED_VALUE"""),"المعملجي")</f>
        <v>المعملجي</v>
      </c>
      <c r="D776" s="56" t="str">
        <f ca="1">IFERROR(__xludf.DUMMYFUNCTION("""COMPUTED_VALUE"""),"وحدة الكهرباء")</f>
        <v>وحدة الكهرباء</v>
      </c>
      <c r="E776" s="26" t="str">
        <f ca="1">IFERROR(__xludf.DUMMYFUNCTION("""COMPUTED_VALUE"""),"قسم المشاريع الهندسية")</f>
        <v>قسم المشاريع الهندسية</v>
      </c>
      <c r="F776" s="26" t="str">
        <f ca="1">IFERROR(__xludf.DUMMYFUNCTION("""COMPUTED_VALUE"""),"مولدات")</f>
        <v>مولدات</v>
      </c>
      <c r="G776" s="26"/>
      <c r="H776" s="26" t="str">
        <f ca="1">IFERROR(__xludf.DUMMYFUNCTION("""COMPUTED_VALUE"""),"تم ربط كيبل 4×3 بطول 10 متر إلى ماطور دهن المولدات ")</f>
        <v xml:space="preserve">تم ربط كيبل 4×3 بطول 10 متر إلى ماطور دهن المولدات </v>
      </c>
      <c r="I776" s="26"/>
      <c r="J776" s="26" t="s">
        <v>3910</v>
      </c>
      <c r="K776" s="26" t="s">
        <v>13</v>
      </c>
      <c r="L776" s="55">
        <v>46181.341872500001</v>
      </c>
      <c r="M776" s="26"/>
    </row>
    <row r="777" spans="1:13" ht="75" customHeight="1" thickTop="1" thickBot="1">
      <c r="A777" s="34">
        <v>775</v>
      </c>
      <c r="B777" s="55">
        <f ca="1">IFERROR(__xludf.DUMMYFUNCTION("""COMPUTED_VALUE"""),46181.3208444097)</f>
        <v>46181.320844409704</v>
      </c>
      <c r="C777" s="56" t="str">
        <f ca="1">IFERROR(__xludf.DUMMYFUNCTION("""COMPUTED_VALUE"""),"المعملجي")</f>
        <v>المعملجي</v>
      </c>
      <c r="D777" s="56" t="str">
        <f ca="1">IFERROR(__xludf.DUMMYFUNCTION("""COMPUTED_VALUE"""),"وحدة الكهرباء")</f>
        <v>وحدة الكهرباء</v>
      </c>
      <c r="E777" s="26" t="str">
        <f ca="1">IFERROR(__xludf.DUMMYFUNCTION("""COMPUTED_VALUE"""),"قسم المشاريع الهندسية")</f>
        <v>قسم المشاريع الهندسية</v>
      </c>
      <c r="F777" s="26" t="str">
        <f ca="1">IFERROR(__xludf.DUMMYFUNCTION("""COMPUTED_VALUE"""),"شوارع المجمع")</f>
        <v>شوارع المجمع</v>
      </c>
      <c r="G777" s="26"/>
      <c r="H777" s="26" t="str">
        <f ca="1">IFERROR(__xludf.DUMMYFUNCTION("""COMPUTED_VALUE"""),"العمل على صيانة بعض اعمدة انارة الموقع ددها 8")</f>
        <v>العمل على صيانة بعض اعمدة انارة الموقع ددها 8</v>
      </c>
      <c r="I777" s="26"/>
      <c r="J777" s="26" t="s">
        <v>3910</v>
      </c>
      <c r="K777" s="26" t="s">
        <v>13</v>
      </c>
      <c r="L777" s="55">
        <v>46181.341876805556</v>
      </c>
      <c r="M777" s="26"/>
    </row>
    <row r="778" spans="1:13" ht="75" customHeight="1" thickTop="1" thickBot="1">
      <c r="A778" s="26">
        <v>776</v>
      </c>
      <c r="B778" s="55">
        <f ca="1">IFERROR(__xludf.DUMMYFUNCTION("""COMPUTED_VALUE"""),46181.3212381944)</f>
        <v>46181.321238194403</v>
      </c>
      <c r="C778" s="56" t="str">
        <f ca="1">IFERROR(__xludf.DUMMYFUNCTION("""COMPUTED_VALUE"""),"المعملجي")</f>
        <v>المعملجي</v>
      </c>
      <c r="D778" s="56" t="str">
        <f ca="1">IFERROR(__xludf.DUMMYFUNCTION("""COMPUTED_VALUE"""),"وحدة الكهرباء")</f>
        <v>وحدة الكهرباء</v>
      </c>
      <c r="E778" s="26" t="str">
        <f ca="1">IFERROR(__xludf.DUMMYFUNCTION("""COMPUTED_VALUE"""),"قسم المشاريع الهندسية")</f>
        <v>قسم المشاريع الهندسية</v>
      </c>
      <c r="F778" s="26" t="str">
        <f ca="1">IFERROR(__xludf.DUMMYFUNCTION("""COMPUTED_VALUE"""),"G- روضة الجود")</f>
        <v>G- روضة الجود</v>
      </c>
      <c r="G778" s="26"/>
      <c r="H778" s="26" t="str">
        <f ca="1">IFERROR(__xludf.DUMMYFUNCTION("""COMPUTED_VALUE"""),"صيانة منشوربة عدد 2")</f>
        <v>صيانة منشوربة عدد 2</v>
      </c>
      <c r="I778" s="26"/>
      <c r="J778" s="26" t="s">
        <v>3910</v>
      </c>
      <c r="K778" s="26" t="s">
        <v>13</v>
      </c>
      <c r="L778" s="55">
        <v>46181.341890057869</v>
      </c>
      <c r="M778" s="26"/>
    </row>
    <row r="779" spans="1:13" ht="75" customHeight="1" thickTop="1" thickBot="1">
      <c r="A779" s="34">
        <v>777</v>
      </c>
      <c r="B779" s="55">
        <f ca="1">IFERROR(__xludf.DUMMYFUNCTION("""COMPUTED_VALUE"""),46181.3218963773)</f>
        <v>46181.321896377303</v>
      </c>
      <c r="C779" s="56" t="str">
        <f ca="1">IFERROR(__xludf.DUMMYFUNCTION("""COMPUTED_VALUE"""),"المعملجي")</f>
        <v>المعملجي</v>
      </c>
      <c r="D779" s="56" t="str">
        <f ca="1">IFERROR(__xludf.DUMMYFUNCTION("""COMPUTED_VALUE"""),"وحدة الكهرباء")</f>
        <v>وحدة الكهرباء</v>
      </c>
      <c r="E779" s="26" t="str">
        <f ca="1">IFERROR(__xludf.DUMMYFUNCTION("""COMPUTED_VALUE"""),"قسم المشاريع الهندسية")</f>
        <v>قسم المشاريع الهندسية</v>
      </c>
      <c r="F779" s="26" t="str">
        <f ca="1">IFERROR(__xludf.DUMMYFUNCTION("""COMPUTED_VALUE"""),"I- ابتدائية الساقي للبنين (السادسة)")</f>
        <v>I- ابتدائية الساقي للبنين (السادسة)</v>
      </c>
      <c r="G779" s="26" t="str">
        <f ca="1">IFERROR(__xludf.DUMMYFUNCTION("""COMPUTED_VALUE"""),"الطابق الارضي, غرفة الكهرباء")</f>
        <v>الطابق الارضي, غرفة الكهرباء</v>
      </c>
      <c r="H779" s="26" t="str">
        <f ca="1">IFERROR(__xludf.DUMMYFUNCTION("""COMPUTED_VALUE"""),"الكشف عن وجود شاشة تحكم منظومة الأنذار متوقفة  تم اعادتها للعمل مرة أخرى")</f>
        <v>الكشف عن وجود شاشة تحكم منظومة الأنذار متوقفة  تم اعادتها للعمل مرة أخرى</v>
      </c>
      <c r="I779" s="26"/>
      <c r="J779" s="26" t="s">
        <v>3910</v>
      </c>
      <c r="K779" s="26" t="s">
        <v>13</v>
      </c>
      <c r="L779" s="55">
        <v>46181.341902858796</v>
      </c>
      <c r="M779" s="26"/>
    </row>
    <row r="780" spans="1:13" ht="75" customHeight="1" thickTop="1" thickBot="1">
      <c r="A780" s="26">
        <v>778</v>
      </c>
      <c r="B780" s="55">
        <f ca="1">IFERROR(__xludf.DUMMYFUNCTION("""COMPUTED_VALUE"""),46181.3228254745)</f>
        <v>46181.322825474497</v>
      </c>
      <c r="C780" s="56" t="str">
        <f ca="1">IFERROR(__xludf.DUMMYFUNCTION("""COMPUTED_VALUE"""),"المعملجي")</f>
        <v>المعملجي</v>
      </c>
      <c r="D780" s="56" t="str">
        <f ca="1">IFERROR(__xludf.DUMMYFUNCTION("""COMPUTED_VALUE"""),"وحدة الكهرباء")</f>
        <v>وحدة الكهرباء</v>
      </c>
      <c r="E780" s="26" t="str">
        <f ca="1">IFERROR(__xludf.DUMMYFUNCTION("""COMPUTED_VALUE"""),"قسم المشاريع الهندسية")</f>
        <v>قسم المشاريع الهندسية</v>
      </c>
      <c r="F780" s="26" t="str">
        <f ca="1">IFERROR(__xludf.DUMMYFUNCTION("""COMPUTED_VALUE"""),"شوارع المجمع")</f>
        <v>شوارع المجمع</v>
      </c>
      <c r="G780" s="26"/>
      <c r="H780" s="26" t="str">
        <f ca="1">IFERROR(__xludf.DUMMYFUNCTION("""COMPUTED_VALUE"""),"ادخال كيبلات البروجكترات داخل الاعمدة من خلال ثقب العامود عدد 11")</f>
        <v>ادخال كيبلات البروجكترات داخل الاعمدة من خلال ثقب العامود عدد 11</v>
      </c>
      <c r="I780" s="26"/>
      <c r="J780" s="26" t="s">
        <v>3910</v>
      </c>
      <c r="K780" s="26" t="s">
        <v>13</v>
      </c>
      <c r="L780" s="55">
        <v>46181.341912268515</v>
      </c>
      <c r="M780" s="26"/>
    </row>
    <row r="781" spans="1:13" ht="75" customHeight="1" thickTop="1" thickBot="1">
      <c r="A781" s="34">
        <v>779</v>
      </c>
      <c r="B781" s="55">
        <f ca="1">IFERROR(__xludf.DUMMYFUNCTION("""COMPUTED_VALUE"""),46181.3232065277)</f>
        <v>46181.323206527697</v>
      </c>
      <c r="C781" s="56" t="str">
        <f ca="1">IFERROR(__xludf.DUMMYFUNCTION("""COMPUTED_VALUE"""),"المعملجي")</f>
        <v>المعملجي</v>
      </c>
      <c r="D781" s="56" t="str">
        <f ca="1">IFERROR(__xludf.DUMMYFUNCTION("""COMPUTED_VALUE"""),"وحدة الكهرباء")</f>
        <v>وحدة الكهرباء</v>
      </c>
      <c r="E781" s="26" t="str">
        <f ca="1">IFERROR(__xludf.DUMMYFUNCTION("""COMPUTED_VALUE"""),"قسم المشاريع الهندسية")</f>
        <v>قسم المشاريع الهندسية</v>
      </c>
      <c r="F781" s="26" t="str">
        <f ca="1">IFERROR(__xludf.DUMMYFUNCTION("""COMPUTED_VALUE"""),"المسرح")</f>
        <v>المسرح</v>
      </c>
      <c r="G781" s="26"/>
      <c r="H781" s="26" t="str">
        <f ca="1">IFERROR(__xludf.DUMMYFUNCTION("""COMPUTED_VALUE"""),"تغذية ضاغط هواء كهربائي 
")</f>
        <v xml:space="preserve">تغذية ضاغط هواء كهربائي 
</v>
      </c>
      <c r="I781" s="26"/>
      <c r="J781" s="26" t="s">
        <v>3910</v>
      </c>
      <c r="K781" s="26" t="s">
        <v>13</v>
      </c>
      <c r="L781" s="55">
        <v>46181.341914467594</v>
      </c>
      <c r="M781" s="26"/>
    </row>
    <row r="782" spans="1:13" ht="75" customHeight="1" thickTop="1" thickBot="1">
      <c r="A782" s="26">
        <v>780</v>
      </c>
      <c r="B782" s="55">
        <f ca="1">IFERROR(__xludf.DUMMYFUNCTION("""COMPUTED_VALUE"""),46181.3238410069)</f>
        <v>46181.323841006903</v>
      </c>
      <c r="C782" s="56" t="str">
        <f ca="1">IFERROR(__xludf.DUMMYFUNCTION("""COMPUTED_VALUE"""),"المعملجي")</f>
        <v>المعملجي</v>
      </c>
      <c r="D782" s="56" t="str">
        <f ca="1">IFERROR(__xludf.DUMMYFUNCTION("""COMPUTED_VALUE"""),"وحدة الكهرباء")</f>
        <v>وحدة الكهرباء</v>
      </c>
      <c r="E782" s="26" t="str">
        <f ca="1">IFERROR(__xludf.DUMMYFUNCTION("""COMPUTED_VALUE"""),"قسم المشاريع الهندسية")</f>
        <v>قسم المشاريع الهندسية</v>
      </c>
      <c r="F782" s="26" t="str">
        <f ca="1">IFERROR(__xludf.DUMMYFUNCTION("""COMPUTED_VALUE"""),"المسرح")</f>
        <v>المسرح</v>
      </c>
      <c r="G782" s="26"/>
      <c r="H782" s="26" t="str">
        <f ca="1">IFERROR(__xludf.DUMMYFUNCTION("""COMPUTED_VALUE"""),"صيانة ضاغط هواء كهربائي بسبب خلل في التوصيلات")</f>
        <v>صيانة ضاغط هواء كهربائي بسبب خلل في التوصيلات</v>
      </c>
      <c r="I782" s="26"/>
      <c r="J782" s="26" t="s">
        <v>3910</v>
      </c>
      <c r="K782" s="26" t="s">
        <v>13</v>
      </c>
      <c r="L782" s="55">
        <v>46181.341932928241</v>
      </c>
      <c r="M782" s="26"/>
    </row>
    <row r="783" spans="1:13" ht="75" customHeight="1" thickTop="1" thickBot="1">
      <c r="A783" s="34">
        <v>781</v>
      </c>
      <c r="B783" s="55">
        <f ca="1">IFERROR(__xludf.DUMMYFUNCTION("""COMPUTED_VALUE"""),46181.3243170833)</f>
        <v>46181.324317083301</v>
      </c>
      <c r="C783" s="56" t="str">
        <f ca="1">IFERROR(__xludf.DUMMYFUNCTION("""COMPUTED_VALUE"""),"المعملجي")</f>
        <v>المعملجي</v>
      </c>
      <c r="D783" s="56" t="str">
        <f ca="1">IFERROR(__xludf.DUMMYFUNCTION("""COMPUTED_VALUE"""),"وحدة الكهرباء")</f>
        <v>وحدة الكهرباء</v>
      </c>
      <c r="E783" s="26" t="str">
        <f ca="1">IFERROR(__xludf.DUMMYFUNCTION("""COMPUTED_VALUE"""),"قسم المشاريع الهندسية")</f>
        <v>قسم المشاريع الهندسية</v>
      </c>
      <c r="F783" s="26" t="str">
        <f ca="1">IFERROR(__xludf.DUMMYFUNCTION("""COMPUTED_VALUE"""),"قرب الاولى")</f>
        <v>قرب الاولى</v>
      </c>
      <c r="G783" s="26"/>
      <c r="H783" s="26" t="str">
        <f ca="1">IFERROR(__xludf.DUMMYFUNCTION("""COMPUTED_VALUE"""),"مد سيار لتغذية 6 اقواس حيث يتصل كل قوس بالاخر  عن طريق كونكتر ولمسافة 30 متر")</f>
        <v>مد سيار لتغذية 6 اقواس حيث يتصل كل قوس بالاخر  عن طريق كونكتر ولمسافة 30 متر</v>
      </c>
      <c r="I783" s="26"/>
      <c r="J783" s="26" t="s">
        <v>3910</v>
      </c>
      <c r="K783" s="26" t="s">
        <v>13</v>
      </c>
      <c r="L783" s="55">
        <v>46181.341940393519</v>
      </c>
      <c r="M783" s="26"/>
    </row>
    <row r="784" spans="1:13" ht="75" customHeight="1" thickTop="1" thickBot="1">
      <c r="A784" s="26">
        <v>782</v>
      </c>
      <c r="B784" s="55">
        <f ca="1">IFERROR(__xludf.DUMMYFUNCTION("""COMPUTED_VALUE"""),46181.3247842013)</f>
        <v>46181.324784201301</v>
      </c>
      <c r="C784" s="56" t="str">
        <f ca="1">IFERROR(__xludf.DUMMYFUNCTION("""COMPUTED_VALUE"""),"المعملجي")</f>
        <v>المعملجي</v>
      </c>
      <c r="D784" s="56" t="str">
        <f ca="1">IFERROR(__xludf.DUMMYFUNCTION("""COMPUTED_VALUE"""),"وحدة الكهرباء")</f>
        <v>وحدة الكهرباء</v>
      </c>
      <c r="E784" s="26" t="str">
        <f ca="1">IFERROR(__xludf.DUMMYFUNCTION("""COMPUTED_VALUE"""),"قسم المشاريع الهندسية")</f>
        <v>قسم المشاريع الهندسية</v>
      </c>
      <c r="F784" s="26" t="str">
        <f ca="1">IFERROR(__xludf.DUMMYFUNCTION("""COMPUTED_VALUE"""),"قرب الاولى")</f>
        <v>قرب الاولى</v>
      </c>
      <c r="G784" s="26"/>
      <c r="H784" s="26" t="str">
        <f ca="1">IFERROR(__xludf.DUMMYFUNCTION("""COMPUTED_VALUE"""),"مد سيار لتغذية 8 اقواس حيث يتصل كل قوس بالاخر  عن طريق كونكتر ولمسافة 45 متر")</f>
        <v>مد سيار لتغذية 8 اقواس حيث يتصل كل قوس بالاخر  عن طريق كونكتر ولمسافة 45 متر</v>
      </c>
      <c r="I784" s="26"/>
      <c r="J784" s="26" t="s">
        <v>3910</v>
      </c>
      <c r="K784" s="26" t="s">
        <v>13</v>
      </c>
      <c r="L784" s="55">
        <v>46181.341965300926</v>
      </c>
      <c r="M784" s="26"/>
    </row>
    <row r="785" spans="1:13" ht="75" customHeight="1" thickTop="1" thickBot="1">
      <c r="A785" s="34">
        <v>783</v>
      </c>
      <c r="B785" s="55">
        <f ca="1">IFERROR(__xludf.DUMMYFUNCTION("""COMPUTED_VALUE"""),46181.325793368)</f>
        <v>46181.325793368</v>
      </c>
      <c r="C785" s="56" t="str">
        <f ca="1">IFERROR(__xludf.DUMMYFUNCTION("""COMPUTED_VALUE"""),"المعملجي")</f>
        <v>المعملجي</v>
      </c>
      <c r="D785" s="56" t="str">
        <f ca="1">IFERROR(__xludf.DUMMYFUNCTION("""COMPUTED_VALUE"""),"وحدة الكهرباء")</f>
        <v>وحدة الكهرباء</v>
      </c>
      <c r="E785" s="26" t="str">
        <f ca="1">IFERROR(__xludf.DUMMYFUNCTION("""COMPUTED_VALUE"""),"قسم المشاريع الهندسية")</f>
        <v>قسم المشاريع الهندسية</v>
      </c>
      <c r="F785" s="26" t="str">
        <f ca="1">IFERROR(__xludf.DUMMYFUNCTION("""COMPUTED_VALUE"""),"A- المركز الثقافي")</f>
        <v>A- المركز الثقافي</v>
      </c>
      <c r="G785" s="26"/>
      <c r="H785" s="26" t="str">
        <f ca="1">IFERROR(__xludf.DUMMYFUNCTION("""COMPUTED_VALUE"""),"تحويل ats  المضاف حديثا والرابط بين تغذية محطة الرفع وتغذية المركز الثقافي ")</f>
        <v xml:space="preserve">تحويل ats  المضاف حديثا والرابط بين تغذية محطة الرفع وتغذية المركز الثقافي </v>
      </c>
      <c r="I785" s="26"/>
      <c r="J785" s="26" t="s">
        <v>3910</v>
      </c>
      <c r="K785" s="26" t="s">
        <v>13</v>
      </c>
      <c r="L785" s="55">
        <v>46181.341956087963</v>
      </c>
      <c r="M785" s="26"/>
    </row>
    <row r="786" spans="1:13" ht="75" customHeight="1" thickTop="1" thickBot="1">
      <c r="A786" s="26">
        <v>784</v>
      </c>
      <c r="B786" s="55">
        <f ca="1">IFERROR(__xludf.DUMMYFUNCTION("""COMPUTED_VALUE"""),46181.3261655787)</f>
        <v>46181.326165578699</v>
      </c>
      <c r="C786" s="56" t="str">
        <f ca="1">IFERROR(__xludf.DUMMYFUNCTION("""COMPUTED_VALUE"""),"المعملجي")</f>
        <v>المعملجي</v>
      </c>
      <c r="D786" s="56" t="str">
        <f ca="1">IFERROR(__xludf.DUMMYFUNCTION("""COMPUTED_VALUE"""),"وحدة الكهرباء")</f>
        <v>وحدة الكهرباء</v>
      </c>
      <c r="E786" s="26" t="str">
        <f ca="1">IFERROR(__xludf.DUMMYFUNCTION("""COMPUTED_VALUE"""),"قسم المشاريع الهندسية")</f>
        <v>قسم المشاريع الهندسية</v>
      </c>
      <c r="F786" s="26" t="str">
        <f ca="1">IFERROR(__xludf.DUMMYFUNCTION("""COMPUTED_VALUE"""),"G- روضة الجود")</f>
        <v>G- روضة الجود</v>
      </c>
      <c r="G786" s="26"/>
      <c r="H786" s="26" t="str">
        <f ca="1">IFERROR(__xludf.DUMMYFUNCTION("""COMPUTED_VALUE"""),"تثبيت محولة نشرة اعلان")</f>
        <v>تثبيت محولة نشرة اعلان</v>
      </c>
      <c r="I786" s="26"/>
      <c r="J786" s="26" t="s">
        <v>3910</v>
      </c>
      <c r="K786" s="26" t="s">
        <v>13</v>
      </c>
      <c r="L786" s="55">
        <v>46181.341981168982</v>
      </c>
      <c r="M786" s="26"/>
    </row>
    <row r="787" spans="1:13" ht="75" customHeight="1" thickTop="1" thickBot="1">
      <c r="A787" s="34">
        <v>785</v>
      </c>
      <c r="B787" s="55">
        <f ca="1">IFERROR(__xludf.DUMMYFUNCTION("""COMPUTED_VALUE"""),46181.3267198032)</f>
        <v>46181.326719803197</v>
      </c>
      <c r="C787" s="56" t="str">
        <f ca="1">IFERROR(__xludf.DUMMYFUNCTION("""COMPUTED_VALUE"""),"المعملجي")</f>
        <v>المعملجي</v>
      </c>
      <c r="D787" s="56" t="str">
        <f ca="1">IFERROR(__xludf.DUMMYFUNCTION("""COMPUTED_VALUE"""),"وحدة الكهرباء")</f>
        <v>وحدة الكهرباء</v>
      </c>
      <c r="E787" s="26" t="str">
        <f ca="1">IFERROR(__xludf.DUMMYFUNCTION("""COMPUTED_VALUE"""),"قسم المشاريع الهندسية")</f>
        <v>قسم المشاريع الهندسية</v>
      </c>
      <c r="F787" s="26" t="str">
        <f ca="1">IFERROR(__xludf.DUMMYFUNCTION("""COMPUTED_VALUE"""),"G- روضة الجود")</f>
        <v>G- روضة الجود</v>
      </c>
      <c r="G787" s="26"/>
      <c r="H787" s="26" t="str">
        <f ca="1">IFERROR(__xludf.DUMMYFUNCTION("""COMPUTED_VALUE"""),"مد سيار مكون من 4 بلك سويج قرب الشاشة المتواجدة قرب الروضة")</f>
        <v>مد سيار مكون من 4 بلك سويج قرب الشاشة المتواجدة قرب الروضة</v>
      </c>
      <c r="I787" s="26"/>
      <c r="J787" s="26" t="s">
        <v>3910</v>
      </c>
      <c r="K787" s="26" t="s">
        <v>13</v>
      </c>
      <c r="L787" s="55">
        <v>46181.34198759259</v>
      </c>
      <c r="M787" s="26"/>
    </row>
    <row r="788" spans="1:13" ht="75" customHeight="1" thickTop="1" thickBot="1">
      <c r="A788" s="26">
        <v>786</v>
      </c>
      <c r="B788" s="55">
        <f ca="1">IFERROR(__xludf.DUMMYFUNCTION("""COMPUTED_VALUE"""),46181.3276776851)</f>
        <v>46181.327677685098</v>
      </c>
      <c r="C788" s="56" t="str">
        <f ca="1">IFERROR(__xludf.DUMMYFUNCTION("""COMPUTED_VALUE"""),"المعملجي")</f>
        <v>المعملجي</v>
      </c>
      <c r="D788" s="56" t="str">
        <f ca="1">IFERROR(__xludf.DUMMYFUNCTION("""COMPUTED_VALUE"""),"وحدة الكهرباء")</f>
        <v>وحدة الكهرباء</v>
      </c>
      <c r="E788" s="26" t="str">
        <f ca="1">IFERROR(__xludf.DUMMYFUNCTION("""COMPUTED_VALUE"""),"قسم المشاريع الهندسية")</f>
        <v>قسم المشاريع الهندسية</v>
      </c>
      <c r="F788" s="26" t="str">
        <f ca="1">IFERROR(__xludf.DUMMYFUNCTION("""COMPUTED_VALUE"""),"G- روضة الجود")</f>
        <v>G- روضة الجود</v>
      </c>
      <c r="G788" s="26" t="str">
        <f ca="1">IFERROR(__xludf.DUMMYFUNCTION("""COMPUTED_VALUE"""),"غرفة الكهرباء")</f>
        <v>غرفة الكهرباء</v>
      </c>
      <c r="H788" s="26" t="str">
        <f ca="1">IFERROR(__xludf.DUMMYFUNCTION("""COMPUTED_VALUE"""),"ربط السيارات من بورد غرفة الكهرباء الخارجية  ")</f>
        <v xml:space="preserve">ربط السيارات من بورد غرفة الكهرباء الخارجية  </v>
      </c>
      <c r="I788" s="26"/>
      <c r="J788" s="26" t="s">
        <v>3910</v>
      </c>
      <c r="K788" s="26" t="s">
        <v>13</v>
      </c>
      <c r="L788" s="55">
        <v>46181.341987627311</v>
      </c>
      <c r="M788" s="26"/>
    </row>
    <row r="789" spans="1:13" ht="75" customHeight="1" thickTop="1" thickBot="1">
      <c r="A789" s="34">
        <v>787</v>
      </c>
      <c r="B789" s="55">
        <f ca="1">IFERROR(__xludf.DUMMYFUNCTION("""COMPUTED_VALUE"""),46181.3290143981)</f>
        <v>46181.329014398099</v>
      </c>
      <c r="C789" s="56" t="str">
        <f ca="1">IFERROR(__xludf.DUMMYFUNCTION("""COMPUTED_VALUE"""),"المعملجي")</f>
        <v>المعملجي</v>
      </c>
      <c r="D789" s="56" t="str">
        <f ca="1">IFERROR(__xludf.DUMMYFUNCTION("""COMPUTED_VALUE"""),"وحدة الكهرباء")</f>
        <v>وحدة الكهرباء</v>
      </c>
      <c r="E789" s="26" t="str">
        <f ca="1">IFERROR(__xludf.DUMMYFUNCTION("""COMPUTED_VALUE"""),"قسم المشاريع الهندسية")</f>
        <v>قسم المشاريع الهندسية</v>
      </c>
      <c r="F789" s="26" t="str">
        <f ca="1">IFERROR(__xludf.DUMMYFUNCTION("""COMPUTED_VALUE"""),"B- روضة القمر")</f>
        <v>B- روضة القمر</v>
      </c>
      <c r="G789" s="26" t="str">
        <f ca="1">IFERROR(__xludf.DUMMYFUNCTION("""COMPUTED_VALUE"""),"غرفة الكهرباء")</f>
        <v>غرفة الكهرباء</v>
      </c>
      <c r="H789" s="26" t="str">
        <f ca="1">IFERROR(__xludf.DUMMYFUNCTION("""COMPUTED_VALUE"""),"ربط السيارات من بورد غرفة الكهرباء الخارجية  ")</f>
        <v xml:space="preserve">ربط السيارات من بورد غرفة الكهرباء الخارجية  </v>
      </c>
      <c r="I789" s="26"/>
      <c r="J789" s="26" t="s">
        <v>3910</v>
      </c>
      <c r="K789" s="26" t="s">
        <v>13</v>
      </c>
      <c r="L789" s="55">
        <v>46181.342010636574</v>
      </c>
      <c r="M789" s="26"/>
    </row>
    <row r="790" spans="1:13" ht="75" customHeight="1" thickTop="1" thickBot="1">
      <c r="A790" s="26">
        <v>788</v>
      </c>
      <c r="B790" s="55">
        <f ca="1">IFERROR(__xludf.DUMMYFUNCTION("""COMPUTED_VALUE"""),46181.32977728)</f>
        <v>46181.32977728</v>
      </c>
      <c r="C790" s="56" t="str">
        <f ca="1">IFERROR(__xludf.DUMMYFUNCTION("""COMPUTED_VALUE"""),"المعملجي")</f>
        <v>المعملجي</v>
      </c>
      <c r="D790" s="56" t="str">
        <f ca="1">IFERROR(__xludf.DUMMYFUNCTION("""COMPUTED_VALUE"""),"وحدة الكهرباء")</f>
        <v>وحدة الكهرباء</v>
      </c>
      <c r="E790" s="26" t="str">
        <f ca="1">IFERROR(__xludf.DUMMYFUNCTION("""COMPUTED_VALUE"""),"قسم المشاريع الهندسية")</f>
        <v>قسم المشاريع الهندسية</v>
      </c>
      <c r="F790" s="26" t="str">
        <f ca="1">IFERROR(__xludf.DUMMYFUNCTION("""COMPUTED_VALUE"""),"المهرجان")</f>
        <v>المهرجان</v>
      </c>
      <c r="G790" s="26"/>
      <c r="H790" s="26" t="str">
        <f ca="1">IFERROR(__xludf.DUMMYFUNCTION("""COMPUTED_VALUE"""),"تغذية ومد سيار حراري وعادي لعربانة القهوة")</f>
        <v>تغذية ومد سيار حراري وعادي لعربانة القهوة</v>
      </c>
      <c r="I790" s="26"/>
      <c r="J790" s="26" t="s">
        <v>3910</v>
      </c>
      <c r="K790" s="26" t="s">
        <v>13</v>
      </c>
      <c r="L790" s="55">
        <v>46181.342047164348</v>
      </c>
      <c r="M790" s="26"/>
    </row>
    <row r="791" spans="1:13" ht="75" customHeight="1" thickTop="1" thickBot="1">
      <c r="A791" s="34">
        <v>789</v>
      </c>
      <c r="B791" s="55">
        <f ca="1">IFERROR(__xludf.DUMMYFUNCTION("""COMPUTED_VALUE"""),46181.3302608333)</f>
        <v>46181.330260833303</v>
      </c>
      <c r="C791" s="56" t="str">
        <f ca="1">IFERROR(__xludf.DUMMYFUNCTION("""COMPUTED_VALUE"""),"المعملجي")</f>
        <v>المعملجي</v>
      </c>
      <c r="D791" s="56" t="str">
        <f ca="1">IFERROR(__xludf.DUMMYFUNCTION("""COMPUTED_VALUE"""),"وحدة الكهرباء")</f>
        <v>وحدة الكهرباء</v>
      </c>
      <c r="E791" s="26" t="str">
        <f ca="1">IFERROR(__xludf.DUMMYFUNCTION("""COMPUTED_VALUE"""),"قسم المشاريع الهندسية")</f>
        <v>قسم المشاريع الهندسية</v>
      </c>
      <c r="F791" s="26" t="str">
        <f ca="1">IFERROR(__xludf.DUMMYFUNCTION("""COMPUTED_VALUE"""),"الستيج")</f>
        <v>الستيج</v>
      </c>
      <c r="G791" s="26"/>
      <c r="H791" s="26" t="str">
        <f ca="1">IFERROR(__xludf.DUMMYFUNCTION("""COMPUTED_VALUE"""),"مد سيار متكون من 4 بلك سويجات للصوتيات على جانب الستيج")</f>
        <v>مد سيار متكون من 4 بلك سويجات للصوتيات على جانب الستيج</v>
      </c>
      <c r="I791" s="26"/>
      <c r="J791" s="26" t="s">
        <v>3910</v>
      </c>
      <c r="K791" s="26" t="s">
        <v>13</v>
      </c>
      <c r="L791" s="55">
        <v>46181.342048055551</v>
      </c>
      <c r="M791" s="26"/>
    </row>
    <row r="792" spans="1:13" ht="75" customHeight="1" thickTop="1" thickBot="1">
      <c r="A792" s="26">
        <v>790</v>
      </c>
      <c r="B792" s="55">
        <f ca="1">IFERROR(__xludf.DUMMYFUNCTION("""COMPUTED_VALUE"""),46181.3311644791)</f>
        <v>46181.331164479103</v>
      </c>
      <c r="C792" s="56" t="str">
        <f ca="1">IFERROR(__xludf.DUMMYFUNCTION("""COMPUTED_VALUE"""),"المعملجي")</f>
        <v>المعملجي</v>
      </c>
      <c r="D792" s="56" t="str">
        <f ca="1">IFERROR(__xludf.DUMMYFUNCTION("""COMPUTED_VALUE"""),"وحدة الكهرباء")</f>
        <v>وحدة الكهرباء</v>
      </c>
      <c r="E792" s="26" t="str">
        <f ca="1">IFERROR(__xludf.DUMMYFUNCTION("""COMPUTED_VALUE"""),"قسم المشاريع الهندسية")</f>
        <v>قسم المشاريع الهندسية</v>
      </c>
      <c r="F792" s="26" t="str">
        <f ca="1">IFERROR(__xludf.DUMMYFUNCTION("""COMPUTED_VALUE"""),"الستيج")</f>
        <v>الستيج</v>
      </c>
      <c r="G792" s="26"/>
      <c r="H792" s="26" t="str">
        <f ca="1">IFERROR(__xludf.DUMMYFUNCTION("""COMPUTED_VALUE"""),"مد سيار طول 4 امتار لتغذية مجموعة من الأجهزة قرب الستيج ")</f>
        <v xml:space="preserve">مد سيار طول 4 امتار لتغذية مجموعة من الأجهزة قرب الستيج </v>
      </c>
      <c r="I792" s="26"/>
      <c r="J792" s="26" t="s">
        <v>3910</v>
      </c>
      <c r="K792" s="26" t="s">
        <v>13</v>
      </c>
      <c r="L792" s="55">
        <v>46181.342047002312</v>
      </c>
      <c r="M792" s="26"/>
    </row>
    <row r="793" spans="1:13" ht="75" customHeight="1" thickTop="1" thickBot="1">
      <c r="A793" s="34">
        <v>791</v>
      </c>
      <c r="B793" s="55">
        <f ca="1">IFERROR(__xludf.DUMMYFUNCTION("""COMPUTED_VALUE"""),46181.3317847106)</f>
        <v>46181.331784710601</v>
      </c>
      <c r="C793" s="56" t="str">
        <f ca="1">IFERROR(__xludf.DUMMYFUNCTION("""COMPUTED_VALUE"""),"المعملجي")</f>
        <v>المعملجي</v>
      </c>
      <c r="D793" s="56" t="str">
        <f ca="1">IFERROR(__xludf.DUMMYFUNCTION("""COMPUTED_VALUE"""),"وحدة الكهرباء")</f>
        <v>وحدة الكهرباء</v>
      </c>
      <c r="E793" s="26" t="str">
        <f ca="1">IFERROR(__xludf.DUMMYFUNCTION("""COMPUTED_VALUE"""),"قسم المشاريع الهندسية")</f>
        <v>قسم المشاريع الهندسية</v>
      </c>
      <c r="F793" s="26" t="str">
        <f ca="1">IFERROR(__xludf.DUMMYFUNCTION("""COMPUTED_VALUE"""),"مكان المهرجان")</f>
        <v>مكان المهرجان</v>
      </c>
      <c r="G793" s="26"/>
      <c r="H793" s="26" t="str">
        <f ca="1">IFERROR(__xludf.DUMMYFUNCTION("""COMPUTED_VALUE"""),"تغذية  انارة عدد (3)  لعارضة خشبية  قرب القاعة الرياضية")</f>
        <v>تغذية  انارة عدد (3)  لعارضة خشبية  قرب القاعة الرياضية</v>
      </c>
      <c r="I793" s="26"/>
      <c r="J793" s="26" t="s">
        <v>3910</v>
      </c>
      <c r="K793" s="26" t="s">
        <v>13</v>
      </c>
      <c r="L793" s="55">
        <v>46181.342068252314</v>
      </c>
      <c r="M793" s="26"/>
    </row>
    <row r="794" spans="1:13" ht="75" customHeight="1" thickTop="1" thickBot="1">
      <c r="A794" s="26">
        <v>792</v>
      </c>
      <c r="B794" s="55">
        <f ca="1">IFERROR(__xludf.DUMMYFUNCTION("""COMPUTED_VALUE"""),46181.3323645601)</f>
        <v>46181.332364560098</v>
      </c>
      <c r="C794" s="56" t="str">
        <f ca="1">IFERROR(__xludf.DUMMYFUNCTION("""COMPUTED_VALUE"""),"المعملجي")</f>
        <v>المعملجي</v>
      </c>
      <c r="D794" s="56" t="str">
        <f ca="1">IFERROR(__xludf.DUMMYFUNCTION("""COMPUTED_VALUE"""),"وحدة الكهرباء")</f>
        <v>وحدة الكهرباء</v>
      </c>
      <c r="E794" s="26" t="str">
        <f ca="1">IFERROR(__xludf.DUMMYFUNCTION("""COMPUTED_VALUE"""),"قسم المشاريع الهندسية")</f>
        <v>قسم المشاريع الهندسية</v>
      </c>
      <c r="F794" s="26" t="str">
        <f ca="1">IFERROR(__xludf.DUMMYFUNCTION("""COMPUTED_VALUE"""),"مكان المهرجان")</f>
        <v>مكان المهرجان</v>
      </c>
      <c r="G794" s="26"/>
      <c r="H794" s="26" t="str">
        <f ca="1">IFERROR(__xludf.DUMMYFUNCTION("""COMPUTED_VALUE"""),"تغذية  انارة عدد (4) لعارضات خشبية مقابل  المدرسة الرابعة")</f>
        <v>تغذية  انارة عدد (4) لعارضات خشبية مقابل  المدرسة الرابعة</v>
      </c>
      <c r="I794" s="26"/>
      <c r="J794" s="26" t="s">
        <v>3910</v>
      </c>
      <c r="K794" s="26" t="s">
        <v>13</v>
      </c>
      <c r="L794" s="55"/>
      <c r="M794" s="26"/>
    </row>
    <row r="795" spans="1:13" ht="75" customHeight="1" thickTop="1" thickBot="1">
      <c r="A795" s="34">
        <v>793</v>
      </c>
      <c r="B795" s="55">
        <f ca="1">IFERROR(__xludf.DUMMYFUNCTION("""COMPUTED_VALUE"""),46181.3327468749)</f>
        <v>46181.332746874898</v>
      </c>
      <c r="C795" s="56" t="str">
        <f ca="1">IFERROR(__xludf.DUMMYFUNCTION("""COMPUTED_VALUE"""),"المعملجي")</f>
        <v>المعملجي</v>
      </c>
      <c r="D795" s="56" t="str">
        <f ca="1">IFERROR(__xludf.DUMMYFUNCTION("""COMPUTED_VALUE"""),"وحدة الكهرباء")</f>
        <v>وحدة الكهرباء</v>
      </c>
      <c r="E795" s="26" t="str">
        <f ca="1">IFERROR(__xludf.DUMMYFUNCTION("""COMPUTED_VALUE"""),"قسم المشاريع الهندسية")</f>
        <v>قسم المشاريع الهندسية</v>
      </c>
      <c r="F795" s="26" t="str">
        <f ca="1">IFERROR(__xludf.DUMMYFUNCTION("""COMPUTED_VALUE"""),"مكان المهرجان")</f>
        <v>مكان المهرجان</v>
      </c>
      <c r="G795" s="26"/>
      <c r="H795" s="26" t="str">
        <f ca="1">IFERROR(__xludf.DUMMYFUNCTION("""COMPUTED_VALUE"""),"تغذية براد الماء خلف المدرسة الثانية من احد الاعمدة")</f>
        <v>تغذية براد الماء خلف المدرسة الثانية من احد الاعمدة</v>
      </c>
      <c r="I795" s="26"/>
      <c r="J795" s="26" t="s">
        <v>3910</v>
      </c>
      <c r="K795" s="26" t="s">
        <v>13</v>
      </c>
      <c r="L795" s="55"/>
      <c r="M795" s="26"/>
    </row>
    <row r="796" spans="1:13" ht="75" customHeight="1" thickTop="1" thickBot="1">
      <c r="A796" s="26">
        <v>794</v>
      </c>
      <c r="B796" s="55">
        <f ca="1">IFERROR(__xludf.DUMMYFUNCTION("""COMPUTED_VALUE"""),46181.3332893055)</f>
        <v>46181.333289305498</v>
      </c>
      <c r="C796" s="56" t="str">
        <f ca="1">IFERROR(__xludf.DUMMYFUNCTION("""COMPUTED_VALUE"""),"المعملجي")</f>
        <v>المعملجي</v>
      </c>
      <c r="D796" s="56" t="str">
        <f ca="1">IFERROR(__xludf.DUMMYFUNCTION("""COMPUTED_VALUE"""),"وحدة الكهرباء")</f>
        <v>وحدة الكهرباء</v>
      </c>
      <c r="E796" s="26" t="str">
        <f ca="1">IFERROR(__xludf.DUMMYFUNCTION("""COMPUTED_VALUE"""),"قسم المشاريع الهندسية")</f>
        <v>قسم المشاريع الهندسية</v>
      </c>
      <c r="F796" s="26" t="str">
        <f ca="1">IFERROR(__xludf.DUMMYFUNCTION("""COMPUTED_VALUE"""),"G- روضة الجود")</f>
        <v>G- روضة الجود</v>
      </c>
      <c r="G796" s="26"/>
      <c r="H796" s="26" t="str">
        <f ca="1">IFERROR(__xludf.DUMMYFUNCTION("""COMPUTED_VALUE"""),"تغذية 4 صوندات led للبلونات على مسافة متفرقة وعلى طول واجهة البناية")</f>
        <v>تغذية 4 صوندات led للبلونات على مسافة متفرقة وعلى طول واجهة البناية</v>
      </c>
      <c r="I796" s="26"/>
      <c r="J796" s="26" t="s">
        <v>3910</v>
      </c>
      <c r="K796" s="26" t="s">
        <v>13</v>
      </c>
      <c r="L796" s="55">
        <v>46181.342077592592</v>
      </c>
      <c r="M796" s="26"/>
    </row>
    <row r="797" spans="1:13" ht="75" customHeight="1" thickTop="1" thickBot="1">
      <c r="A797" s="34">
        <v>795</v>
      </c>
      <c r="B797" s="55">
        <f ca="1">IFERROR(__xludf.DUMMYFUNCTION("""COMPUTED_VALUE"""),46181.333885405)</f>
        <v>46181.333885405002</v>
      </c>
      <c r="C797" s="56" t="str">
        <f ca="1">IFERROR(__xludf.DUMMYFUNCTION("""COMPUTED_VALUE"""),"المعملجي")</f>
        <v>المعملجي</v>
      </c>
      <c r="D797" s="56" t="str">
        <f ca="1">IFERROR(__xludf.DUMMYFUNCTION("""COMPUTED_VALUE"""),"وحدة الكهرباء")</f>
        <v>وحدة الكهرباء</v>
      </c>
      <c r="E797" s="26" t="str">
        <f ca="1">IFERROR(__xludf.DUMMYFUNCTION("""COMPUTED_VALUE"""),"قسم المشاريع الهندسية")</f>
        <v>قسم المشاريع الهندسية</v>
      </c>
      <c r="F797" s="26" t="str">
        <f ca="1">IFERROR(__xludf.DUMMYFUNCTION("""COMPUTED_VALUE"""),"B- روضة القمر")</f>
        <v>B- روضة القمر</v>
      </c>
      <c r="G797" s="26"/>
      <c r="H797" s="26" t="str">
        <f ca="1">IFERROR(__xludf.DUMMYFUNCTION("""COMPUTED_VALUE"""),"تغذية 4 صوندات led للبلونات على مسافة متفرقة وعلى طول واجهة البناية")</f>
        <v>تغذية 4 صوندات led للبلونات على مسافة متفرقة وعلى طول واجهة البناية</v>
      </c>
      <c r="I797" s="26"/>
      <c r="J797" s="26" t="s">
        <v>3910</v>
      </c>
      <c r="K797" s="26" t="s">
        <v>13</v>
      </c>
      <c r="L797" s="55">
        <v>46181.342094398147</v>
      </c>
      <c r="M797" s="26"/>
    </row>
    <row r="798" spans="1:13" ht="75" customHeight="1" thickTop="1" thickBot="1">
      <c r="A798" s="26">
        <v>796</v>
      </c>
      <c r="B798" s="55">
        <f ca="1">IFERROR(__xludf.DUMMYFUNCTION("""COMPUTED_VALUE"""),46181.3347986458)</f>
        <v>46181.334798645803</v>
      </c>
      <c r="C798" s="56" t="str">
        <f ca="1">IFERROR(__xludf.DUMMYFUNCTION("""COMPUTED_VALUE"""),"المعملجي")</f>
        <v>المعملجي</v>
      </c>
      <c r="D798" s="56" t="str">
        <f ca="1">IFERROR(__xludf.DUMMYFUNCTION("""COMPUTED_VALUE"""),"وحدة الكهرباء")</f>
        <v>وحدة الكهرباء</v>
      </c>
      <c r="E798" s="26" t="str">
        <f ca="1">IFERROR(__xludf.DUMMYFUNCTION("""COMPUTED_VALUE"""),"قسم المشاريع الهندسية")</f>
        <v>قسم المشاريع الهندسية</v>
      </c>
      <c r="F798" s="26" t="str">
        <f ca="1">IFERROR(__xludf.DUMMYFUNCTION("""COMPUTED_VALUE"""),"الستيج")</f>
        <v>الستيج</v>
      </c>
      <c r="G798" s="26"/>
      <c r="H798" s="26" t="str">
        <f ca="1">IFERROR(__xludf.DUMMYFUNCTION("""COMPUTED_VALUE"""),"مد  وتغذية سيار طول 25 متر إلى منتصف الستيج")</f>
        <v>مد  وتغذية سيار طول 25 متر إلى منتصف الستيج</v>
      </c>
      <c r="I798" s="26"/>
      <c r="J798" s="26" t="s">
        <v>3910</v>
      </c>
      <c r="K798" s="26" t="s">
        <v>13</v>
      </c>
      <c r="L798" s="55">
        <v>46181.342094201391</v>
      </c>
      <c r="M798" s="26"/>
    </row>
    <row r="799" spans="1:13" ht="75" customHeight="1" thickTop="1" thickBot="1">
      <c r="A799" s="34">
        <v>797</v>
      </c>
      <c r="B799" s="55">
        <f ca="1">IFERROR(__xludf.DUMMYFUNCTION("""COMPUTED_VALUE"""),46181.3357284953)</f>
        <v>46181.335728495302</v>
      </c>
      <c r="C799" s="56" t="str">
        <f ca="1">IFERROR(__xludf.DUMMYFUNCTION("""COMPUTED_VALUE"""),"المعملجي")</f>
        <v>المعملجي</v>
      </c>
      <c r="D799" s="56" t="str">
        <f ca="1">IFERROR(__xludf.DUMMYFUNCTION("""COMPUTED_VALUE"""),"وحدة الكهرباء")</f>
        <v>وحدة الكهرباء</v>
      </c>
      <c r="E799" s="26" t="str">
        <f ca="1">IFERROR(__xludf.DUMMYFUNCTION("""COMPUTED_VALUE"""),"قسم المشاريع الهندسية")</f>
        <v>قسم المشاريع الهندسية</v>
      </c>
      <c r="F799" s="26" t="str">
        <f ca="1">IFERROR(__xludf.DUMMYFUNCTION("""COMPUTED_VALUE"""),"مكان المهرجان")</f>
        <v>مكان المهرجان</v>
      </c>
      <c r="G799" s="26"/>
      <c r="H799" s="26" t="str">
        <f ca="1">IFERROR(__xludf.DUMMYFUNCTION("""COMPUTED_VALUE"""),"تغذية اقواس البالونات الممتدة من الباب الثاني للمجمع الى موقع النافورة عدد 14")</f>
        <v>تغذية اقواس البالونات الممتدة من الباب الثاني للمجمع الى موقع النافورة عدد 14</v>
      </c>
      <c r="I799" s="26"/>
      <c r="J799" s="26" t="s">
        <v>3910</v>
      </c>
      <c r="K799" s="26" t="s">
        <v>13</v>
      </c>
      <c r="L799" s="55">
        <v>46181.342104930554</v>
      </c>
      <c r="M799" s="26"/>
    </row>
    <row r="800" spans="1:13" ht="75" customHeight="1" thickTop="1" thickBot="1">
      <c r="A800" s="26">
        <v>798</v>
      </c>
      <c r="B800" s="55">
        <f ca="1">IFERROR(__xludf.DUMMYFUNCTION("""COMPUTED_VALUE"""),46181.3360371412)</f>
        <v>46181.336037141198</v>
      </c>
      <c r="C800" s="56" t="str">
        <f ca="1">IFERROR(__xludf.DUMMYFUNCTION("""COMPUTED_VALUE"""),"المعملجي")</f>
        <v>المعملجي</v>
      </c>
      <c r="D800" s="56" t="str">
        <f ca="1">IFERROR(__xludf.DUMMYFUNCTION("""COMPUTED_VALUE"""),"وحدة الكهرباء")</f>
        <v>وحدة الكهرباء</v>
      </c>
      <c r="E800" s="26" t="str">
        <f ca="1">IFERROR(__xludf.DUMMYFUNCTION("""COMPUTED_VALUE"""),"قسم المشاريع الهندسية")</f>
        <v>قسم المشاريع الهندسية</v>
      </c>
      <c r="F800" s="26" t="str">
        <f ca="1">IFERROR(__xludf.DUMMYFUNCTION("""COMPUTED_VALUE"""),"النافورة")</f>
        <v>النافورة</v>
      </c>
      <c r="G800" s="26"/>
      <c r="H800" s="26" t="str">
        <f ca="1">IFERROR(__xludf.DUMMYFUNCTION("""COMPUTED_VALUE"""),"تغذية قوسين آخرين من البالونات في مدخل ومخرج ممر النافورة ومن الأعمدة القريبة منها
")</f>
        <v xml:space="preserve">تغذية قوسين آخرين من البالونات في مدخل ومخرج ممر النافورة ومن الأعمدة القريبة منها
</v>
      </c>
      <c r="I800" s="26"/>
      <c r="J800" s="26" t="s">
        <v>3910</v>
      </c>
      <c r="K800" s="26" t="s">
        <v>13</v>
      </c>
      <c r="L800" s="55">
        <v>46181.34211409722</v>
      </c>
      <c r="M800" s="26"/>
    </row>
    <row r="801" spans="1:13" ht="75" customHeight="1" thickTop="1" thickBot="1">
      <c r="A801" s="34">
        <v>799</v>
      </c>
      <c r="B801" s="55">
        <f ca="1">IFERROR(__xludf.DUMMYFUNCTION("""COMPUTED_VALUE"""),46181.3365078587)</f>
        <v>46181.336507858701</v>
      </c>
      <c r="C801" s="56" t="str">
        <f ca="1">IFERROR(__xludf.DUMMYFUNCTION("""COMPUTED_VALUE"""),"المعملجي")</f>
        <v>المعملجي</v>
      </c>
      <c r="D801" s="56" t="str">
        <f ca="1">IFERROR(__xludf.DUMMYFUNCTION("""COMPUTED_VALUE"""),"وحدة الكهرباء")</f>
        <v>وحدة الكهرباء</v>
      </c>
      <c r="E801" s="26" t="str">
        <f ca="1">IFERROR(__xludf.DUMMYFUNCTION("""COMPUTED_VALUE"""),"قسم المشاريع الهندسية")</f>
        <v>قسم المشاريع الهندسية</v>
      </c>
      <c r="F801" s="26" t="str">
        <f ca="1">IFERROR(__xludf.DUMMYFUNCTION("""COMPUTED_VALUE"""),"مكان المهرجان")</f>
        <v>مكان المهرجان</v>
      </c>
      <c r="G801" s="26"/>
      <c r="H801" s="26" t="str">
        <f ca="1">IFERROR(__xludf.DUMMYFUNCTION("""COMPUTED_VALUE"""),"عمل سيار اربع نقاط جوكر لكادر التصوير")</f>
        <v>عمل سيار اربع نقاط جوكر لكادر التصوير</v>
      </c>
      <c r="I801" s="26"/>
      <c r="J801" s="26" t="s">
        <v>3910</v>
      </c>
      <c r="K801" s="26" t="s">
        <v>13</v>
      </c>
      <c r="L801" s="55">
        <v>46181.342122893519</v>
      </c>
      <c r="M801" s="26"/>
    </row>
    <row r="802" spans="1:13" ht="75" customHeight="1" thickTop="1" thickBot="1">
      <c r="A802" s="26">
        <v>800</v>
      </c>
      <c r="B802" s="55">
        <f ca="1">IFERROR(__xludf.DUMMYFUNCTION("""COMPUTED_VALUE"""),46181.3374266435)</f>
        <v>46181.337426643498</v>
      </c>
      <c r="C802" s="56" t="str">
        <f ca="1">IFERROR(__xludf.DUMMYFUNCTION("""COMPUTED_VALUE"""),"المعملجي")</f>
        <v>المعملجي</v>
      </c>
      <c r="D802" s="56" t="str">
        <f ca="1">IFERROR(__xludf.DUMMYFUNCTION("""COMPUTED_VALUE"""),"وحدة الكهرباء")</f>
        <v>وحدة الكهرباء</v>
      </c>
      <c r="E802" s="26" t="str">
        <f ca="1">IFERROR(__xludf.DUMMYFUNCTION("""COMPUTED_VALUE"""),"قسم المشاريع الهندسية")</f>
        <v>قسم المشاريع الهندسية</v>
      </c>
      <c r="F802" s="26" t="str">
        <f ca="1">IFERROR(__xludf.DUMMYFUNCTION("""COMPUTED_VALUE"""),"مكان المهرجان")</f>
        <v>مكان المهرجان</v>
      </c>
      <c r="G802" s="26"/>
      <c r="H802" s="26" t="str">
        <f ca="1">IFERROR(__xludf.DUMMYFUNCTION("""COMPUTED_VALUE"""),"تغذية نشرتين بطول 20 متر للنشرة الواحدة من أحد الأعمدة القريبة")</f>
        <v>تغذية نشرتين بطول 20 متر للنشرة الواحدة من أحد الأعمدة القريبة</v>
      </c>
      <c r="I802" s="26"/>
      <c r="J802" s="26" t="s">
        <v>3910</v>
      </c>
      <c r="K802" s="26" t="s">
        <v>13</v>
      </c>
      <c r="L802" s="55">
        <v>46181.342136967593</v>
      </c>
      <c r="M802" s="26"/>
    </row>
    <row r="803" spans="1:13" ht="75" customHeight="1" thickTop="1" thickBot="1">
      <c r="A803" s="34">
        <v>801</v>
      </c>
      <c r="B803" s="55">
        <f ca="1">IFERROR(__xludf.DUMMYFUNCTION("""COMPUTED_VALUE"""),46181.3379485185)</f>
        <v>46181.3379485185</v>
      </c>
      <c r="C803" s="56" t="str">
        <f ca="1">IFERROR(__xludf.DUMMYFUNCTION("""COMPUTED_VALUE"""),"المعملجي")</f>
        <v>المعملجي</v>
      </c>
      <c r="D803" s="56" t="str">
        <f ca="1">IFERROR(__xludf.DUMMYFUNCTION("""COMPUTED_VALUE"""),"وحدة الكهرباء")</f>
        <v>وحدة الكهرباء</v>
      </c>
      <c r="E803" s="26" t="str">
        <f ca="1">IFERROR(__xludf.DUMMYFUNCTION("""COMPUTED_VALUE"""),"قسم المشاريع الهندسية")</f>
        <v>قسم المشاريع الهندسية</v>
      </c>
      <c r="F803" s="26" t="str">
        <f ca="1">IFERROR(__xludf.DUMMYFUNCTION("""COMPUTED_VALUE"""),"مكان المهرجان")</f>
        <v>مكان المهرجان</v>
      </c>
      <c r="G803" s="26"/>
      <c r="H803" s="26" t="str">
        <f ca="1">IFERROR(__xludf.DUMMYFUNCTION("""COMPUTED_VALUE"""),"صيانة نشرتين من اقواس البالونات نتيجة تلف لدات فيها")</f>
        <v>صيانة نشرتين من اقواس البالونات نتيجة تلف لدات فيها</v>
      </c>
      <c r="I803" s="26"/>
      <c r="J803" s="26" t="s">
        <v>3910</v>
      </c>
      <c r="K803" s="26" t="s">
        <v>13</v>
      </c>
      <c r="L803" s="55">
        <v>46181.342144745373</v>
      </c>
      <c r="M803" s="26"/>
    </row>
    <row r="804" spans="1:13" ht="75" customHeight="1" thickTop="1" thickBot="1">
      <c r="A804" s="26">
        <v>802</v>
      </c>
      <c r="B804" s="55">
        <f ca="1">IFERROR(__xludf.DUMMYFUNCTION("""COMPUTED_VALUE"""),46181.3383388773)</f>
        <v>46181.3383388773</v>
      </c>
      <c r="C804" s="56" t="str">
        <f ca="1">IFERROR(__xludf.DUMMYFUNCTION("""COMPUTED_VALUE"""),"المعملجي")</f>
        <v>المعملجي</v>
      </c>
      <c r="D804" s="56" t="str">
        <f ca="1">IFERROR(__xludf.DUMMYFUNCTION("""COMPUTED_VALUE"""),"وحدة الكهرباء")</f>
        <v>وحدة الكهرباء</v>
      </c>
      <c r="E804" s="26" t="str">
        <f ca="1">IFERROR(__xludf.DUMMYFUNCTION("""COMPUTED_VALUE"""),"قسم المشاريع الهندسية")</f>
        <v>قسم المشاريع الهندسية</v>
      </c>
      <c r="F804" s="26" t="str">
        <f ca="1">IFERROR(__xludf.DUMMYFUNCTION("""COMPUTED_VALUE"""),"النافورة")</f>
        <v>النافورة</v>
      </c>
      <c r="G804" s="26"/>
      <c r="H804" s="26" t="str">
        <f ca="1">IFERROR(__xludf.DUMMYFUNCTION("""COMPUTED_VALUE"""),"مد فلكس بطول 90 متر لتغذية نشرة النافورة")</f>
        <v>مد فلكس بطول 90 متر لتغذية نشرة النافورة</v>
      </c>
      <c r="I804" s="26"/>
      <c r="J804" s="26" t="s">
        <v>3910</v>
      </c>
      <c r="K804" s="26" t="s">
        <v>13</v>
      </c>
      <c r="L804" s="55">
        <v>46181.342160046297</v>
      </c>
      <c r="M804" s="26"/>
    </row>
    <row r="805" spans="1:13" ht="75" customHeight="1" thickTop="1" thickBot="1">
      <c r="A805" s="34">
        <v>803</v>
      </c>
      <c r="B805" s="55">
        <f ca="1">IFERROR(__xludf.DUMMYFUNCTION("""COMPUTED_VALUE"""),46181.3387462268)</f>
        <v>46181.3387462268</v>
      </c>
      <c r="C805" s="56" t="str">
        <f ca="1">IFERROR(__xludf.DUMMYFUNCTION("""COMPUTED_VALUE"""),"المعملجي")</f>
        <v>المعملجي</v>
      </c>
      <c r="D805" s="56" t="str">
        <f ca="1">IFERROR(__xludf.DUMMYFUNCTION("""COMPUTED_VALUE"""),"وحدة الكهرباء")</f>
        <v>وحدة الكهرباء</v>
      </c>
      <c r="E805" s="26" t="str">
        <f ca="1">IFERROR(__xludf.DUMMYFUNCTION("""COMPUTED_VALUE"""),"قسم المشاريع الهندسية")</f>
        <v>قسم المشاريع الهندسية</v>
      </c>
      <c r="F805" s="26" t="str">
        <f ca="1">IFERROR(__xludf.DUMMYFUNCTION("""COMPUTED_VALUE"""),"G- روضة الجود")</f>
        <v>G- روضة الجود</v>
      </c>
      <c r="G805" s="26" t="str">
        <f ca="1">IFERROR(__xludf.DUMMYFUNCTION("""COMPUTED_VALUE"""),"السطح")</f>
        <v>السطح</v>
      </c>
      <c r="H805" s="26" t="str">
        <f ca="1">IFERROR(__xludf.DUMMYFUNCTION("""COMPUTED_VALUE"""),"غسل الالواح الشمسية")</f>
        <v>غسل الالواح الشمسية</v>
      </c>
      <c r="I805" s="26"/>
      <c r="J805" s="26" t="s">
        <v>3910</v>
      </c>
      <c r="K805" s="26" t="s">
        <v>13</v>
      </c>
      <c r="L805" s="55">
        <v>46181.342173055556</v>
      </c>
      <c r="M805" s="26"/>
    </row>
    <row r="806" spans="1:13" ht="75" customHeight="1" thickTop="1" thickBot="1">
      <c r="A806" s="26">
        <v>804</v>
      </c>
      <c r="B806" s="55">
        <f ca="1">IFERROR(__xludf.DUMMYFUNCTION("""COMPUTED_VALUE"""),46181.3399334837)</f>
        <v>46181.339933483701</v>
      </c>
      <c r="C806" s="56" t="str">
        <f ca="1">IFERROR(__xludf.DUMMYFUNCTION("""COMPUTED_VALUE"""),"المعملجي")</f>
        <v>المعملجي</v>
      </c>
      <c r="D806" s="56" t="str">
        <f ca="1">IFERROR(__xludf.DUMMYFUNCTION("""COMPUTED_VALUE"""),"وحدة الكهرباء")</f>
        <v>وحدة الكهرباء</v>
      </c>
      <c r="E806" s="26" t="str">
        <f ca="1">IFERROR(__xludf.DUMMYFUNCTION("""COMPUTED_VALUE"""),"قسم المشاريع الهندسية")</f>
        <v>قسم المشاريع الهندسية</v>
      </c>
      <c r="F806" s="26" t="str">
        <f ca="1">IFERROR(__xludf.DUMMYFUNCTION("""COMPUTED_VALUE"""),"الاستعلامات الرئيسية")</f>
        <v>الاستعلامات الرئيسية</v>
      </c>
      <c r="G806" s="26"/>
      <c r="H806" s="26" t="str">
        <f ca="1">IFERROR(__xludf.DUMMYFUNCTION("""COMPUTED_VALUE"""),"تصميم كارت ودائرة اتصالات جديدة لاسليكية لتشغلي ماطور باب الاستعلامات الخارجية")</f>
        <v>تصميم كارت ودائرة اتصالات جديدة لاسليكية لتشغلي ماطور باب الاستعلامات الخارجية</v>
      </c>
      <c r="I806" s="26"/>
      <c r="J806" s="26" t="s">
        <v>3910</v>
      </c>
      <c r="K806" s="26" t="s">
        <v>13</v>
      </c>
      <c r="L806" s="55">
        <v>46181.342186412032</v>
      </c>
      <c r="M806" s="26"/>
    </row>
    <row r="807" spans="1:13" ht="75" customHeight="1" thickTop="1" thickBot="1">
      <c r="A807" s="34">
        <v>805</v>
      </c>
      <c r="B807" s="55">
        <f ca="1">IFERROR(__xludf.DUMMYFUNCTION("""COMPUTED_VALUE"""),46181.3403045833)</f>
        <v>46181.340304583297</v>
      </c>
      <c r="C807" s="56" t="str">
        <f ca="1">IFERROR(__xludf.DUMMYFUNCTION("""COMPUTED_VALUE"""),"المعملجي")</f>
        <v>المعملجي</v>
      </c>
      <c r="D807" s="56" t="str">
        <f ca="1">IFERROR(__xludf.DUMMYFUNCTION("""COMPUTED_VALUE"""),"وحدة الكهرباء")</f>
        <v>وحدة الكهرباء</v>
      </c>
      <c r="E807" s="26" t="str">
        <f ca="1">IFERROR(__xludf.DUMMYFUNCTION("""COMPUTED_VALUE"""),"قسم المشاريع الهندسية")</f>
        <v>قسم المشاريع الهندسية</v>
      </c>
      <c r="F807" s="26" t="str">
        <f ca="1">IFERROR(__xludf.DUMMYFUNCTION("""COMPUTED_VALUE"""),"كل المجمع")</f>
        <v>كل المجمع</v>
      </c>
      <c r="G807" s="26"/>
      <c r="H807" s="26" t="str">
        <f ca="1">IFERROR(__xludf.DUMMYFUNCTION("""COMPUTED_VALUE"""),"تسجيل أحمال الكهرباء الوطنية لشهر آيار")</f>
        <v>تسجيل أحمال الكهرباء الوطنية لشهر آيار</v>
      </c>
      <c r="I807" s="26"/>
      <c r="J807" s="26" t="s">
        <v>3910</v>
      </c>
      <c r="K807" s="26" t="s">
        <v>13</v>
      </c>
      <c r="L807" s="55">
        <v>46181.342194976853</v>
      </c>
      <c r="M807" s="26"/>
    </row>
    <row r="808" spans="1:13" ht="75" customHeight="1" thickTop="1" thickBot="1">
      <c r="A808" s="26">
        <v>806</v>
      </c>
      <c r="B808" s="55">
        <f ca="1">IFERROR(__xludf.DUMMYFUNCTION("""COMPUTED_VALUE"""),46181.3407769907)</f>
        <v>46181.340776990699</v>
      </c>
      <c r="C808" s="56" t="str">
        <f ca="1">IFERROR(__xludf.DUMMYFUNCTION("""COMPUTED_VALUE"""),"المعملجي")</f>
        <v>المعملجي</v>
      </c>
      <c r="D808" s="56" t="str">
        <f ca="1">IFERROR(__xludf.DUMMYFUNCTION("""COMPUTED_VALUE"""),"وحدة الكهرباء")</f>
        <v>وحدة الكهرباء</v>
      </c>
      <c r="E808" s="26" t="str">
        <f ca="1">IFERROR(__xludf.DUMMYFUNCTION("""COMPUTED_VALUE"""),"قسم المشاريع الهندسية")</f>
        <v>قسم المشاريع الهندسية</v>
      </c>
      <c r="F808" s="26" t="str">
        <f ca="1">IFERROR(__xludf.DUMMYFUNCTION("""COMPUTED_VALUE"""),"F-  ابتدائية جود العميد للبنات (الرابعة)")</f>
        <v>F-  ابتدائية جود العميد للبنات (الرابعة)</v>
      </c>
      <c r="G808" s="26" t="str">
        <f ca="1">IFERROR(__xludf.DUMMYFUNCTION("""COMPUTED_VALUE"""),"غرفة الكهرباء")</f>
        <v>غرفة الكهرباء</v>
      </c>
      <c r="H808" s="26" t="str">
        <f ca="1">IFERROR(__xludf.DUMMYFUNCTION("""COMPUTED_VALUE"""),"استبدال قاطع رباعي بحجم 100A تالف في بورد الخدمات بآخر ثلاثي بحجم 160A")</f>
        <v>استبدال قاطع رباعي بحجم 100A تالف في بورد الخدمات بآخر ثلاثي بحجم 160A</v>
      </c>
      <c r="I808" s="26"/>
      <c r="J808" s="26" t="s">
        <v>3910</v>
      </c>
      <c r="K808" s="26" t="s">
        <v>13</v>
      </c>
      <c r="L808" s="55">
        <v>46181.342205729168</v>
      </c>
      <c r="M808" s="26"/>
    </row>
    <row r="809" spans="1:13" ht="75" customHeight="1" thickTop="1" thickBot="1">
      <c r="A809" s="34">
        <v>807</v>
      </c>
      <c r="B809" s="55">
        <f ca="1">IFERROR(__xludf.DUMMYFUNCTION("""COMPUTED_VALUE"""),46181.3416104166)</f>
        <v>46181.341610416603</v>
      </c>
      <c r="C809" s="56" t="str">
        <f ca="1">IFERROR(__xludf.DUMMYFUNCTION("""COMPUTED_VALUE"""),"المعملجي")</f>
        <v>المعملجي</v>
      </c>
      <c r="D809" s="56" t="str">
        <f ca="1">IFERROR(__xludf.DUMMYFUNCTION("""COMPUTED_VALUE"""),"وحدة الكهرباء")</f>
        <v>وحدة الكهرباء</v>
      </c>
      <c r="E809" s="26" t="str">
        <f ca="1">IFERROR(__xludf.DUMMYFUNCTION("""COMPUTED_VALUE"""),"قسم المشاريع الهندسية")</f>
        <v>قسم المشاريع الهندسية</v>
      </c>
      <c r="F809" s="26" t="str">
        <f ca="1">IFERROR(__xludf.DUMMYFUNCTION("""COMPUTED_VALUE"""),"شعبة الصيانة")</f>
        <v>شعبة الصيانة</v>
      </c>
      <c r="G809" s="26"/>
      <c r="H809" s="26" t="str">
        <f ca="1">IFERROR(__xludf.DUMMYFUNCTION("""COMPUTED_VALUE"""),"حدوث مشكلة عبور حث بقيمة 11000V الى ملفات ال400V في محولة محطة الرفع")</f>
        <v>حدوث مشكلة عبور حث بقيمة 11000V الى ملفات ال400V في محولة محطة الرفع</v>
      </c>
      <c r="I809" s="26"/>
      <c r="J809" s="26" t="s">
        <v>3910</v>
      </c>
      <c r="K809" s="26" t="s">
        <v>13</v>
      </c>
      <c r="L809" s="55">
        <v>46181.342224351851</v>
      </c>
      <c r="M809" s="26"/>
    </row>
    <row r="810" spans="1:13" ht="75" customHeight="1" thickTop="1" thickBot="1">
      <c r="A810" s="26">
        <v>808</v>
      </c>
      <c r="B810" s="55">
        <f ca="1">IFERROR(__xludf.DUMMYFUNCTION("""COMPUTED_VALUE"""),46181.4044297569)</f>
        <v>46181.404429756898</v>
      </c>
      <c r="C810" s="56" t="str">
        <f ca="1">IFERROR(__xludf.DUMMYFUNCTION("""COMPUTED_VALUE"""),"المعملجي")</f>
        <v>المعملجي</v>
      </c>
      <c r="D810" s="56" t="str">
        <f ca="1">IFERROR(__xludf.DUMMYFUNCTION("""COMPUTED_VALUE"""),"ابو سجاد ")</f>
        <v xml:space="preserve">ابو سجاد </v>
      </c>
      <c r="E810" s="26" t="str">
        <f ca="1">IFERROR(__xludf.DUMMYFUNCTION("""COMPUTED_VALUE"""),"مجموعة العميد التربوية")</f>
        <v>مجموعة العميد التربوية</v>
      </c>
      <c r="F810" s="26" t="str">
        <f ca="1">IFERROR(__xludf.DUMMYFUNCTION("""COMPUTED_VALUE"""),"B- روضة القمر")</f>
        <v>B- روضة القمر</v>
      </c>
      <c r="G810" s="26" t="str">
        <f ca="1">IFERROR(__xludf.DUMMYFUNCTION("""COMPUTED_VALUE"""),"السطح")</f>
        <v>السطح</v>
      </c>
      <c r="H810" s="26" t="str">
        <f ca="1">IFERROR(__xludf.DUMMYFUNCTION("""COMPUTED_VALUE"""),"Roلا يوجد ماء ")</f>
        <v xml:space="preserve">Roلا يوجد ماء </v>
      </c>
      <c r="I810" s="26"/>
      <c r="J810" s="26" t="s">
        <v>14</v>
      </c>
      <c r="K810" s="26" t="s">
        <v>13</v>
      </c>
      <c r="L810" s="55"/>
      <c r="M810" s="26"/>
    </row>
    <row r="811" spans="1:13" ht="75" customHeight="1" thickTop="1" thickBot="1">
      <c r="A811" s="34">
        <v>809</v>
      </c>
      <c r="B811" s="55">
        <f ca="1">IFERROR(__xludf.DUMMYFUNCTION("""COMPUTED_VALUE"""),46181.4048392592)</f>
        <v>46181.404839259201</v>
      </c>
      <c r="C811" s="56" t="str">
        <f ca="1">IFERROR(__xludf.DUMMYFUNCTION("""COMPUTED_VALUE"""),"المعملجي")</f>
        <v>المعملجي</v>
      </c>
      <c r="D811" s="56" t="str">
        <f ca="1">IFERROR(__xludf.DUMMYFUNCTION("""COMPUTED_VALUE"""),"ابو سجاد ")</f>
        <v xml:space="preserve">ابو سجاد </v>
      </c>
      <c r="E811" s="26" t="str">
        <f ca="1">IFERROR(__xludf.DUMMYFUNCTION("""COMPUTED_VALUE"""),"مجموعة العميد التربوية")</f>
        <v>مجموعة العميد التربوية</v>
      </c>
      <c r="F811" s="26" t="str">
        <f ca="1">IFERROR(__xludf.DUMMYFUNCTION("""COMPUTED_VALUE"""),"J- ابتدائية الساقي للبنين الجانب الثاني (السابعة)")</f>
        <v>J- ابتدائية الساقي للبنين الجانب الثاني (السابعة)</v>
      </c>
      <c r="G811" s="26" t="str">
        <f ca="1">IFERROR(__xludf.DUMMYFUNCTION("""COMPUTED_VALUE"""),"السطح")</f>
        <v>السطح</v>
      </c>
      <c r="H811" s="26" t="str">
        <f ca="1">IFERROR(__xludf.DUMMYFUNCTION("""COMPUTED_VALUE"""),"Ro لا يوجد ماء ")</f>
        <v xml:space="preserve">Ro لا يوجد ماء </v>
      </c>
      <c r="I811" s="26"/>
      <c r="J811" s="26" t="s">
        <v>14</v>
      </c>
      <c r="K811" s="26" t="s">
        <v>13</v>
      </c>
      <c r="L811" s="55"/>
      <c r="M811" s="26"/>
    </row>
    <row r="812" spans="1:13" ht="75" customHeight="1" thickTop="1" thickBot="1">
      <c r="A812" s="26">
        <v>810</v>
      </c>
      <c r="B812" s="55">
        <f ca="1">IFERROR(__xludf.DUMMYFUNCTION("""COMPUTED_VALUE"""),46181.4057308796)</f>
        <v>46181.405730879596</v>
      </c>
      <c r="C812" s="56" t="str">
        <f ca="1">IFERROR(__xludf.DUMMYFUNCTION("""COMPUTED_VALUE"""),"المعملجي")</f>
        <v>المعملجي</v>
      </c>
      <c r="D812" s="56" t="str">
        <f ca="1">IFERROR(__xludf.DUMMYFUNCTION("""COMPUTED_VALUE"""),"وحدة الميكانيك")</f>
        <v>وحدة الميكانيك</v>
      </c>
      <c r="E812" s="26" t="str">
        <f ca="1">IFERROR(__xludf.DUMMYFUNCTION("""COMPUTED_VALUE"""),"قسم المشاريع الهندسية")</f>
        <v>قسم المشاريع الهندسية</v>
      </c>
      <c r="F812" s="26" t="str">
        <f ca="1">IFERROR(__xludf.DUMMYFUNCTION("""COMPUTED_VALUE"""),"D- ثانوية العميد بناية المتوسطة  (الثانية)")</f>
        <v>D- ثانوية العميد بناية المتوسطة  (الثانية)</v>
      </c>
      <c r="G812" s="26" t="str">
        <f ca="1">IFERROR(__xludf.DUMMYFUNCTION("""COMPUTED_VALUE"""),"الطابق الاول, ZONE B")</f>
        <v>الطابق الاول, ZONE B</v>
      </c>
      <c r="H812" s="26" t="str">
        <f ca="1">IFERROR(__xludf.DUMMYFUNCTION("""COMPUTED_VALUE"""),"صيانة صندوق فلاش ")</f>
        <v xml:space="preserve">صيانة صندوق فلاش </v>
      </c>
      <c r="I812" s="26"/>
      <c r="J812" s="26" t="s">
        <v>14</v>
      </c>
      <c r="K812" s="26" t="s">
        <v>13</v>
      </c>
      <c r="L812" s="55"/>
      <c r="M812" s="26"/>
    </row>
    <row r="813" spans="1:13" ht="75" customHeight="1" thickTop="1" thickBot="1">
      <c r="A813" s="34">
        <v>811</v>
      </c>
      <c r="B813" s="55">
        <f ca="1">IFERROR(__xludf.DUMMYFUNCTION("""COMPUTED_VALUE"""),46181.4060797453)</f>
        <v>46181.406079745298</v>
      </c>
      <c r="C813" s="56" t="str">
        <f ca="1">IFERROR(__xludf.DUMMYFUNCTION("""COMPUTED_VALUE"""),"المعملجي")</f>
        <v>المعملجي</v>
      </c>
      <c r="D813" s="56" t="str">
        <f ca="1">IFERROR(__xludf.DUMMYFUNCTION("""COMPUTED_VALUE"""),"وحدة الميكانيك")</f>
        <v>وحدة الميكانيك</v>
      </c>
      <c r="E813" s="26" t="str">
        <f ca="1">IFERROR(__xludf.DUMMYFUNCTION("""COMPUTED_VALUE"""),"قسم المشاريع الهندسية")</f>
        <v>قسم المشاريع الهندسية</v>
      </c>
      <c r="F813" s="26" t="str">
        <f ca="1">IFERROR(__xludf.DUMMYFUNCTION("""COMPUTED_VALUE"""),"D- ثانوية العميد بناية المتوسطة  (الثانية)")</f>
        <v>D- ثانوية العميد بناية المتوسطة  (الثانية)</v>
      </c>
      <c r="G813" s="26" t="str">
        <f ca="1">IFERROR(__xludf.DUMMYFUNCTION("""COMPUTED_VALUE"""),"الطابق الثاني, ZONE B")</f>
        <v>الطابق الثاني, ZONE B</v>
      </c>
      <c r="H813" s="26" t="str">
        <f ca="1">IFERROR(__xludf.DUMMYFUNCTION("""COMPUTED_VALUE"""),"صيانة قبق غربي ")</f>
        <v xml:space="preserve">صيانة قبق غربي </v>
      </c>
      <c r="I813" s="26"/>
      <c r="J813" s="26" t="s">
        <v>14</v>
      </c>
      <c r="K813" s="26" t="s">
        <v>13</v>
      </c>
      <c r="L813" s="55"/>
      <c r="M813" s="26"/>
    </row>
    <row r="814" spans="1:13" ht="75" customHeight="1" thickTop="1" thickBot="1">
      <c r="A814" s="26">
        <v>812</v>
      </c>
      <c r="B814" s="55">
        <f ca="1">IFERROR(__xludf.DUMMYFUNCTION("""COMPUTED_VALUE"""),46181.4065021527)</f>
        <v>46181.406502152699</v>
      </c>
      <c r="C814" s="56" t="str">
        <f ca="1">IFERROR(__xludf.DUMMYFUNCTION("""COMPUTED_VALUE"""),"المعملجي")</f>
        <v>المعملجي</v>
      </c>
      <c r="D814" s="56" t="str">
        <f ca="1">IFERROR(__xludf.DUMMYFUNCTION("""COMPUTED_VALUE"""),"وحدة الميكانيك")</f>
        <v>وحدة الميكانيك</v>
      </c>
      <c r="E814" s="26" t="str">
        <f ca="1">IFERROR(__xludf.DUMMYFUNCTION("""COMPUTED_VALUE"""),"قسم المشاريع الهندسية")</f>
        <v>قسم المشاريع الهندسية</v>
      </c>
      <c r="F814" s="26" t="str">
        <f ca="1">IFERROR(__xludf.DUMMYFUNCTION("""COMPUTED_VALUE"""),"C- ثانوية العميد بناية الاعدادية  (الاولى)")</f>
        <v>C- ثانوية العميد بناية الاعدادية  (الاولى)</v>
      </c>
      <c r="G814" s="26" t="str">
        <f ca="1">IFERROR(__xludf.DUMMYFUNCTION("""COMPUTED_VALUE"""),"الطابق الاول, ZONE B")</f>
        <v>الطابق الاول, ZONE B</v>
      </c>
      <c r="H814" s="26" t="str">
        <f ca="1">IFERROR(__xludf.DUMMYFUNCTION("""COMPUTED_VALUE"""),"صيانة صندوق فلاش ")</f>
        <v xml:space="preserve">صيانة صندوق فلاش </v>
      </c>
      <c r="I814" s="26"/>
      <c r="J814" s="26" t="s">
        <v>14</v>
      </c>
      <c r="K814" s="26" t="s">
        <v>13</v>
      </c>
      <c r="L814" s="55"/>
      <c r="M814" s="26"/>
    </row>
    <row r="815" spans="1:13" ht="75" customHeight="1" thickTop="1" thickBot="1">
      <c r="A815" s="34">
        <v>813</v>
      </c>
      <c r="B815" s="55">
        <f ca="1">IFERROR(__xludf.DUMMYFUNCTION("""COMPUTED_VALUE"""),46181.5172548726)</f>
        <v>46181.517254872597</v>
      </c>
      <c r="C815" s="56" t="str">
        <f ca="1">IFERROR(__xludf.DUMMYFUNCTION("""COMPUTED_VALUE"""),"المعملجي")</f>
        <v>المعملجي</v>
      </c>
      <c r="D815" s="56" t="str">
        <f ca="1">IFERROR(__xludf.DUMMYFUNCTION("""COMPUTED_VALUE"""),"ابو سجاد ")</f>
        <v xml:space="preserve">ابو سجاد </v>
      </c>
      <c r="E815" s="26" t="str">
        <f ca="1">IFERROR(__xludf.DUMMYFUNCTION("""COMPUTED_VALUE"""),"مجموعة العميد التربوية")</f>
        <v>مجموعة العميد التربوية</v>
      </c>
      <c r="F815" s="26" t="str">
        <f ca="1">IFERROR(__xludf.DUMMYFUNCTION("""COMPUTED_VALUE"""),"G- روضة الجود")</f>
        <v>G- روضة الجود</v>
      </c>
      <c r="G815" s="26" t="str">
        <f ca="1">IFERROR(__xludf.DUMMYFUNCTION("""COMPUTED_VALUE"""),"الطابق الارضي")</f>
        <v>الطابق الارضي</v>
      </c>
      <c r="H815" s="26" t="str">
        <f ca="1">IFERROR(__xludf.DUMMYFUNCTION("""COMPUTED_VALUE"""),"صيانة يدة شباك ")</f>
        <v xml:space="preserve">صيانة يدة شباك </v>
      </c>
      <c r="I815" s="26"/>
      <c r="J815" s="26" t="s">
        <v>16</v>
      </c>
      <c r="K815" s="26" t="s">
        <v>13</v>
      </c>
      <c r="L815" s="55">
        <v>46181.561210034721</v>
      </c>
      <c r="M815" s="26"/>
    </row>
    <row r="816" spans="1:13" ht="75" customHeight="1" thickTop="1" thickBot="1">
      <c r="A816" s="26">
        <v>814</v>
      </c>
      <c r="B816" s="55">
        <f ca="1">IFERROR(__xludf.DUMMYFUNCTION("""COMPUTED_VALUE"""),46182.3692864814)</f>
        <v>46182.3692864814</v>
      </c>
      <c r="C816" s="56" t="str">
        <f ca="1">IFERROR(__xludf.DUMMYFUNCTION("""COMPUTED_VALUE"""),"المعملجي")</f>
        <v>المعملجي</v>
      </c>
      <c r="D816" s="56" t="str">
        <f ca="1">IFERROR(__xludf.DUMMYFUNCTION("""COMPUTED_VALUE"""),"وحدة المدني")</f>
        <v>وحدة المدني</v>
      </c>
      <c r="E816" s="26" t="str">
        <f ca="1">IFERROR(__xludf.DUMMYFUNCTION("""COMPUTED_VALUE"""),"قسم المشاريع الهندسية")</f>
        <v>قسم المشاريع الهندسية</v>
      </c>
      <c r="F816" s="26" t="str">
        <f ca="1">IFERROR(__xludf.DUMMYFUNCTION("""COMPUTED_VALUE"""),"C- ثانوية العميد بناية الاعدادية  (الاولى)")</f>
        <v>C- ثانوية العميد بناية الاعدادية  (الاولى)</v>
      </c>
      <c r="G816" s="26" t="str">
        <f ca="1">IFERROR(__xludf.DUMMYFUNCTION("""COMPUTED_VALUE"""),"الطابق الاول")</f>
        <v>الطابق الاول</v>
      </c>
      <c r="H816" s="26" t="str">
        <f ca="1">IFERROR(__xludf.DUMMYFUNCTION("""COMPUTED_VALUE"""),"صيانة يدة شباك ")</f>
        <v xml:space="preserve">صيانة يدة شباك </v>
      </c>
      <c r="I816" s="26"/>
      <c r="J816" s="26" t="s">
        <v>16</v>
      </c>
      <c r="K816" s="26" t="s">
        <v>13</v>
      </c>
      <c r="L816" s="55">
        <v>46183.495856724534</v>
      </c>
      <c r="M816" s="26"/>
    </row>
    <row r="817" spans="1:13" ht="75" customHeight="1" thickTop="1" thickBot="1">
      <c r="A817" s="34">
        <v>815</v>
      </c>
      <c r="B817" s="55">
        <f ca="1">IFERROR(__xludf.DUMMYFUNCTION("""COMPUTED_VALUE"""),46182.3696238656)</f>
        <v>46182.369623865699</v>
      </c>
      <c r="C817" s="56" t="str">
        <f ca="1">IFERROR(__xludf.DUMMYFUNCTION("""COMPUTED_VALUE"""),"المعملجي")</f>
        <v>المعملجي</v>
      </c>
      <c r="D817" s="56" t="str">
        <f ca="1">IFERROR(__xludf.DUMMYFUNCTION("""COMPUTED_VALUE"""),"وحدة المدني")</f>
        <v>وحدة المدني</v>
      </c>
      <c r="E817" s="26" t="str">
        <f ca="1">IFERROR(__xludf.DUMMYFUNCTION("""COMPUTED_VALUE"""),"قسم المشاريع الهندسية")</f>
        <v>قسم المشاريع الهندسية</v>
      </c>
      <c r="F817" s="26" t="str">
        <f ca="1">IFERROR(__xludf.DUMMYFUNCTION("""COMPUTED_VALUE"""),"C- ثانوية العميد بناية الاعدادية  (الاولى)")</f>
        <v>C- ثانوية العميد بناية الاعدادية  (الاولى)</v>
      </c>
      <c r="G817" s="26" t="str">
        <f ca="1">IFERROR(__xludf.DUMMYFUNCTION("""COMPUTED_VALUE"""),"الطابق الارضي")</f>
        <v>الطابق الارضي</v>
      </c>
      <c r="H817" s="26" t="str">
        <f ca="1">IFERROR(__xludf.DUMMYFUNCTION("""COMPUTED_VALUE"""),"صيانة باب المنيوم ")</f>
        <v xml:space="preserve">صيانة باب المنيوم </v>
      </c>
      <c r="I817" s="26"/>
      <c r="J817" s="26" t="s">
        <v>16</v>
      </c>
      <c r="K817" s="26" t="s">
        <v>13</v>
      </c>
      <c r="L817" s="55">
        <v>46183.495889722224</v>
      </c>
      <c r="M817" s="26"/>
    </row>
    <row r="818" spans="1:13" ht="75" customHeight="1" thickTop="1" thickBot="1">
      <c r="A818" s="26">
        <v>816</v>
      </c>
      <c r="B818" s="55">
        <f ca="1">IFERROR(__xludf.DUMMYFUNCTION("""COMPUTED_VALUE"""),46182.373582118)</f>
        <v>46182.373582118002</v>
      </c>
      <c r="C818" s="56" t="str">
        <f ca="1">IFERROR(__xludf.DUMMYFUNCTION("""COMPUTED_VALUE"""),"المعملجي")</f>
        <v>المعملجي</v>
      </c>
      <c r="D818" s="56" t="str">
        <f ca="1">IFERROR(__xludf.DUMMYFUNCTION("""COMPUTED_VALUE"""),"وحدة المدني")</f>
        <v>وحدة المدني</v>
      </c>
      <c r="E818" s="26" t="str">
        <f ca="1">IFERROR(__xludf.DUMMYFUNCTION("""COMPUTED_VALUE"""),"قسم المشاريع الهندسية")</f>
        <v>قسم المشاريع الهندسية</v>
      </c>
      <c r="F818" s="26" t="str">
        <f ca="1">IFERROR(__xludf.DUMMYFUNCTION("""COMPUTED_VALUE"""),"F-  ابتدائية جود العميد للبنات (الرابعة)")</f>
        <v>F-  ابتدائية جود العميد للبنات (الرابعة)</v>
      </c>
      <c r="G818" s="26" t="str">
        <f ca="1">IFERROR(__xludf.DUMMYFUNCTION("""COMPUTED_VALUE"""),"الطابق الارضي")</f>
        <v>الطابق الارضي</v>
      </c>
      <c r="H818" s="26" t="str">
        <f ca="1">IFERROR(__xludf.DUMMYFUNCTION("""COMPUTED_VALUE"""),"صيانة مصد حائط ")</f>
        <v xml:space="preserve">صيانة مصد حائط </v>
      </c>
      <c r="I818" s="26"/>
      <c r="J818" s="26" t="s">
        <v>16</v>
      </c>
      <c r="K818" s="26" t="s">
        <v>13</v>
      </c>
      <c r="L818" s="55">
        <v>46183.495915567131</v>
      </c>
      <c r="M818" s="26"/>
    </row>
    <row r="819" spans="1:13" ht="75" customHeight="1" thickTop="1" thickBot="1">
      <c r="A819" s="34">
        <v>817</v>
      </c>
      <c r="B819" s="55">
        <f ca="1">IFERROR(__xludf.DUMMYFUNCTION("""COMPUTED_VALUE"""),46182.3748382986)</f>
        <v>46182.374838298601</v>
      </c>
      <c r="C819" s="56" t="str">
        <f ca="1">IFERROR(__xludf.DUMMYFUNCTION("""COMPUTED_VALUE"""),"المعملجي")</f>
        <v>المعملجي</v>
      </c>
      <c r="D819" s="56" t="str">
        <f ca="1">IFERROR(__xludf.DUMMYFUNCTION("""COMPUTED_VALUE"""),"وحدة المدني")</f>
        <v>وحدة المدني</v>
      </c>
      <c r="E819" s="26" t="str">
        <f ca="1">IFERROR(__xludf.DUMMYFUNCTION("""COMPUTED_VALUE"""),"قسم المشاريع الهندسية")</f>
        <v>قسم المشاريع الهندسية</v>
      </c>
      <c r="F819" s="26" t="str">
        <f ca="1">IFERROR(__xludf.DUMMYFUNCTION("""COMPUTED_VALUE"""),"F-  ابتدائية جود العميد للبنات (الرابعة)")</f>
        <v>F-  ابتدائية جود العميد للبنات (الرابعة)</v>
      </c>
      <c r="G819" s="26" t="str">
        <f ca="1">IFERROR(__xludf.DUMMYFUNCTION("""COMPUTED_VALUE"""),"الطابق الاول")</f>
        <v>الطابق الاول</v>
      </c>
      <c r="H819" s="26" t="str">
        <f ca="1">IFERROR(__xludf.DUMMYFUNCTION("""COMPUTED_VALUE"""),"صيانة باب خشب ")</f>
        <v xml:space="preserve">صيانة باب خشب </v>
      </c>
      <c r="I819" s="26"/>
      <c r="J819" s="26" t="s">
        <v>16</v>
      </c>
      <c r="K819" s="26" t="s">
        <v>13</v>
      </c>
      <c r="L819" s="55">
        <v>46183.495963587964</v>
      </c>
      <c r="M819" s="26"/>
    </row>
    <row r="820" spans="1:13" ht="75" customHeight="1" thickTop="1" thickBot="1">
      <c r="A820" s="26">
        <v>818</v>
      </c>
      <c r="B820" s="55">
        <f ca="1">IFERROR(__xludf.DUMMYFUNCTION("""COMPUTED_VALUE"""),46182.3753889004)</f>
        <v>46182.3753889004</v>
      </c>
      <c r="C820" s="56" t="str">
        <f ca="1">IFERROR(__xludf.DUMMYFUNCTION("""COMPUTED_VALUE"""),"المعملجي")</f>
        <v>المعملجي</v>
      </c>
      <c r="D820" s="56" t="str">
        <f ca="1">IFERROR(__xludf.DUMMYFUNCTION("""COMPUTED_VALUE"""),"وحدة المدني")</f>
        <v>وحدة المدني</v>
      </c>
      <c r="E820" s="26" t="str">
        <f ca="1">IFERROR(__xludf.DUMMYFUNCTION("""COMPUTED_VALUE"""),"قسم المشاريع الهندسية")</f>
        <v>قسم المشاريع الهندسية</v>
      </c>
      <c r="F820" s="26" t="str">
        <f ca="1">IFERROR(__xludf.DUMMYFUNCTION("""COMPUTED_VALUE"""),"F-  ابتدائية جود العميد للبنات (الرابعة)")</f>
        <v>F-  ابتدائية جود العميد للبنات (الرابعة)</v>
      </c>
      <c r="G820" s="26" t="str">
        <f ca="1">IFERROR(__xludf.DUMMYFUNCTION("""COMPUTED_VALUE"""),"الطابق الثاني")</f>
        <v>الطابق الثاني</v>
      </c>
      <c r="H820" s="26" t="str">
        <f ca="1">IFERROR(__xludf.DUMMYFUNCTION("""COMPUTED_VALUE"""),"تبديل يدة شباك ")</f>
        <v xml:space="preserve">تبديل يدة شباك </v>
      </c>
      <c r="I820" s="26"/>
      <c r="J820" s="26" t="s">
        <v>16</v>
      </c>
      <c r="K820" s="26" t="s">
        <v>13</v>
      </c>
      <c r="L820" s="55">
        <v>46183.495999826388</v>
      </c>
      <c r="M820" s="26"/>
    </row>
    <row r="821" spans="1:13" ht="75" customHeight="1" thickTop="1" thickBot="1">
      <c r="A821" s="34">
        <v>819</v>
      </c>
      <c r="B821" s="55">
        <f ca="1">IFERROR(__xludf.DUMMYFUNCTION("""COMPUTED_VALUE"""),46182.3757961921)</f>
        <v>46182.3757961921</v>
      </c>
      <c r="C821" s="56" t="str">
        <f ca="1">IFERROR(__xludf.DUMMYFUNCTION("""COMPUTED_VALUE"""),"المعملجي")</f>
        <v>المعملجي</v>
      </c>
      <c r="D821" s="56" t="str">
        <f ca="1">IFERROR(__xludf.DUMMYFUNCTION("""COMPUTED_VALUE"""),"وحدة المدني")</f>
        <v>وحدة المدني</v>
      </c>
      <c r="E821" s="26" t="str">
        <f ca="1">IFERROR(__xludf.DUMMYFUNCTION("""COMPUTED_VALUE"""),"قسم المشاريع الهندسية")</f>
        <v>قسم المشاريع الهندسية</v>
      </c>
      <c r="F821" s="26" t="str">
        <f ca="1">IFERROR(__xludf.DUMMYFUNCTION("""COMPUTED_VALUE"""),"F-  ابتدائية جود العميد للبنات (الرابعة)")</f>
        <v>F-  ابتدائية جود العميد للبنات (الرابعة)</v>
      </c>
      <c r="G821" s="26" t="str">
        <f ca="1">IFERROR(__xludf.DUMMYFUNCTION("""COMPUTED_VALUE"""),"الطابق الاول")</f>
        <v>الطابق الاول</v>
      </c>
      <c r="H821" s="26" t="str">
        <f ca="1">IFERROR(__xludf.DUMMYFUNCTION("""COMPUTED_VALUE"""),"تبديل يدة باب المنيوم ")</f>
        <v xml:space="preserve">تبديل يدة باب المنيوم </v>
      </c>
      <c r="I821" s="26"/>
      <c r="J821" s="26" t="s">
        <v>16</v>
      </c>
      <c r="K821" s="26" t="s">
        <v>13</v>
      </c>
      <c r="L821" s="55">
        <v>46183.49604179398</v>
      </c>
      <c r="M821" s="26"/>
    </row>
    <row r="822" spans="1:13" ht="75" customHeight="1" thickTop="1" thickBot="1">
      <c r="A822" s="26">
        <v>820</v>
      </c>
      <c r="B822" s="55">
        <f ca="1">IFERROR(__xludf.DUMMYFUNCTION("""COMPUTED_VALUE"""),46182.4559487499)</f>
        <v>46182.455948749899</v>
      </c>
      <c r="C822" s="56" t="str">
        <f ca="1">IFERROR(__xludf.DUMMYFUNCTION("""COMPUTED_VALUE"""),"المعملجي")</f>
        <v>المعملجي</v>
      </c>
      <c r="D822" s="56" t="str">
        <f ca="1">IFERROR(__xludf.DUMMYFUNCTION("""COMPUTED_VALUE"""),"وحدة المدني")</f>
        <v>وحدة المدني</v>
      </c>
      <c r="E822" s="26" t="str">
        <f ca="1">IFERROR(__xludf.DUMMYFUNCTION("""COMPUTED_VALUE"""),"قسم المشاريع الهندسية")</f>
        <v>قسم المشاريع الهندسية</v>
      </c>
      <c r="F822" s="26" t="str">
        <f ca="1">IFERROR(__xludf.DUMMYFUNCTION("""COMPUTED_VALUE"""),"D- ثانوية العميد بناية المتوسطة  (الثانية)")</f>
        <v>D- ثانوية العميد بناية المتوسطة  (الثانية)</v>
      </c>
      <c r="G822" s="26" t="str">
        <f ca="1">IFERROR(__xludf.DUMMYFUNCTION("""COMPUTED_VALUE"""),"الطابق الاول")</f>
        <v>الطابق الاول</v>
      </c>
      <c r="H822" s="26" t="str">
        <f ca="1">IFERROR(__xludf.DUMMYFUNCTION("""COMPUTED_VALUE"""),"فتح أبواب صحيات عدد 2 ")</f>
        <v xml:space="preserve">فتح أبواب صحيات عدد 2 </v>
      </c>
      <c r="I822" s="26"/>
      <c r="J822" s="26" t="s">
        <v>16</v>
      </c>
      <c r="K822" s="26" t="s">
        <v>13</v>
      </c>
      <c r="L822" s="55">
        <v>46183.496068912034</v>
      </c>
      <c r="M822" s="26"/>
    </row>
    <row r="823" spans="1:13" ht="75" customHeight="1" thickTop="1" thickBot="1">
      <c r="A823" s="34">
        <v>821</v>
      </c>
      <c r="B823" s="55">
        <f ca="1">IFERROR(__xludf.DUMMYFUNCTION("""COMPUTED_VALUE"""),46182.4564804745)</f>
        <v>46182.456480474502</v>
      </c>
      <c r="C823" s="56" t="str">
        <f ca="1">IFERROR(__xludf.DUMMYFUNCTION("""COMPUTED_VALUE"""),"المعملجي")</f>
        <v>المعملجي</v>
      </c>
      <c r="D823" s="56" t="str">
        <f ca="1">IFERROR(__xludf.DUMMYFUNCTION("""COMPUTED_VALUE"""),"ابو سجاد ")</f>
        <v xml:space="preserve">ابو سجاد </v>
      </c>
      <c r="E823" s="26" t="str">
        <f ca="1">IFERROR(__xludf.DUMMYFUNCTION("""COMPUTED_VALUE"""),"مجموعة العميد التربوية")</f>
        <v>مجموعة العميد التربوية</v>
      </c>
      <c r="F823" s="26" t="str">
        <f ca="1">IFERROR(__xludf.DUMMYFUNCTION("""COMPUTED_VALUE"""),"كرفان الأمنية ")</f>
        <v xml:space="preserve">كرفان الأمنية </v>
      </c>
      <c r="G823" s="26" t="str">
        <f ca="1">IFERROR(__xludf.DUMMYFUNCTION("""COMPUTED_VALUE"""),"الطابق الارضي")</f>
        <v>الطابق الارضي</v>
      </c>
      <c r="H823" s="26" t="str">
        <f ca="1">IFERROR(__xludf.DUMMYFUNCTION("""COMPUTED_VALUE"""),"تبديل يدة باب ")</f>
        <v xml:space="preserve">تبديل يدة باب </v>
      </c>
      <c r="I823" s="26"/>
      <c r="J823" s="26" t="s">
        <v>16</v>
      </c>
      <c r="K823" s="26" t="s">
        <v>13</v>
      </c>
      <c r="L823" s="55">
        <v>46183.496136747686</v>
      </c>
      <c r="M823" s="26"/>
    </row>
    <row r="824" spans="1:13" ht="75" customHeight="1" thickTop="1" thickBot="1">
      <c r="A824" s="26">
        <v>822</v>
      </c>
      <c r="B824" s="55">
        <f ca="1">IFERROR(__xludf.DUMMYFUNCTION("""COMPUTED_VALUE"""),46182.4569531597)</f>
        <v>46182.456953159701</v>
      </c>
      <c r="C824" s="56" t="str">
        <f ca="1">IFERROR(__xludf.DUMMYFUNCTION("""COMPUTED_VALUE"""),"المعملجي")</f>
        <v>المعملجي</v>
      </c>
      <c r="D824" s="56" t="str">
        <f ca="1">IFERROR(__xludf.DUMMYFUNCTION("""COMPUTED_VALUE"""),"ابو سجاد ")</f>
        <v xml:space="preserve">ابو سجاد </v>
      </c>
      <c r="E824" s="26" t="str">
        <f ca="1">IFERROR(__xludf.DUMMYFUNCTION("""COMPUTED_VALUE"""),"مجموعة العميد التربوية")</f>
        <v>مجموعة العميد التربوية</v>
      </c>
      <c r="F824" s="26" t="str">
        <f ca="1">IFERROR(__xludf.DUMMYFUNCTION("""COMPUTED_VALUE"""),"كرفان الأمنية ")</f>
        <v xml:space="preserve">كرفان الأمنية </v>
      </c>
      <c r="G824" s="26" t="str">
        <f ca="1">IFERROR(__xludf.DUMMYFUNCTION("""COMPUTED_VALUE"""),"الطابق الارضي")</f>
        <v>الطابق الارضي</v>
      </c>
      <c r="H824" s="26" t="str">
        <f ca="1">IFERROR(__xludf.DUMMYFUNCTION("""COMPUTED_VALUE"""),"شد سبلت")</f>
        <v>شد سبلت</v>
      </c>
      <c r="I824" s="26"/>
      <c r="J824" s="26" t="s">
        <v>16</v>
      </c>
      <c r="K824" s="26" t="s">
        <v>13</v>
      </c>
      <c r="L824" s="55">
        <v>46183.496189872691</v>
      </c>
      <c r="M824" s="26"/>
    </row>
    <row r="825" spans="1:13" ht="75" customHeight="1" thickTop="1" thickBot="1">
      <c r="A825" s="34">
        <v>823</v>
      </c>
      <c r="B825" s="55">
        <f ca="1">IFERROR(__xludf.DUMMYFUNCTION("""COMPUTED_VALUE"""),46182.4578048611)</f>
        <v>46182.4578048611</v>
      </c>
      <c r="C825" s="56" t="str">
        <f ca="1">IFERROR(__xludf.DUMMYFUNCTION("""COMPUTED_VALUE"""),"المعملجي")</f>
        <v>المعملجي</v>
      </c>
      <c r="D825" s="56" t="str">
        <f ca="1">IFERROR(__xludf.DUMMYFUNCTION("""COMPUTED_VALUE"""),"ابو سجاد ")</f>
        <v xml:space="preserve">ابو سجاد </v>
      </c>
      <c r="E825" s="26" t="str">
        <f ca="1">IFERROR(__xludf.DUMMYFUNCTION("""COMPUTED_VALUE"""),"مجموعة العميد التربوية")</f>
        <v>مجموعة العميد التربوية</v>
      </c>
      <c r="F825" s="26" t="str">
        <f ca="1">IFERROR(__xludf.DUMMYFUNCTION("""COMPUTED_VALUE"""),"A- المركز الثقافي")</f>
        <v>A- المركز الثقافي</v>
      </c>
      <c r="G825" s="26" t="str">
        <f ca="1">IFERROR(__xludf.DUMMYFUNCTION("""COMPUTED_VALUE"""),"الطابق الارضي")</f>
        <v>الطابق الارضي</v>
      </c>
      <c r="H825" s="26" t="str">
        <f ca="1">IFERROR(__xludf.DUMMYFUNCTION("""COMPUTED_VALUE"""),"شد بوستر ")</f>
        <v xml:space="preserve">شد بوستر </v>
      </c>
      <c r="I825" s="26"/>
      <c r="J825" s="26" t="s">
        <v>16</v>
      </c>
      <c r="K825" s="26" t="s">
        <v>13</v>
      </c>
      <c r="L825" s="55">
        <v>46183.496249837961</v>
      </c>
      <c r="M825" s="26"/>
    </row>
    <row r="826" spans="1:13" ht="75" customHeight="1" thickTop="1" thickBot="1">
      <c r="A826" s="26">
        <v>824</v>
      </c>
      <c r="B826" s="55">
        <f ca="1">IFERROR(__xludf.DUMMYFUNCTION("""COMPUTED_VALUE"""),46182.5284499421)</f>
        <v>46182.528449942103</v>
      </c>
      <c r="C826" s="56" t="str">
        <f ca="1">IFERROR(__xludf.DUMMYFUNCTION("""COMPUTED_VALUE"""),"المعملجي")</f>
        <v>المعملجي</v>
      </c>
      <c r="D826" s="56" t="str">
        <f ca="1">IFERROR(__xludf.DUMMYFUNCTION("""COMPUTED_VALUE"""),"ابراهيم الخطابي")</f>
        <v>ابراهيم الخطابي</v>
      </c>
      <c r="E826" s="26" t="str">
        <f ca="1">IFERROR(__xludf.DUMMYFUNCTION("""COMPUTED_VALUE"""),"مجموعة العميد التربوية")</f>
        <v>مجموعة العميد التربوية</v>
      </c>
      <c r="F826" s="26" t="str">
        <f ca="1">IFERROR(__xludf.DUMMYFUNCTION("""COMPUTED_VALUE"""),"H- ابتدائية القمر للبنات (الخامسة)")</f>
        <v>H- ابتدائية القمر للبنات (الخامسة)</v>
      </c>
      <c r="G826" s="26" t="str">
        <f ca="1">IFERROR(__xludf.DUMMYFUNCTION("""COMPUTED_VALUE"""),"الطابق الارضي")</f>
        <v>الطابق الارضي</v>
      </c>
      <c r="H826" s="26" t="str">
        <f ca="1">IFERROR(__xludf.DUMMYFUNCTION("""COMPUTED_VALUE"""),"عطل المصباح في غرفة الزينبيات")</f>
        <v>عطل المصباح في غرفة الزينبيات</v>
      </c>
      <c r="I826" s="26"/>
      <c r="J826" s="26" t="s">
        <v>3910</v>
      </c>
      <c r="K826" s="26" t="s">
        <v>13</v>
      </c>
      <c r="L826" s="55">
        <v>46184.382017291668</v>
      </c>
      <c r="M826" s="26"/>
    </row>
    <row r="827" spans="1:13" ht="75" customHeight="1" thickTop="1" thickBot="1">
      <c r="A827" s="34">
        <v>825</v>
      </c>
      <c r="B827" s="55">
        <f ca="1">IFERROR(__xludf.DUMMYFUNCTION("""COMPUTED_VALUE"""),46182.5298991898)</f>
        <v>46182.529899189802</v>
      </c>
      <c r="C827" s="56" t="str">
        <f ca="1">IFERROR(__xludf.DUMMYFUNCTION("""COMPUTED_VALUE"""),"المعملجي")</f>
        <v>المعملجي</v>
      </c>
      <c r="D827" s="56" t="str">
        <f ca="1">IFERROR(__xludf.DUMMYFUNCTION("""COMPUTED_VALUE"""),"ابراهيم الخطابي")</f>
        <v>ابراهيم الخطابي</v>
      </c>
      <c r="E827" s="26" t="str">
        <f ca="1">IFERROR(__xludf.DUMMYFUNCTION("""COMPUTED_VALUE"""),"مجموعة العميد التربوية")</f>
        <v>مجموعة العميد التربوية</v>
      </c>
      <c r="F827" s="26" t="str">
        <f ca="1">IFERROR(__xludf.DUMMYFUNCTION("""COMPUTED_VALUE"""),"H- ابتدائية القمر للبنات (الخامسة)")</f>
        <v>H- ابتدائية القمر للبنات (الخامسة)</v>
      </c>
      <c r="G827" s="26" t="str">
        <f ca="1">IFERROR(__xludf.DUMMYFUNCTION("""COMPUTED_VALUE"""),"الطابق الاول")</f>
        <v>الطابق الاول</v>
      </c>
      <c r="H827" s="26" t="str">
        <f ca="1">IFERROR(__xludf.DUMMYFUNCTION("""COMPUTED_VALUE"""),"شباك الرابع  ج لايعمل ")</f>
        <v xml:space="preserve">شباك الرابع  ج لايعمل </v>
      </c>
      <c r="I827" s="26"/>
      <c r="J827" s="26" t="s">
        <v>16</v>
      </c>
      <c r="K827" s="26" t="s">
        <v>13</v>
      </c>
      <c r="L827" s="55">
        <v>46184.420101111114</v>
      </c>
      <c r="M827" s="26"/>
    </row>
    <row r="828" spans="1:13" ht="75" customHeight="1" thickTop="1" thickBot="1">
      <c r="A828" s="26">
        <v>826</v>
      </c>
      <c r="B828" s="55">
        <f ca="1">IFERROR(__xludf.DUMMYFUNCTION("""COMPUTED_VALUE"""),46182.5349040856)</f>
        <v>46182.534904085602</v>
      </c>
      <c r="C828" s="56" t="str">
        <f ca="1">IFERROR(__xludf.DUMMYFUNCTION("""COMPUTED_VALUE"""),"المعملجي")</f>
        <v>المعملجي</v>
      </c>
      <c r="D828" s="56" t="str">
        <f ca="1">IFERROR(__xludf.DUMMYFUNCTION("""COMPUTED_VALUE"""),"ابراهيم الخطابي")</f>
        <v>ابراهيم الخطابي</v>
      </c>
      <c r="E828" s="26" t="str">
        <f ca="1">IFERROR(__xludf.DUMMYFUNCTION("""COMPUTED_VALUE"""),"مجموعة العميد التربوية")</f>
        <v>مجموعة العميد التربوية</v>
      </c>
      <c r="F828" s="26" t="str">
        <f ca="1">IFERROR(__xludf.DUMMYFUNCTION("""COMPUTED_VALUE"""),"H- ابتدائية القمر للبنات (الخامسة)")</f>
        <v>H- ابتدائية القمر للبنات (الخامسة)</v>
      </c>
      <c r="G828" s="26" t="str">
        <f ca="1">IFERROR(__xludf.DUMMYFUNCTION("""COMPUTED_VALUE"""),"الطابق الاول")</f>
        <v>الطابق الاول</v>
      </c>
      <c r="H828" s="26" t="str">
        <f ca="1">IFERROR(__xludf.DUMMYFUNCTION("""COMPUTED_VALUE"""),"عطل قفل باب الحمام ")</f>
        <v xml:space="preserve">عطل قفل باب الحمام </v>
      </c>
      <c r="I828" s="26"/>
      <c r="J828" s="26" t="s">
        <v>16</v>
      </c>
      <c r="K828" s="26" t="s">
        <v>13</v>
      </c>
      <c r="L828" s="55">
        <v>46184.470289884259</v>
      </c>
      <c r="M828" s="26"/>
    </row>
    <row r="829" spans="1:13" ht="75" customHeight="1" thickTop="1" thickBot="1">
      <c r="A829" s="34">
        <v>827</v>
      </c>
      <c r="B829" s="55">
        <f ca="1">IFERROR(__xludf.DUMMYFUNCTION("""COMPUTED_VALUE"""),46182.5354783449)</f>
        <v>46182.5354783449</v>
      </c>
      <c r="C829" s="56" t="str">
        <f ca="1">IFERROR(__xludf.DUMMYFUNCTION("""COMPUTED_VALUE"""),"المعملجي")</f>
        <v>المعملجي</v>
      </c>
      <c r="D829" s="56" t="str">
        <f ca="1">IFERROR(__xludf.DUMMYFUNCTION("""COMPUTED_VALUE"""),"ابراهيم الخطابي")</f>
        <v>ابراهيم الخطابي</v>
      </c>
      <c r="E829" s="26" t="str">
        <f ca="1">IFERROR(__xludf.DUMMYFUNCTION("""COMPUTED_VALUE"""),"مجموعة العميد التربوية")</f>
        <v>مجموعة العميد التربوية</v>
      </c>
      <c r="F829" s="26" t="str">
        <f ca="1">IFERROR(__xludf.DUMMYFUNCTION("""COMPUTED_VALUE"""),"H- ابتدائية القمر للبنات (الخامسة)")</f>
        <v>H- ابتدائية القمر للبنات (الخامسة)</v>
      </c>
      <c r="G829" s="26" t="str">
        <f ca="1">IFERROR(__xludf.DUMMYFUNCTION("""COMPUTED_VALUE"""),"الطابق الاول")</f>
        <v>الطابق الاول</v>
      </c>
      <c r="H829" s="26" t="str">
        <f ca="1">IFERROR(__xludf.DUMMYFUNCTION("""COMPUTED_VALUE"""),"انسداد المغاسل الحمام الخارجي ")</f>
        <v xml:space="preserve">انسداد المغاسل الحمام الخارجي </v>
      </c>
      <c r="I829" s="26"/>
      <c r="J829" s="26" t="s">
        <v>14</v>
      </c>
      <c r="K829" s="26" t="s">
        <v>13</v>
      </c>
      <c r="L829" s="55">
        <v>46184.351343263887</v>
      </c>
      <c r="M829" s="26"/>
    </row>
    <row r="830" spans="1:13" ht="75" customHeight="1" thickTop="1" thickBot="1">
      <c r="A830" s="26">
        <v>828</v>
      </c>
      <c r="B830" s="55">
        <f ca="1">IFERROR(__xludf.DUMMYFUNCTION("""COMPUTED_VALUE"""),46182.5360801157)</f>
        <v>46182.5360801157</v>
      </c>
      <c r="C830" s="56" t="str">
        <f ca="1">IFERROR(__xludf.DUMMYFUNCTION("""COMPUTED_VALUE"""),"المعملجي")</f>
        <v>المعملجي</v>
      </c>
      <c r="D830" s="56" t="str">
        <f ca="1">IFERROR(__xludf.DUMMYFUNCTION("""COMPUTED_VALUE"""),"ابراهيم الخطابي")</f>
        <v>ابراهيم الخطابي</v>
      </c>
      <c r="E830" s="26" t="str">
        <f ca="1">IFERROR(__xludf.DUMMYFUNCTION("""COMPUTED_VALUE"""),"مجموعة العميد التربوية")</f>
        <v>مجموعة العميد التربوية</v>
      </c>
      <c r="F830" s="26" t="str">
        <f ca="1">IFERROR(__xludf.DUMMYFUNCTION("""COMPUTED_VALUE"""),"F-  ابتدائية جود العميد للبنات (الرابعة)")</f>
        <v>F-  ابتدائية جود العميد للبنات (الرابعة)</v>
      </c>
      <c r="G830" s="26" t="str">
        <f ca="1">IFERROR(__xludf.DUMMYFUNCTION("""COMPUTED_VALUE"""),"الطابق الثاني")</f>
        <v>الطابق الثاني</v>
      </c>
      <c r="H830" s="26" t="str">
        <f ca="1">IFERROR(__xludf.DUMMYFUNCTION("""COMPUTED_VALUE"""),"تلف صوندةالبرادات ")</f>
        <v xml:space="preserve">تلف صوندةالبرادات </v>
      </c>
      <c r="I830" s="26"/>
      <c r="J830" s="26" t="s">
        <v>14</v>
      </c>
      <c r="K830" s="26" t="s">
        <v>13</v>
      </c>
      <c r="L830" s="55">
        <v>46184.366918333333</v>
      </c>
      <c r="M830" s="26"/>
    </row>
    <row r="831" spans="1:13" ht="75" customHeight="1" thickTop="1" thickBot="1">
      <c r="A831" s="34">
        <v>829</v>
      </c>
      <c r="B831" s="55">
        <f ca="1">IFERROR(__xludf.DUMMYFUNCTION("""COMPUTED_VALUE"""),46182.5366494675)</f>
        <v>46182.536649467504</v>
      </c>
      <c r="C831" s="56" t="str">
        <f ca="1">IFERROR(__xludf.DUMMYFUNCTION("""COMPUTED_VALUE"""),"المعملجي")</f>
        <v>المعملجي</v>
      </c>
      <c r="D831" s="56" t="str">
        <f ca="1">IFERROR(__xludf.DUMMYFUNCTION("""COMPUTED_VALUE"""),"ابراهيم الخطابي")</f>
        <v>ابراهيم الخطابي</v>
      </c>
      <c r="E831" s="26" t="str">
        <f ca="1">IFERROR(__xludf.DUMMYFUNCTION("""COMPUTED_VALUE"""),"مجموعة العميد التربوية")</f>
        <v>مجموعة العميد التربوية</v>
      </c>
      <c r="F831" s="26" t="str">
        <f ca="1">IFERROR(__xludf.DUMMYFUNCTION("""COMPUTED_VALUE"""),"H- ابتدائية القمر للبنات (الخامسة)")</f>
        <v>H- ابتدائية القمر للبنات (الخامسة)</v>
      </c>
      <c r="G831" s="26" t="str">
        <f ca="1">IFERROR(__xludf.DUMMYFUNCTION("""COMPUTED_VALUE"""),"الطابق الارضي")</f>
        <v>الطابق الارضي</v>
      </c>
      <c r="H831" s="26" t="str">
        <f ca="1">IFERROR(__xludf.DUMMYFUNCTION("""COMPUTED_VALUE"""),"عطل قفل باب الحمام الغربي ")</f>
        <v xml:space="preserve">عطل قفل باب الحمام الغربي </v>
      </c>
      <c r="I831" s="26"/>
      <c r="J831" s="26" t="s">
        <v>16</v>
      </c>
      <c r="K831" s="26" t="s">
        <v>13</v>
      </c>
      <c r="L831" s="55">
        <v>46184.470975243057</v>
      </c>
      <c r="M831" s="26"/>
    </row>
    <row r="832" spans="1:13" ht="75" customHeight="1" thickTop="1" thickBot="1">
      <c r="A832" s="26">
        <v>830</v>
      </c>
      <c r="B832" s="55">
        <f ca="1">IFERROR(__xludf.DUMMYFUNCTION("""COMPUTED_VALUE"""),46182.5371909374)</f>
        <v>46182.537190937401</v>
      </c>
      <c r="C832" s="56" t="str">
        <f ca="1">IFERROR(__xludf.DUMMYFUNCTION("""COMPUTED_VALUE"""),"المعملجي")</f>
        <v>المعملجي</v>
      </c>
      <c r="D832" s="56" t="str">
        <f ca="1">IFERROR(__xludf.DUMMYFUNCTION("""COMPUTED_VALUE"""),"ابراهيم الخطابي")</f>
        <v>ابراهيم الخطابي</v>
      </c>
      <c r="E832" s="26" t="str">
        <f ca="1">IFERROR(__xludf.DUMMYFUNCTION("""COMPUTED_VALUE"""),"مجموعة العميد التربوية")</f>
        <v>مجموعة العميد التربوية</v>
      </c>
      <c r="F832" s="26" t="str">
        <f ca="1">IFERROR(__xludf.DUMMYFUNCTION("""COMPUTED_VALUE"""),"H- ابتدائية القمر للبنات (الخامسة)")</f>
        <v>H- ابتدائية القمر للبنات (الخامسة)</v>
      </c>
      <c r="G832" s="26" t="str">
        <f ca="1">IFERROR(__xludf.DUMMYFUNCTION("""COMPUTED_VALUE"""),"الطابق الارضي")</f>
        <v>الطابق الارضي</v>
      </c>
      <c r="H832" s="26" t="str">
        <f ca="1">IFERROR(__xludf.DUMMYFUNCTION("""COMPUTED_VALUE"""),"كسر زجاج شباك الصف الثالث ")</f>
        <v xml:space="preserve">كسر زجاج شباك الصف الثالث </v>
      </c>
      <c r="I832" s="26"/>
      <c r="J832" s="26" t="s">
        <v>16</v>
      </c>
      <c r="K832" s="26" t="s">
        <v>13</v>
      </c>
      <c r="L832" s="55">
        <v>46203.396587013893</v>
      </c>
      <c r="M832" s="26"/>
    </row>
    <row r="833" spans="1:13" ht="75" customHeight="1" thickTop="1" thickBot="1">
      <c r="A833" s="34">
        <v>831</v>
      </c>
      <c r="B833" s="55">
        <f ca="1">IFERROR(__xludf.DUMMYFUNCTION("""COMPUTED_VALUE"""),46183.434084155)</f>
        <v>46183.434084155</v>
      </c>
      <c r="C833" s="56" t="str">
        <f ca="1">IFERROR(__xludf.DUMMYFUNCTION("""COMPUTED_VALUE"""),"المعملجي")</f>
        <v>المعملجي</v>
      </c>
      <c r="D833" s="56" t="str">
        <f ca="1">IFERROR(__xludf.DUMMYFUNCTION("""COMPUTED_VALUE"""),"ابو سجاد ")</f>
        <v xml:space="preserve">ابو سجاد </v>
      </c>
      <c r="E833" s="26" t="str">
        <f ca="1">IFERROR(__xludf.DUMMYFUNCTION("""COMPUTED_VALUE"""),"مجموعة العميد التربوية")</f>
        <v>مجموعة العميد التربوية</v>
      </c>
      <c r="F833" s="26" t="str">
        <f ca="1">IFERROR(__xludf.DUMMYFUNCTION("""COMPUTED_VALUE"""),"كرفان الأمنية ")</f>
        <v xml:space="preserve">كرفان الأمنية </v>
      </c>
      <c r="G833" s="26" t="str">
        <f ca="1">IFERROR(__xludf.DUMMYFUNCTION("""COMPUTED_VALUE"""),"الطابق الارضي")</f>
        <v>الطابق الارضي</v>
      </c>
      <c r="H833" s="26" t="str">
        <f ca="1">IFERROR(__xludf.DUMMYFUNCTION("""COMPUTED_VALUE"""),"تأسيس أنبوب ماء للمغسلة")</f>
        <v>تأسيس أنبوب ماء للمغسلة</v>
      </c>
      <c r="I833" s="26"/>
      <c r="J833" s="26" t="s">
        <v>14</v>
      </c>
      <c r="K833" s="26" t="s">
        <v>13</v>
      </c>
      <c r="L833" s="55">
        <v>46183.495778796292</v>
      </c>
      <c r="M833" s="26"/>
    </row>
    <row r="834" spans="1:13" ht="75" customHeight="1" thickTop="1" thickBot="1">
      <c r="A834" s="26">
        <v>832</v>
      </c>
      <c r="B834" s="55">
        <f ca="1">IFERROR(__xludf.DUMMYFUNCTION("""COMPUTED_VALUE"""),46184.4717284142)</f>
        <v>46184.471728414297</v>
      </c>
      <c r="C834" s="56" t="str">
        <f ca="1">IFERROR(__xludf.DUMMYFUNCTION("""COMPUTED_VALUE"""),"المعملجي")</f>
        <v>المعملجي</v>
      </c>
      <c r="D834" s="56" t="str">
        <f ca="1">IFERROR(__xludf.DUMMYFUNCTION("""COMPUTED_VALUE"""),"ابراهيم الخطابي")</f>
        <v>ابراهيم الخطابي</v>
      </c>
      <c r="E834" s="26" t="str">
        <f ca="1">IFERROR(__xludf.DUMMYFUNCTION("""COMPUTED_VALUE"""),"مجموعة العميد التربوية")</f>
        <v>مجموعة العميد التربوية</v>
      </c>
      <c r="F834" s="26" t="str">
        <f ca="1">IFERROR(__xludf.DUMMYFUNCTION("""COMPUTED_VALUE"""),"H- ابتدائية القمر للبنات (الخامسة)")</f>
        <v>H- ابتدائية القمر للبنات (الخامسة)</v>
      </c>
      <c r="G834" s="26" t="str">
        <f ca="1">IFERROR(__xludf.DUMMYFUNCTION("""COMPUTED_VALUE"""),"الطابق الاول")</f>
        <v>الطابق الاول</v>
      </c>
      <c r="H834" s="26" t="str">
        <f ca="1">IFERROR(__xludf.DUMMYFUNCTION("""COMPUTED_VALUE"""),"صيانة شباك حديد ")</f>
        <v xml:space="preserve">صيانة شباك حديد </v>
      </c>
      <c r="I834" s="26"/>
      <c r="J834" s="26" t="s">
        <v>16</v>
      </c>
      <c r="K834" s="26" t="s">
        <v>13</v>
      </c>
      <c r="L834" s="55"/>
      <c r="M834" s="26"/>
    </row>
    <row r="835" spans="1:13" ht="75" customHeight="1" thickTop="1" thickBot="1">
      <c r="A835" s="34">
        <v>833</v>
      </c>
      <c r="B835" s="55">
        <f ca="1">IFERROR(__xludf.DUMMYFUNCTION("""COMPUTED_VALUE"""),46184.4721259027)</f>
        <v>46184.472125902699</v>
      </c>
      <c r="C835" s="56" t="str">
        <f ca="1">IFERROR(__xludf.DUMMYFUNCTION("""COMPUTED_VALUE"""),"المعملجي")</f>
        <v>المعملجي</v>
      </c>
      <c r="D835" s="56" t="str">
        <f ca="1">IFERROR(__xludf.DUMMYFUNCTION("""COMPUTED_VALUE"""),"ابراهيم الخطابي")</f>
        <v>ابراهيم الخطابي</v>
      </c>
      <c r="E835" s="26" t="str">
        <f ca="1">IFERROR(__xludf.DUMMYFUNCTION("""COMPUTED_VALUE"""),"مجموعة العميد التربوية")</f>
        <v>مجموعة العميد التربوية</v>
      </c>
      <c r="F835" s="26" t="str">
        <f ca="1">IFERROR(__xludf.DUMMYFUNCTION("""COMPUTED_VALUE"""),"H- ابتدائية القمر للبنات (الخامسة)")</f>
        <v>H- ابتدائية القمر للبنات (الخامسة)</v>
      </c>
      <c r="G835" s="26" t="str">
        <f ca="1">IFERROR(__xludf.DUMMYFUNCTION("""COMPUTED_VALUE"""),"الطابق الاول")</f>
        <v>الطابق الاول</v>
      </c>
      <c r="H835" s="26" t="str">
        <f ca="1">IFERROR(__xludf.DUMMYFUNCTION("""COMPUTED_VALUE"""),"تبديل لبة باب المنيوم ")</f>
        <v xml:space="preserve">تبديل لبة باب المنيوم </v>
      </c>
      <c r="I835" s="26"/>
      <c r="J835" s="26" t="s">
        <v>16</v>
      </c>
      <c r="K835" s="26" t="s">
        <v>13</v>
      </c>
      <c r="L835" s="55"/>
      <c r="M835" s="26"/>
    </row>
    <row r="836" spans="1:13" ht="75" customHeight="1" thickTop="1" thickBot="1">
      <c r="A836" s="26">
        <v>834</v>
      </c>
      <c r="B836" s="55">
        <f ca="1">IFERROR(__xludf.DUMMYFUNCTION("""COMPUTED_VALUE"""),46184.4726892592)</f>
        <v>46184.472689259201</v>
      </c>
      <c r="C836" s="56" t="str">
        <f ca="1">IFERROR(__xludf.DUMMYFUNCTION("""COMPUTED_VALUE"""),"المعملجي")</f>
        <v>المعملجي</v>
      </c>
      <c r="D836" s="56" t="str">
        <f ca="1">IFERROR(__xludf.DUMMYFUNCTION("""COMPUTED_VALUE"""),"ابراهيم الخطابي")</f>
        <v>ابراهيم الخطابي</v>
      </c>
      <c r="E836" s="26" t="str">
        <f ca="1">IFERROR(__xludf.DUMMYFUNCTION("""COMPUTED_VALUE"""),"مجموعة العميد التربوية")</f>
        <v>مجموعة العميد التربوية</v>
      </c>
      <c r="F836" s="26" t="str">
        <f ca="1">IFERROR(__xludf.DUMMYFUNCTION("""COMPUTED_VALUE"""),"E- ابتدائية العميد للبنات (الثالثة)")</f>
        <v>E- ابتدائية العميد للبنات (الثالثة)</v>
      </c>
      <c r="G836" s="26" t="str">
        <f ca="1">IFERROR(__xludf.DUMMYFUNCTION("""COMPUTED_VALUE"""),"الطابق الاول")</f>
        <v>الطابق الاول</v>
      </c>
      <c r="H836" s="26" t="str">
        <f ca="1">IFERROR(__xludf.DUMMYFUNCTION("""COMPUTED_VALUE"""),"صيانة مقص شباك حديد عدد ٧")</f>
        <v>صيانة مقص شباك حديد عدد ٧</v>
      </c>
      <c r="I836" s="26"/>
      <c r="J836" s="26" t="s">
        <v>16</v>
      </c>
      <c r="K836" s="26" t="s">
        <v>13</v>
      </c>
      <c r="L836" s="55"/>
      <c r="M836" s="26"/>
    </row>
    <row r="837" spans="1:13" ht="75" customHeight="1" thickTop="1" thickBot="1">
      <c r="A837" s="34">
        <v>835</v>
      </c>
      <c r="B837" s="55">
        <f ca="1">IFERROR(__xludf.DUMMYFUNCTION("""COMPUTED_VALUE"""),46184.4733810301)</f>
        <v>46184.473381030097</v>
      </c>
      <c r="C837" s="56" t="str">
        <f ca="1">IFERROR(__xludf.DUMMYFUNCTION("""COMPUTED_VALUE"""),"المعملجي")</f>
        <v>المعملجي</v>
      </c>
      <c r="D837" s="56" t="str">
        <f ca="1">IFERROR(__xludf.DUMMYFUNCTION("""COMPUTED_VALUE"""),"ابراهيم الخطابي")</f>
        <v>ابراهيم الخطابي</v>
      </c>
      <c r="E837" s="26" t="str">
        <f ca="1">IFERROR(__xludf.DUMMYFUNCTION("""COMPUTED_VALUE"""),"مجموعة العميد التربوية")</f>
        <v>مجموعة العميد التربوية</v>
      </c>
      <c r="F837" s="26" t="str">
        <f ca="1">IFERROR(__xludf.DUMMYFUNCTION("""COMPUTED_VALUE"""),"E- ابتدائية العميد للبنات (الثالثة)")</f>
        <v>E- ابتدائية العميد للبنات (الثالثة)</v>
      </c>
      <c r="G837" s="26" t="str">
        <f ca="1">IFERROR(__xludf.DUMMYFUNCTION("""COMPUTED_VALUE"""),"الطابق الارضي")</f>
        <v>الطابق الارضي</v>
      </c>
      <c r="H837" s="26" t="str">
        <f ca="1">IFERROR(__xludf.DUMMYFUNCTION("""COMPUTED_VALUE"""),"صيانة حمامات في الزون بي")</f>
        <v>صيانة حمامات في الزون بي</v>
      </c>
      <c r="I837" s="26"/>
      <c r="J837" s="26" t="s">
        <v>14</v>
      </c>
      <c r="K837" s="26" t="s">
        <v>13</v>
      </c>
      <c r="L837" s="55"/>
      <c r="M837" s="26"/>
    </row>
    <row r="838" spans="1:13" ht="75" customHeight="1" thickTop="1" thickBot="1">
      <c r="A838" s="26">
        <v>836</v>
      </c>
      <c r="B838" s="55">
        <f ca="1">IFERROR(__xludf.DUMMYFUNCTION("""COMPUTED_VALUE"""),46184.473760868)</f>
        <v>46184.473760868001</v>
      </c>
      <c r="C838" s="56" t="str">
        <f ca="1">IFERROR(__xludf.DUMMYFUNCTION("""COMPUTED_VALUE"""),"المعملجي")</f>
        <v>المعملجي</v>
      </c>
      <c r="D838" s="56" t="str">
        <f ca="1">IFERROR(__xludf.DUMMYFUNCTION("""COMPUTED_VALUE"""),"ابراهيم الخطابي")</f>
        <v>ابراهيم الخطابي</v>
      </c>
      <c r="E838" s="26" t="str">
        <f ca="1">IFERROR(__xludf.DUMMYFUNCTION("""COMPUTED_VALUE"""),"مجموعة العميد التربوية")</f>
        <v>مجموعة العميد التربوية</v>
      </c>
      <c r="F838" s="26" t="str">
        <f ca="1">IFERROR(__xludf.DUMMYFUNCTION("""COMPUTED_VALUE"""),"E- ابتدائية العميد للبنات (الثالثة)")</f>
        <v>E- ابتدائية العميد للبنات (الثالثة)</v>
      </c>
      <c r="G838" s="26" t="str">
        <f ca="1">IFERROR(__xludf.DUMMYFUNCTION("""COMPUTED_VALUE"""),"الطابق الارضي")</f>
        <v>الطابق الارضي</v>
      </c>
      <c r="H838" s="26" t="str">
        <f ca="1">IFERROR(__xludf.DUMMYFUNCTION("""COMPUTED_VALUE"""),"صيانة حمام الادارة")</f>
        <v>صيانة حمام الادارة</v>
      </c>
      <c r="I838" s="26"/>
      <c r="J838" s="26" t="s">
        <v>14</v>
      </c>
      <c r="K838" s="26" t="s">
        <v>13</v>
      </c>
      <c r="L838" s="55"/>
      <c r="M838" s="26"/>
    </row>
    <row r="839" spans="1:13" ht="75" customHeight="1" thickTop="1" thickBot="1">
      <c r="A839" s="34">
        <v>837</v>
      </c>
      <c r="B839" s="55">
        <f ca="1">IFERROR(__xludf.DUMMYFUNCTION("""COMPUTED_VALUE"""),46184.4743500694)</f>
        <v>46184.474350069402</v>
      </c>
      <c r="C839" s="56" t="str">
        <f ca="1">IFERROR(__xludf.DUMMYFUNCTION("""COMPUTED_VALUE"""),"المعملجي")</f>
        <v>المعملجي</v>
      </c>
      <c r="D839" s="56" t="str">
        <f ca="1">IFERROR(__xludf.DUMMYFUNCTION("""COMPUTED_VALUE"""),"ابراهيم الخطابي")</f>
        <v>ابراهيم الخطابي</v>
      </c>
      <c r="E839" s="26" t="str">
        <f ca="1">IFERROR(__xludf.DUMMYFUNCTION("""COMPUTED_VALUE"""),"مجموعة العميد التربوية")</f>
        <v>مجموعة العميد التربوية</v>
      </c>
      <c r="F839" s="26" t="str">
        <f ca="1">IFERROR(__xludf.DUMMYFUNCTION("""COMPUTED_VALUE"""),"E- ابتدائية العميد للبنات (الثالثة)")</f>
        <v>E- ابتدائية العميد للبنات (الثالثة)</v>
      </c>
      <c r="G839" s="26" t="str">
        <f ca="1">IFERROR(__xludf.DUMMYFUNCTION("""COMPUTED_VALUE"""),"الطابق الارضي")</f>
        <v>الطابق الارضي</v>
      </c>
      <c r="H839" s="26" t="str">
        <f ca="1">IFERROR(__xludf.DUMMYFUNCTION("""COMPUTED_VALUE"""),"صيانة إنارة منشورية")</f>
        <v>صيانة إنارة منشورية</v>
      </c>
      <c r="I839" s="26"/>
      <c r="J839" s="26" t="s">
        <v>3910</v>
      </c>
      <c r="K839" s="26" t="s">
        <v>13</v>
      </c>
      <c r="L839" s="55"/>
      <c r="M839" s="26"/>
    </row>
    <row r="840" spans="1:13" ht="75" customHeight="1" thickTop="1" thickBot="1">
      <c r="A840" s="26">
        <v>838</v>
      </c>
      <c r="B840" s="55">
        <f ca="1">IFERROR(__xludf.DUMMYFUNCTION("""COMPUTED_VALUE"""),46184.4749726273)</f>
        <v>46184.4749726273</v>
      </c>
      <c r="C840" s="56" t="str">
        <f ca="1">IFERROR(__xludf.DUMMYFUNCTION("""COMPUTED_VALUE"""),"المعملجي")</f>
        <v>المعملجي</v>
      </c>
      <c r="D840" s="56" t="str">
        <f ca="1">IFERROR(__xludf.DUMMYFUNCTION("""COMPUTED_VALUE"""),"ابراهيم الخطابي")</f>
        <v>ابراهيم الخطابي</v>
      </c>
      <c r="E840" s="26" t="str">
        <f ca="1">IFERROR(__xludf.DUMMYFUNCTION("""COMPUTED_VALUE"""),"مجموعة العميد التربوية")</f>
        <v>مجموعة العميد التربوية</v>
      </c>
      <c r="F840" s="26" t="str">
        <f ca="1">IFERROR(__xludf.DUMMYFUNCTION("""COMPUTED_VALUE"""),"E- ابتدائية العميد للبنات (الثالثة)")</f>
        <v>E- ابتدائية العميد للبنات (الثالثة)</v>
      </c>
      <c r="G840" s="26" t="str">
        <f ca="1">IFERROR(__xludf.DUMMYFUNCTION("""COMPUTED_VALUE"""),"الطابق الارضي")</f>
        <v>الطابق الارضي</v>
      </c>
      <c r="H840" s="26" t="str">
        <f ca="1">IFERROR(__xludf.DUMMYFUNCTION("""COMPUTED_VALUE"""),"صيانة غربي ")</f>
        <v xml:space="preserve">صيانة غربي </v>
      </c>
      <c r="I840" s="26"/>
      <c r="J840" s="26" t="s">
        <v>14</v>
      </c>
      <c r="K840" s="26" t="s">
        <v>13</v>
      </c>
      <c r="L840" s="55"/>
      <c r="M840" s="26"/>
    </row>
    <row r="841" spans="1:13" ht="75" customHeight="1" thickTop="1" thickBot="1">
      <c r="A841" s="34">
        <v>839</v>
      </c>
      <c r="B841" s="55">
        <f ca="1">IFERROR(__xludf.DUMMYFUNCTION("""COMPUTED_VALUE"""),46184.4754250231)</f>
        <v>46184.475425023098</v>
      </c>
      <c r="C841" s="56" t="str">
        <f ca="1">IFERROR(__xludf.DUMMYFUNCTION("""COMPUTED_VALUE"""),"المعملجي")</f>
        <v>المعملجي</v>
      </c>
      <c r="D841" s="56" t="str">
        <f ca="1">IFERROR(__xludf.DUMMYFUNCTION("""COMPUTED_VALUE"""),"ابراهيم الخطابي")</f>
        <v>ابراهيم الخطابي</v>
      </c>
      <c r="E841" s="26" t="str">
        <f ca="1">IFERROR(__xludf.DUMMYFUNCTION("""COMPUTED_VALUE"""),"مجموعة العميد التربوية")</f>
        <v>مجموعة العميد التربوية</v>
      </c>
      <c r="F841" s="26" t="str">
        <f ca="1">IFERROR(__xludf.DUMMYFUNCTION("""COMPUTED_VALUE"""),"E- ابتدائية العميد للبنات (الثالثة)")</f>
        <v>E- ابتدائية العميد للبنات (الثالثة)</v>
      </c>
      <c r="G841" s="26" t="str">
        <f ca="1">IFERROR(__xludf.DUMMYFUNCTION("""COMPUTED_VALUE"""),"الطابق الثاني")</f>
        <v>الطابق الثاني</v>
      </c>
      <c r="H841" s="26" t="str">
        <f ca="1">IFERROR(__xludf.DUMMYFUNCTION("""COMPUTED_VALUE"""),"صيانة كرسي معلم مختبر العلوم")</f>
        <v>صيانة كرسي معلم مختبر العلوم</v>
      </c>
      <c r="I841" s="26"/>
      <c r="J841" s="26" t="s">
        <v>16</v>
      </c>
      <c r="K841" s="26" t="s">
        <v>13</v>
      </c>
      <c r="L841" s="55"/>
      <c r="M841" s="26"/>
    </row>
    <row r="842" spans="1:13" ht="75" customHeight="1" thickTop="1" thickBot="1">
      <c r="A842" s="26">
        <v>840</v>
      </c>
      <c r="B842" s="55">
        <f ca="1">IFERROR(__xludf.DUMMYFUNCTION("""COMPUTED_VALUE"""),46184.4761658217)</f>
        <v>46184.476165821703</v>
      </c>
      <c r="C842" s="56" t="str">
        <f ca="1">IFERROR(__xludf.DUMMYFUNCTION("""COMPUTED_VALUE"""),"المعملجي")</f>
        <v>المعملجي</v>
      </c>
      <c r="D842" s="56" t="str">
        <f ca="1">IFERROR(__xludf.DUMMYFUNCTION("""COMPUTED_VALUE"""),"ابراهيم الخطابي")</f>
        <v>ابراهيم الخطابي</v>
      </c>
      <c r="E842" s="26" t="str">
        <f ca="1">IFERROR(__xludf.DUMMYFUNCTION("""COMPUTED_VALUE"""),"مجموعة العميد التربوية")</f>
        <v>مجموعة العميد التربوية</v>
      </c>
      <c r="F842" s="26" t="str">
        <f ca="1">IFERROR(__xludf.DUMMYFUNCTION("""COMPUTED_VALUE"""),"E- ابتدائية العميد للبنات (الثالثة)")</f>
        <v>E- ابتدائية العميد للبنات (الثالثة)</v>
      </c>
      <c r="G842" s="26" t="str">
        <f ca="1">IFERROR(__xludf.DUMMYFUNCTION("""COMPUTED_VALUE"""),"الطابق الارضي")</f>
        <v>الطابق الارضي</v>
      </c>
      <c r="H842" s="26" t="str">
        <f ca="1">IFERROR(__xludf.DUMMYFUNCTION("""COMPUTED_VALUE"""),"صيانة شباك غرفة المعلمات")</f>
        <v>صيانة شباك غرفة المعلمات</v>
      </c>
      <c r="I842" s="26"/>
      <c r="J842" s="26" t="s">
        <v>16</v>
      </c>
      <c r="K842" s="26" t="s">
        <v>13</v>
      </c>
      <c r="L842" s="55"/>
      <c r="M842" s="26"/>
    </row>
    <row r="843" spans="1:13" ht="75" customHeight="1" thickTop="1" thickBot="1">
      <c r="A843" s="34">
        <v>841</v>
      </c>
      <c r="B843" s="55">
        <f ca="1">IFERROR(__xludf.DUMMYFUNCTION("""COMPUTED_VALUE"""),46184.4772392824)</f>
        <v>46184.477239282402</v>
      </c>
      <c r="C843" s="56" t="str">
        <f ca="1">IFERROR(__xludf.DUMMYFUNCTION("""COMPUTED_VALUE"""),"المعملجي")</f>
        <v>المعملجي</v>
      </c>
      <c r="D843" s="56" t="str">
        <f ca="1">IFERROR(__xludf.DUMMYFUNCTION("""COMPUTED_VALUE"""),"ابراهيم الخطابي")</f>
        <v>ابراهيم الخطابي</v>
      </c>
      <c r="E843" s="26" t="str">
        <f ca="1">IFERROR(__xludf.DUMMYFUNCTION("""COMPUTED_VALUE"""),"مجموعة العميد التربوية")</f>
        <v>مجموعة العميد التربوية</v>
      </c>
      <c r="F843" s="26" t="str">
        <f ca="1">IFERROR(__xludf.DUMMYFUNCTION("""COMPUTED_VALUE"""),"E- ابتدائية العميد للبنات (الثالثة)")</f>
        <v>E- ابتدائية العميد للبنات (الثالثة)</v>
      </c>
      <c r="G843" s="26" t="str">
        <f ca="1">IFERROR(__xludf.DUMMYFUNCTION("""COMPUTED_VALUE"""),"الطابق الارضي, ZONE B")</f>
        <v>الطابق الارضي, ZONE B</v>
      </c>
      <c r="H843" s="26" t="str">
        <f ca="1">IFERROR(__xludf.DUMMYFUNCTION("""COMPUTED_VALUE"""),"صيانة برادات التلاميذ")</f>
        <v>صيانة برادات التلاميذ</v>
      </c>
      <c r="I843" s="26"/>
      <c r="J843" s="26" t="s">
        <v>14</v>
      </c>
      <c r="K843" s="26" t="s">
        <v>13</v>
      </c>
      <c r="L843" s="55"/>
      <c r="M843" s="26"/>
    </row>
    <row r="844" spans="1:13" ht="75" customHeight="1" thickTop="1" thickBot="1">
      <c r="A844" s="26">
        <v>842</v>
      </c>
      <c r="B844" s="55">
        <f ca="1">IFERROR(__xludf.DUMMYFUNCTION("""COMPUTED_VALUE"""),46184.4895363194)</f>
        <v>46184.489536319401</v>
      </c>
      <c r="C844" s="56" t="str">
        <f ca="1">IFERROR(__xludf.DUMMYFUNCTION("""COMPUTED_VALUE"""),"المعملجي")</f>
        <v>المعملجي</v>
      </c>
      <c r="D844" s="56" t="str">
        <f ca="1">IFERROR(__xludf.DUMMYFUNCTION("""COMPUTED_VALUE"""),"ابراهيم الخطابي")</f>
        <v>ابراهيم الخطابي</v>
      </c>
      <c r="E844" s="26" t="str">
        <f ca="1">IFERROR(__xludf.DUMMYFUNCTION("""COMPUTED_VALUE"""),"مجموعة العميد التربوية")</f>
        <v>مجموعة العميد التربوية</v>
      </c>
      <c r="F844" s="26" t="str">
        <f ca="1">IFERROR(__xludf.DUMMYFUNCTION("""COMPUTED_VALUE"""),"E- ابتدائية العميد للبنات (الثالثة)")</f>
        <v>E- ابتدائية العميد للبنات (الثالثة)</v>
      </c>
      <c r="G844" s="26" t="str">
        <f ca="1">IFERROR(__xludf.DUMMYFUNCTION("""COMPUTED_VALUE"""),"الطابق الارضي")</f>
        <v>الطابق الارضي</v>
      </c>
      <c r="H844" s="26" t="str">
        <f ca="1">IFERROR(__xludf.DUMMYFUNCTION("""COMPUTED_VALUE"""),"تبديل كاك زاوية ثنائي ")</f>
        <v xml:space="preserve">تبديل كاك زاوية ثنائي </v>
      </c>
      <c r="I844" s="26"/>
      <c r="J844" s="26" t="s">
        <v>14</v>
      </c>
      <c r="K844" s="26" t="s">
        <v>13</v>
      </c>
      <c r="L844" s="55"/>
      <c r="M844" s="26"/>
    </row>
    <row r="845" spans="1:13" ht="75" customHeight="1" thickTop="1" thickBot="1">
      <c r="A845" s="34">
        <v>843</v>
      </c>
      <c r="B845" s="55">
        <f ca="1">IFERROR(__xludf.DUMMYFUNCTION("""COMPUTED_VALUE"""),46184.4939429166)</f>
        <v>46184.493942916597</v>
      </c>
      <c r="C845" s="56" t="str">
        <f ca="1">IFERROR(__xludf.DUMMYFUNCTION("""COMPUTED_VALUE"""),"المعملجي")</f>
        <v>المعملجي</v>
      </c>
      <c r="D845" s="56" t="str">
        <f ca="1">IFERROR(__xludf.DUMMYFUNCTION("""COMPUTED_VALUE"""),"ابراهيم الخطابي")</f>
        <v>ابراهيم الخطابي</v>
      </c>
      <c r="E845" s="26" t="str">
        <f ca="1">IFERROR(__xludf.DUMMYFUNCTION("""COMPUTED_VALUE"""),"مجموعة العميد التربوية")</f>
        <v>مجموعة العميد التربوية</v>
      </c>
      <c r="F845" s="26" t="str">
        <f ca="1">IFERROR(__xludf.DUMMYFUNCTION("""COMPUTED_VALUE"""),"I- ابتدائية الساقي للبنين (السادسة)")</f>
        <v>I- ابتدائية الساقي للبنين (السادسة)</v>
      </c>
      <c r="G845" s="26" t="str">
        <f ca="1">IFERROR(__xludf.DUMMYFUNCTION("""COMPUTED_VALUE"""),"الطابق الارضي")</f>
        <v>الطابق الارضي</v>
      </c>
      <c r="H845" s="26" t="str">
        <f ca="1">IFERROR(__xludf.DUMMYFUNCTION("""COMPUTED_VALUE"""),"صيانة كرسي معلم ")</f>
        <v xml:space="preserve">صيانة كرسي معلم </v>
      </c>
      <c r="I845" s="26"/>
      <c r="J845" s="26" t="s">
        <v>16</v>
      </c>
      <c r="K845" s="26" t="s">
        <v>13</v>
      </c>
      <c r="L845" s="55"/>
      <c r="M845" s="26"/>
    </row>
    <row r="846" spans="1:13" ht="75" customHeight="1" thickTop="1" thickBot="1">
      <c r="A846" s="26">
        <v>844</v>
      </c>
      <c r="B846" s="55">
        <f ca="1">IFERROR(__xludf.DUMMYFUNCTION("""COMPUTED_VALUE"""),46184.4943971643)</f>
        <v>46184.494397164301</v>
      </c>
      <c r="C846" s="56" t="str">
        <f ca="1">IFERROR(__xludf.DUMMYFUNCTION("""COMPUTED_VALUE"""),"المعملجي")</f>
        <v>المعملجي</v>
      </c>
      <c r="D846" s="56" t="str">
        <f ca="1">IFERROR(__xludf.DUMMYFUNCTION("""COMPUTED_VALUE"""),"ابراهيم الخطابي")</f>
        <v>ابراهيم الخطابي</v>
      </c>
      <c r="E846" s="26" t="str">
        <f ca="1">IFERROR(__xludf.DUMMYFUNCTION("""COMPUTED_VALUE"""),"مجموعة العميد التربوية")</f>
        <v>مجموعة العميد التربوية</v>
      </c>
      <c r="F846" s="26" t="str">
        <f ca="1">IFERROR(__xludf.DUMMYFUNCTION("""COMPUTED_VALUE"""),"I- ابتدائية الساقي للبنين (السادسة)")</f>
        <v>I- ابتدائية الساقي للبنين (السادسة)</v>
      </c>
      <c r="G846" s="26" t="str">
        <f ca="1">IFERROR(__xludf.DUMMYFUNCTION("""COMPUTED_VALUE"""),"الطابق الاول")</f>
        <v>الطابق الاول</v>
      </c>
      <c r="H846" s="26" t="str">
        <f ca="1">IFERROR(__xludf.DUMMYFUNCTION("""COMPUTED_VALUE"""),"صيانة كرسي معلم صف ثالث د ")</f>
        <v xml:space="preserve">صيانة كرسي معلم صف ثالث د </v>
      </c>
      <c r="I846" s="26"/>
      <c r="J846" s="26" t="s">
        <v>16</v>
      </c>
      <c r="K846" s="26" t="s">
        <v>13</v>
      </c>
      <c r="L846" s="55"/>
      <c r="M846" s="26"/>
    </row>
    <row r="847" spans="1:13" ht="75" customHeight="1" thickTop="1" thickBot="1">
      <c r="A847" s="34">
        <v>845</v>
      </c>
      <c r="B847" s="55">
        <f ca="1">IFERROR(__xludf.DUMMYFUNCTION("""COMPUTED_VALUE"""),46184.4948624537)</f>
        <v>46184.494862453699</v>
      </c>
      <c r="C847" s="56" t="str">
        <f ca="1">IFERROR(__xludf.DUMMYFUNCTION("""COMPUTED_VALUE"""),"المعملجي")</f>
        <v>المعملجي</v>
      </c>
      <c r="D847" s="56" t="str">
        <f ca="1">IFERROR(__xludf.DUMMYFUNCTION("""COMPUTED_VALUE"""),"ابراهيم الخطابي")</f>
        <v>ابراهيم الخطابي</v>
      </c>
      <c r="E847" s="26" t="str">
        <f ca="1">IFERROR(__xludf.DUMMYFUNCTION("""COMPUTED_VALUE"""),"مجموعة العميد التربوية")</f>
        <v>مجموعة العميد التربوية</v>
      </c>
      <c r="F847" s="26" t="str">
        <f ca="1">IFERROR(__xludf.DUMMYFUNCTION("""COMPUTED_VALUE"""),"G- روضة الجود")</f>
        <v>G- روضة الجود</v>
      </c>
      <c r="G847" s="26" t="str">
        <f ca="1">IFERROR(__xludf.DUMMYFUNCTION("""COMPUTED_VALUE"""),"الطابق الاول")</f>
        <v>الطابق الاول</v>
      </c>
      <c r="H847" s="26" t="str">
        <f ca="1">IFERROR(__xludf.DUMMYFUNCTION("""COMPUTED_VALUE"""),"صيانة يدة شباك ")</f>
        <v xml:space="preserve">صيانة يدة شباك </v>
      </c>
      <c r="I847" s="26"/>
      <c r="J847" s="26" t="s">
        <v>16</v>
      </c>
      <c r="K847" s="26" t="s">
        <v>13</v>
      </c>
      <c r="L847" s="55"/>
      <c r="M847" s="26"/>
    </row>
    <row r="848" spans="1:13" ht="75" customHeight="1" thickTop="1" thickBot="1">
      <c r="A848" s="26">
        <v>846</v>
      </c>
      <c r="B848" s="55">
        <f ca="1">IFERROR(__xludf.DUMMYFUNCTION("""COMPUTED_VALUE"""),46184.4953567361)</f>
        <v>46184.495356736101</v>
      </c>
      <c r="C848" s="56" t="str">
        <f ca="1">IFERROR(__xludf.DUMMYFUNCTION("""COMPUTED_VALUE"""),"المعملجي")</f>
        <v>المعملجي</v>
      </c>
      <c r="D848" s="56" t="str">
        <f ca="1">IFERROR(__xludf.DUMMYFUNCTION("""COMPUTED_VALUE"""),"ابراهيم الخطابي")</f>
        <v>ابراهيم الخطابي</v>
      </c>
      <c r="E848" s="26" t="str">
        <f ca="1">IFERROR(__xludf.DUMMYFUNCTION("""COMPUTED_VALUE"""),"مجموعة العميد التربوية")</f>
        <v>مجموعة العميد التربوية</v>
      </c>
      <c r="F848" s="26" t="str">
        <f ca="1">IFERROR(__xludf.DUMMYFUNCTION("""COMPUTED_VALUE"""),"G- روضة الجود")</f>
        <v>G- روضة الجود</v>
      </c>
      <c r="G848" s="26" t="str">
        <f ca="1">IFERROR(__xludf.DUMMYFUNCTION("""COMPUTED_VALUE"""),"الطابق الارضي")</f>
        <v>الطابق الارضي</v>
      </c>
      <c r="H848" s="26" t="str">
        <f ca="1">IFERROR(__xludf.DUMMYFUNCTION("""COMPUTED_VALUE"""),"إضافة مسدس ماء حمام الارضي")</f>
        <v>إضافة مسدس ماء حمام الارضي</v>
      </c>
      <c r="I848" s="26"/>
      <c r="J848" s="26" t="s">
        <v>14</v>
      </c>
      <c r="K848" s="26" t="s">
        <v>13</v>
      </c>
      <c r="L848" s="55"/>
      <c r="M848" s="26"/>
    </row>
    <row r="849" spans="1:13" ht="75" customHeight="1" thickTop="1" thickBot="1">
      <c r="A849" s="34">
        <v>847</v>
      </c>
      <c r="B849" s="55">
        <f ca="1">IFERROR(__xludf.DUMMYFUNCTION("""COMPUTED_VALUE"""),46184.4956971643)</f>
        <v>46184.495697164297</v>
      </c>
      <c r="C849" s="56" t="str">
        <f ca="1">IFERROR(__xludf.DUMMYFUNCTION("""COMPUTED_VALUE"""),"المعملجي")</f>
        <v>المعملجي</v>
      </c>
      <c r="D849" s="56" t="str">
        <f ca="1">IFERROR(__xludf.DUMMYFUNCTION("""COMPUTED_VALUE"""),"ابراهيم الخطابي")</f>
        <v>ابراهيم الخطابي</v>
      </c>
      <c r="E849" s="26" t="str">
        <f ca="1">IFERROR(__xludf.DUMMYFUNCTION("""COMPUTED_VALUE"""),"مجموعة العميد التربوية")</f>
        <v>مجموعة العميد التربوية</v>
      </c>
      <c r="F849" s="26" t="str">
        <f ca="1">IFERROR(__xludf.DUMMYFUNCTION("""COMPUTED_VALUE"""),"G- روضة الجود")</f>
        <v>G- روضة الجود</v>
      </c>
      <c r="G849" s="26" t="str">
        <f ca="1">IFERROR(__xludf.DUMMYFUNCTION("""COMPUTED_VALUE"""),"الطابق الارضي")</f>
        <v>الطابق الارضي</v>
      </c>
      <c r="H849" s="26" t="str">
        <f ca="1">IFERROR(__xludf.DUMMYFUNCTION("""COMPUTED_VALUE"""),"صيانة شبكة الالعاب ")</f>
        <v xml:space="preserve">صيانة شبكة الالعاب </v>
      </c>
      <c r="I849" s="26"/>
      <c r="J849" s="26" t="s">
        <v>16</v>
      </c>
      <c r="K849" s="26" t="s">
        <v>13</v>
      </c>
      <c r="L849" s="55"/>
      <c r="M849" s="26"/>
    </row>
    <row r="850" spans="1:13" ht="75" customHeight="1" thickTop="1" thickBot="1">
      <c r="A850" s="26">
        <v>848</v>
      </c>
      <c r="B850" s="55">
        <f ca="1">IFERROR(__xludf.DUMMYFUNCTION("""COMPUTED_VALUE"""),46184.4960950925)</f>
        <v>46184.496095092501</v>
      </c>
      <c r="C850" s="56" t="str">
        <f ca="1">IFERROR(__xludf.DUMMYFUNCTION("""COMPUTED_VALUE"""),"المعملجي")</f>
        <v>المعملجي</v>
      </c>
      <c r="D850" s="56" t="str">
        <f ca="1">IFERROR(__xludf.DUMMYFUNCTION("""COMPUTED_VALUE"""),"ابراهيم الخطابي")</f>
        <v>ابراهيم الخطابي</v>
      </c>
      <c r="E850" s="26" t="str">
        <f ca="1">IFERROR(__xludf.DUMMYFUNCTION("""COMPUTED_VALUE"""),"مجموعة العميد التربوية")</f>
        <v>مجموعة العميد التربوية</v>
      </c>
      <c r="F850" s="26" t="str">
        <f ca="1">IFERROR(__xludf.DUMMYFUNCTION("""COMPUTED_VALUE"""),"G- روضة الجود")</f>
        <v>G- روضة الجود</v>
      </c>
      <c r="G850" s="26" t="str">
        <f ca="1">IFERROR(__xludf.DUMMYFUNCTION("""COMPUTED_VALUE"""),"الطابق الثاني")</f>
        <v>الطابق الثاني</v>
      </c>
      <c r="H850" s="26" t="str">
        <f ca="1">IFERROR(__xludf.DUMMYFUNCTION("""COMPUTED_VALUE"""),"إضافة مسدس ماء صف العسل")</f>
        <v>إضافة مسدس ماء صف العسل</v>
      </c>
      <c r="I850" s="26"/>
      <c r="J850" s="26" t="s">
        <v>14</v>
      </c>
      <c r="K850" s="26" t="s">
        <v>13</v>
      </c>
      <c r="L850" s="55"/>
      <c r="M850" s="26"/>
    </row>
    <row r="851" spans="1:13" ht="75" customHeight="1" thickTop="1" thickBot="1">
      <c r="A851" s="34">
        <v>849</v>
      </c>
      <c r="B851" s="55">
        <f ca="1">IFERROR(__xludf.DUMMYFUNCTION("""COMPUTED_VALUE"""),46184.4966296296)</f>
        <v>46184.496629629597</v>
      </c>
      <c r="C851" s="56" t="str">
        <f ca="1">IFERROR(__xludf.DUMMYFUNCTION("""COMPUTED_VALUE"""),"المعملجي")</f>
        <v>المعملجي</v>
      </c>
      <c r="D851" s="56" t="str">
        <f ca="1">IFERROR(__xludf.DUMMYFUNCTION("""COMPUTED_VALUE"""),"ابراهيم الخطابي")</f>
        <v>ابراهيم الخطابي</v>
      </c>
      <c r="E851" s="26" t="str">
        <f ca="1">IFERROR(__xludf.DUMMYFUNCTION("""COMPUTED_VALUE"""),"مجموعة العميد التربوية")</f>
        <v>مجموعة العميد التربوية</v>
      </c>
      <c r="F851" s="26" t="str">
        <f ca="1">IFERROR(__xludf.DUMMYFUNCTION("""COMPUTED_VALUE"""),"G- روضة الجود")</f>
        <v>G- روضة الجود</v>
      </c>
      <c r="G851" s="26" t="str">
        <f ca="1">IFERROR(__xludf.DUMMYFUNCTION("""COMPUTED_VALUE"""),"الطابق الثاني")</f>
        <v>الطابق الثاني</v>
      </c>
      <c r="H851" s="26" t="str">
        <f ca="1">IFERROR(__xludf.DUMMYFUNCTION("""COMPUTED_VALUE"""),"صيانة مسدس ماء صف البنفسج")</f>
        <v>صيانة مسدس ماء صف البنفسج</v>
      </c>
      <c r="I851" s="26"/>
      <c r="J851" s="26" t="s">
        <v>14</v>
      </c>
      <c r="K851" s="26" t="s">
        <v>13</v>
      </c>
      <c r="L851" s="55"/>
      <c r="M851" s="26"/>
    </row>
    <row r="852" spans="1:13" ht="75" customHeight="1" thickTop="1" thickBot="1">
      <c r="A852" s="26">
        <v>850</v>
      </c>
      <c r="B852" s="55">
        <f ca="1">IFERROR(__xludf.DUMMYFUNCTION("""COMPUTED_VALUE"""),46184.4974898958)</f>
        <v>46184.497489895803</v>
      </c>
      <c r="C852" s="56" t="str">
        <f ca="1">IFERROR(__xludf.DUMMYFUNCTION("""COMPUTED_VALUE"""),"المعملجي")</f>
        <v>المعملجي</v>
      </c>
      <c r="D852" s="56" t="str">
        <f ca="1">IFERROR(__xludf.DUMMYFUNCTION("""COMPUTED_VALUE"""),"ابراهيم الخطابي")</f>
        <v>ابراهيم الخطابي</v>
      </c>
      <c r="E852" s="26" t="str">
        <f ca="1">IFERROR(__xludf.DUMMYFUNCTION("""COMPUTED_VALUE"""),"مجموعة العميد التربوية")</f>
        <v>مجموعة العميد التربوية</v>
      </c>
      <c r="F852" s="26" t="str">
        <f ca="1">IFERROR(__xludf.DUMMYFUNCTION("""COMPUTED_VALUE"""),"F-  ابتدائية جود العميد للبنات (الرابعة)")</f>
        <v>F-  ابتدائية جود العميد للبنات (الرابعة)</v>
      </c>
      <c r="G852" s="26" t="str">
        <f ca="1">IFERROR(__xludf.DUMMYFUNCTION("""COMPUTED_VALUE"""),"الطابق الثاني")</f>
        <v>الطابق الثاني</v>
      </c>
      <c r="H852" s="26" t="str">
        <f ca="1">IFERROR(__xludf.DUMMYFUNCTION("""COMPUTED_VALUE"""),"صيانة هزارة مختبر الحاسوب ")</f>
        <v xml:space="preserve">صيانة هزارة مختبر الحاسوب </v>
      </c>
      <c r="I852" s="26"/>
      <c r="J852" s="26" t="s">
        <v>16</v>
      </c>
      <c r="K852" s="26" t="s">
        <v>13</v>
      </c>
      <c r="L852" s="55"/>
      <c r="M852" s="26"/>
    </row>
    <row r="853" spans="1:13" ht="75" customHeight="1" thickTop="1" thickBot="1">
      <c r="A853" s="34">
        <v>851</v>
      </c>
      <c r="B853" s="55">
        <f ca="1">IFERROR(__xludf.DUMMYFUNCTION("""COMPUTED_VALUE"""),46184.497849537)</f>
        <v>46184.497849537001</v>
      </c>
      <c r="C853" s="56" t="str">
        <f ca="1">IFERROR(__xludf.DUMMYFUNCTION("""COMPUTED_VALUE"""),"المعملجي")</f>
        <v>المعملجي</v>
      </c>
      <c r="D853" s="56" t="str">
        <f ca="1">IFERROR(__xludf.DUMMYFUNCTION("""COMPUTED_VALUE"""),"ابراهيم الخطابي")</f>
        <v>ابراهيم الخطابي</v>
      </c>
      <c r="E853" s="26" t="str">
        <f ca="1">IFERROR(__xludf.DUMMYFUNCTION("""COMPUTED_VALUE"""),"مجموعة العميد التربوية")</f>
        <v>مجموعة العميد التربوية</v>
      </c>
      <c r="F853" s="26" t="str">
        <f ca="1">IFERROR(__xludf.DUMMYFUNCTION("""COMPUTED_VALUE"""),"F-  ابتدائية جود العميد للبنات (الرابعة)")</f>
        <v>F-  ابتدائية جود العميد للبنات (الرابعة)</v>
      </c>
      <c r="G853" s="26" t="str">
        <f ca="1">IFERROR(__xludf.DUMMYFUNCTION("""COMPUTED_VALUE"""),"الطابق الاول")</f>
        <v>الطابق الاول</v>
      </c>
      <c r="H853" s="26" t="str">
        <f ca="1">IFERROR(__xludf.DUMMYFUNCTION("""COMPUTED_VALUE"""),"تبديل خرطوم مغسلة ")</f>
        <v xml:space="preserve">تبديل خرطوم مغسلة </v>
      </c>
      <c r="I853" s="26"/>
      <c r="J853" s="26" t="s">
        <v>14</v>
      </c>
      <c r="K853" s="26" t="s">
        <v>13</v>
      </c>
      <c r="L853" s="55"/>
      <c r="M853" s="26"/>
    </row>
    <row r="854" spans="1:13" ht="75" customHeight="1" thickTop="1" thickBot="1">
      <c r="A854" s="26">
        <v>852</v>
      </c>
      <c r="B854" s="55">
        <f ca="1">IFERROR(__xludf.DUMMYFUNCTION("""COMPUTED_VALUE"""),46184.4982922453)</f>
        <v>46184.498292245298</v>
      </c>
      <c r="C854" s="56" t="str">
        <f ca="1">IFERROR(__xludf.DUMMYFUNCTION("""COMPUTED_VALUE"""),"المعملجي")</f>
        <v>المعملجي</v>
      </c>
      <c r="D854" s="56" t="str">
        <f ca="1">IFERROR(__xludf.DUMMYFUNCTION("""COMPUTED_VALUE"""),"ابراهيم الخطابي")</f>
        <v>ابراهيم الخطابي</v>
      </c>
      <c r="E854" s="26" t="str">
        <f ca="1">IFERROR(__xludf.DUMMYFUNCTION("""COMPUTED_VALUE"""),"مجموعة العميد التربوية")</f>
        <v>مجموعة العميد التربوية</v>
      </c>
      <c r="F854" s="26" t="str">
        <f ca="1">IFERROR(__xludf.DUMMYFUNCTION("""COMPUTED_VALUE"""),"F-  ابتدائية جود العميد للبنات (الرابعة)")</f>
        <v>F-  ابتدائية جود العميد للبنات (الرابعة)</v>
      </c>
      <c r="G854" s="26" t="str">
        <f ca="1">IFERROR(__xludf.DUMMYFUNCTION("""COMPUTED_VALUE"""),"الطابق الارضي")</f>
        <v>الطابق الارضي</v>
      </c>
      <c r="H854" s="26" t="str">
        <f ca="1">IFERROR(__xludf.DUMMYFUNCTION("""COMPUTED_VALUE"""),"تبديل جك الباب الرئيسي ")</f>
        <v xml:space="preserve">تبديل جك الباب الرئيسي </v>
      </c>
      <c r="I854" s="26"/>
      <c r="J854" s="26" t="s">
        <v>16</v>
      </c>
      <c r="K854" s="26" t="s">
        <v>13</v>
      </c>
      <c r="L854" s="55"/>
      <c r="M854" s="26"/>
    </row>
    <row r="855" spans="1:13" ht="75" customHeight="1" thickTop="1" thickBot="1">
      <c r="A855" s="34">
        <v>853</v>
      </c>
      <c r="B855" s="55">
        <f ca="1">IFERROR(__xludf.DUMMYFUNCTION("""COMPUTED_VALUE"""),46184.5002856018)</f>
        <v>46184.500285601804</v>
      </c>
      <c r="C855" s="56" t="str">
        <f ca="1">IFERROR(__xludf.DUMMYFUNCTION("""COMPUTED_VALUE"""),"المعملجي")</f>
        <v>المعملجي</v>
      </c>
      <c r="D855" s="56" t="str">
        <f ca="1">IFERROR(__xludf.DUMMYFUNCTION("""COMPUTED_VALUE"""),"ابراهيم الخطابي")</f>
        <v>ابراهيم الخطابي</v>
      </c>
      <c r="E855" s="26" t="str">
        <f ca="1">IFERROR(__xludf.DUMMYFUNCTION("""COMPUTED_VALUE"""),"مجموعة العميد التربوية")</f>
        <v>مجموعة العميد التربوية</v>
      </c>
      <c r="F855" s="26" t="str">
        <f ca="1">IFERROR(__xludf.DUMMYFUNCTION("""COMPUTED_VALUE"""),"F-  ابتدائية جود العميد للبنات (الرابعة)")</f>
        <v>F-  ابتدائية جود العميد للبنات (الرابعة)</v>
      </c>
      <c r="G855" s="26" t="str">
        <f ca="1">IFERROR(__xludf.DUMMYFUNCTION("""COMPUTED_VALUE"""),"الطابق الثاني")</f>
        <v>الطابق الثاني</v>
      </c>
      <c r="H855" s="26" t="str">
        <f ca="1">IFERROR(__xludf.DUMMYFUNCTION("""COMPUTED_VALUE"""),"تبديل كاك زاوية ثنائي ")</f>
        <v xml:space="preserve">تبديل كاك زاوية ثنائي </v>
      </c>
      <c r="I855" s="26"/>
      <c r="J855" s="26" t="s">
        <v>14</v>
      </c>
      <c r="K855" s="26" t="s">
        <v>13</v>
      </c>
      <c r="L855" s="55"/>
      <c r="M855" s="26"/>
    </row>
    <row r="856" spans="1:13" ht="75" customHeight="1" thickTop="1" thickBot="1">
      <c r="A856" s="26">
        <v>854</v>
      </c>
      <c r="B856" s="55">
        <f ca="1">IFERROR(__xludf.DUMMYFUNCTION("""COMPUTED_VALUE"""),46184.500953449)</f>
        <v>46184.500953449002</v>
      </c>
      <c r="C856" s="56" t="str">
        <f ca="1">IFERROR(__xludf.DUMMYFUNCTION("""COMPUTED_VALUE"""),"المعملجي")</f>
        <v>المعملجي</v>
      </c>
      <c r="D856" s="56" t="str">
        <f ca="1">IFERROR(__xludf.DUMMYFUNCTION("""COMPUTED_VALUE"""),"ابراهيم الخطابي")</f>
        <v>ابراهيم الخطابي</v>
      </c>
      <c r="E856" s="26" t="str">
        <f ca="1">IFERROR(__xludf.DUMMYFUNCTION("""COMPUTED_VALUE"""),"مجموعة العميد التربوية")</f>
        <v>مجموعة العميد التربوية</v>
      </c>
      <c r="F856" s="26" t="str">
        <f ca="1">IFERROR(__xludf.DUMMYFUNCTION("""COMPUTED_VALUE"""),"F-  ابتدائية جود العميد للبنات (الرابعة)")</f>
        <v>F-  ابتدائية جود العميد للبنات (الرابعة)</v>
      </c>
      <c r="G856" s="26" t="str">
        <f ca="1">IFERROR(__xludf.DUMMYFUNCTION("""COMPUTED_VALUE"""),"الطابق الاول")</f>
        <v>الطابق الاول</v>
      </c>
      <c r="H856" s="26" t="str">
        <f ca="1">IFERROR(__xludf.DUMMYFUNCTION("""COMPUTED_VALUE"""),"تبديل ماسك شطاف")</f>
        <v>تبديل ماسك شطاف</v>
      </c>
      <c r="I856" s="26"/>
      <c r="J856" s="26" t="s">
        <v>14</v>
      </c>
      <c r="K856" s="26" t="s">
        <v>13</v>
      </c>
      <c r="L856" s="55"/>
      <c r="M856" s="26"/>
    </row>
    <row r="857" spans="1:13" ht="75" customHeight="1" thickTop="1" thickBot="1">
      <c r="A857" s="34">
        <v>855</v>
      </c>
      <c r="B857" s="55">
        <f ca="1">IFERROR(__xludf.DUMMYFUNCTION("""COMPUTED_VALUE"""),46184.5118476967)</f>
        <v>46184.511847696704</v>
      </c>
      <c r="C857" s="56" t="str">
        <f ca="1">IFERROR(__xludf.DUMMYFUNCTION("""COMPUTED_VALUE"""),"المعملجي")</f>
        <v>المعملجي</v>
      </c>
      <c r="D857" s="56" t="str">
        <f ca="1">IFERROR(__xludf.DUMMYFUNCTION("""COMPUTED_VALUE"""),"ابراهيم الخطابي")</f>
        <v>ابراهيم الخطابي</v>
      </c>
      <c r="E857" s="26" t="str">
        <f ca="1">IFERROR(__xludf.DUMMYFUNCTION("""COMPUTED_VALUE"""),"مجموعة العميد التربوية")</f>
        <v>مجموعة العميد التربوية</v>
      </c>
      <c r="F857" s="26" t="str">
        <f ca="1">IFERROR(__xludf.DUMMYFUNCTION("""COMPUTED_VALUE"""),"C- ثانوية العميد بناية الاعدادية  (الاولى)")</f>
        <v>C- ثانوية العميد بناية الاعدادية  (الاولى)</v>
      </c>
      <c r="G857" s="26" t="str">
        <f ca="1">IFERROR(__xludf.DUMMYFUNCTION("""COMPUTED_VALUE"""),"الطابق الارضي")</f>
        <v>الطابق الارضي</v>
      </c>
      <c r="H857" s="26" t="str">
        <f ca="1">IFERROR(__xludf.DUMMYFUNCTION("""COMPUTED_VALUE"""),"صيانة بردة")</f>
        <v>صيانة بردة</v>
      </c>
      <c r="I857" s="26"/>
      <c r="J857" s="26" t="s">
        <v>16</v>
      </c>
      <c r="K857" s="26" t="s">
        <v>13</v>
      </c>
      <c r="L857" s="55">
        <v>46184.512486504631</v>
      </c>
      <c r="M857" s="26"/>
    </row>
    <row r="858" spans="1:13" ht="75" customHeight="1" thickTop="1" thickBot="1">
      <c r="A858" s="26">
        <v>856</v>
      </c>
      <c r="B858" s="55">
        <f ca="1">IFERROR(__xludf.DUMMYFUNCTION("""COMPUTED_VALUE"""),46184.6092462384)</f>
        <v>46184.609246238397</v>
      </c>
      <c r="C858" s="56" t="str">
        <f ca="1">IFERROR(__xludf.DUMMYFUNCTION("""COMPUTED_VALUE"""),"المعملجي")</f>
        <v>المعملجي</v>
      </c>
      <c r="D858" s="56" t="str">
        <f ca="1">IFERROR(__xludf.DUMMYFUNCTION("""COMPUTED_VALUE"""),"ابراهيم الخطابي")</f>
        <v>ابراهيم الخطابي</v>
      </c>
      <c r="E858" s="26" t="str">
        <f ca="1">IFERROR(__xludf.DUMMYFUNCTION("""COMPUTED_VALUE"""),"مجموعة العميد التربوية")</f>
        <v>مجموعة العميد التربوية</v>
      </c>
      <c r="F858" s="26" t="str">
        <f ca="1">IFERROR(__xludf.DUMMYFUNCTION("""COMPUTED_VALUE"""),"C- ثانوية العميد بناية الاعدادية  (الاولى)")</f>
        <v>C- ثانوية العميد بناية الاعدادية  (الاولى)</v>
      </c>
      <c r="G858" s="26" t="str">
        <f ca="1">IFERROR(__xludf.DUMMYFUNCTION("""COMPUTED_VALUE"""),"الطابق الاول")</f>
        <v>الطابق الاول</v>
      </c>
      <c r="H858" s="26" t="str">
        <f ca="1">IFERROR(__xludf.DUMMYFUNCTION("""COMPUTED_VALUE"""),"صيانة باب المنيوم المصلى ")</f>
        <v xml:space="preserve">صيانة باب المنيوم المصلى </v>
      </c>
      <c r="I858" s="26"/>
      <c r="J858" s="26" t="s">
        <v>16</v>
      </c>
      <c r="K858" s="26" t="s">
        <v>13</v>
      </c>
      <c r="L858" s="55">
        <v>46184.609696388885</v>
      </c>
      <c r="M858" s="26"/>
    </row>
    <row r="859" spans="1:13" ht="75" customHeight="1" thickTop="1" thickBot="1">
      <c r="A859" s="34">
        <v>857</v>
      </c>
      <c r="B859" s="55">
        <f ca="1">IFERROR(__xludf.DUMMYFUNCTION("""COMPUTED_VALUE"""),46184.609531956)</f>
        <v>46184.609531955997</v>
      </c>
      <c r="C859" s="56" t="str">
        <f ca="1">IFERROR(__xludf.DUMMYFUNCTION("""COMPUTED_VALUE"""),"المعملجي")</f>
        <v>المعملجي</v>
      </c>
      <c r="D859" s="56" t="str">
        <f ca="1">IFERROR(__xludf.DUMMYFUNCTION("""COMPUTED_VALUE"""),"ابراهيم الخطابي")</f>
        <v>ابراهيم الخطابي</v>
      </c>
      <c r="E859" s="26" t="str">
        <f ca="1">IFERROR(__xludf.DUMMYFUNCTION("""COMPUTED_VALUE"""),"مجموعة العميد التربوية")</f>
        <v>مجموعة العميد التربوية</v>
      </c>
      <c r="F859" s="26" t="str">
        <f ca="1">IFERROR(__xludf.DUMMYFUNCTION("""COMPUTED_VALUE"""),"C- ثانوية العميد بناية الاعدادية  (الاولى)")</f>
        <v>C- ثانوية العميد بناية الاعدادية  (الاولى)</v>
      </c>
      <c r="G859" s="26" t="str">
        <f ca="1">IFERROR(__xludf.DUMMYFUNCTION("""COMPUTED_VALUE"""),"الطابق الارضي")</f>
        <v>الطابق الارضي</v>
      </c>
      <c r="H859" s="26" t="str">
        <f ca="1">IFERROR(__xludf.DUMMYFUNCTION("""COMPUTED_VALUE"""),"صيانة بردة")</f>
        <v>صيانة بردة</v>
      </c>
      <c r="I859" s="26"/>
      <c r="J859" s="26" t="s">
        <v>16</v>
      </c>
      <c r="K859" s="26" t="s">
        <v>13</v>
      </c>
      <c r="L859" s="55">
        <v>46184.609715520834</v>
      </c>
      <c r="M859" s="26"/>
    </row>
    <row r="860" spans="1:13" ht="75" customHeight="1" thickTop="1" thickBot="1">
      <c r="A860" s="26">
        <v>858</v>
      </c>
      <c r="B860" s="55">
        <f ca="1">IFERROR(__xludf.DUMMYFUNCTION("""COMPUTED_VALUE"""),46184.6116400925)</f>
        <v>46184.611640092502</v>
      </c>
      <c r="C860" s="56" t="str">
        <f ca="1">IFERROR(__xludf.DUMMYFUNCTION("""COMPUTED_VALUE"""),"المعملجي")</f>
        <v>المعملجي</v>
      </c>
      <c r="D860" s="56" t="str">
        <f ca="1">IFERROR(__xludf.DUMMYFUNCTION("""COMPUTED_VALUE"""),"ابراهيم الخطابي")</f>
        <v>ابراهيم الخطابي</v>
      </c>
      <c r="E860" s="26" t="str">
        <f ca="1">IFERROR(__xludf.DUMMYFUNCTION("""COMPUTED_VALUE"""),"مجموعة العميد التربوية")</f>
        <v>مجموعة العميد التربوية</v>
      </c>
      <c r="F860" s="26" t="str">
        <f ca="1">IFERROR(__xludf.DUMMYFUNCTION("""COMPUTED_VALUE"""),"C- ثانوية العميد بناية الاعدادية  (الاولى), D- ثانوية العميد بناية المتوسطة  (الثانية)")</f>
        <v>C- ثانوية العميد بناية الاعدادية  (الاولى), D- ثانوية العميد بناية المتوسطة  (الثانية)</v>
      </c>
      <c r="G860" s="26" t="str">
        <f ca="1">IFERROR(__xludf.DUMMYFUNCTION("""COMPUTED_VALUE"""),"الطابق الارضي, الطابق الاول, الطابق الثاني, ZONE A")</f>
        <v>الطابق الارضي, الطابق الاول, الطابق الثاني, ZONE A</v>
      </c>
      <c r="H860" s="26" t="str">
        <f ca="1">IFERROR(__xludf.DUMMYFUNCTION("""COMPUTED_VALUE"""),"رفع المرأة داخل الصحيات")</f>
        <v>رفع المرأة داخل الصحيات</v>
      </c>
      <c r="I860" s="26"/>
      <c r="J860" s="26" t="s">
        <v>16</v>
      </c>
      <c r="K860" s="26" t="s">
        <v>13</v>
      </c>
      <c r="L860" s="55">
        <v>46184.6120065625</v>
      </c>
      <c r="M860" s="26"/>
    </row>
    <row r="861" spans="1:13" ht="75" customHeight="1" thickTop="1" thickBot="1">
      <c r="A861" s="34">
        <v>859</v>
      </c>
      <c r="B861" s="55">
        <f ca="1">IFERROR(__xludf.DUMMYFUNCTION("""COMPUTED_VALUE"""),46186.4275971296)</f>
        <v>46186.427597129601</v>
      </c>
      <c r="C861" s="56" t="str">
        <f ca="1">IFERROR(__xludf.DUMMYFUNCTION("""COMPUTED_VALUE"""),"المعملجي")</f>
        <v>المعملجي</v>
      </c>
      <c r="D861" s="56" t="str">
        <f ca="1">IFERROR(__xludf.DUMMYFUNCTION("""COMPUTED_VALUE"""),"ابراهيم الخطابي")</f>
        <v>ابراهيم الخطابي</v>
      </c>
      <c r="E861" s="26" t="str">
        <f ca="1">IFERROR(__xludf.DUMMYFUNCTION("""COMPUTED_VALUE"""),"مجموعة العميد التربوية")</f>
        <v>مجموعة العميد التربوية</v>
      </c>
      <c r="F861" s="26" t="str">
        <f ca="1">IFERROR(__xludf.DUMMYFUNCTION("""COMPUTED_VALUE"""),"F-  ابتدائية جود العميد للبنات (الرابعة)")</f>
        <v>F-  ابتدائية جود العميد للبنات (الرابعة)</v>
      </c>
      <c r="G861" s="26" t="str">
        <f ca="1">IFERROR(__xludf.DUMMYFUNCTION("""COMPUTED_VALUE"""),"السطح")</f>
        <v>السطح</v>
      </c>
      <c r="H861" s="26" t="str">
        <f ca="1">IFERROR(__xludf.DUMMYFUNCTION("""COMPUTED_VALUE"""),"Ro لا يوجد ماء ")</f>
        <v xml:space="preserve">Ro لا يوجد ماء </v>
      </c>
      <c r="I861" s="26"/>
      <c r="J861" s="26" t="s">
        <v>14</v>
      </c>
      <c r="K861" s="26" t="s">
        <v>13</v>
      </c>
      <c r="L861" s="55">
        <v>46186.430540150468</v>
      </c>
      <c r="M861" s="26"/>
    </row>
    <row r="862" spans="1:13" ht="75" customHeight="1" thickTop="1" thickBot="1">
      <c r="A862" s="26">
        <v>860</v>
      </c>
      <c r="B862" s="55">
        <f ca="1">IFERROR(__xludf.DUMMYFUNCTION("""COMPUTED_VALUE"""),46186.4283962963)</f>
        <v>46186.428396296302</v>
      </c>
      <c r="C862" s="56" t="str">
        <f ca="1">IFERROR(__xludf.DUMMYFUNCTION("""COMPUTED_VALUE"""),"المعملجي")</f>
        <v>المعملجي</v>
      </c>
      <c r="D862" s="56" t="str">
        <f ca="1">IFERROR(__xludf.DUMMYFUNCTION("""COMPUTED_VALUE"""),"ابراهيم الخطابي")</f>
        <v>ابراهيم الخطابي</v>
      </c>
      <c r="E862" s="26" t="str">
        <f ca="1">IFERROR(__xludf.DUMMYFUNCTION("""COMPUTED_VALUE"""),"مجموعة العميد التربوية")</f>
        <v>مجموعة العميد التربوية</v>
      </c>
      <c r="F862" s="26" t="str">
        <f ca="1">IFERROR(__xludf.DUMMYFUNCTION("""COMPUTED_VALUE"""),"A- المركز الثقافي")</f>
        <v>A- المركز الثقافي</v>
      </c>
      <c r="G862" s="26" t="str">
        <f ca="1">IFERROR(__xludf.DUMMYFUNCTION("""COMPUTED_VALUE"""),"الطابق الارضي")</f>
        <v>الطابق الارضي</v>
      </c>
      <c r="H862" s="26" t="str">
        <f ca="1">IFERROR(__xludf.DUMMYFUNCTION("""COMPUTED_VALUE"""),"التبريد لا يعمل ")</f>
        <v xml:space="preserve">التبريد لا يعمل </v>
      </c>
      <c r="I862" s="26"/>
      <c r="J862" s="26" t="s">
        <v>15</v>
      </c>
      <c r="K862" s="26" t="s">
        <v>13</v>
      </c>
      <c r="L862" s="55">
        <v>46187.463228344903</v>
      </c>
      <c r="M862" s="26"/>
    </row>
    <row r="863" spans="1:13" ht="75" customHeight="1" thickTop="1" thickBot="1">
      <c r="A863" s="34">
        <v>861</v>
      </c>
      <c r="B863" s="55">
        <f ca="1">IFERROR(__xludf.DUMMYFUNCTION("""COMPUTED_VALUE"""),46186.429260324)</f>
        <v>46186.429260324003</v>
      </c>
      <c r="C863" s="56" t="str">
        <f ca="1">IFERROR(__xludf.DUMMYFUNCTION("""COMPUTED_VALUE"""),"المعملجي")</f>
        <v>المعملجي</v>
      </c>
      <c r="D863" s="56" t="str">
        <f ca="1">IFERROR(__xludf.DUMMYFUNCTION("""COMPUTED_VALUE"""),"ابراهيم الخطابي")</f>
        <v>ابراهيم الخطابي</v>
      </c>
      <c r="E863" s="26" t="str">
        <f ca="1">IFERROR(__xludf.DUMMYFUNCTION("""COMPUTED_VALUE"""),"مجموعة العميد التربوية")</f>
        <v>مجموعة العميد التربوية</v>
      </c>
      <c r="F863" s="26" t="str">
        <f ca="1">IFERROR(__xludf.DUMMYFUNCTION("""COMPUTED_VALUE"""),"B- روضة القمر, G- روضة الجود")</f>
        <v>B- روضة القمر, G- روضة الجود</v>
      </c>
      <c r="G863" s="26" t="str">
        <f ca="1">IFERROR(__xludf.DUMMYFUNCTION("""COMPUTED_VALUE"""),"السطح")</f>
        <v>السطح</v>
      </c>
      <c r="H863" s="26" t="str">
        <f ca="1">IFERROR(__xludf.DUMMYFUNCTION("""COMPUTED_VALUE"""),"تشغيل التبريد")</f>
        <v>تشغيل التبريد</v>
      </c>
      <c r="I863" s="26"/>
      <c r="J863" s="26" t="s">
        <v>15</v>
      </c>
      <c r="K863" s="26" t="s">
        <v>13</v>
      </c>
      <c r="L863" s="55">
        <v>46186.430617488426</v>
      </c>
      <c r="M863" s="26"/>
    </row>
    <row r="864" spans="1:13" ht="75" customHeight="1" thickTop="1" thickBot="1">
      <c r="A864" s="26">
        <v>862</v>
      </c>
      <c r="B864" s="55">
        <f ca="1">IFERROR(__xludf.DUMMYFUNCTION("""COMPUTED_VALUE"""),46186.4298912961)</f>
        <v>46186.429891296197</v>
      </c>
      <c r="C864" s="56" t="str">
        <f ca="1">IFERROR(__xludf.DUMMYFUNCTION("""COMPUTED_VALUE"""),"المعملجي")</f>
        <v>المعملجي</v>
      </c>
      <c r="D864" s="56" t="str">
        <f ca="1">IFERROR(__xludf.DUMMYFUNCTION("""COMPUTED_VALUE"""),"ابراهيم الخطابي")</f>
        <v>ابراهيم الخطابي</v>
      </c>
      <c r="E864" s="26" t="str">
        <f ca="1">IFERROR(__xludf.DUMMYFUNCTION("""COMPUTED_VALUE"""),"مجموعة العميد التربوية")</f>
        <v>مجموعة العميد التربوية</v>
      </c>
      <c r="F864" s="26" t="str">
        <f ca="1">IFERROR(__xludf.DUMMYFUNCTION("""COMPUTED_VALUE"""),"F-  ابتدائية جود العميد للبنات (الرابعة)")</f>
        <v>F-  ابتدائية جود العميد للبنات (الرابعة)</v>
      </c>
      <c r="G864" s="26" t="str">
        <f ca="1">IFERROR(__xludf.DUMMYFUNCTION("""COMPUTED_VALUE"""),"الطابق الارضي")</f>
        <v>الطابق الارضي</v>
      </c>
      <c r="H864" s="26" t="str">
        <f ca="1">IFERROR(__xludf.DUMMYFUNCTION("""COMPUTED_VALUE"""),"صيانة كارت تبريد")</f>
        <v>صيانة كارت تبريد</v>
      </c>
      <c r="I864" s="26"/>
      <c r="J864" s="26" t="s">
        <v>15</v>
      </c>
      <c r="K864" s="26" t="s">
        <v>13</v>
      </c>
      <c r="L864" s="55">
        <v>46186.430637650468</v>
      </c>
      <c r="M864" s="26"/>
    </row>
    <row r="865" spans="1:13" ht="75" customHeight="1" thickTop="1" thickBot="1">
      <c r="A865" s="34">
        <v>863</v>
      </c>
      <c r="B865" s="55">
        <f ca="1">IFERROR(__xludf.DUMMYFUNCTION("""COMPUTED_VALUE"""),46187.4670020254)</f>
        <v>46187.467002025398</v>
      </c>
      <c r="C865" s="56" t="str">
        <f ca="1">IFERROR(__xludf.DUMMYFUNCTION("""COMPUTED_VALUE"""),"المعملجي")</f>
        <v>المعملجي</v>
      </c>
      <c r="D865" s="56" t="str">
        <f ca="1">IFERROR(__xludf.DUMMYFUNCTION("""COMPUTED_VALUE"""),"ابو سجاد ")</f>
        <v xml:space="preserve">ابو سجاد </v>
      </c>
      <c r="E865" s="26" t="str">
        <f ca="1">IFERROR(__xludf.DUMMYFUNCTION("""COMPUTED_VALUE"""),"مجموعة العميد التربوية")</f>
        <v>مجموعة العميد التربوية</v>
      </c>
      <c r="F865" s="26" t="str">
        <f ca="1">IFERROR(__xludf.DUMMYFUNCTION("""COMPUTED_VALUE"""),"C- ثانوية العميد بناية الاعدادية  (الاولى)")</f>
        <v>C- ثانوية العميد بناية الاعدادية  (الاولى)</v>
      </c>
      <c r="G865" s="26" t="str">
        <f ca="1">IFERROR(__xludf.DUMMYFUNCTION("""COMPUTED_VALUE"""),"الطابق الارضي, ZONE B")</f>
        <v>الطابق الارضي, ZONE B</v>
      </c>
      <c r="H865" s="26" t="str">
        <f ca="1">IFERROR(__xludf.DUMMYFUNCTION("""COMPUTED_VALUE"""),"صيانة حنفية ")</f>
        <v xml:space="preserve">صيانة حنفية </v>
      </c>
      <c r="I865" s="26"/>
      <c r="J865" s="26" t="s">
        <v>14</v>
      </c>
      <c r="K865" s="26" t="s">
        <v>13</v>
      </c>
      <c r="L865" s="55">
        <v>46187.587535150466</v>
      </c>
      <c r="M865" s="26"/>
    </row>
    <row r="866" spans="1:13" ht="75" customHeight="1" thickTop="1" thickBot="1">
      <c r="A866" s="26">
        <v>864</v>
      </c>
      <c r="B866" s="55">
        <f ca="1">IFERROR(__xludf.DUMMYFUNCTION("""COMPUTED_VALUE"""),46187.4679327314)</f>
        <v>46187.467932731401</v>
      </c>
      <c r="C866" s="56" t="str">
        <f ca="1">IFERROR(__xludf.DUMMYFUNCTION("""COMPUTED_VALUE"""),"المعملجي")</f>
        <v>المعملجي</v>
      </c>
      <c r="D866" s="56" t="str">
        <f ca="1">IFERROR(__xludf.DUMMYFUNCTION("""COMPUTED_VALUE"""),"ابو سجاد ")</f>
        <v xml:space="preserve">ابو سجاد </v>
      </c>
      <c r="E866" s="26" t="str">
        <f ca="1">IFERROR(__xludf.DUMMYFUNCTION("""COMPUTED_VALUE"""),"مجموعة العميد التربوية")</f>
        <v>مجموعة العميد التربوية</v>
      </c>
      <c r="F866" s="26" t="str">
        <f ca="1">IFERROR(__xludf.DUMMYFUNCTION("""COMPUTED_VALUE"""),"C- ثانوية العميد بناية الاعدادية  (الاولى)")</f>
        <v>C- ثانوية العميد بناية الاعدادية  (الاولى)</v>
      </c>
      <c r="G866" s="26" t="str">
        <f ca="1">IFERROR(__xludf.DUMMYFUNCTION("""COMPUTED_VALUE"""),"الطابق الاول")</f>
        <v>الطابق الاول</v>
      </c>
      <c r="H866" s="26" t="str">
        <f ca="1">IFERROR(__xludf.DUMMYFUNCTION("""COMPUTED_VALUE"""),"صيانة مفرغة ")</f>
        <v xml:space="preserve">صيانة مفرغة </v>
      </c>
      <c r="I866" s="26"/>
      <c r="J866" s="26" t="s">
        <v>3910</v>
      </c>
      <c r="K866" s="26" t="s">
        <v>13</v>
      </c>
      <c r="L866" s="55">
        <v>46203.39672488426</v>
      </c>
      <c r="M866" s="26"/>
    </row>
    <row r="867" spans="1:13" ht="75" customHeight="1" thickTop="1" thickBot="1">
      <c r="A867" s="34">
        <v>865</v>
      </c>
      <c r="B867" s="55">
        <f ca="1">IFERROR(__xludf.DUMMYFUNCTION("""COMPUTED_VALUE"""),46187.468919456)</f>
        <v>46187.468919455998</v>
      </c>
      <c r="C867" s="56" t="str">
        <f ca="1">IFERROR(__xludf.DUMMYFUNCTION("""COMPUTED_VALUE"""),"المعملجي")</f>
        <v>المعملجي</v>
      </c>
      <c r="D867" s="56" t="str">
        <f ca="1">IFERROR(__xludf.DUMMYFUNCTION("""COMPUTED_VALUE"""),"ابو سجاد ")</f>
        <v xml:space="preserve">ابو سجاد </v>
      </c>
      <c r="E867" s="26" t="str">
        <f ca="1">IFERROR(__xludf.DUMMYFUNCTION("""COMPUTED_VALUE"""),"مجموعة العميد التربوية")</f>
        <v>مجموعة العميد التربوية</v>
      </c>
      <c r="F867" s="26" t="str">
        <f ca="1">IFERROR(__xludf.DUMMYFUNCTION("""COMPUTED_VALUE"""),"C- ثانوية العميد بناية الاعدادية  (الاولى)")</f>
        <v>C- ثانوية العميد بناية الاعدادية  (الاولى)</v>
      </c>
      <c r="G867" s="26" t="str">
        <f ca="1">IFERROR(__xludf.DUMMYFUNCTION("""COMPUTED_VALUE"""),"الطابق الارضي")</f>
        <v>الطابق الارضي</v>
      </c>
      <c r="H867" s="26" t="str">
        <f ca="1">IFERROR(__xludf.DUMMYFUNCTION("""COMPUTED_VALUE"""),"صيانة شباك صف الرابع أ ")</f>
        <v xml:space="preserve">صيانة شباك صف الرابع أ </v>
      </c>
      <c r="I867" s="26"/>
      <c r="J867" s="26" t="s">
        <v>16</v>
      </c>
      <c r="K867" s="26" t="s">
        <v>13</v>
      </c>
      <c r="L867" s="55">
        <v>46187.502055763893</v>
      </c>
      <c r="M867" s="26"/>
    </row>
    <row r="868" spans="1:13" ht="75" customHeight="1" thickTop="1" thickBot="1">
      <c r="A868" s="26">
        <v>866</v>
      </c>
      <c r="B868" s="55">
        <f ca="1">IFERROR(__xludf.DUMMYFUNCTION("""COMPUTED_VALUE"""),46188.3102323611)</f>
        <v>46188.310232361102</v>
      </c>
      <c r="C868" s="56" t="str">
        <f ca="1">IFERROR(__xludf.DUMMYFUNCTION("""COMPUTED_VALUE"""),"المعملجي")</f>
        <v>المعملجي</v>
      </c>
      <c r="D868" s="56" t="str">
        <f ca="1">IFERROR(__xludf.DUMMYFUNCTION("""COMPUTED_VALUE"""),"وحدة الكهرباء")</f>
        <v>وحدة الكهرباء</v>
      </c>
      <c r="E868" s="26" t="str">
        <f ca="1">IFERROR(__xludf.DUMMYFUNCTION("""COMPUTED_VALUE"""),"قسم المشاريع الهندسية")</f>
        <v>قسم المشاريع الهندسية</v>
      </c>
      <c r="F868" s="26" t="str">
        <f ca="1">IFERROR(__xludf.DUMMYFUNCTION("""COMPUTED_VALUE"""),"شعبة الصيانة")</f>
        <v>شعبة الصيانة</v>
      </c>
      <c r="G868" s="26"/>
      <c r="H868" s="26" t="str">
        <f ca="1">IFERROR(__xludf.DUMMYFUNCTION("""COMPUTED_VALUE"""),"تغذية كرفان الأمنية الجديد قرب محطة الرفع بالطاقة الشمسية")</f>
        <v>تغذية كرفان الأمنية الجديد قرب محطة الرفع بالطاقة الشمسية</v>
      </c>
      <c r="I868" s="26"/>
      <c r="J868" s="26" t="s">
        <v>3910</v>
      </c>
      <c r="K868" s="26" t="s">
        <v>13</v>
      </c>
      <c r="L868" s="55">
        <v>46188.332869872684</v>
      </c>
      <c r="M868" s="26"/>
    </row>
    <row r="869" spans="1:13" ht="75" customHeight="1" thickTop="1" thickBot="1">
      <c r="A869" s="34">
        <v>867</v>
      </c>
      <c r="B869" s="55">
        <f ca="1">IFERROR(__xludf.DUMMYFUNCTION("""COMPUTED_VALUE"""),46188.310839699)</f>
        <v>46188.310839698999</v>
      </c>
      <c r="C869" s="56" t="str">
        <f ca="1">IFERROR(__xludf.DUMMYFUNCTION("""COMPUTED_VALUE"""),"المعملجي")</f>
        <v>المعملجي</v>
      </c>
      <c r="D869" s="56" t="str">
        <f ca="1">IFERROR(__xludf.DUMMYFUNCTION("""COMPUTED_VALUE"""),"وحدة الكهرباء")</f>
        <v>وحدة الكهرباء</v>
      </c>
      <c r="E869" s="26" t="str">
        <f ca="1">IFERROR(__xludf.DUMMYFUNCTION("""COMPUTED_VALUE"""),"قسم المشاريع الهندسية")</f>
        <v>قسم المشاريع الهندسية</v>
      </c>
      <c r="F869" s="26" t="str">
        <f ca="1">IFERROR(__xludf.DUMMYFUNCTION("""COMPUTED_VALUE"""),"A- المركز الثقافي")</f>
        <v>A- المركز الثقافي</v>
      </c>
      <c r="G869" s="26" t="str">
        <f ca="1">IFERROR(__xludf.DUMMYFUNCTION("""COMPUTED_VALUE"""),"الطابق الارضي, القاعة عند باب الدخول")</f>
        <v>الطابق الارضي, القاعة عند باب الدخول</v>
      </c>
      <c r="H869" s="26" t="str">
        <f ca="1">IFERROR(__xludf.DUMMYFUNCTION("""COMPUTED_VALUE"""),"استبدال محولة سبوت لايت بقدرة 40w عدد (2)")</f>
        <v>استبدال محولة سبوت لايت بقدرة 40w عدد (2)</v>
      </c>
      <c r="I869" s="26"/>
      <c r="J869" s="26" t="s">
        <v>3910</v>
      </c>
      <c r="K869" s="26" t="s">
        <v>13</v>
      </c>
      <c r="L869" s="55">
        <v>46188.332887233795</v>
      </c>
      <c r="M869" s="26"/>
    </row>
    <row r="870" spans="1:13" ht="75" customHeight="1" thickTop="1" thickBot="1">
      <c r="A870" s="26">
        <v>868</v>
      </c>
      <c r="B870" s="55">
        <f ca="1">IFERROR(__xludf.DUMMYFUNCTION("""COMPUTED_VALUE"""),46188.3114565972)</f>
        <v>46188.311456597199</v>
      </c>
      <c r="C870" s="56" t="str">
        <f ca="1">IFERROR(__xludf.DUMMYFUNCTION("""COMPUTED_VALUE"""),"المعملجي")</f>
        <v>المعملجي</v>
      </c>
      <c r="D870" s="56" t="str">
        <f ca="1">IFERROR(__xludf.DUMMYFUNCTION("""COMPUTED_VALUE"""),"وحدة الكهرباء")</f>
        <v>وحدة الكهرباء</v>
      </c>
      <c r="E870" s="26" t="str">
        <f ca="1">IFERROR(__xludf.DUMMYFUNCTION("""COMPUTED_VALUE"""),"قسم المشاريع الهندسية")</f>
        <v>قسم المشاريع الهندسية</v>
      </c>
      <c r="F870" s="26" t="str">
        <f ca="1">IFERROR(__xludf.DUMMYFUNCTION("""COMPUTED_VALUE"""),"A- المركز الثقافي")</f>
        <v>A- المركز الثقافي</v>
      </c>
      <c r="G870" s="26" t="str">
        <f ca="1">IFERROR(__xludf.DUMMYFUNCTION("""COMPUTED_VALUE"""),"الطابق الارضي, القاعة عند باب الدخول")</f>
        <v>الطابق الارضي, القاعة عند باب الدخول</v>
      </c>
      <c r="H870" s="26" t="str">
        <f ca="1">IFERROR(__xludf.DUMMYFUNCTION("""COMPUTED_VALUE"""),"صيانة نشرة ضوئية")</f>
        <v>صيانة نشرة ضوئية</v>
      </c>
      <c r="I870" s="26"/>
      <c r="J870" s="26" t="s">
        <v>3910</v>
      </c>
      <c r="K870" s="26" t="s">
        <v>13</v>
      </c>
      <c r="L870" s="55">
        <v>46188.332904166666</v>
      </c>
      <c r="M870" s="26"/>
    </row>
    <row r="871" spans="1:13" ht="75" customHeight="1" thickTop="1" thickBot="1">
      <c r="A871" s="34">
        <v>869</v>
      </c>
      <c r="B871" s="55">
        <f ca="1">IFERROR(__xludf.DUMMYFUNCTION("""COMPUTED_VALUE"""),46188.3117811111)</f>
        <v>46188.311781111101</v>
      </c>
      <c r="C871" s="56" t="str">
        <f ca="1">IFERROR(__xludf.DUMMYFUNCTION("""COMPUTED_VALUE"""),"المعملجي")</f>
        <v>المعملجي</v>
      </c>
      <c r="D871" s="56" t="str">
        <f ca="1">IFERROR(__xludf.DUMMYFUNCTION("""COMPUTED_VALUE"""),"وحدة الكهرباء")</f>
        <v>وحدة الكهرباء</v>
      </c>
      <c r="E871" s="26" t="str">
        <f ca="1">IFERROR(__xludf.DUMMYFUNCTION("""COMPUTED_VALUE"""),"قسم المشاريع الهندسية")</f>
        <v>قسم المشاريع الهندسية</v>
      </c>
      <c r="F871" s="26" t="str">
        <f ca="1">IFERROR(__xludf.DUMMYFUNCTION("""COMPUTED_VALUE"""),"شعبة الصيانة")</f>
        <v>شعبة الصيانة</v>
      </c>
      <c r="G871" s="26" t="str">
        <f ca="1">IFERROR(__xludf.DUMMYFUNCTION("""COMPUTED_VALUE"""),"محطة الرفع")</f>
        <v>محطة الرفع</v>
      </c>
      <c r="H871" s="26" t="str">
        <f ca="1">IFERROR(__xludf.DUMMYFUNCTION("""COMPUTED_VALUE"""),"ارجاع تغذية سبلت كرفان الخدميةالى وطني /مولدة")</f>
        <v>ارجاع تغذية سبلت كرفان الخدميةالى وطني /مولدة</v>
      </c>
      <c r="I871" s="26"/>
      <c r="J871" s="26" t="s">
        <v>3910</v>
      </c>
      <c r="K871" s="26" t="s">
        <v>13</v>
      </c>
      <c r="L871" s="55">
        <v>46188.332905902775</v>
      </c>
      <c r="M871" s="26"/>
    </row>
    <row r="872" spans="1:13" ht="75" customHeight="1" thickTop="1" thickBot="1">
      <c r="A872" s="26">
        <v>870</v>
      </c>
      <c r="B872" s="55">
        <f ca="1">IFERROR(__xludf.DUMMYFUNCTION("""COMPUTED_VALUE"""),46188.3122754861)</f>
        <v>46188.312275486103</v>
      </c>
      <c r="C872" s="56" t="str">
        <f ca="1">IFERROR(__xludf.DUMMYFUNCTION("""COMPUTED_VALUE"""),"المعملجي")</f>
        <v>المعملجي</v>
      </c>
      <c r="D872" s="56" t="str">
        <f ca="1">IFERROR(__xludf.DUMMYFUNCTION("""COMPUTED_VALUE"""),"وحدة الكهرباء")</f>
        <v>وحدة الكهرباء</v>
      </c>
      <c r="E872" s="26" t="str">
        <f ca="1">IFERROR(__xludf.DUMMYFUNCTION("""COMPUTED_VALUE"""),"قسم المشاريع الهندسية")</f>
        <v>قسم المشاريع الهندسية</v>
      </c>
      <c r="F872" s="26" t="str">
        <f ca="1">IFERROR(__xludf.DUMMYFUNCTION("""COMPUTED_VALUE"""),"C- ثانوية العميد بناية الاعدادية  (الاولى)")</f>
        <v>C- ثانوية العميد بناية الاعدادية  (الاولى)</v>
      </c>
      <c r="G872" s="26" t="str">
        <f ca="1">IFERROR(__xludf.DUMMYFUNCTION("""COMPUTED_VALUE"""),"مولدة المدرسة")</f>
        <v>مولدة المدرسة</v>
      </c>
      <c r="H872" s="26" t="str">
        <f ca="1">IFERROR(__xludf.DUMMYFUNCTION("""COMPUTED_VALUE"""),"صيانة المولدة C بقدرة 1MVA ")</f>
        <v xml:space="preserve">صيانة المولدة C بقدرة 1MVA </v>
      </c>
      <c r="I872" s="26"/>
      <c r="J872" s="26" t="s">
        <v>3910</v>
      </c>
      <c r="K872" s="26" t="s">
        <v>13</v>
      </c>
      <c r="L872" s="55">
        <v>46188.332923726848</v>
      </c>
      <c r="M872" s="26"/>
    </row>
    <row r="873" spans="1:13" ht="75" customHeight="1" thickTop="1" thickBot="1">
      <c r="A873" s="34">
        <v>871</v>
      </c>
      <c r="B873" s="55">
        <f ca="1">IFERROR(__xludf.DUMMYFUNCTION("""COMPUTED_VALUE"""),46188.3128410416)</f>
        <v>46188.312841041603</v>
      </c>
      <c r="C873" s="56" t="str">
        <f ca="1">IFERROR(__xludf.DUMMYFUNCTION("""COMPUTED_VALUE"""),"المعملجي")</f>
        <v>المعملجي</v>
      </c>
      <c r="D873" s="56" t="str">
        <f ca="1">IFERROR(__xludf.DUMMYFUNCTION("""COMPUTED_VALUE"""),"وحدة الكهرباء")</f>
        <v>وحدة الكهرباء</v>
      </c>
      <c r="E873" s="26" t="str">
        <f ca="1">IFERROR(__xludf.DUMMYFUNCTION("""COMPUTED_VALUE"""),"قسم المشاريع الهندسية")</f>
        <v>قسم المشاريع الهندسية</v>
      </c>
      <c r="F873" s="26" t="str">
        <f ca="1">IFERROR(__xludf.DUMMYFUNCTION("""COMPUTED_VALUE"""),"شعبة الصيانة")</f>
        <v>شعبة الصيانة</v>
      </c>
      <c r="G873" s="26" t="str">
        <f ca="1">IFERROR(__xludf.DUMMYFUNCTION("""COMPUTED_VALUE"""),"محطة الرفع")</f>
        <v>محطة الرفع</v>
      </c>
      <c r="H873" s="26" t="str">
        <f ca="1">IFERROR(__xludf.DUMMYFUNCTION("""COMPUTED_VALUE"""),"اكمال العمل الخاص بمعالجة مشكلة الحث الحاصل في محولة محطة الرفع")</f>
        <v>اكمال العمل الخاص بمعالجة مشكلة الحث الحاصل في محولة محطة الرفع</v>
      </c>
      <c r="I873" s="26"/>
      <c r="J873" s="26" t="s">
        <v>3910</v>
      </c>
      <c r="K873" s="26" t="s">
        <v>13</v>
      </c>
      <c r="L873" s="55">
        <v>46188.332927164352</v>
      </c>
      <c r="M873" s="26"/>
    </row>
    <row r="874" spans="1:13" ht="75" customHeight="1" thickTop="1" thickBot="1">
      <c r="A874" s="26">
        <v>872</v>
      </c>
      <c r="B874" s="55">
        <f ca="1">IFERROR(__xludf.DUMMYFUNCTION("""COMPUTED_VALUE"""),46188.3143627314)</f>
        <v>46188.314362731398</v>
      </c>
      <c r="C874" s="56" t="str">
        <f ca="1">IFERROR(__xludf.DUMMYFUNCTION("""COMPUTED_VALUE"""),"المعملجي")</f>
        <v>المعملجي</v>
      </c>
      <c r="D874" s="56" t="str">
        <f ca="1">IFERROR(__xludf.DUMMYFUNCTION("""COMPUTED_VALUE"""),"وحدة الكهرباء")</f>
        <v>وحدة الكهرباء</v>
      </c>
      <c r="E874" s="26" t="str">
        <f ca="1">IFERROR(__xludf.DUMMYFUNCTION("""COMPUTED_VALUE"""),"قسم المشاريع الهندسية")</f>
        <v>قسم المشاريع الهندسية</v>
      </c>
      <c r="F874" s="26" t="str">
        <f ca="1">IFERROR(__xludf.DUMMYFUNCTION("""COMPUTED_VALUE"""),"D- ثانوية العميد بناية المتوسطة  (الثانية)")</f>
        <v>D- ثانوية العميد بناية المتوسطة  (الثانية)</v>
      </c>
      <c r="G874" s="26" t="str">
        <f ca="1">IFERROR(__xludf.DUMMYFUNCTION("""COMPUTED_VALUE"""),"الطابق الثاني, المطعم")</f>
        <v>الطابق الثاني, المطعم</v>
      </c>
      <c r="H874" s="26" t="str">
        <f ca="1">IFERROR(__xludf.DUMMYFUNCTION("""COMPUTED_VALUE""")," استبدال بلك سويچ 15A الى سويج 45A لتغذية سبلت كنتوري مستحدث")</f>
        <v xml:space="preserve"> استبدال بلك سويچ 15A الى سويج 45A لتغذية سبلت كنتوري مستحدث</v>
      </c>
      <c r="I874" s="26"/>
      <c r="J874" s="26" t="s">
        <v>3910</v>
      </c>
      <c r="K874" s="26" t="s">
        <v>13</v>
      </c>
      <c r="L874" s="55">
        <v>46188.332928344906</v>
      </c>
      <c r="M874" s="26"/>
    </row>
    <row r="875" spans="1:13" ht="75" customHeight="1" thickTop="1" thickBot="1">
      <c r="A875" s="34">
        <v>873</v>
      </c>
      <c r="B875" s="55">
        <f ca="1">IFERROR(__xludf.DUMMYFUNCTION("""COMPUTED_VALUE"""),46188.3150232754)</f>
        <v>46188.315023275398</v>
      </c>
      <c r="C875" s="56" t="str">
        <f ca="1">IFERROR(__xludf.DUMMYFUNCTION("""COMPUTED_VALUE"""),"المعملجي")</f>
        <v>المعملجي</v>
      </c>
      <c r="D875" s="56" t="str">
        <f ca="1">IFERROR(__xludf.DUMMYFUNCTION("""COMPUTED_VALUE"""),"وحدة الكهرباء")</f>
        <v>وحدة الكهرباء</v>
      </c>
      <c r="E875" s="26" t="str">
        <f ca="1">IFERROR(__xludf.DUMMYFUNCTION("""COMPUTED_VALUE"""),"قسم المشاريع الهندسية")</f>
        <v>قسم المشاريع الهندسية</v>
      </c>
      <c r="F875" s="26" t="str">
        <f ca="1">IFERROR(__xludf.DUMMYFUNCTION("""COMPUTED_VALUE"""),"I- ابتدائية الساقي للبنين (السادسة)")</f>
        <v>I- ابتدائية الساقي للبنين (السادسة)</v>
      </c>
      <c r="G875" s="26"/>
      <c r="H875" s="26" t="str">
        <f ca="1">IFERROR(__xludf.DUMMYFUNCTION("""COMPUTED_VALUE"""),"عمل صيانة للشلال في المدرسة اثر اوساخ")</f>
        <v>عمل صيانة للشلال في المدرسة اثر اوساخ</v>
      </c>
      <c r="I875" s="26"/>
      <c r="J875" s="26" t="s">
        <v>3910</v>
      </c>
      <c r="K875" s="26" t="s">
        <v>13</v>
      </c>
      <c r="L875" s="55">
        <v>46188.332938067135</v>
      </c>
      <c r="M875" s="26"/>
    </row>
    <row r="876" spans="1:13" ht="75" customHeight="1" thickTop="1" thickBot="1">
      <c r="A876" s="26">
        <v>874</v>
      </c>
      <c r="B876" s="55">
        <f ca="1">IFERROR(__xludf.DUMMYFUNCTION("""COMPUTED_VALUE"""),46188.3158470138)</f>
        <v>46188.315847013801</v>
      </c>
      <c r="C876" s="56" t="str">
        <f ca="1">IFERROR(__xludf.DUMMYFUNCTION("""COMPUTED_VALUE"""),"المعملجي")</f>
        <v>المعملجي</v>
      </c>
      <c r="D876" s="56" t="str">
        <f ca="1">IFERROR(__xludf.DUMMYFUNCTION("""COMPUTED_VALUE"""),"وحدة الكهرباء")</f>
        <v>وحدة الكهرباء</v>
      </c>
      <c r="E876" s="26" t="str">
        <f ca="1">IFERROR(__xludf.DUMMYFUNCTION("""COMPUTED_VALUE"""),"قسم المشاريع الهندسية")</f>
        <v>قسم المشاريع الهندسية</v>
      </c>
      <c r="F876" s="26" t="str">
        <f ca="1">IFERROR(__xludf.DUMMYFUNCTION("""COMPUTED_VALUE"""),"G- روضة الجود")</f>
        <v>G- روضة الجود</v>
      </c>
      <c r="G876" s="26" t="str">
        <f ca="1">IFERROR(__xludf.DUMMYFUNCTION("""COMPUTED_VALUE"""),"الطابق الثاني, صف السكر")</f>
        <v>الطابق الثاني, صف السكر</v>
      </c>
      <c r="H876" s="26" t="str">
        <f ca="1">IFERROR(__xludf.DUMMYFUNCTION("""COMPUTED_VALUE"""),"استبدال بلك سويج 13A")</f>
        <v>استبدال بلك سويج 13A</v>
      </c>
      <c r="I876" s="26"/>
      <c r="J876" s="26" t="s">
        <v>3910</v>
      </c>
      <c r="K876" s="26" t="s">
        <v>13</v>
      </c>
      <c r="L876" s="55">
        <v>46188.332945254631</v>
      </c>
      <c r="M876" s="26"/>
    </row>
    <row r="877" spans="1:13" ht="75" customHeight="1" thickTop="1" thickBot="1">
      <c r="A877" s="34">
        <v>875</v>
      </c>
      <c r="B877" s="55">
        <f ca="1">IFERROR(__xludf.DUMMYFUNCTION("""COMPUTED_VALUE"""),46188.3164164467)</f>
        <v>46188.316416446702</v>
      </c>
      <c r="C877" s="56" t="str">
        <f ca="1">IFERROR(__xludf.DUMMYFUNCTION("""COMPUTED_VALUE"""),"المعملجي")</f>
        <v>المعملجي</v>
      </c>
      <c r="D877" s="56" t="str">
        <f ca="1">IFERROR(__xludf.DUMMYFUNCTION("""COMPUTED_VALUE"""),"وحدة الكهرباء")</f>
        <v>وحدة الكهرباء</v>
      </c>
      <c r="E877" s="26" t="str">
        <f ca="1">IFERROR(__xludf.DUMMYFUNCTION("""COMPUTED_VALUE"""),"قسم المشاريع الهندسية")</f>
        <v>قسم المشاريع الهندسية</v>
      </c>
      <c r="F877" s="26" t="str">
        <f ca="1">IFERROR(__xludf.DUMMYFUNCTION("""COMPUTED_VALUE"""),"F-  ابتدائية جود العميد للبنات (الرابعة)")</f>
        <v>F-  ابتدائية جود العميد للبنات (الرابعة)</v>
      </c>
      <c r="G877" s="26" t="str">
        <f ca="1">IFERROR(__xludf.DUMMYFUNCTION("""COMPUTED_VALUE"""),"المرقاب")</f>
        <v>المرقاب</v>
      </c>
      <c r="H877" s="26" t="str">
        <f ca="1">IFERROR(__xludf.DUMMYFUNCTION("""COMPUTED_VALUE"""),"تثبيت وإخفاء واير تغذية شاشة")</f>
        <v>تثبيت وإخفاء واير تغذية شاشة</v>
      </c>
      <c r="I877" s="26"/>
      <c r="J877" s="26" t="s">
        <v>3910</v>
      </c>
      <c r="K877" s="26" t="s">
        <v>13</v>
      </c>
      <c r="L877" s="55">
        <v>46188.332955046295</v>
      </c>
      <c r="M877" s="26"/>
    </row>
    <row r="878" spans="1:13" ht="75" customHeight="1" thickTop="1" thickBot="1">
      <c r="A878" s="26">
        <v>876</v>
      </c>
      <c r="B878" s="55">
        <f ca="1">IFERROR(__xludf.DUMMYFUNCTION("""COMPUTED_VALUE"""),46188.3171029745)</f>
        <v>46188.317102974499</v>
      </c>
      <c r="C878" s="56" t="str">
        <f ca="1">IFERROR(__xludf.DUMMYFUNCTION("""COMPUTED_VALUE"""),"المعملجي")</f>
        <v>المعملجي</v>
      </c>
      <c r="D878" s="56" t="str">
        <f ca="1">IFERROR(__xludf.DUMMYFUNCTION("""COMPUTED_VALUE"""),"وحدة الكهرباء")</f>
        <v>وحدة الكهرباء</v>
      </c>
      <c r="E878" s="26" t="str">
        <f ca="1">IFERROR(__xludf.DUMMYFUNCTION("""COMPUTED_VALUE"""),"قسم المشاريع الهندسية")</f>
        <v>قسم المشاريع الهندسية</v>
      </c>
      <c r="F878" s="26" t="str">
        <f ca="1">IFERROR(__xludf.DUMMYFUNCTION("""COMPUTED_VALUE"""),"F-  ابتدائية جود العميد للبنات (الرابعة)")</f>
        <v>F-  ابتدائية جود العميد للبنات (الرابعة)</v>
      </c>
      <c r="G878" s="26" t="str">
        <f ca="1">IFERROR(__xludf.DUMMYFUNCTION("""COMPUTED_VALUE"""),"المرقاب")</f>
        <v>المرقاب</v>
      </c>
      <c r="H878" s="26" t="str">
        <f ca="1">IFERROR(__xludf.DUMMYFUNCTION("""COMPUTED_VALUE"""),"استحداث بلك سويچ 13A في الغرفة")</f>
        <v>استحداث بلك سويچ 13A في الغرفة</v>
      </c>
      <c r="I878" s="26"/>
      <c r="J878" s="26" t="s">
        <v>3910</v>
      </c>
      <c r="K878" s="26" t="s">
        <v>13</v>
      </c>
      <c r="L878" s="55">
        <v>46188.332961828703</v>
      </c>
      <c r="M878" s="26"/>
    </row>
    <row r="879" spans="1:13" ht="75" customHeight="1" thickTop="1" thickBot="1">
      <c r="A879" s="34">
        <v>877</v>
      </c>
      <c r="B879" s="55">
        <f ca="1">IFERROR(__xludf.DUMMYFUNCTION("""COMPUTED_VALUE"""),46188.3176817708)</f>
        <v>46188.317681770801</v>
      </c>
      <c r="C879" s="56" t="str">
        <f ca="1">IFERROR(__xludf.DUMMYFUNCTION("""COMPUTED_VALUE"""),"المعملجي")</f>
        <v>المعملجي</v>
      </c>
      <c r="D879" s="56" t="str">
        <f ca="1">IFERROR(__xludf.DUMMYFUNCTION("""COMPUTED_VALUE"""),"وحدة الكهرباء")</f>
        <v>وحدة الكهرباء</v>
      </c>
      <c r="E879" s="26" t="str">
        <f ca="1">IFERROR(__xludf.DUMMYFUNCTION("""COMPUTED_VALUE"""),"قسم المشاريع الهندسية")</f>
        <v>قسم المشاريع الهندسية</v>
      </c>
      <c r="F879" s="26" t="str">
        <f ca="1">IFERROR(__xludf.DUMMYFUNCTION("""COMPUTED_VALUE"""),"المالية, الثانية")</f>
        <v>المالية, الثانية</v>
      </c>
      <c r="G879" s="26"/>
      <c r="H879" s="26" t="str">
        <f ca="1">IFERROR(__xludf.DUMMYFUNCTION("""COMPUTED_VALUE"""),"إضافة نقاط كهرباء عدد (4) وتغذية نقاط مثبتة عدد (6) في غرفة المالية 2")</f>
        <v>إضافة نقاط كهرباء عدد (4) وتغذية نقاط مثبتة عدد (6) في غرفة المالية 2</v>
      </c>
      <c r="I879" s="26"/>
      <c r="J879" s="26" t="s">
        <v>3910</v>
      </c>
      <c r="K879" s="26" t="s">
        <v>13</v>
      </c>
      <c r="L879" s="55">
        <v>46188.332999120372</v>
      </c>
      <c r="M879" s="26"/>
    </row>
    <row r="880" spans="1:13" ht="75" customHeight="1" thickTop="1" thickBot="1">
      <c r="A880" s="26">
        <v>878</v>
      </c>
      <c r="B880" s="55">
        <f ca="1">IFERROR(__xludf.DUMMYFUNCTION("""COMPUTED_VALUE"""),46188.3179714583)</f>
        <v>46188.317971458302</v>
      </c>
      <c r="C880" s="56" t="str">
        <f ca="1">IFERROR(__xludf.DUMMYFUNCTION("""COMPUTED_VALUE"""),"المعملجي")</f>
        <v>المعملجي</v>
      </c>
      <c r="D880" s="56" t="str">
        <f ca="1">IFERROR(__xludf.DUMMYFUNCTION("""COMPUTED_VALUE"""),"وحدة الكهرباء")</f>
        <v>وحدة الكهرباء</v>
      </c>
      <c r="E880" s="26" t="str">
        <f ca="1">IFERROR(__xludf.DUMMYFUNCTION("""COMPUTED_VALUE"""),"قسم المشاريع الهندسية")</f>
        <v>قسم المشاريع الهندسية</v>
      </c>
      <c r="F880" s="26" t="str">
        <f ca="1">IFERROR(__xludf.DUMMYFUNCTION("""COMPUTED_VALUE"""),"A- المركز الثقافي")</f>
        <v>A- المركز الثقافي</v>
      </c>
      <c r="G880" s="26" t="str">
        <f ca="1">IFERROR(__xludf.DUMMYFUNCTION("""COMPUTED_VALUE"""),"الطابق الرابع")</f>
        <v>الطابق الرابع</v>
      </c>
      <c r="H880" s="26" t="str">
        <f ca="1">IFERROR(__xludf.DUMMYFUNCTION("""COMPUTED_VALUE"""),"حدوث عطب في خط تغذية كهرباء UPS شعبة المراقبة")</f>
        <v>حدوث عطب في خط تغذية كهرباء UPS شعبة المراقبة</v>
      </c>
      <c r="I880" s="26"/>
      <c r="J880" s="26" t="s">
        <v>3910</v>
      </c>
      <c r="K880" s="26" t="s">
        <v>13</v>
      </c>
      <c r="L880" s="55">
        <v>46188.332997627316</v>
      </c>
      <c r="M880" s="26"/>
    </row>
    <row r="881" spans="1:13" ht="75" customHeight="1" thickTop="1" thickBot="1">
      <c r="A881" s="34">
        <v>879</v>
      </c>
      <c r="B881" s="55">
        <f ca="1">IFERROR(__xludf.DUMMYFUNCTION("""COMPUTED_VALUE"""),46188.3183862384)</f>
        <v>46188.318386238403</v>
      </c>
      <c r="C881" s="56" t="str">
        <f ca="1">IFERROR(__xludf.DUMMYFUNCTION("""COMPUTED_VALUE"""),"المعملجي")</f>
        <v>المعملجي</v>
      </c>
      <c r="D881" s="56" t="str">
        <f ca="1">IFERROR(__xludf.DUMMYFUNCTION("""COMPUTED_VALUE"""),"وحدة الكهرباء")</f>
        <v>وحدة الكهرباء</v>
      </c>
      <c r="E881" s="26" t="str">
        <f ca="1">IFERROR(__xludf.DUMMYFUNCTION("""COMPUTED_VALUE"""),"قسم المشاريع الهندسية")</f>
        <v>قسم المشاريع الهندسية</v>
      </c>
      <c r="F881" s="26" t="str">
        <f ca="1">IFERROR(__xludf.DUMMYFUNCTION("""COMPUTED_VALUE"""),"A- المركز الثقافي")</f>
        <v>A- المركز الثقافي</v>
      </c>
      <c r="G881" s="26" t="str">
        <f ca="1">IFERROR(__xludf.DUMMYFUNCTION("""COMPUTED_VALUE"""),"رئاسة القسم")</f>
        <v>رئاسة القسم</v>
      </c>
      <c r="H881" s="26" t="str">
        <f ca="1">IFERROR(__xludf.DUMMYFUNCTION("""COMPUTED_VALUE"""),"استبدال محولة انارة منشورية في رئاسة قسم التربية")</f>
        <v>استبدال محولة انارة منشورية في رئاسة قسم التربية</v>
      </c>
      <c r="I881" s="26"/>
      <c r="J881" s="26" t="s">
        <v>3910</v>
      </c>
      <c r="K881" s="26" t="s">
        <v>13</v>
      </c>
      <c r="L881" s="55">
        <v>46188.332997858801</v>
      </c>
      <c r="M881" s="26"/>
    </row>
    <row r="882" spans="1:13" ht="75" customHeight="1" thickTop="1" thickBot="1">
      <c r="A882" s="26">
        <v>880</v>
      </c>
      <c r="B882" s="55">
        <f ca="1">IFERROR(__xludf.DUMMYFUNCTION("""COMPUTED_VALUE"""),46188.3186990509)</f>
        <v>46188.318699050898</v>
      </c>
      <c r="C882" s="56" t="str">
        <f ca="1">IFERROR(__xludf.DUMMYFUNCTION("""COMPUTED_VALUE"""),"المعملجي")</f>
        <v>المعملجي</v>
      </c>
      <c r="D882" s="56" t="str">
        <f ca="1">IFERROR(__xludf.DUMMYFUNCTION("""COMPUTED_VALUE"""),"وحدة الكهرباء")</f>
        <v>وحدة الكهرباء</v>
      </c>
      <c r="E882" s="26" t="str">
        <f ca="1">IFERROR(__xludf.DUMMYFUNCTION("""COMPUTED_VALUE"""),"قسم المشاريع الهندسية")</f>
        <v>قسم المشاريع الهندسية</v>
      </c>
      <c r="F882" s="26" t="str">
        <f ca="1">IFERROR(__xludf.DUMMYFUNCTION("""COMPUTED_VALUE"""),"المالية, الثانية")</f>
        <v>المالية, الثانية</v>
      </c>
      <c r="G882" s="26"/>
      <c r="H882" s="26" t="str">
        <f ca="1">IFERROR(__xludf.DUMMYFUNCTION("""COMPUTED_VALUE""")," استبدال بلك سويج 13A عدد (2)")</f>
        <v xml:space="preserve"> استبدال بلك سويج 13A عدد (2)</v>
      </c>
      <c r="I882" s="26"/>
      <c r="J882" s="26" t="s">
        <v>3910</v>
      </c>
      <c r="K882" s="26" t="s">
        <v>13</v>
      </c>
      <c r="L882" s="55">
        <v>46188.333015289347</v>
      </c>
      <c r="M882" s="26"/>
    </row>
    <row r="883" spans="1:13" ht="75" customHeight="1" thickTop="1" thickBot="1">
      <c r="A883" s="34">
        <v>881</v>
      </c>
      <c r="B883" s="55">
        <f ca="1">IFERROR(__xludf.DUMMYFUNCTION("""COMPUTED_VALUE"""),46188.3197621412)</f>
        <v>46188.319762141196</v>
      </c>
      <c r="C883" s="56" t="str">
        <f ca="1">IFERROR(__xludf.DUMMYFUNCTION("""COMPUTED_VALUE"""),"المعملجي")</f>
        <v>المعملجي</v>
      </c>
      <c r="D883" s="56" t="str">
        <f ca="1">IFERROR(__xludf.DUMMYFUNCTION("""COMPUTED_VALUE"""),"وحدة الكهرباء")</f>
        <v>وحدة الكهرباء</v>
      </c>
      <c r="E883" s="26" t="str">
        <f ca="1">IFERROR(__xludf.DUMMYFUNCTION("""COMPUTED_VALUE"""),"قسم المشاريع الهندسية")</f>
        <v>قسم المشاريع الهندسية</v>
      </c>
      <c r="F883" s="26" t="str">
        <f ca="1">IFERROR(__xludf.DUMMYFUNCTION("""COMPUTED_VALUE"""),"النافورة")</f>
        <v>النافورة</v>
      </c>
      <c r="G883" s="26"/>
      <c r="H883" s="26" t="str">
        <f ca="1">IFERROR(__xludf.DUMMYFUNCTION("""COMPUTED_VALUE"""),"اضافة  كنكتر رباعي إلى 9 اعمدة من النافورة والمحيطة بها")</f>
        <v>اضافة  كنكتر رباعي إلى 9 اعمدة من النافورة والمحيطة بها</v>
      </c>
      <c r="I883" s="26"/>
      <c r="J883" s="26" t="s">
        <v>3910</v>
      </c>
      <c r="K883" s="26" t="s">
        <v>13</v>
      </c>
      <c r="L883" s="55">
        <v>46188.333383483798</v>
      </c>
      <c r="M883" s="26"/>
    </row>
    <row r="884" spans="1:13" ht="75" customHeight="1" thickTop="1" thickBot="1">
      <c r="A884" s="26">
        <v>882</v>
      </c>
      <c r="B884" s="55">
        <f ca="1">IFERROR(__xludf.DUMMYFUNCTION("""COMPUTED_VALUE"""),46188.320295787)</f>
        <v>46188.320295787002</v>
      </c>
      <c r="C884" s="56" t="str">
        <f ca="1">IFERROR(__xludf.DUMMYFUNCTION("""COMPUTED_VALUE"""),"المعملجي")</f>
        <v>المعملجي</v>
      </c>
      <c r="D884" s="56" t="str">
        <f ca="1">IFERROR(__xludf.DUMMYFUNCTION("""COMPUTED_VALUE"""),"وحدة الكهرباء")</f>
        <v>وحدة الكهرباء</v>
      </c>
      <c r="E884" s="26" t="str">
        <f ca="1">IFERROR(__xludf.DUMMYFUNCTION("""COMPUTED_VALUE"""),"قسم المشاريع الهندسية")</f>
        <v>قسم المشاريع الهندسية</v>
      </c>
      <c r="F884" s="26" t="str">
        <f ca="1">IFERROR(__xludf.DUMMYFUNCTION("""COMPUTED_VALUE"""),"G- روضة الجود")</f>
        <v>G- روضة الجود</v>
      </c>
      <c r="G884" s="26" t="str">
        <f ca="1">IFERROR(__xludf.DUMMYFUNCTION("""COMPUTED_VALUE"""),"السطح, الالواح الشمسية")</f>
        <v>السطح, الالواح الشمسية</v>
      </c>
      <c r="H884" s="26" t="str">
        <f ca="1">IFERROR(__xludf.DUMMYFUNCTION("""COMPUTED_VALUE"""),"تم استبدال لوح طاقة شمسية تالف بقدرة 550W ")</f>
        <v xml:space="preserve">تم استبدال لوح طاقة شمسية تالف بقدرة 550W </v>
      </c>
      <c r="I884" s="26"/>
      <c r="J884" s="26" t="s">
        <v>3910</v>
      </c>
      <c r="K884" s="26" t="s">
        <v>13</v>
      </c>
      <c r="L884" s="55">
        <v>46188.333499236112</v>
      </c>
      <c r="M884" s="26"/>
    </row>
    <row r="885" spans="1:13" ht="75" customHeight="1" thickTop="1" thickBot="1">
      <c r="A885" s="34">
        <v>883</v>
      </c>
      <c r="B885" s="55">
        <f ca="1">IFERROR(__xludf.DUMMYFUNCTION("""COMPUTED_VALUE"""),46188.3209986689)</f>
        <v>46188.320998668903</v>
      </c>
      <c r="C885" s="56" t="str">
        <f ca="1">IFERROR(__xludf.DUMMYFUNCTION("""COMPUTED_VALUE"""),"المعملجي")</f>
        <v>المعملجي</v>
      </c>
      <c r="D885" s="56" t="str">
        <f ca="1">IFERROR(__xludf.DUMMYFUNCTION("""COMPUTED_VALUE"""),"وحدة الكهرباء")</f>
        <v>وحدة الكهرباء</v>
      </c>
      <c r="E885" s="26" t="str">
        <f ca="1">IFERROR(__xludf.DUMMYFUNCTION("""COMPUTED_VALUE"""),"قسم المشاريع الهندسية")</f>
        <v>قسم المشاريع الهندسية</v>
      </c>
      <c r="F885" s="26" t="str">
        <f ca="1">IFERROR(__xludf.DUMMYFUNCTION("""COMPUTED_VALUE"""),"E- ابتدائية العميد للبنات (الثالثة)")</f>
        <v>E- ابتدائية العميد للبنات (الثالثة)</v>
      </c>
      <c r="G885" s="26" t="str">
        <f ca="1">IFERROR(__xludf.DUMMYFUNCTION("""COMPUTED_VALUE"""),"غرفة الكهرباء")</f>
        <v>غرفة الكهرباء</v>
      </c>
      <c r="H885" s="26" t="str">
        <f ca="1">IFERROR(__xludf.DUMMYFUNCTION("""COMPUTED_VALUE"""),"تم استبدال فيوزات عدد 4 في بورد الخدمات ")</f>
        <v xml:space="preserve">تم استبدال فيوزات عدد 4 في بورد الخدمات </v>
      </c>
      <c r="I885" s="26"/>
      <c r="J885" s="26" t="s">
        <v>3910</v>
      </c>
      <c r="K885" s="26" t="s">
        <v>13</v>
      </c>
      <c r="L885" s="55">
        <v>46188.333019930556</v>
      </c>
      <c r="M885" s="26"/>
    </row>
    <row r="886" spans="1:13" ht="75" customHeight="1" thickTop="1" thickBot="1">
      <c r="A886" s="26">
        <v>884</v>
      </c>
      <c r="B886" s="55">
        <f ca="1">IFERROR(__xludf.DUMMYFUNCTION("""COMPUTED_VALUE"""),46188.3218476041)</f>
        <v>46188.3218476041</v>
      </c>
      <c r="C886" s="56" t="str">
        <f ca="1">IFERROR(__xludf.DUMMYFUNCTION("""COMPUTED_VALUE"""),"المعملجي")</f>
        <v>المعملجي</v>
      </c>
      <c r="D886" s="56" t="str">
        <f ca="1">IFERROR(__xludf.DUMMYFUNCTION("""COMPUTED_VALUE"""),"وحدة الكهرباء")</f>
        <v>وحدة الكهرباء</v>
      </c>
      <c r="E886" s="26" t="str">
        <f ca="1">IFERROR(__xludf.DUMMYFUNCTION("""COMPUTED_VALUE"""),"قسم المشاريع الهندسية")</f>
        <v>قسم المشاريع الهندسية</v>
      </c>
      <c r="F886" s="26" t="str">
        <f ca="1">IFERROR(__xludf.DUMMYFUNCTION("""COMPUTED_VALUE"""),"B- روضة القمر")</f>
        <v>B- روضة القمر</v>
      </c>
      <c r="G886" s="26" t="str">
        <f ca="1">IFERROR(__xludf.DUMMYFUNCTION("""COMPUTED_VALUE"""),"الصحيات الخارجية")</f>
        <v>الصحيات الخارجية</v>
      </c>
      <c r="H886" s="26" t="str">
        <f ca="1">IFERROR(__xludf.DUMMYFUNCTION("""COMPUTED_VALUE"""),"تم استبدال محولة سبوت لايت")</f>
        <v>تم استبدال محولة سبوت لايت</v>
      </c>
      <c r="I886" s="26"/>
      <c r="J886" s="26" t="s">
        <v>3910</v>
      </c>
      <c r="K886" s="26" t="s">
        <v>13</v>
      </c>
      <c r="L886" s="55">
        <v>46188.333031724542</v>
      </c>
      <c r="M886" s="26"/>
    </row>
    <row r="887" spans="1:13" ht="75" customHeight="1" thickTop="1" thickBot="1">
      <c r="A887" s="34">
        <v>885</v>
      </c>
      <c r="B887" s="55">
        <f ca="1">IFERROR(__xludf.DUMMYFUNCTION("""COMPUTED_VALUE"""),46188.3222492245)</f>
        <v>46188.322249224497</v>
      </c>
      <c r="C887" s="56" t="str">
        <f ca="1">IFERROR(__xludf.DUMMYFUNCTION("""COMPUTED_VALUE"""),"المعملجي")</f>
        <v>المعملجي</v>
      </c>
      <c r="D887" s="56" t="str">
        <f ca="1">IFERROR(__xludf.DUMMYFUNCTION("""COMPUTED_VALUE"""),"وحدة الكهرباء")</f>
        <v>وحدة الكهرباء</v>
      </c>
      <c r="E887" s="26" t="str">
        <f ca="1">IFERROR(__xludf.DUMMYFUNCTION("""COMPUTED_VALUE"""),"قسم المشاريع الهندسية")</f>
        <v>قسم المشاريع الهندسية</v>
      </c>
      <c r="F887" s="26" t="str">
        <f ca="1">IFERROR(__xludf.DUMMYFUNCTION("""COMPUTED_VALUE"""),"J- ابتدائية الساقي للبنين الجانب الثاني (السابعة)")</f>
        <v>J- ابتدائية الساقي للبنين الجانب الثاني (السابعة)</v>
      </c>
      <c r="G887" s="26" t="str">
        <f ca="1">IFERROR(__xludf.DUMMYFUNCTION("""COMPUTED_VALUE"""),"ZONE B")</f>
        <v>ZONE B</v>
      </c>
      <c r="H887" s="26" t="str">
        <f ca="1">IFERROR(__xludf.DUMMYFUNCTION("""COMPUTED_VALUE"""),"تم استبدال بلك اسويج تالف")</f>
        <v>تم استبدال بلك اسويج تالف</v>
      </c>
      <c r="I887" s="26"/>
      <c r="J887" s="26" t="s">
        <v>3910</v>
      </c>
      <c r="K887" s="26" t="s">
        <v>13</v>
      </c>
      <c r="L887" s="55">
        <v>46188.333038449069</v>
      </c>
      <c r="M887" s="26"/>
    </row>
    <row r="888" spans="1:13" ht="75" customHeight="1" thickTop="1" thickBot="1">
      <c r="A888" s="26">
        <v>886</v>
      </c>
      <c r="B888" s="55">
        <f ca="1">IFERROR(__xludf.DUMMYFUNCTION("""COMPUTED_VALUE"""),46188.323028831)</f>
        <v>46188.323028831001</v>
      </c>
      <c r="C888" s="56" t="str">
        <f ca="1">IFERROR(__xludf.DUMMYFUNCTION("""COMPUTED_VALUE"""),"المعملجي")</f>
        <v>المعملجي</v>
      </c>
      <c r="D888" s="56" t="str">
        <f ca="1">IFERROR(__xludf.DUMMYFUNCTION("""COMPUTED_VALUE"""),"وحدة الكهرباء")</f>
        <v>وحدة الكهرباء</v>
      </c>
      <c r="E888" s="26" t="str">
        <f ca="1">IFERROR(__xludf.DUMMYFUNCTION("""COMPUTED_VALUE"""),"قسم المشاريع الهندسية")</f>
        <v>قسم المشاريع الهندسية</v>
      </c>
      <c r="F888" s="26" t="str">
        <f ca="1">IFERROR(__xludf.DUMMYFUNCTION("""COMPUTED_VALUE"""),"C- ثانوية العميد بناية الاعدادية  (الاولى)")</f>
        <v>C- ثانوية العميد بناية الاعدادية  (الاولى)</v>
      </c>
      <c r="G888" s="26" t="str">
        <f ca="1">IFERROR(__xludf.DUMMYFUNCTION("""COMPUTED_VALUE"""),"الطابق الثاني")</f>
        <v>الطابق الثاني</v>
      </c>
      <c r="H888" s="26" t="str">
        <f ca="1">IFERROR(__xludf.DUMMYFUNCTION("""COMPUTED_VALUE"""),"استبدال بلك سويج 32A باخر بلك سويج 13A")</f>
        <v>استبدال بلك سويج 32A باخر بلك سويج 13A</v>
      </c>
      <c r="I888" s="26"/>
      <c r="J888" s="26" t="s">
        <v>3910</v>
      </c>
      <c r="K888" s="26" t="s">
        <v>13</v>
      </c>
      <c r="L888" s="55">
        <v>46188.333051134265</v>
      </c>
      <c r="M888" s="26"/>
    </row>
    <row r="889" spans="1:13" ht="75" customHeight="1" thickTop="1" thickBot="1">
      <c r="A889" s="34">
        <v>887</v>
      </c>
      <c r="B889" s="55">
        <f ca="1">IFERROR(__xludf.DUMMYFUNCTION("""COMPUTED_VALUE"""),46188.3235650462)</f>
        <v>46188.323565046201</v>
      </c>
      <c r="C889" s="56" t="str">
        <f ca="1">IFERROR(__xludf.DUMMYFUNCTION("""COMPUTED_VALUE"""),"المعملجي")</f>
        <v>المعملجي</v>
      </c>
      <c r="D889" s="56" t="str">
        <f ca="1">IFERROR(__xludf.DUMMYFUNCTION("""COMPUTED_VALUE"""),"وحدة الكهرباء")</f>
        <v>وحدة الكهرباء</v>
      </c>
      <c r="E889" s="26" t="str">
        <f ca="1">IFERROR(__xludf.DUMMYFUNCTION("""COMPUTED_VALUE"""),"قسم المشاريع الهندسية")</f>
        <v>قسم المشاريع الهندسية</v>
      </c>
      <c r="F889" s="26" t="str">
        <f ca="1">IFERROR(__xludf.DUMMYFUNCTION("""COMPUTED_VALUE"""),"شعبة الصيانة")</f>
        <v>شعبة الصيانة</v>
      </c>
      <c r="G889" s="26" t="str">
        <f ca="1">IFERROR(__xludf.DUMMYFUNCTION("""COMPUTED_VALUE"""),"محطة الرفع")</f>
        <v>محطة الرفع</v>
      </c>
      <c r="H889" s="26" t="str">
        <f ca="1">IFERROR(__xludf.DUMMYFUNCTION("""COMPUTED_VALUE"""),"ربط واتر بمب مبردات المولدات")</f>
        <v>ربط واتر بمب مبردات المولدات</v>
      </c>
      <c r="I889" s="26"/>
      <c r="J889" s="26" t="s">
        <v>3910</v>
      </c>
      <c r="K889" s="26" t="s">
        <v>13</v>
      </c>
      <c r="L889" s="55">
        <v>46188.333054930554</v>
      </c>
      <c r="M889" s="26"/>
    </row>
    <row r="890" spans="1:13" ht="75" customHeight="1" thickTop="1" thickBot="1">
      <c r="A890" s="26">
        <v>888</v>
      </c>
      <c r="B890" s="55">
        <f ca="1">IFERROR(__xludf.DUMMYFUNCTION("""COMPUTED_VALUE"""),46188.3240538194)</f>
        <v>46188.3240538194</v>
      </c>
      <c r="C890" s="56" t="str">
        <f ca="1">IFERROR(__xludf.DUMMYFUNCTION("""COMPUTED_VALUE"""),"المعملجي")</f>
        <v>المعملجي</v>
      </c>
      <c r="D890" s="56" t="str">
        <f ca="1">IFERROR(__xludf.DUMMYFUNCTION("""COMPUTED_VALUE"""),"وحدة الكهرباء")</f>
        <v>وحدة الكهرباء</v>
      </c>
      <c r="E890" s="26" t="str">
        <f ca="1">IFERROR(__xludf.DUMMYFUNCTION("""COMPUTED_VALUE"""),"قسم المشاريع الهندسية")</f>
        <v>قسم المشاريع الهندسية</v>
      </c>
      <c r="F890" s="26" t="str">
        <f ca="1">IFERROR(__xludf.DUMMYFUNCTION("""COMPUTED_VALUE"""),"A- المركز الثقافي")</f>
        <v>A- المركز الثقافي</v>
      </c>
      <c r="G890" s="26"/>
      <c r="H890" s="26" t="str">
        <f ca="1">IFERROR(__xludf.DUMMYFUNCTION("""COMPUTED_VALUE"""),"اصلاح احد ابواب المصاعد وتنظيف السكة")</f>
        <v>اصلاح احد ابواب المصاعد وتنظيف السكة</v>
      </c>
      <c r="I890" s="26"/>
      <c r="J890" s="26" t="s">
        <v>3910</v>
      </c>
      <c r="K890" s="26" t="s">
        <v>13</v>
      </c>
      <c r="L890" s="55">
        <v>46188.333064386577</v>
      </c>
      <c r="M890" s="26"/>
    </row>
    <row r="891" spans="1:13" ht="75" customHeight="1" thickTop="1" thickBot="1">
      <c r="A891" s="34">
        <v>889</v>
      </c>
      <c r="B891" s="55">
        <f ca="1">IFERROR(__xludf.DUMMYFUNCTION("""COMPUTED_VALUE"""),46188.3250643287)</f>
        <v>46188.325064328703</v>
      </c>
      <c r="C891" s="56" t="str">
        <f ca="1">IFERROR(__xludf.DUMMYFUNCTION("""COMPUTED_VALUE"""),"المعملجي")</f>
        <v>المعملجي</v>
      </c>
      <c r="D891" s="56" t="str">
        <f ca="1">IFERROR(__xludf.DUMMYFUNCTION("""COMPUTED_VALUE"""),"وحدة الكهرباء")</f>
        <v>وحدة الكهرباء</v>
      </c>
      <c r="E891" s="26" t="str">
        <f ca="1">IFERROR(__xludf.DUMMYFUNCTION("""COMPUTED_VALUE"""),"قسم المشاريع الهندسية")</f>
        <v>قسم المشاريع الهندسية</v>
      </c>
      <c r="F891" s="26" t="str">
        <f ca="1">IFERROR(__xludf.DUMMYFUNCTION("""COMPUTED_VALUE"""),"I- ابتدائية الساقي للبنين (السادسة)")</f>
        <v>I- ابتدائية الساقي للبنين (السادسة)</v>
      </c>
      <c r="G891" s="26"/>
      <c r="H891" s="26" t="str">
        <f ca="1">IFERROR(__xludf.DUMMYFUNCTION("""COMPUTED_VALUE"""),"ترتيب واخفاء وايرات الشاشات ولـــ20 صف")</f>
        <v>ترتيب واخفاء وايرات الشاشات ولـــ20 صف</v>
      </c>
      <c r="I891" s="26"/>
      <c r="J891" s="26" t="s">
        <v>3910</v>
      </c>
      <c r="K891" s="26" t="s">
        <v>13</v>
      </c>
      <c r="L891" s="55">
        <v>46188.333074953705</v>
      </c>
      <c r="M891" s="26"/>
    </row>
    <row r="892" spans="1:13" ht="75" customHeight="1" thickTop="1" thickBot="1">
      <c r="A892" s="26">
        <v>890</v>
      </c>
      <c r="B892" s="55">
        <f ca="1">IFERROR(__xludf.DUMMYFUNCTION("""COMPUTED_VALUE"""),46188.3256832638)</f>
        <v>46188.3256832638</v>
      </c>
      <c r="C892" s="56" t="str">
        <f ca="1">IFERROR(__xludf.DUMMYFUNCTION("""COMPUTED_VALUE"""),"المعملجي")</f>
        <v>المعملجي</v>
      </c>
      <c r="D892" s="56" t="str">
        <f ca="1">IFERROR(__xludf.DUMMYFUNCTION("""COMPUTED_VALUE"""),"وحدة الكهرباء")</f>
        <v>وحدة الكهرباء</v>
      </c>
      <c r="E892" s="26" t="str">
        <f ca="1">IFERROR(__xludf.DUMMYFUNCTION("""COMPUTED_VALUE"""),"قسم المشاريع الهندسية")</f>
        <v>قسم المشاريع الهندسية</v>
      </c>
      <c r="F892" s="26" t="str">
        <f ca="1">IFERROR(__xludf.DUMMYFUNCTION("""COMPUTED_VALUE"""),"I- ابتدائية الساقي للبنين (السادسة)")</f>
        <v>I- ابتدائية الساقي للبنين (السادسة)</v>
      </c>
      <c r="G892" s="26" t="str">
        <f ca="1">IFERROR(__xludf.DUMMYFUNCTION("""COMPUTED_VALUE"""),"الطابق الارضي, ZONE A, الادارة")</f>
        <v>الطابق الارضي, ZONE A, الادارة</v>
      </c>
      <c r="H892" s="26" t="str">
        <f ca="1">IFERROR(__xludf.DUMMYFUNCTION("""COMPUTED_VALUE"""),"تثبيت شاشة قطعة تبريد داخلية  VRV")</f>
        <v>تثبيت شاشة قطعة تبريد داخلية  VRV</v>
      </c>
      <c r="I892" s="26"/>
      <c r="J892" s="26" t="s">
        <v>3910</v>
      </c>
      <c r="K892" s="26" t="s">
        <v>13</v>
      </c>
      <c r="L892" s="55">
        <v>46188.33308700232</v>
      </c>
      <c r="M892" s="26"/>
    </row>
    <row r="893" spans="1:13" ht="75" customHeight="1" thickTop="1" thickBot="1">
      <c r="A893" s="34">
        <v>891</v>
      </c>
      <c r="B893" s="55">
        <f ca="1">IFERROR(__xludf.DUMMYFUNCTION("""COMPUTED_VALUE"""),46188.3263309953)</f>
        <v>46188.326330995304</v>
      </c>
      <c r="C893" s="56" t="str">
        <f ca="1">IFERROR(__xludf.DUMMYFUNCTION("""COMPUTED_VALUE"""),"المعملجي")</f>
        <v>المعملجي</v>
      </c>
      <c r="D893" s="56" t="str">
        <f ca="1">IFERROR(__xludf.DUMMYFUNCTION("""COMPUTED_VALUE"""),"وحدة الكهرباء")</f>
        <v>وحدة الكهرباء</v>
      </c>
      <c r="E893" s="26" t="str">
        <f ca="1">IFERROR(__xludf.DUMMYFUNCTION("""COMPUTED_VALUE"""),"قسم المشاريع الهندسية")</f>
        <v>قسم المشاريع الهندسية</v>
      </c>
      <c r="F893" s="26" t="str">
        <f ca="1">IFERROR(__xludf.DUMMYFUNCTION("""COMPUTED_VALUE"""),"المالية, الثانية")</f>
        <v>المالية, الثانية</v>
      </c>
      <c r="G893" s="26"/>
      <c r="H893" s="26" t="str">
        <f ca="1">IFERROR(__xludf.DUMMYFUNCTION("""COMPUTED_VALUE"""),"تنظيم اماكن المكاتب من جديد وتثبيت تري كيبل ")</f>
        <v xml:space="preserve">تنظيم اماكن المكاتب من جديد وتثبيت تري كيبل </v>
      </c>
      <c r="I893" s="26"/>
      <c r="J893" s="26" t="s">
        <v>3910</v>
      </c>
      <c r="K893" s="26" t="s">
        <v>13</v>
      </c>
      <c r="L893" s="55">
        <v>46188.33309990741</v>
      </c>
      <c r="M893" s="26"/>
    </row>
    <row r="894" spans="1:13" ht="75" customHeight="1" thickTop="1" thickBot="1">
      <c r="A894" s="26">
        <v>892</v>
      </c>
      <c r="B894" s="55">
        <f ca="1">IFERROR(__xludf.DUMMYFUNCTION("""COMPUTED_VALUE"""),46188.326778449)</f>
        <v>46188.326778449002</v>
      </c>
      <c r="C894" s="56" t="str">
        <f ca="1">IFERROR(__xludf.DUMMYFUNCTION("""COMPUTED_VALUE"""),"المعملجي")</f>
        <v>المعملجي</v>
      </c>
      <c r="D894" s="56" t="str">
        <f ca="1">IFERROR(__xludf.DUMMYFUNCTION("""COMPUTED_VALUE"""),"وحدة الكهرباء")</f>
        <v>وحدة الكهرباء</v>
      </c>
      <c r="E894" s="26" t="str">
        <f ca="1">IFERROR(__xludf.DUMMYFUNCTION("""COMPUTED_VALUE"""),"قسم المشاريع الهندسية")</f>
        <v>قسم المشاريع الهندسية</v>
      </c>
      <c r="F894" s="26" t="str">
        <f ca="1">IFERROR(__xludf.DUMMYFUNCTION("""COMPUTED_VALUE"""),"شعبة الصيانة")</f>
        <v>شعبة الصيانة</v>
      </c>
      <c r="G894" s="26" t="str">
        <f ca="1">IFERROR(__xludf.DUMMYFUNCTION("""COMPUTED_VALUE"""),"وحدة الميكانيك")</f>
        <v>وحدة الميكانيك</v>
      </c>
      <c r="H894" s="26" t="str">
        <f ca="1">IFERROR(__xludf.DUMMYFUNCTION("""COMPUTED_VALUE""")," إرجاع الــLink الخاص بحاسبة وحدة الميكانيك حيث كان مفصول لمدة شهرين ")</f>
        <v xml:space="preserve"> إرجاع الــLink الخاص بحاسبة وحدة الميكانيك حيث كان مفصول لمدة شهرين </v>
      </c>
      <c r="I894" s="26"/>
      <c r="J894" s="26" t="s">
        <v>3910</v>
      </c>
      <c r="K894" s="26" t="s">
        <v>13</v>
      </c>
      <c r="L894" s="55">
        <v>46188.333101377313</v>
      </c>
      <c r="M894" s="26"/>
    </row>
    <row r="895" spans="1:13" ht="75" customHeight="1" thickTop="1" thickBot="1">
      <c r="A895" s="34">
        <v>893</v>
      </c>
      <c r="B895" s="55">
        <f ca="1">IFERROR(__xludf.DUMMYFUNCTION("""COMPUTED_VALUE"""),46188.3271856481)</f>
        <v>46188.327185648101</v>
      </c>
      <c r="C895" s="56" t="str">
        <f ca="1">IFERROR(__xludf.DUMMYFUNCTION("""COMPUTED_VALUE"""),"المعملجي")</f>
        <v>المعملجي</v>
      </c>
      <c r="D895" s="56" t="str">
        <f ca="1">IFERROR(__xludf.DUMMYFUNCTION("""COMPUTED_VALUE"""),"وحدة الكهرباء")</f>
        <v>وحدة الكهرباء</v>
      </c>
      <c r="E895" s="26" t="str">
        <f ca="1">IFERROR(__xludf.DUMMYFUNCTION("""COMPUTED_VALUE"""),"قسم المشاريع الهندسية")</f>
        <v>قسم المشاريع الهندسية</v>
      </c>
      <c r="F895" s="26" t="str">
        <f ca="1">IFERROR(__xludf.DUMMYFUNCTION("""COMPUTED_VALUE"""),"C- ثانوية العميد بناية الاعدادية  (الاولى)")</f>
        <v>C- ثانوية العميد بناية الاعدادية  (الاولى)</v>
      </c>
      <c r="G895" s="26" t="str">
        <f ca="1">IFERROR(__xludf.DUMMYFUNCTION("""COMPUTED_VALUE"""),"الطابق الثاني, المطعم")</f>
        <v>الطابق الثاني, المطعم</v>
      </c>
      <c r="H895" s="26" t="str">
        <f ca="1">IFERROR(__xludf.DUMMYFUNCTION("""COMPUTED_VALUE"""),"تغذية سبلت كنتوري سعة 3طن مستحدث في المدرسة")</f>
        <v>تغذية سبلت كنتوري سعة 3طن مستحدث في المدرسة</v>
      </c>
      <c r="I895" s="26"/>
      <c r="J895" s="26" t="s">
        <v>3910</v>
      </c>
      <c r="K895" s="26" t="s">
        <v>13</v>
      </c>
      <c r="L895" s="55">
        <v>46188.333110763888</v>
      </c>
      <c r="M895" s="26"/>
    </row>
    <row r="896" spans="1:13" ht="75" customHeight="1" thickTop="1" thickBot="1">
      <c r="A896" s="26">
        <v>894</v>
      </c>
      <c r="B896" s="55">
        <f ca="1">IFERROR(__xludf.DUMMYFUNCTION("""COMPUTED_VALUE"""),46188.3275613541)</f>
        <v>46188.327561354097</v>
      </c>
      <c r="C896" s="56" t="str">
        <f ca="1">IFERROR(__xludf.DUMMYFUNCTION("""COMPUTED_VALUE"""),"المعملجي")</f>
        <v>المعملجي</v>
      </c>
      <c r="D896" s="56" t="str">
        <f ca="1">IFERROR(__xludf.DUMMYFUNCTION("""COMPUTED_VALUE"""),"وحدة الكهرباء")</f>
        <v>وحدة الكهرباء</v>
      </c>
      <c r="E896" s="26" t="str">
        <f ca="1">IFERROR(__xludf.DUMMYFUNCTION("""COMPUTED_VALUE"""),"قسم المشاريع الهندسية")</f>
        <v>قسم المشاريع الهندسية</v>
      </c>
      <c r="F896" s="26" t="str">
        <f ca="1">IFERROR(__xludf.DUMMYFUNCTION("""COMPUTED_VALUE"""),"E- ابتدائية العميد للبنات (الثالثة)")</f>
        <v>E- ابتدائية العميد للبنات (الثالثة)</v>
      </c>
      <c r="G896" s="26" t="str">
        <f ca="1">IFERROR(__xludf.DUMMYFUNCTION("""COMPUTED_VALUE"""),"الطابق الارضي, غرفة الكهرباء")</f>
        <v>الطابق الارضي, غرفة الكهرباء</v>
      </c>
      <c r="H896" s="26" t="str">
        <f ca="1">IFERROR(__xludf.DUMMYFUNCTION("""COMPUTED_VALUE"""),"استبدال قاطع رباعي بحجم 100A تالف في بورد خدمات المدرسة")</f>
        <v>استبدال قاطع رباعي بحجم 100A تالف في بورد خدمات المدرسة</v>
      </c>
      <c r="I896" s="26"/>
      <c r="J896" s="26" t="s">
        <v>3910</v>
      </c>
      <c r="K896" s="26" t="s">
        <v>13</v>
      </c>
      <c r="L896" s="55">
        <v>46188.333123553239</v>
      </c>
      <c r="M896" s="26"/>
    </row>
    <row r="897" spans="1:13" ht="75" customHeight="1" thickTop="1" thickBot="1">
      <c r="A897" s="34">
        <v>895</v>
      </c>
      <c r="B897" s="55">
        <f ca="1">IFERROR(__xludf.DUMMYFUNCTION("""COMPUTED_VALUE"""),46188.3279570138)</f>
        <v>46188.327957013797</v>
      </c>
      <c r="C897" s="56" t="str">
        <f ca="1">IFERROR(__xludf.DUMMYFUNCTION("""COMPUTED_VALUE"""),"المعملجي")</f>
        <v>المعملجي</v>
      </c>
      <c r="D897" s="56" t="str">
        <f ca="1">IFERROR(__xludf.DUMMYFUNCTION("""COMPUTED_VALUE"""),"وحدة الكهرباء")</f>
        <v>وحدة الكهرباء</v>
      </c>
      <c r="E897" s="26" t="str">
        <f ca="1">IFERROR(__xludf.DUMMYFUNCTION("""COMPUTED_VALUE"""),"قسم المشاريع الهندسية")</f>
        <v>قسم المشاريع الهندسية</v>
      </c>
      <c r="F897" s="26" t="str">
        <f ca="1">IFERROR(__xludf.DUMMYFUNCTION("""COMPUTED_VALUE"""),"D- ثانوية العميد بناية المتوسطة  (الثانية)")</f>
        <v>D- ثانوية العميد بناية المتوسطة  (الثانية)</v>
      </c>
      <c r="G897" s="26" t="str">
        <f ca="1">IFERROR(__xludf.DUMMYFUNCTION("""COMPUTED_VALUE"""),"الطابق الارضي, غرفة الكهرباء")</f>
        <v>الطابق الارضي, غرفة الكهرباء</v>
      </c>
      <c r="H897" s="26" t="str">
        <f ca="1">IFERROR(__xludf.DUMMYFUNCTION("""COMPUTED_VALUE"""),"استبدال قاطع رباعي بحجم 100A تالف في بورد خدمات المدرسة")</f>
        <v>استبدال قاطع رباعي بحجم 100A تالف في بورد خدمات المدرسة</v>
      </c>
      <c r="I897" s="26"/>
      <c r="J897" s="26" t="s">
        <v>3910</v>
      </c>
      <c r="K897" s="26" t="s">
        <v>13</v>
      </c>
      <c r="L897" s="55">
        <v>46188.333129097227</v>
      </c>
      <c r="M897" s="26"/>
    </row>
    <row r="898" spans="1:13" ht="75" customHeight="1" thickTop="1" thickBot="1">
      <c r="A898" s="26">
        <v>896</v>
      </c>
      <c r="B898" s="55">
        <f ca="1">IFERROR(__xludf.DUMMYFUNCTION("""COMPUTED_VALUE"""),46188.3282558796)</f>
        <v>46188.328255879598</v>
      </c>
      <c r="C898" s="56" t="str">
        <f ca="1">IFERROR(__xludf.DUMMYFUNCTION("""COMPUTED_VALUE"""),"المعملجي")</f>
        <v>المعملجي</v>
      </c>
      <c r="D898" s="56" t="str">
        <f ca="1">IFERROR(__xludf.DUMMYFUNCTION("""COMPUTED_VALUE"""),"وحدة الكهرباء")</f>
        <v>وحدة الكهرباء</v>
      </c>
      <c r="E898" s="26" t="str">
        <f ca="1">IFERROR(__xludf.DUMMYFUNCTION("""COMPUTED_VALUE"""),"قسم المشاريع الهندسية")</f>
        <v>قسم المشاريع الهندسية</v>
      </c>
      <c r="F898" s="26" t="str">
        <f ca="1">IFERROR(__xludf.DUMMYFUNCTION("""COMPUTED_VALUE"""),"C- ثانوية العميد بناية الاعدادية  (الاولى)")</f>
        <v>C- ثانوية العميد بناية الاعدادية  (الاولى)</v>
      </c>
      <c r="G898" s="26" t="str">
        <f ca="1">IFERROR(__xludf.DUMMYFUNCTION("""COMPUTED_VALUE"""),"الطابق الارضي, غرفة الكهرباء")</f>
        <v>الطابق الارضي, غرفة الكهرباء</v>
      </c>
      <c r="H898" s="26" t="str">
        <f ca="1">IFERROR(__xludf.DUMMYFUNCTION("""COMPUTED_VALUE"""),"استبدال قاطع رباعي بحجم 100A تالف في بورد خدمات المدرسة")</f>
        <v>استبدال قاطع رباعي بحجم 100A تالف في بورد خدمات المدرسة</v>
      </c>
      <c r="I898" s="26"/>
      <c r="J898" s="26" t="s">
        <v>3910</v>
      </c>
      <c r="K898" s="26" t="s">
        <v>13</v>
      </c>
      <c r="L898" s="55">
        <v>46188.333142881944</v>
      </c>
      <c r="M898" s="26"/>
    </row>
    <row r="899" spans="1:13" ht="75" customHeight="1" thickTop="1" thickBot="1">
      <c r="A899" s="34">
        <v>897</v>
      </c>
      <c r="B899" s="55">
        <f ca="1">IFERROR(__xludf.DUMMYFUNCTION("""COMPUTED_VALUE"""),46188.3290004861)</f>
        <v>46188.329000486097</v>
      </c>
      <c r="C899" s="56" t="str">
        <f ca="1">IFERROR(__xludf.DUMMYFUNCTION("""COMPUTED_VALUE"""),"المعملجي")</f>
        <v>المعملجي</v>
      </c>
      <c r="D899" s="56" t="str">
        <f ca="1">IFERROR(__xludf.DUMMYFUNCTION("""COMPUTED_VALUE"""),"وحدة الكهرباء")</f>
        <v>وحدة الكهرباء</v>
      </c>
      <c r="E899" s="26" t="str">
        <f ca="1">IFERROR(__xludf.DUMMYFUNCTION("""COMPUTED_VALUE"""),"قسم المشاريع الهندسية")</f>
        <v>قسم المشاريع الهندسية</v>
      </c>
      <c r="F899" s="26" t="str">
        <f ca="1">IFERROR(__xludf.DUMMYFUNCTION("""COMPUTED_VALUE"""),"F-  ابتدائية جود العميد للبنات (الرابعة)")</f>
        <v>F-  ابتدائية جود العميد للبنات (الرابعة)</v>
      </c>
      <c r="G899" s="26" t="str">
        <f ca="1">IFERROR(__xludf.DUMMYFUNCTION("""COMPUTED_VALUE"""),"الطابق الارضي, ZONE A")</f>
        <v>الطابق الارضي, ZONE A</v>
      </c>
      <c r="H899" s="26" t="str">
        <f ca="1">IFERROR(__xludf.DUMMYFUNCTION("""COMPUTED_VALUE"""),"استبدال بلك اسويج 13A باخر 32A")</f>
        <v>استبدال بلك اسويج 13A باخر 32A</v>
      </c>
      <c r="I899" s="26"/>
      <c r="J899" s="26" t="s">
        <v>3910</v>
      </c>
      <c r="K899" s="26" t="s">
        <v>13</v>
      </c>
      <c r="L899" s="55">
        <v>46188.333156886569</v>
      </c>
      <c r="M899" s="26"/>
    </row>
    <row r="900" spans="1:13" ht="75" customHeight="1" thickTop="1" thickBot="1">
      <c r="A900" s="26">
        <v>898</v>
      </c>
      <c r="B900" s="55">
        <f ca="1">IFERROR(__xludf.DUMMYFUNCTION("""COMPUTED_VALUE"""),46188.329437361)</f>
        <v>46188.329437361099</v>
      </c>
      <c r="C900" s="56" t="str">
        <f ca="1">IFERROR(__xludf.DUMMYFUNCTION("""COMPUTED_VALUE"""),"المعملجي")</f>
        <v>المعملجي</v>
      </c>
      <c r="D900" s="56" t="str">
        <f ca="1">IFERROR(__xludf.DUMMYFUNCTION("""COMPUTED_VALUE"""),"وحدة الكهرباء")</f>
        <v>وحدة الكهرباء</v>
      </c>
      <c r="E900" s="26" t="str">
        <f ca="1">IFERROR(__xludf.DUMMYFUNCTION("""COMPUTED_VALUE"""),"قسم المشاريع الهندسية")</f>
        <v>قسم المشاريع الهندسية</v>
      </c>
      <c r="F900" s="26" t="str">
        <f ca="1">IFERROR(__xludf.DUMMYFUNCTION("""COMPUTED_VALUE"""),"شعبة الصيانة, مسؤول الشعبة")</f>
        <v>شعبة الصيانة, مسؤول الشعبة</v>
      </c>
      <c r="G900" s="26"/>
      <c r="H900" s="26" t="str">
        <f ca="1">IFERROR(__xludf.DUMMYFUNCTION("""COMPUTED_VALUE"""),"اضافة بلك سويج 13A")</f>
        <v>اضافة بلك سويج 13A</v>
      </c>
      <c r="I900" s="26"/>
      <c r="J900" s="26" t="s">
        <v>3910</v>
      </c>
      <c r="K900" s="26" t="s">
        <v>13</v>
      </c>
      <c r="L900" s="55">
        <v>46188.333156956018</v>
      </c>
      <c r="M900" s="26"/>
    </row>
    <row r="901" spans="1:13" ht="75" customHeight="1" thickTop="1" thickBot="1">
      <c r="A901" s="34">
        <v>899</v>
      </c>
      <c r="B901" s="55">
        <f ca="1">IFERROR(__xludf.DUMMYFUNCTION("""COMPUTED_VALUE"""),46188.330003993)</f>
        <v>46188.330003993004</v>
      </c>
      <c r="C901" s="56" t="str">
        <f ca="1">IFERROR(__xludf.DUMMYFUNCTION("""COMPUTED_VALUE"""),"المعملجي")</f>
        <v>المعملجي</v>
      </c>
      <c r="D901" s="56" t="str">
        <f ca="1">IFERROR(__xludf.DUMMYFUNCTION("""COMPUTED_VALUE"""),"وحدة الكهرباء")</f>
        <v>وحدة الكهرباء</v>
      </c>
      <c r="E901" s="26" t="str">
        <f ca="1">IFERROR(__xludf.DUMMYFUNCTION("""COMPUTED_VALUE"""),"قسم المشاريع الهندسية")</f>
        <v>قسم المشاريع الهندسية</v>
      </c>
      <c r="F901" s="26" t="str">
        <f ca="1">IFERROR(__xludf.DUMMYFUNCTION("""COMPUTED_VALUE"""),"A- المركز الثقافي, ")</f>
        <v xml:space="preserve">A- المركز الثقافي, </v>
      </c>
      <c r="G901" s="26" t="str">
        <f ca="1">IFERROR(__xludf.DUMMYFUNCTION("""COMPUTED_VALUE"""),"الطابق الاول, رئاسة القسم")</f>
        <v>الطابق الاول, رئاسة القسم</v>
      </c>
      <c r="H901" s="26" t="str">
        <f ca="1">IFERROR(__xludf.DUMMYFUNCTION("""COMPUTED_VALUE"""),"صيانة بلك سويج")</f>
        <v>صيانة بلك سويج</v>
      </c>
      <c r="I901" s="26"/>
      <c r="J901" s="26" t="s">
        <v>3910</v>
      </c>
      <c r="K901" s="26" t="s">
        <v>13</v>
      </c>
      <c r="L901" s="55">
        <v>46188.333167384262</v>
      </c>
      <c r="M901" s="26"/>
    </row>
    <row r="902" spans="1:13" ht="75" customHeight="1" thickTop="1" thickBot="1">
      <c r="A902" s="26">
        <v>900</v>
      </c>
      <c r="B902" s="55">
        <f ca="1">IFERROR(__xludf.DUMMYFUNCTION("""COMPUTED_VALUE"""),46188.3306347801)</f>
        <v>46188.330634780097</v>
      </c>
      <c r="C902" s="56" t="str">
        <f ca="1">IFERROR(__xludf.DUMMYFUNCTION("""COMPUTED_VALUE"""),"المعملجي")</f>
        <v>المعملجي</v>
      </c>
      <c r="D902" s="56" t="str">
        <f ca="1">IFERROR(__xludf.DUMMYFUNCTION("""COMPUTED_VALUE"""),"وحدة الكهرباء")</f>
        <v>وحدة الكهرباء</v>
      </c>
      <c r="E902" s="26" t="str">
        <f ca="1">IFERROR(__xludf.DUMMYFUNCTION("""COMPUTED_VALUE"""),"قسم المشاريع الهندسية")</f>
        <v>قسم المشاريع الهندسية</v>
      </c>
      <c r="F902" s="26" t="str">
        <f ca="1">IFERROR(__xludf.DUMMYFUNCTION("""COMPUTED_VALUE"""),"A- المركز الثقافي")</f>
        <v>A- المركز الثقافي</v>
      </c>
      <c r="G902" s="26" t="str">
        <f ca="1">IFERROR(__xludf.DUMMYFUNCTION("""COMPUTED_VALUE"""),"الطابق الارضي, رئاسة القسم")</f>
        <v>الطابق الارضي, رئاسة القسم</v>
      </c>
      <c r="H902" s="26" t="str">
        <f ca="1">IFERROR(__xludf.DUMMYFUNCTION("""COMPUTED_VALUE"""),"صيانة انارة منشورية")</f>
        <v>صيانة انارة منشورية</v>
      </c>
      <c r="I902" s="26"/>
      <c r="J902" s="26" t="s">
        <v>3910</v>
      </c>
      <c r="K902" s="26" t="s">
        <v>13</v>
      </c>
      <c r="L902" s="55">
        <v>46188.333176932865</v>
      </c>
      <c r="M902" s="26"/>
    </row>
    <row r="903" spans="1:13" ht="75" customHeight="1" thickTop="1" thickBot="1">
      <c r="A903" s="34">
        <v>901</v>
      </c>
      <c r="B903" s="55">
        <f ca="1">IFERROR(__xludf.DUMMYFUNCTION("""COMPUTED_VALUE"""),46188.3324148611)</f>
        <v>46188.332414861099</v>
      </c>
      <c r="C903" s="56" t="str">
        <f ca="1">IFERROR(__xludf.DUMMYFUNCTION("""COMPUTED_VALUE"""),"المعملجي")</f>
        <v>المعملجي</v>
      </c>
      <c r="D903" s="56" t="str">
        <f ca="1">IFERROR(__xludf.DUMMYFUNCTION("""COMPUTED_VALUE"""),"وحدة الكهرباء")</f>
        <v>وحدة الكهرباء</v>
      </c>
      <c r="E903" s="26" t="str">
        <f ca="1">IFERROR(__xludf.DUMMYFUNCTION("""COMPUTED_VALUE"""),"قسم المشاريع الهندسية")</f>
        <v>قسم المشاريع الهندسية</v>
      </c>
      <c r="F903" s="26" t="str">
        <f ca="1">IFERROR(__xludf.DUMMYFUNCTION("""COMPUTED_VALUE"""),"A- المركز الثقافي")</f>
        <v>A- المركز الثقافي</v>
      </c>
      <c r="G903" s="26" t="str">
        <f ca="1">IFERROR(__xludf.DUMMYFUNCTION("""COMPUTED_VALUE"""),"الطابق الارضي, قاعة سراج العميد")</f>
        <v>الطابق الارضي, قاعة سراج العميد</v>
      </c>
      <c r="H903" s="26" t="str">
        <f ca="1">IFERROR(__xludf.DUMMYFUNCTION("""COMPUTED_VALUE"""),"صيانة شورت سيركت كهربائي في القاعة واستبدال 4 محولات سبوت لايت")</f>
        <v>صيانة شورت سيركت كهربائي في القاعة واستبدال 4 محولات سبوت لايت</v>
      </c>
      <c r="I903" s="26"/>
      <c r="J903" s="26" t="s">
        <v>3910</v>
      </c>
      <c r="K903" s="26" t="s">
        <v>13</v>
      </c>
      <c r="L903" s="55">
        <v>46188.333186990742</v>
      </c>
      <c r="M903" s="26"/>
    </row>
    <row r="904" spans="1:13" ht="75" customHeight="1" thickTop="1" thickBot="1">
      <c r="A904" s="26">
        <v>902</v>
      </c>
      <c r="B904" s="55">
        <f ca="1">IFERROR(__xludf.DUMMYFUNCTION("""COMPUTED_VALUE"""),46189.4676174884)</f>
        <v>46189.467617488401</v>
      </c>
      <c r="C904" s="56" t="str">
        <f ca="1">IFERROR(__xludf.DUMMYFUNCTION("""COMPUTED_VALUE"""),"المعملجي")</f>
        <v>المعملجي</v>
      </c>
      <c r="D904" s="56" t="str">
        <f ca="1">IFERROR(__xludf.DUMMYFUNCTION("""COMPUTED_VALUE"""),"ابراهيم الخطابي")</f>
        <v>ابراهيم الخطابي</v>
      </c>
      <c r="E904" s="26" t="str">
        <f ca="1">IFERROR(__xludf.DUMMYFUNCTION("""COMPUTED_VALUE"""),"مجموعة العميد التربوية")</f>
        <v>مجموعة العميد التربوية</v>
      </c>
      <c r="F904" s="26" t="str">
        <f ca="1">IFERROR(__xludf.DUMMYFUNCTION("""COMPUTED_VALUE"""),"E- ابتدائية العميد للبنات (الثالثة)")</f>
        <v>E- ابتدائية العميد للبنات (الثالثة)</v>
      </c>
      <c r="G904" s="26" t="str">
        <f ca="1">IFERROR(__xludf.DUMMYFUNCTION("""COMPUTED_VALUE"""),"الطابق الارضي")</f>
        <v>الطابق الارضي</v>
      </c>
      <c r="H904" s="26" t="str">
        <f ca="1">IFERROR(__xludf.DUMMYFUNCTION("""COMPUTED_VALUE"""),"حمامات الطلاب / الساحة الخارجية (صيانة الاضائة)")</f>
        <v>حمامات الطلاب / الساحة الخارجية (صيانة الاضائة)</v>
      </c>
      <c r="I904" s="26"/>
      <c r="J904" s="26" t="s">
        <v>3910</v>
      </c>
      <c r="K904" s="26" t="s">
        <v>13</v>
      </c>
      <c r="L904" s="55">
        <v>46189.570075717595</v>
      </c>
      <c r="M904" s="26"/>
    </row>
    <row r="905" spans="1:13" ht="75" customHeight="1" thickTop="1" thickBot="1">
      <c r="A905" s="34">
        <v>903</v>
      </c>
      <c r="B905" s="55">
        <f ca="1">IFERROR(__xludf.DUMMYFUNCTION("""COMPUTED_VALUE"""),46189.4686937963)</f>
        <v>46189.468693796298</v>
      </c>
      <c r="C905" s="56" t="str">
        <f ca="1">IFERROR(__xludf.DUMMYFUNCTION("""COMPUTED_VALUE"""),"المعملجي")</f>
        <v>المعملجي</v>
      </c>
      <c r="D905" s="56" t="str">
        <f ca="1">IFERROR(__xludf.DUMMYFUNCTION("""COMPUTED_VALUE"""),"ابراهيم الخطابي")</f>
        <v>ابراهيم الخطابي</v>
      </c>
      <c r="E905" s="26" t="str">
        <f ca="1">IFERROR(__xludf.DUMMYFUNCTION("""COMPUTED_VALUE"""),"مجموعة العميد التربوية")</f>
        <v>مجموعة العميد التربوية</v>
      </c>
      <c r="F905" s="26" t="str">
        <f ca="1">IFERROR(__xludf.DUMMYFUNCTION("""COMPUTED_VALUE"""),"E- ابتدائية العميد للبنات (الثالثة)")</f>
        <v>E- ابتدائية العميد للبنات (الثالثة)</v>
      </c>
      <c r="G905" s="26" t="str">
        <f ca="1">IFERROR(__xludf.DUMMYFUNCTION("""COMPUTED_VALUE"""),"الطابق الاول")</f>
        <v>الطابق الاول</v>
      </c>
      <c r="H905" s="26" t="str">
        <f ca="1">IFERROR(__xludf.DUMMYFUNCTION("""COMPUTED_VALUE"""),"السادس أ (صيانة يده شباك) (بردة عدد 2 تلف)")</f>
        <v>السادس أ (صيانة يده شباك) (بردة عدد 2 تلف)</v>
      </c>
      <c r="I905" s="26"/>
      <c r="J905" s="26" t="s">
        <v>16</v>
      </c>
      <c r="K905" s="26" t="s">
        <v>13</v>
      </c>
      <c r="L905" s="55">
        <v>46189.570136608796</v>
      </c>
      <c r="M905" s="26"/>
    </row>
    <row r="906" spans="1:13" ht="75" customHeight="1" thickTop="1" thickBot="1">
      <c r="A906" s="26">
        <v>904</v>
      </c>
      <c r="B906" s="55">
        <f ca="1">IFERROR(__xludf.DUMMYFUNCTION("""COMPUTED_VALUE"""),46189.4698186805)</f>
        <v>46189.469818680504</v>
      </c>
      <c r="C906" s="56" t="str">
        <f ca="1">IFERROR(__xludf.DUMMYFUNCTION("""COMPUTED_VALUE"""),"المعملجي")</f>
        <v>المعملجي</v>
      </c>
      <c r="D906" s="56" t="str">
        <f ca="1">IFERROR(__xludf.DUMMYFUNCTION("""COMPUTED_VALUE"""),"ابراهيم الخطابي")</f>
        <v>ابراهيم الخطابي</v>
      </c>
      <c r="E906" s="26" t="str">
        <f ca="1">IFERROR(__xludf.DUMMYFUNCTION("""COMPUTED_VALUE"""),"مجموعة العميد التربوية")</f>
        <v>مجموعة العميد التربوية</v>
      </c>
      <c r="F906" s="26" t="str">
        <f ca="1">IFERROR(__xludf.DUMMYFUNCTION("""COMPUTED_VALUE"""),"E- ابتدائية العميد للبنات (الثالثة)")</f>
        <v>E- ابتدائية العميد للبنات (الثالثة)</v>
      </c>
      <c r="G906" s="26" t="str">
        <f ca="1">IFERROR(__xludf.DUMMYFUNCTION("""COMPUTED_VALUE"""),"الطابق الاول")</f>
        <v>الطابق الاول</v>
      </c>
      <c r="H906" s="26" t="str">
        <f ca="1">IFERROR(__xludf.DUMMYFUNCTION("""COMPUTED_VALUE"""),"السادس ب  ميز المعلم  /السادس د صيانة يدة شباك")</f>
        <v>السادس ب  ميز المعلم  /السادس د صيانة يدة شباك</v>
      </c>
      <c r="I906" s="26"/>
      <c r="J906" s="26" t="s">
        <v>16</v>
      </c>
      <c r="K906" s="26" t="s">
        <v>13</v>
      </c>
      <c r="L906" s="55">
        <v>46189.570188865742</v>
      </c>
      <c r="M906" s="26"/>
    </row>
    <row r="907" spans="1:13" ht="75" customHeight="1" thickTop="1" thickBot="1">
      <c r="A907" s="34">
        <v>905</v>
      </c>
      <c r="B907" s="55">
        <f ca="1">IFERROR(__xludf.DUMMYFUNCTION("""COMPUTED_VALUE"""),46189.4717410995)</f>
        <v>46189.4717410995</v>
      </c>
      <c r="C907" s="56" t="str">
        <f ca="1">IFERROR(__xludf.DUMMYFUNCTION("""COMPUTED_VALUE"""),"المعملجي")</f>
        <v>المعملجي</v>
      </c>
      <c r="D907" s="56" t="str">
        <f ca="1">IFERROR(__xludf.DUMMYFUNCTION("""COMPUTED_VALUE"""),"ابراهيم الخطابي")</f>
        <v>ابراهيم الخطابي</v>
      </c>
      <c r="E907" s="26" t="str">
        <f ca="1">IFERROR(__xludf.DUMMYFUNCTION("""COMPUTED_VALUE"""),"مجموعة العميد التربوية")</f>
        <v>مجموعة العميد التربوية</v>
      </c>
      <c r="F907" s="26" t="str">
        <f ca="1">IFERROR(__xludf.DUMMYFUNCTION("""COMPUTED_VALUE"""),"E- ابتدائية العميد للبنات (الثالثة)")</f>
        <v>E- ابتدائية العميد للبنات (الثالثة)</v>
      </c>
      <c r="G907" s="26" t="str">
        <f ca="1">IFERROR(__xludf.DUMMYFUNCTION("""COMPUTED_VALUE"""),"الطابق الاول")</f>
        <v>الطابق الاول</v>
      </c>
      <c r="H907" s="26" t="str">
        <f ca="1">IFERROR(__xludf.DUMMYFUNCTION("""COMPUTED_VALUE"""),"الساحة الخارجية الصف الثاني ج  (الركن صيانة بردات +ميز المعلمة)")</f>
        <v>الساحة الخارجية الصف الثاني ج  (الركن صيانة بردات +ميز المعلمة)</v>
      </c>
      <c r="I907" s="26"/>
      <c r="J907" s="26" t="s">
        <v>16</v>
      </c>
      <c r="K907" s="26" t="s">
        <v>13</v>
      </c>
      <c r="L907" s="55">
        <v>46189.570260949069</v>
      </c>
      <c r="M907" s="26"/>
    </row>
    <row r="908" spans="1:13" ht="75" customHeight="1" thickTop="1" thickBot="1">
      <c r="A908" s="26">
        <v>906</v>
      </c>
      <c r="B908" s="55">
        <f ca="1">IFERROR(__xludf.DUMMYFUNCTION("""COMPUTED_VALUE"""),46189.473308912)</f>
        <v>46189.473308911998</v>
      </c>
      <c r="C908" s="56" t="str">
        <f ca="1">IFERROR(__xludf.DUMMYFUNCTION("""COMPUTED_VALUE"""),"المعملجي")</f>
        <v>المعملجي</v>
      </c>
      <c r="D908" s="56" t="str">
        <f ca="1">IFERROR(__xludf.DUMMYFUNCTION("""COMPUTED_VALUE"""),"ابراهيم الخطابي")</f>
        <v>ابراهيم الخطابي</v>
      </c>
      <c r="E908" s="26" t="str">
        <f ca="1">IFERROR(__xludf.DUMMYFUNCTION("""COMPUTED_VALUE"""),"مجموعة العميد التربوية")</f>
        <v>مجموعة العميد التربوية</v>
      </c>
      <c r="F908" s="26" t="str">
        <f ca="1">IFERROR(__xludf.DUMMYFUNCTION("""COMPUTED_VALUE"""),"E- ابتدائية العميد للبنات (الثالثة)")</f>
        <v>E- ابتدائية العميد للبنات (الثالثة)</v>
      </c>
      <c r="G908" s="26" t="str">
        <f ca="1">IFERROR(__xludf.DUMMYFUNCTION("""COMPUTED_VALUE"""),"الطابق الاول")</f>
        <v>الطابق الاول</v>
      </c>
      <c r="H908" s="26" t="str">
        <f ca="1">IFERROR(__xludf.DUMMYFUNCTION("""COMPUTED_VALUE"""),"صف الثالث أ /صيانة بردات /صف الثالث ج/صيانة  بردة")</f>
        <v>صف الثالث أ /صيانة بردات /صف الثالث ج/صيانة  بردة</v>
      </c>
      <c r="I908" s="26"/>
      <c r="J908" s="26" t="s">
        <v>16</v>
      </c>
      <c r="K908" s="26" t="s">
        <v>13</v>
      </c>
      <c r="L908" s="55">
        <v>46189.570333344906</v>
      </c>
      <c r="M908" s="26"/>
    </row>
    <row r="909" spans="1:13" ht="75" customHeight="1" thickTop="1" thickBot="1">
      <c r="A909" s="34">
        <v>907</v>
      </c>
      <c r="B909" s="55">
        <f ca="1">IFERROR(__xludf.DUMMYFUNCTION("""COMPUTED_VALUE"""),46189.4744601504)</f>
        <v>46189.474460150399</v>
      </c>
      <c r="C909" s="56" t="str">
        <f ca="1">IFERROR(__xludf.DUMMYFUNCTION("""COMPUTED_VALUE"""),"المعملجي")</f>
        <v>المعملجي</v>
      </c>
      <c r="D909" s="56" t="str">
        <f ca="1">IFERROR(__xludf.DUMMYFUNCTION("""COMPUTED_VALUE"""),"ابراهيم الخطابي")</f>
        <v>ابراهيم الخطابي</v>
      </c>
      <c r="E909" s="26" t="str">
        <f ca="1">IFERROR(__xludf.DUMMYFUNCTION("""COMPUTED_VALUE"""),"مجموعة العميد التربوية")</f>
        <v>مجموعة العميد التربوية</v>
      </c>
      <c r="F909" s="26" t="str">
        <f ca="1">IFERROR(__xludf.DUMMYFUNCTION("""COMPUTED_VALUE"""),"E- ابتدائية العميد للبنات (الثالثة)")</f>
        <v>E- ابتدائية العميد للبنات (الثالثة)</v>
      </c>
      <c r="G909" s="26" t="str">
        <f ca="1">IFERROR(__xludf.DUMMYFUNCTION("""COMPUTED_VALUE"""),"الطابق الثاني")</f>
        <v>الطابق الثاني</v>
      </c>
      <c r="H909" s="26" t="str">
        <f ca="1">IFERROR(__xludf.DUMMYFUNCTION("""COMPUTED_VALUE"""),"مختبر العلوم //صيانة كرسي طالب")</f>
        <v>مختبر العلوم //صيانة كرسي طالب</v>
      </c>
      <c r="I909" s="26"/>
      <c r="J909" s="26" t="s">
        <v>16</v>
      </c>
      <c r="K909" s="26" t="s">
        <v>13</v>
      </c>
      <c r="L909" s="55">
        <v>46189.570397337964</v>
      </c>
      <c r="M909" s="26"/>
    </row>
    <row r="910" spans="1:13" ht="75" customHeight="1" thickTop="1" thickBot="1">
      <c r="A910" s="26">
        <v>908</v>
      </c>
      <c r="B910" s="55">
        <f ca="1">IFERROR(__xludf.DUMMYFUNCTION("""COMPUTED_VALUE"""),46189.4758059606)</f>
        <v>46189.475805960603</v>
      </c>
      <c r="C910" s="56" t="str">
        <f ca="1">IFERROR(__xludf.DUMMYFUNCTION("""COMPUTED_VALUE"""),"المعملجي")</f>
        <v>المعملجي</v>
      </c>
      <c r="D910" s="56" t="str">
        <f ca="1">IFERROR(__xludf.DUMMYFUNCTION("""COMPUTED_VALUE"""),"ابراهيم الخطابي")</f>
        <v>ابراهيم الخطابي</v>
      </c>
      <c r="E910" s="26" t="str">
        <f ca="1">IFERROR(__xludf.DUMMYFUNCTION("""COMPUTED_VALUE"""),"مجموعة العميد التربوية")</f>
        <v>مجموعة العميد التربوية</v>
      </c>
      <c r="F910" s="26" t="str">
        <f ca="1">IFERROR(__xludf.DUMMYFUNCTION("""COMPUTED_VALUE"""),"E- ابتدائية العميد للبنات (الثالثة)")</f>
        <v>E- ابتدائية العميد للبنات (الثالثة)</v>
      </c>
      <c r="G910" s="26" t="str">
        <f ca="1">IFERROR(__xludf.DUMMYFUNCTION("""COMPUTED_VALUE"""),"الطابق الثاني")</f>
        <v>الطابق الثاني</v>
      </c>
      <c r="H910" s="26" t="str">
        <f ca="1">IFERROR(__xludf.DUMMYFUNCTION("""COMPUTED_VALUE"""),"جهت المطعم توجد كراسي بحاجة للصيانة")</f>
        <v>جهت المطعم توجد كراسي بحاجة للصيانة</v>
      </c>
      <c r="I910" s="26"/>
      <c r="J910" s="26" t="s">
        <v>16</v>
      </c>
      <c r="K910" s="26" t="s">
        <v>13</v>
      </c>
      <c r="L910" s="55">
        <v>46189.599123657405</v>
      </c>
      <c r="M910" s="26"/>
    </row>
    <row r="911" spans="1:13" ht="75" customHeight="1" thickTop="1" thickBot="1">
      <c r="A911" s="34">
        <v>909</v>
      </c>
      <c r="B911" s="55">
        <f ca="1">IFERROR(__xludf.DUMMYFUNCTION("""COMPUTED_VALUE"""),46189.5384163888)</f>
        <v>46189.538416388801</v>
      </c>
      <c r="C911" s="56" t="str">
        <f ca="1">IFERROR(__xludf.DUMMYFUNCTION("""COMPUTED_VALUE"""),"المعملجي")</f>
        <v>المعملجي</v>
      </c>
      <c r="D911" s="56" t="str">
        <f ca="1">IFERROR(__xludf.DUMMYFUNCTION("""COMPUTED_VALUE"""),"ابراهيم الخطابي")</f>
        <v>ابراهيم الخطابي</v>
      </c>
      <c r="E911" s="26" t="str">
        <f ca="1">IFERROR(__xludf.DUMMYFUNCTION("""COMPUTED_VALUE"""),"مجموعة العميد التربوية")</f>
        <v>مجموعة العميد التربوية</v>
      </c>
      <c r="F911" s="26" t="str">
        <f ca="1">IFERROR(__xludf.DUMMYFUNCTION("""COMPUTED_VALUE"""),"H- ابتدائية القمر للبنات (الخامسة)")</f>
        <v>H- ابتدائية القمر للبنات (الخامسة)</v>
      </c>
      <c r="G911" s="26" t="str">
        <f ca="1">IFERROR(__xludf.DUMMYFUNCTION("""COMPUTED_VALUE"""),"الطابق الارضي")</f>
        <v>الطابق الارضي</v>
      </c>
      <c r="H911" s="26" t="str">
        <f ca="1">IFERROR(__xludf.DUMMYFUNCTION("""COMPUTED_VALUE"""),"عطل مصباح في الحمام الارضي الداخلي")</f>
        <v>عطل مصباح في الحمام الارضي الداخلي</v>
      </c>
      <c r="I911" s="26"/>
      <c r="J911" s="26" t="s">
        <v>3910</v>
      </c>
      <c r="K911" s="26" t="s">
        <v>13</v>
      </c>
      <c r="L911" s="55">
        <v>46201.327359583331</v>
      </c>
      <c r="M911" s="26"/>
    </row>
    <row r="912" spans="1:13" ht="75" customHeight="1" thickTop="1" thickBot="1">
      <c r="A912" s="26">
        <v>910</v>
      </c>
      <c r="B912" s="55">
        <f ca="1">IFERROR(__xludf.DUMMYFUNCTION("""COMPUTED_VALUE"""),46189.5400122338)</f>
        <v>46189.540012233803</v>
      </c>
      <c r="C912" s="56" t="str">
        <f ca="1">IFERROR(__xludf.DUMMYFUNCTION("""COMPUTED_VALUE"""),"المعملجي")</f>
        <v>المعملجي</v>
      </c>
      <c r="D912" s="56" t="str">
        <f ca="1">IFERROR(__xludf.DUMMYFUNCTION("""COMPUTED_VALUE"""),"ابراهيم الخطابي")</f>
        <v>ابراهيم الخطابي</v>
      </c>
      <c r="E912" s="26" t="str">
        <f ca="1">IFERROR(__xludf.DUMMYFUNCTION("""COMPUTED_VALUE"""),"مجموعة العميد التربوية")</f>
        <v>مجموعة العميد التربوية</v>
      </c>
      <c r="F912" s="26" t="str">
        <f ca="1">IFERROR(__xludf.DUMMYFUNCTION("""COMPUTED_VALUE"""),"H- ابتدائية القمر للبنات (الخامسة)")</f>
        <v>H- ابتدائية القمر للبنات (الخامسة)</v>
      </c>
      <c r="G912" s="26" t="str">
        <f ca="1">IFERROR(__xludf.DUMMYFUNCTION("""COMPUTED_VALUE"""),"الطابق الارضي")</f>
        <v>الطابق الارضي</v>
      </c>
      <c r="H912" s="26" t="str">
        <f ca="1">IFERROR(__xludf.DUMMYFUNCTION("""COMPUTED_VALUE"""),"صوندة الحمام  الداخلي تحتاج صيانة")</f>
        <v>صوندة الحمام  الداخلي تحتاج صيانة</v>
      </c>
      <c r="I912" s="26"/>
      <c r="J912" s="26" t="s">
        <v>14</v>
      </c>
      <c r="K912" s="26" t="s">
        <v>13</v>
      </c>
      <c r="L912" s="55">
        <v>46189.579608958331</v>
      </c>
      <c r="M912" s="26"/>
    </row>
    <row r="913" spans="1:13" ht="75" customHeight="1" thickTop="1" thickBot="1">
      <c r="A913" s="34">
        <v>911</v>
      </c>
      <c r="B913" s="55">
        <f ca="1">IFERROR(__xludf.DUMMYFUNCTION("""COMPUTED_VALUE"""),46189.5419550578)</f>
        <v>46189.541955057801</v>
      </c>
      <c r="C913" s="56" t="str">
        <f ca="1">IFERROR(__xludf.DUMMYFUNCTION("""COMPUTED_VALUE"""),"المعملجي")</f>
        <v>المعملجي</v>
      </c>
      <c r="D913" s="56" t="str">
        <f ca="1">IFERROR(__xludf.DUMMYFUNCTION("""COMPUTED_VALUE"""),"ابراهيم الخطابي")</f>
        <v>ابراهيم الخطابي</v>
      </c>
      <c r="E913" s="26" t="str">
        <f ca="1">IFERROR(__xludf.DUMMYFUNCTION("""COMPUTED_VALUE"""),"مجموعة العميد التربوية")</f>
        <v>مجموعة العميد التربوية</v>
      </c>
      <c r="F913" s="26" t="str">
        <f ca="1">IFERROR(__xludf.DUMMYFUNCTION("""COMPUTED_VALUE"""),"H- ابتدائية القمر للبنات (الخامسة)")</f>
        <v>H- ابتدائية القمر للبنات (الخامسة)</v>
      </c>
      <c r="G913" s="26" t="str">
        <f ca="1">IFERROR(__xludf.DUMMYFUNCTION("""COMPUTED_VALUE"""),"الطابق الارضي")</f>
        <v>الطابق الارضي</v>
      </c>
      <c r="H913" s="26" t="str">
        <f ca="1">IFERROR(__xludf.DUMMYFUNCTION("""COMPUTED_VALUE"""),"عطل مصباح الحانوت +مصباح غرفة الزينبيات")</f>
        <v>عطل مصباح الحانوت +مصباح غرفة الزينبيات</v>
      </c>
      <c r="I913" s="26"/>
      <c r="J913" s="26" t="s">
        <v>3910</v>
      </c>
      <c r="K913" s="26" t="s">
        <v>13</v>
      </c>
      <c r="L913" s="55">
        <v>46201.32723844907</v>
      </c>
      <c r="M913" s="26"/>
    </row>
    <row r="914" spans="1:13" ht="75" customHeight="1" thickTop="1" thickBot="1">
      <c r="A914" s="26">
        <v>912</v>
      </c>
      <c r="B914" s="55">
        <f ca="1">IFERROR(__xludf.DUMMYFUNCTION("""COMPUTED_VALUE"""),46189.5442708448)</f>
        <v>46189.544270844897</v>
      </c>
      <c r="C914" s="56" t="str">
        <f ca="1">IFERROR(__xludf.DUMMYFUNCTION("""COMPUTED_VALUE"""),"المعملجي")</f>
        <v>المعملجي</v>
      </c>
      <c r="D914" s="56" t="str">
        <f ca="1">IFERROR(__xludf.DUMMYFUNCTION("""COMPUTED_VALUE"""),"ابراهيم الخطابي")</f>
        <v>ابراهيم الخطابي</v>
      </c>
      <c r="E914" s="26" t="str">
        <f ca="1">IFERROR(__xludf.DUMMYFUNCTION("""COMPUTED_VALUE"""),"مجموعة العميد التربوية")</f>
        <v>مجموعة العميد التربوية</v>
      </c>
      <c r="F914" s="26" t="str">
        <f ca="1">IFERROR(__xludf.DUMMYFUNCTION("""COMPUTED_VALUE"""),"H- ابتدائية القمر للبنات (الخامسة)")</f>
        <v>H- ابتدائية القمر للبنات (الخامسة)</v>
      </c>
      <c r="G914" s="26" t="str">
        <f ca="1">IFERROR(__xludf.DUMMYFUNCTION("""COMPUTED_VALUE"""),"الطابق الارضي")</f>
        <v>الطابق الارضي</v>
      </c>
      <c r="H914" s="26" t="str">
        <f ca="1">IFERROR(__xludf.DUMMYFUNCTION("""COMPUTED_VALUE"""),"صف الرابع ب  صيانة الشباك الهوائي")</f>
        <v>صف الرابع ب  صيانة الشباك الهوائي</v>
      </c>
      <c r="I914" s="26"/>
      <c r="J914" s="26" t="s">
        <v>16</v>
      </c>
      <c r="K914" s="26" t="s">
        <v>13</v>
      </c>
      <c r="L914" s="55">
        <v>46201.327320486111</v>
      </c>
      <c r="M914" s="26"/>
    </row>
    <row r="915" spans="1:13" ht="75" customHeight="1" thickTop="1" thickBot="1">
      <c r="A915" s="34">
        <v>913</v>
      </c>
      <c r="B915" s="55">
        <f ca="1">IFERROR(__xludf.DUMMYFUNCTION("""COMPUTED_VALUE"""),46189.5458610879)</f>
        <v>46189.5458610879</v>
      </c>
      <c r="C915" s="56" t="str">
        <f ca="1">IFERROR(__xludf.DUMMYFUNCTION("""COMPUTED_VALUE"""),"المعملجي")</f>
        <v>المعملجي</v>
      </c>
      <c r="D915" s="56" t="str">
        <f ca="1">IFERROR(__xludf.DUMMYFUNCTION("""COMPUTED_VALUE"""),"ابراهيم الخطابي")</f>
        <v>ابراهيم الخطابي</v>
      </c>
      <c r="E915" s="26" t="str">
        <f ca="1">IFERROR(__xludf.DUMMYFUNCTION("""COMPUTED_VALUE"""),"مجموعة العميد التربوية")</f>
        <v>مجموعة العميد التربوية</v>
      </c>
      <c r="F915" s="26" t="str">
        <f ca="1">IFERROR(__xludf.DUMMYFUNCTION("""COMPUTED_VALUE"""),"H- ابتدائية القمر للبنات (الخامسة)")</f>
        <v>H- ابتدائية القمر للبنات (الخامسة)</v>
      </c>
      <c r="G915" s="26" t="str">
        <f ca="1">IFERROR(__xludf.DUMMYFUNCTION("""COMPUTED_VALUE"""),"الطابق الارضي")</f>
        <v>الطابق الارضي</v>
      </c>
      <c r="H915" s="26" t="str">
        <f ca="1">IFERROR(__xludf.DUMMYFUNCTION("""COMPUTED_VALUE"""),"الصف الربع ب  / والخامس ج   تمزق ستائر ")</f>
        <v xml:space="preserve">الصف الربع ب  / والخامس ج   تمزق ستائر </v>
      </c>
      <c r="I915" s="26"/>
      <c r="J915" s="26"/>
      <c r="K915" s="26" t="s">
        <v>3911</v>
      </c>
      <c r="L915" s="55">
        <v>46189.570940358797</v>
      </c>
      <c r="M915" s="26"/>
    </row>
    <row r="916" spans="1:13" ht="75" customHeight="1" thickTop="1" thickBot="1">
      <c r="A916" s="26">
        <v>914</v>
      </c>
      <c r="B916" s="55">
        <f ca="1">IFERROR(__xludf.DUMMYFUNCTION("""COMPUTED_VALUE"""),46189.5478841666)</f>
        <v>46189.547884166597</v>
      </c>
      <c r="C916" s="56" t="str">
        <f ca="1">IFERROR(__xludf.DUMMYFUNCTION("""COMPUTED_VALUE"""),"المعملجي")</f>
        <v>المعملجي</v>
      </c>
      <c r="D916" s="56" t="str">
        <f ca="1">IFERROR(__xludf.DUMMYFUNCTION("""COMPUTED_VALUE"""),"ابراهيم الخطابي")</f>
        <v>ابراهيم الخطابي</v>
      </c>
      <c r="E916" s="26" t="str">
        <f ca="1">IFERROR(__xludf.DUMMYFUNCTION("""COMPUTED_VALUE"""),"مجموعة العميد التربوية")</f>
        <v>مجموعة العميد التربوية</v>
      </c>
      <c r="F916" s="26" t="str">
        <f ca="1">IFERROR(__xludf.DUMMYFUNCTION("""COMPUTED_VALUE"""),"H- ابتدائية القمر للبنات (الخامسة)")</f>
        <v>H- ابتدائية القمر للبنات (الخامسة)</v>
      </c>
      <c r="G916" s="26" t="str">
        <f ca="1">IFERROR(__xludf.DUMMYFUNCTION("""COMPUTED_VALUE"""),"الطابق الارضي")</f>
        <v>الطابق الارضي</v>
      </c>
      <c r="H916" s="26" t="str">
        <f ca="1">IFERROR(__xludf.DUMMYFUNCTION("""COMPUTED_VALUE"""),"الصف الربع د  عطل في سلسلة الستائر ")</f>
        <v xml:space="preserve">الصف الربع د  عطل في سلسلة الستائر </v>
      </c>
      <c r="I916" s="26"/>
      <c r="J916" s="26"/>
      <c r="K916" s="26" t="s">
        <v>3911</v>
      </c>
      <c r="L916" s="55">
        <v>46189.57103525463</v>
      </c>
      <c r="M916" s="26"/>
    </row>
    <row r="917" spans="1:13" ht="75" customHeight="1" thickTop="1" thickBot="1">
      <c r="A917" s="34">
        <v>915</v>
      </c>
      <c r="B917" s="55">
        <f ca="1">IFERROR(__xludf.DUMMYFUNCTION("""COMPUTED_VALUE"""),46195.3565927777)</f>
        <v>46195.356592777702</v>
      </c>
      <c r="C917" s="56" t="str">
        <f ca="1">IFERROR(__xludf.DUMMYFUNCTION("""COMPUTED_VALUE"""),"المعملجي")</f>
        <v>المعملجي</v>
      </c>
      <c r="D917" s="56" t="str">
        <f ca="1">IFERROR(__xludf.DUMMYFUNCTION("""COMPUTED_VALUE"""),"ابراهيم الخطابي")</f>
        <v>ابراهيم الخطابي</v>
      </c>
      <c r="E917" s="26" t="str">
        <f ca="1">IFERROR(__xludf.DUMMYFUNCTION("""COMPUTED_VALUE"""),"مجموعة العميد التربوية")</f>
        <v>مجموعة العميد التربوية</v>
      </c>
      <c r="F917" s="26" t="str">
        <f ca="1">IFERROR(__xludf.DUMMYFUNCTION("""COMPUTED_VALUE"""),"B- روضة القمر")</f>
        <v>B- روضة القمر</v>
      </c>
      <c r="G917" s="26" t="str">
        <f ca="1">IFERROR(__xludf.DUMMYFUNCTION("""COMPUTED_VALUE"""),"الطابق الارضي")</f>
        <v>الطابق الارضي</v>
      </c>
      <c r="H917" s="26" t="str">
        <f ca="1">IFERROR(__xludf.DUMMYFUNCTION("""COMPUTED_VALUE"""),"تعليق صبوره  صف النجوم")</f>
        <v>تعليق صبوره  صف النجوم</v>
      </c>
      <c r="I917" s="26"/>
      <c r="J917" s="26" t="s">
        <v>16</v>
      </c>
      <c r="K917" s="26" t="s">
        <v>13</v>
      </c>
      <c r="L917" s="55">
        <v>46201.330183217593</v>
      </c>
      <c r="M917" s="26"/>
    </row>
    <row r="918" spans="1:13" ht="75" customHeight="1" thickTop="1" thickBot="1">
      <c r="A918" s="26">
        <v>916</v>
      </c>
      <c r="B918" s="55">
        <f ca="1">IFERROR(__xludf.DUMMYFUNCTION("""COMPUTED_VALUE"""),46195.357486875)</f>
        <v>46195.357486875</v>
      </c>
      <c r="C918" s="56" t="str">
        <f ca="1">IFERROR(__xludf.DUMMYFUNCTION("""COMPUTED_VALUE"""),"المعملجي")</f>
        <v>المعملجي</v>
      </c>
      <c r="D918" s="56" t="str">
        <f ca="1">IFERROR(__xludf.DUMMYFUNCTION("""COMPUTED_VALUE"""),"ابراهيم الخطابي")</f>
        <v>ابراهيم الخطابي</v>
      </c>
      <c r="E918" s="26" t="str">
        <f ca="1">IFERROR(__xludf.DUMMYFUNCTION("""COMPUTED_VALUE"""),"مجموعة العميد التربوية")</f>
        <v>مجموعة العميد التربوية</v>
      </c>
      <c r="F918" s="26" t="str">
        <f ca="1">IFERROR(__xludf.DUMMYFUNCTION("""COMPUTED_VALUE"""),"B- روضة القمر")</f>
        <v>B- روضة القمر</v>
      </c>
      <c r="G918" s="26" t="str">
        <f ca="1">IFERROR(__xludf.DUMMYFUNCTION("""COMPUTED_VALUE"""),"الطابق الارضي")</f>
        <v>الطابق الارضي</v>
      </c>
      <c r="H918" s="26" t="str">
        <f ca="1">IFERROR(__xludf.DUMMYFUNCTION("""COMPUTED_VALUE"""),"صيانة مكتب الادارة الرئسية")</f>
        <v>صيانة مكتب الادارة الرئسية</v>
      </c>
      <c r="I918" s="26"/>
      <c r="J918" s="26" t="s">
        <v>16</v>
      </c>
      <c r="K918" s="26" t="s">
        <v>13</v>
      </c>
      <c r="L918" s="55">
        <v>46201.330244224533</v>
      </c>
      <c r="M918" s="26"/>
    </row>
    <row r="919" spans="1:13" ht="75" customHeight="1" thickTop="1" thickBot="1">
      <c r="A919" s="34">
        <v>917</v>
      </c>
      <c r="B919" s="55">
        <f ca="1">IFERROR(__xludf.DUMMYFUNCTION("""COMPUTED_VALUE"""),46195.4054909837)</f>
        <v>46195.4054909837</v>
      </c>
      <c r="C919" s="56" t="str">
        <f ca="1">IFERROR(__xludf.DUMMYFUNCTION("""COMPUTED_VALUE"""),"المعملجي")</f>
        <v>المعملجي</v>
      </c>
      <c r="D919" s="56" t="str">
        <f ca="1">IFERROR(__xludf.DUMMYFUNCTION("""COMPUTED_VALUE"""),"ابراهيم الخطابي")</f>
        <v>ابراهيم الخطابي</v>
      </c>
      <c r="E919" s="26" t="str">
        <f ca="1">IFERROR(__xludf.DUMMYFUNCTION("""COMPUTED_VALUE"""),"مجموعة العميد التربوية")</f>
        <v>مجموعة العميد التربوية</v>
      </c>
      <c r="F919" s="26" t="str">
        <f ca="1">IFERROR(__xludf.DUMMYFUNCTION("""COMPUTED_VALUE"""),"F-  ابتدائية جود العميد للبنات (الرابعة)")</f>
        <v>F-  ابتدائية جود العميد للبنات (الرابعة)</v>
      </c>
      <c r="G919" s="26" t="str">
        <f ca="1">IFERROR(__xludf.DUMMYFUNCTION("""COMPUTED_VALUE"""),"الطابق الارضي")</f>
        <v>الطابق الارضي</v>
      </c>
      <c r="H919" s="26" t="str">
        <f ca="1">IFERROR(__xludf.DUMMYFUNCTION("""COMPUTED_VALUE"""),"عطل سبالت /غرفة المعلمات
السبلت الاول /يعاني من تسريب في الغاز
السبلت الثاني/كفاءة ضعيفة جداا")</f>
        <v>عطل سبالت /غرفة المعلمات
السبلت الاول /يعاني من تسريب في الغاز
السبلت الثاني/كفاءة ضعيفة جداا</v>
      </c>
      <c r="I919" s="26"/>
      <c r="J919" s="26" t="s">
        <v>15</v>
      </c>
      <c r="K919" s="26" t="s">
        <v>13</v>
      </c>
      <c r="L919" s="55">
        <v>46201.329083912038</v>
      </c>
      <c r="M919" s="26"/>
    </row>
    <row r="920" spans="1:13" ht="75" customHeight="1" thickTop="1" thickBot="1">
      <c r="A920" s="26">
        <v>918</v>
      </c>
      <c r="B920" s="55">
        <f ca="1">IFERROR(__xludf.DUMMYFUNCTION("""COMPUTED_VALUE"""),46195.44312103)</f>
        <v>46195.443121030003</v>
      </c>
      <c r="C920" s="56" t="str">
        <f ca="1">IFERROR(__xludf.DUMMYFUNCTION("""COMPUTED_VALUE"""),"المعملجي")</f>
        <v>المعملجي</v>
      </c>
      <c r="D920" s="56" t="str">
        <f ca="1">IFERROR(__xludf.DUMMYFUNCTION("""COMPUTED_VALUE"""),"ابراهيم الخطابي")</f>
        <v>ابراهيم الخطابي</v>
      </c>
      <c r="E920" s="26" t="str">
        <f ca="1">IFERROR(__xludf.DUMMYFUNCTION("""COMPUTED_VALUE"""),"مجموعة العميد التربوية")</f>
        <v>مجموعة العميد التربوية</v>
      </c>
      <c r="F920" s="26" t="str">
        <f ca="1">IFERROR(__xludf.DUMMYFUNCTION("""COMPUTED_VALUE"""),"H- ابتدائية القمر للبنات (الخامسة)")</f>
        <v>H- ابتدائية القمر للبنات (الخامسة)</v>
      </c>
      <c r="G920" s="26" t="str">
        <f ca="1">IFERROR(__xludf.DUMMYFUNCTION("""COMPUTED_VALUE"""),"الطابق الاول")</f>
        <v>الطابق الاول</v>
      </c>
      <c r="H920" s="26" t="str">
        <f ca="1">IFERROR(__xludf.DUMMYFUNCTION("""COMPUTED_VALUE"""),"الصف الرابع (ب) 
الشباك بحاجة الى صيانة")</f>
        <v>الصف الرابع (ب) 
الشباك بحاجة الى صيانة</v>
      </c>
      <c r="I920" s="26"/>
      <c r="J920" s="26" t="s">
        <v>16</v>
      </c>
      <c r="K920" s="26" t="s">
        <v>13</v>
      </c>
      <c r="L920" s="55">
        <v>46201.447893310185</v>
      </c>
      <c r="M920" s="26"/>
    </row>
    <row r="921" spans="1:13" ht="75" customHeight="1" thickTop="1" thickBot="1">
      <c r="A921" s="34">
        <v>919</v>
      </c>
      <c r="B921" s="55">
        <f ca="1">IFERROR(__xludf.DUMMYFUNCTION("""COMPUTED_VALUE"""),46200.5402653356)</f>
        <v>46200.5402653356</v>
      </c>
      <c r="C921" s="56" t="str">
        <f ca="1">IFERROR(__xludf.DUMMYFUNCTION("""COMPUTED_VALUE"""),"المعملجي")</f>
        <v>المعملجي</v>
      </c>
      <c r="D921" s="56" t="str">
        <f ca="1">IFERROR(__xludf.DUMMYFUNCTION("""COMPUTED_VALUE"""),"ابراهيم الخطابي")</f>
        <v>ابراهيم الخطابي</v>
      </c>
      <c r="E921" s="26" t="str">
        <f ca="1">IFERROR(__xludf.DUMMYFUNCTION("""COMPUTED_VALUE"""),"مجموعة العميد التربوية")</f>
        <v>مجموعة العميد التربوية</v>
      </c>
      <c r="F921" s="26" t="str">
        <f ca="1">IFERROR(__xludf.DUMMYFUNCTION("""COMPUTED_VALUE"""),"H- ابتدائية القمر للبنات (الخامسة)")</f>
        <v>H- ابتدائية القمر للبنات (الخامسة)</v>
      </c>
      <c r="G921" s="26" t="str">
        <f ca="1">IFERROR(__xludf.DUMMYFUNCTION("""COMPUTED_VALUE"""),"الطابق الارضي")</f>
        <v>الطابق الارضي</v>
      </c>
      <c r="H921" s="26" t="str">
        <f ca="1">IFERROR(__xludf.DUMMYFUNCTION("""COMPUTED_VALUE"""),"صيانة مصباح حمام الادارة")</f>
        <v>صيانة مصباح حمام الادارة</v>
      </c>
      <c r="I921" s="26"/>
      <c r="J921" s="26" t="s">
        <v>3910</v>
      </c>
      <c r="K921" s="26" t="s">
        <v>13</v>
      </c>
      <c r="L921" s="55">
        <v>46201.417596296291</v>
      </c>
      <c r="M921" s="26"/>
    </row>
    <row r="922" spans="1:13" ht="75" customHeight="1" thickTop="1" thickBot="1">
      <c r="A922" s="26">
        <v>920</v>
      </c>
      <c r="B922" s="55">
        <f ca="1">IFERROR(__xludf.DUMMYFUNCTION("""COMPUTED_VALUE"""),46200.5413211458)</f>
        <v>46200.5413211458</v>
      </c>
      <c r="C922" s="56" t="str">
        <f ca="1">IFERROR(__xludf.DUMMYFUNCTION("""COMPUTED_VALUE"""),"المعملجي")</f>
        <v>المعملجي</v>
      </c>
      <c r="D922" s="56" t="str">
        <f ca="1">IFERROR(__xludf.DUMMYFUNCTION("""COMPUTED_VALUE"""),"ابراهيم الخطابي")</f>
        <v>ابراهيم الخطابي</v>
      </c>
      <c r="E922" s="26" t="str">
        <f ca="1">IFERROR(__xludf.DUMMYFUNCTION("""COMPUTED_VALUE"""),"مجموعة العميد التربوية")</f>
        <v>مجموعة العميد التربوية</v>
      </c>
      <c r="F922" s="26" t="str">
        <f ca="1">IFERROR(__xludf.DUMMYFUNCTION("""COMPUTED_VALUE"""),"H- ابتدائية القمر للبنات (الخامسة)")</f>
        <v>H- ابتدائية القمر للبنات (الخامسة)</v>
      </c>
      <c r="G922" s="26" t="str">
        <f ca="1">IFERROR(__xludf.DUMMYFUNCTION("""COMPUTED_VALUE"""),"الطابق الاول")</f>
        <v>الطابق الاول</v>
      </c>
      <c r="H922" s="26" t="str">
        <f ca="1">IFERROR(__xludf.DUMMYFUNCTION("""COMPUTED_VALUE"""),"صيانة شباك الرابع ( ب)")</f>
        <v>صيانة شباك الرابع ( ب)</v>
      </c>
      <c r="I922" s="26"/>
      <c r="J922" s="26" t="s">
        <v>16</v>
      </c>
      <c r="K922" s="26" t="s">
        <v>13</v>
      </c>
      <c r="L922" s="55">
        <v>46201.44799148148</v>
      </c>
      <c r="M922" s="26"/>
    </row>
    <row r="923" spans="1:13" ht="75" customHeight="1" thickTop="1" thickBot="1">
      <c r="A923" s="34">
        <v>921</v>
      </c>
      <c r="B923" s="55">
        <f ca="1">IFERROR(__xludf.DUMMYFUNCTION("""COMPUTED_VALUE"""),46200.5420993518)</f>
        <v>46200.542099351798</v>
      </c>
      <c r="C923" s="56" t="str">
        <f ca="1">IFERROR(__xludf.DUMMYFUNCTION("""COMPUTED_VALUE"""),"المعملجي")</f>
        <v>المعملجي</v>
      </c>
      <c r="D923" s="56" t="str">
        <f ca="1">IFERROR(__xludf.DUMMYFUNCTION("""COMPUTED_VALUE"""),"ابراهيم الخطابي")</f>
        <v>ابراهيم الخطابي</v>
      </c>
      <c r="E923" s="26" t="str">
        <f ca="1">IFERROR(__xludf.DUMMYFUNCTION("""COMPUTED_VALUE"""),"مجموعة العميد التربوية")</f>
        <v>مجموعة العميد التربوية</v>
      </c>
      <c r="F923" s="26" t="str">
        <f ca="1">IFERROR(__xludf.DUMMYFUNCTION("""COMPUTED_VALUE"""),"H- ابتدائية القمر للبنات (الخامسة)")</f>
        <v>H- ابتدائية القمر للبنات (الخامسة)</v>
      </c>
      <c r="G923" s="26" t="str">
        <f ca="1">IFERROR(__xludf.DUMMYFUNCTION("""COMPUTED_VALUE"""),"الطابق الاول")</f>
        <v>الطابق الاول</v>
      </c>
      <c r="H923" s="26" t="str">
        <f ca="1">IFERROR(__xludf.DUMMYFUNCTION("""COMPUTED_VALUE"""),"صيانة ستائر المصلى")</f>
        <v>صيانة ستائر المصلى</v>
      </c>
      <c r="I923" s="26"/>
      <c r="J923" s="26" t="s">
        <v>16</v>
      </c>
      <c r="K923" s="26" t="s">
        <v>13</v>
      </c>
      <c r="L923" s="55">
        <v>46201.33087928241</v>
      </c>
      <c r="M923" s="26"/>
    </row>
    <row r="924" spans="1:13" ht="75" customHeight="1" thickTop="1" thickBot="1">
      <c r="A924" s="26">
        <v>922</v>
      </c>
      <c r="B924" s="55">
        <f ca="1">IFERROR(__xludf.DUMMYFUNCTION("""COMPUTED_VALUE"""),46200.5429404512)</f>
        <v>46200.542940451298</v>
      </c>
      <c r="C924" s="56" t="str">
        <f ca="1">IFERROR(__xludf.DUMMYFUNCTION("""COMPUTED_VALUE"""),"المعملجي")</f>
        <v>المعملجي</v>
      </c>
      <c r="D924" s="56" t="str">
        <f ca="1">IFERROR(__xludf.DUMMYFUNCTION("""COMPUTED_VALUE"""),"ابراهيم الخطابي")</f>
        <v>ابراهيم الخطابي</v>
      </c>
      <c r="E924" s="26" t="str">
        <f ca="1">IFERROR(__xludf.DUMMYFUNCTION("""COMPUTED_VALUE"""),"مجموعة العميد التربوية")</f>
        <v>مجموعة العميد التربوية</v>
      </c>
      <c r="F924" s="26" t="str">
        <f ca="1">IFERROR(__xludf.DUMMYFUNCTION("""COMPUTED_VALUE"""),"H- ابتدائية القمر للبنات (الخامسة)")</f>
        <v>H- ابتدائية القمر للبنات (الخامسة)</v>
      </c>
      <c r="G924" s="26"/>
      <c r="H924" s="26" t="str">
        <f ca="1">IFERROR(__xludf.DUMMYFUNCTION("""COMPUTED_VALUE"""),"صيانة كرسي معلم في المخزن")</f>
        <v>صيانة كرسي معلم في المخزن</v>
      </c>
      <c r="I924" s="26"/>
      <c r="J924" s="26" t="s">
        <v>16</v>
      </c>
      <c r="K924" s="26" t="s">
        <v>13</v>
      </c>
      <c r="L924" s="55">
        <v>46201.448048090278</v>
      </c>
      <c r="M924" s="26"/>
    </row>
    <row r="925" spans="1:13" ht="75" customHeight="1" thickTop="1" thickBot="1">
      <c r="A925" s="34">
        <v>923</v>
      </c>
      <c r="B925" s="55">
        <f ca="1">IFERROR(__xludf.DUMMYFUNCTION("""COMPUTED_VALUE"""),46200.5437769907)</f>
        <v>46200.5437769907</v>
      </c>
      <c r="C925" s="56" t="str">
        <f ca="1">IFERROR(__xludf.DUMMYFUNCTION("""COMPUTED_VALUE"""),"المعملجي")</f>
        <v>المعملجي</v>
      </c>
      <c r="D925" s="56" t="str">
        <f ca="1">IFERROR(__xludf.DUMMYFUNCTION("""COMPUTED_VALUE"""),"ابراهيم الخطابي")</f>
        <v>ابراهيم الخطابي</v>
      </c>
      <c r="E925" s="26" t="str">
        <f ca="1">IFERROR(__xludf.DUMMYFUNCTION("""COMPUTED_VALUE"""),"مجموعة العميد التربوية")</f>
        <v>مجموعة العميد التربوية</v>
      </c>
      <c r="F925" s="26" t="str">
        <f ca="1">IFERROR(__xludf.DUMMYFUNCTION("""COMPUTED_VALUE"""),"H- ابتدائية القمر للبنات (الخامسة)")</f>
        <v>H- ابتدائية القمر للبنات (الخامسة)</v>
      </c>
      <c r="G925" s="26"/>
      <c r="H925" s="26" t="str">
        <f ca="1">IFERROR(__xludf.DUMMYFUNCTION("""COMPUTED_VALUE"""),"صيانة لوكرات الاداره والارشاد والمخزن")</f>
        <v>صيانة لوكرات الاداره والارشاد والمخزن</v>
      </c>
      <c r="I925" s="26"/>
      <c r="J925" s="26" t="s">
        <v>16</v>
      </c>
      <c r="K925" s="26" t="s">
        <v>13</v>
      </c>
      <c r="L925" s="55">
        <v>46201.448113599537</v>
      </c>
      <c r="M925" s="26"/>
    </row>
    <row r="926" spans="1:13" ht="75" customHeight="1" thickTop="1" thickBot="1">
      <c r="A926" s="26">
        <v>924</v>
      </c>
      <c r="B926" s="55">
        <f ca="1">IFERROR(__xludf.DUMMYFUNCTION("""COMPUTED_VALUE"""),46200.5452591203)</f>
        <v>46200.545259120299</v>
      </c>
      <c r="C926" s="56" t="str">
        <f ca="1">IFERROR(__xludf.DUMMYFUNCTION("""COMPUTED_VALUE"""),"المعملجي")</f>
        <v>المعملجي</v>
      </c>
      <c r="D926" s="56" t="str">
        <f ca="1">IFERROR(__xludf.DUMMYFUNCTION("""COMPUTED_VALUE"""),"ابراهيم الخطابي")</f>
        <v>ابراهيم الخطابي</v>
      </c>
      <c r="E926" s="26" t="str">
        <f ca="1">IFERROR(__xludf.DUMMYFUNCTION("""COMPUTED_VALUE"""),"مجموعة العميد التربوية")</f>
        <v>مجموعة العميد التربوية</v>
      </c>
      <c r="F926" s="26" t="str">
        <f ca="1">IFERROR(__xludf.DUMMYFUNCTION("""COMPUTED_VALUE"""),"H- ابتدائية القمر للبنات (الخامسة)")</f>
        <v>H- ابتدائية القمر للبنات (الخامسة)</v>
      </c>
      <c r="G926" s="26" t="str">
        <f ca="1">IFERROR(__xludf.DUMMYFUNCTION("""COMPUTED_VALUE"""),"الطابق الاول")</f>
        <v>الطابق الاول</v>
      </c>
      <c r="H926" s="26" t="str">
        <f ca="1">IFERROR(__xludf.DUMMYFUNCTION("""COMPUTED_VALUE"""),"صيانة شباك الصف الخامس  أ")</f>
        <v>صيانة شباك الصف الخامس  أ</v>
      </c>
      <c r="I926" s="26"/>
      <c r="J926" s="26" t="s">
        <v>16</v>
      </c>
      <c r="K926" s="26" t="s">
        <v>13</v>
      </c>
      <c r="L926" s="55">
        <v>46201.448646307872</v>
      </c>
      <c r="M926" s="26"/>
    </row>
    <row r="927" spans="1:13" ht="75" customHeight="1" thickTop="1" thickBot="1">
      <c r="A927" s="34">
        <v>925</v>
      </c>
      <c r="B927" s="55">
        <f ca="1">IFERROR(__xludf.DUMMYFUNCTION("""COMPUTED_VALUE"""),46200.5461042476)</f>
        <v>46200.546104247602</v>
      </c>
      <c r="C927" s="56" t="str">
        <f ca="1">IFERROR(__xludf.DUMMYFUNCTION("""COMPUTED_VALUE"""),"المعملجي")</f>
        <v>المعملجي</v>
      </c>
      <c r="D927" s="56" t="str">
        <f ca="1">IFERROR(__xludf.DUMMYFUNCTION("""COMPUTED_VALUE"""),"ابراهيم الخطابي")</f>
        <v>ابراهيم الخطابي</v>
      </c>
      <c r="E927" s="26" t="str">
        <f ca="1">IFERROR(__xludf.DUMMYFUNCTION("""COMPUTED_VALUE"""),"مجموعة العميد التربوية")</f>
        <v>مجموعة العميد التربوية</v>
      </c>
      <c r="F927" s="26" t="str">
        <f ca="1">IFERROR(__xludf.DUMMYFUNCTION("""COMPUTED_VALUE"""),"H- ابتدائية القمر للبنات (الخامسة)")</f>
        <v>H- ابتدائية القمر للبنات (الخامسة)</v>
      </c>
      <c r="G927" s="26" t="str">
        <f ca="1">IFERROR(__xludf.DUMMYFUNCTION("""COMPUTED_VALUE"""),"الطابق الارضي")</f>
        <v>الطابق الارضي</v>
      </c>
      <c r="H927" s="26" t="str">
        <f ca="1">IFERROR(__xludf.DUMMYFUNCTION("""COMPUTED_VALUE"""),"صيانة شباك غرفة مجاور الارشاد")</f>
        <v>صيانة شباك غرفة مجاور الارشاد</v>
      </c>
      <c r="I927" s="26"/>
      <c r="J927" s="26" t="s">
        <v>16</v>
      </c>
      <c r="K927" s="26" t="s">
        <v>13</v>
      </c>
      <c r="L927" s="55">
        <v>46201.448720625005</v>
      </c>
      <c r="M927" s="26"/>
    </row>
    <row r="928" spans="1:13" ht="75" customHeight="1" thickTop="1" thickBot="1">
      <c r="A928" s="26">
        <v>926</v>
      </c>
      <c r="B928" s="55">
        <f ca="1">IFERROR(__xludf.DUMMYFUNCTION("""COMPUTED_VALUE"""),46201.3248260416)</f>
        <v>46201.3248260416</v>
      </c>
      <c r="C928" s="56" t="str">
        <f ca="1">IFERROR(__xludf.DUMMYFUNCTION("""COMPUTED_VALUE"""),"المعملجي")</f>
        <v>المعملجي</v>
      </c>
      <c r="D928" s="56" t="str">
        <f ca="1">IFERROR(__xludf.DUMMYFUNCTION("""COMPUTED_VALUE"""),"ابراهيم الخطابي")</f>
        <v>ابراهيم الخطابي</v>
      </c>
      <c r="E928" s="26" t="str">
        <f ca="1">IFERROR(__xludf.DUMMYFUNCTION("""COMPUTED_VALUE"""),"مجموعة العميد التربوية")</f>
        <v>مجموعة العميد التربوية</v>
      </c>
      <c r="F928" s="26" t="str">
        <f ca="1">IFERROR(__xludf.DUMMYFUNCTION("""COMPUTED_VALUE"""),"H- ابتدائية القمر للبنات (الخامسة)")</f>
        <v>H- ابتدائية القمر للبنات (الخامسة)</v>
      </c>
      <c r="G928" s="26"/>
      <c r="H928" s="26" t="str">
        <f ca="1">IFERROR(__xludf.DUMMYFUNCTION("""COMPUTED_VALUE"""),"صيانة لوكر")</f>
        <v>صيانة لوكر</v>
      </c>
      <c r="I928" s="26"/>
      <c r="J928" s="26" t="s">
        <v>16</v>
      </c>
      <c r="K928" s="26" t="s">
        <v>13</v>
      </c>
      <c r="L928" s="55">
        <v>46201.448627002319</v>
      </c>
      <c r="M928" s="26"/>
    </row>
    <row r="929" spans="1:13" ht="75" customHeight="1" thickTop="1" thickBot="1">
      <c r="A929" s="34">
        <v>927</v>
      </c>
      <c r="B929" s="55">
        <f ca="1">IFERROR(__xludf.DUMMYFUNCTION("""COMPUTED_VALUE"""),46201.383062743)</f>
        <v>46201.383062743</v>
      </c>
      <c r="C929" s="56" t="str">
        <f ca="1">IFERROR(__xludf.DUMMYFUNCTION("""COMPUTED_VALUE"""),"المعملجي")</f>
        <v>المعملجي</v>
      </c>
      <c r="D929" s="56" t="str">
        <f ca="1">IFERROR(__xludf.DUMMYFUNCTION("""COMPUTED_VALUE"""),"ابراهيم الخطابي")</f>
        <v>ابراهيم الخطابي</v>
      </c>
      <c r="E929" s="26" t="str">
        <f ca="1">IFERROR(__xludf.DUMMYFUNCTION("""COMPUTED_VALUE"""),"مجموعة العميد التربوية")</f>
        <v>مجموعة العميد التربوية</v>
      </c>
      <c r="F929" s="26" t="str">
        <f ca="1">IFERROR(__xludf.DUMMYFUNCTION("""COMPUTED_VALUE"""),"E- ابتدائية العميد للبنات (الثالثة)")</f>
        <v>E- ابتدائية العميد للبنات (الثالثة)</v>
      </c>
      <c r="G929" s="26" t="str">
        <f ca="1">IFERROR(__xludf.DUMMYFUNCTION("""COMPUTED_VALUE"""),"الطابق الاول")</f>
        <v>الطابق الاول</v>
      </c>
      <c r="H929" s="26" t="str">
        <f ca="1">IFERROR(__xludf.DUMMYFUNCTION("""COMPUTED_VALUE"""),"صيانة حمام غربي")</f>
        <v>صيانة حمام غربي</v>
      </c>
      <c r="I929" s="26"/>
      <c r="J929" s="26" t="s">
        <v>14</v>
      </c>
      <c r="K929" s="26" t="s">
        <v>13</v>
      </c>
      <c r="L929" s="55">
        <v>46201.448813726849</v>
      </c>
      <c r="M929" s="26"/>
    </row>
    <row r="930" spans="1:13" ht="75" customHeight="1" thickTop="1" thickBot="1">
      <c r="A930" s="26">
        <v>928</v>
      </c>
      <c r="B930" s="55">
        <f ca="1">IFERROR(__xludf.DUMMYFUNCTION("""COMPUTED_VALUE"""),46201.3837840856)</f>
        <v>46201.383784085599</v>
      </c>
      <c r="C930" s="56" t="str">
        <f ca="1">IFERROR(__xludf.DUMMYFUNCTION("""COMPUTED_VALUE"""),"المعملجي")</f>
        <v>المعملجي</v>
      </c>
      <c r="D930" s="56" t="str">
        <f ca="1">IFERROR(__xludf.DUMMYFUNCTION("""COMPUTED_VALUE"""),"ابراهيم الخطابي")</f>
        <v>ابراهيم الخطابي</v>
      </c>
      <c r="E930" s="26" t="str">
        <f ca="1">IFERROR(__xludf.DUMMYFUNCTION("""COMPUTED_VALUE"""),"مجموعة العميد التربوية")</f>
        <v>مجموعة العميد التربوية</v>
      </c>
      <c r="F930" s="26" t="str">
        <f ca="1">IFERROR(__xludf.DUMMYFUNCTION("""COMPUTED_VALUE"""),"B- روضة القمر")</f>
        <v>B- روضة القمر</v>
      </c>
      <c r="G930" s="26"/>
      <c r="H930" s="26" t="str">
        <f ca="1">IFERROR(__xludf.DUMMYFUNCTION("""COMPUTED_VALUE"""),"اضافة حمام غربي")</f>
        <v>اضافة حمام غربي</v>
      </c>
      <c r="I930" s="26"/>
      <c r="J930" s="26" t="s">
        <v>14</v>
      </c>
      <c r="K930" s="26" t="s">
        <v>750</v>
      </c>
      <c r="L930" s="55">
        <v>46201.450901828706</v>
      </c>
      <c r="M930" s="26" t="s">
        <v>3913</v>
      </c>
    </row>
    <row r="931" spans="1:13" ht="75" customHeight="1" thickTop="1" thickBot="1">
      <c r="A931" s="34">
        <v>929</v>
      </c>
      <c r="B931" s="55">
        <f ca="1">IFERROR(__xludf.DUMMYFUNCTION("""COMPUTED_VALUE"""),46201.3843836805)</f>
        <v>46201.384383680503</v>
      </c>
      <c r="C931" s="56" t="str">
        <f ca="1">IFERROR(__xludf.DUMMYFUNCTION("""COMPUTED_VALUE"""),"المعملجي")</f>
        <v>المعملجي</v>
      </c>
      <c r="D931" s="56" t="str">
        <f ca="1">IFERROR(__xludf.DUMMYFUNCTION("""COMPUTED_VALUE"""),"ابراهيم الخطابي")</f>
        <v>ابراهيم الخطابي</v>
      </c>
      <c r="E931" s="26" t="str">
        <f ca="1">IFERROR(__xludf.DUMMYFUNCTION("""COMPUTED_VALUE"""),"مجموعة العميد التربوية")</f>
        <v>مجموعة العميد التربوية</v>
      </c>
      <c r="F931" s="26" t="str">
        <f ca="1">IFERROR(__xludf.DUMMYFUNCTION("""COMPUTED_VALUE"""),"B- روضة القمر")</f>
        <v>B- روضة القمر</v>
      </c>
      <c r="G931" s="26"/>
      <c r="H931" s="26" t="str">
        <f ca="1">IFERROR(__xludf.DUMMYFUNCTION("""COMPUTED_VALUE"""),"صبغ الروضة")</f>
        <v>صبغ الروضة</v>
      </c>
      <c r="I931" s="26"/>
      <c r="J931" s="26" t="s">
        <v>16</v>
      </c>
      <c r="K931" s="26" t="s">
        <v>3914</v>
      </c>
      <c r="L931" s="55">
        <v>46201.450613703702</v>
      </c>
      <c r="M931" s="26"/>
    </row>
    <row r="932" spans="1:13" ht="75" customHeight="1" thickTop="1" thickBot="1">
      <c r="A932" s="26">
        <v>930</v>
      </c>
      <c r="B932" s="55">
        <f ca="1">IFERROR(__xludf.DUMMYFUNCTION("""COMPUTED_VALUE"""),46201.3856243865)</f>
        <v>46201.385624386501</v>
      </c>
      <c r="C932" s="56" t="str">
        <f ca="1">IFERROR(__xludf.DUMMYFUNCTION("""COMPUTED_VALUE"""),"المعملجي")</f>
        <v>المعملجي</v>
      </c>
      <c r="D932" s="56" t="str">
        <f ca="1">IFERROR(__xludf.DUMMYFUNCTION("""COMPUTED_VALUE"""),"ابراهيم الخطابي")</f>
        <v>ابراهيم الخطابي</v>
      </c>
      <c r="E932" s="26" t="str">
        <f ca="1">IFERROR(__xludf.DUMMYFUNCTION("""COMPUTED_VALUE"""),"مجموعة العميد التربوية")</f>
        <v>مجموعة العميد التربوية</v>
      </c>
      <c r="F932" s="26" t="str">
        <f ca="1">IFERROR(__xludf.DUMMYFUNCTION("""COMPUTED_VALUE"""),"B- روضة القمر")</f>
        <v>B- روضة القمر</v>
      </c>
      <c r="G932" s="26"/>
      <c r="H932" s="26" t="str">
        <f ca="1">IFERROR(__xludf.DUMMYFUNCTION("""COMPUTED_VALUE"""),"تغليف اللعبه")</f>
        <v>تغليف اللعبه</v>
      </c>
      <c r="I932" s="26"/>
      <c r="J932" s="26" t="s">
        <v>16</v>
      </c>
      <c r="K932" s="26" t="s">
        <v>750</v>
      </c>
      <c r="L932" s="55">
        <v>46201.502406689819</v>
      </c>
      <c r="M932" s="26" t="s">
        <v>3915</v>
      </c>
    </row>
    <row r="933" spans="1:13" ht="75" customHeight="1" thickTop="1" thickBot="1">
      <c r="A933" s="34">
        <v>931</v>
      </c>
      <c r="B933" s="55">
        <f ca="1">IFERROR(__xludf.DUMMYFUNCTION("""COMPUTED_VALUE"""),46201.3862493287)</f>
        <v>46201.386249328702</v>
      </c>
      <c r="C933" s="56" t="str">
        <f ca="1">IFERROR(__xludf.DUMMYFUNCTION("""COMPUTED_VALUE"""),"المعملجي")</f>
        <v>المعملجي</v>
      </c>
      <c r="D933" s="56" t="str">
        <f ca="1">IFERROR(__xludf.DUMMYFUNCTION("""COMPUTED_VALUE"""),"ابراهيم الخطابي")</f>
        <v>ابراهيم الخطابي</v>
      </c>
      <c r="E933" s="26" t="str">
        <f ca="1">IFERROR(__xludf.DUMMYFUNCTION("""COMPUTED_VALUE"""),"مجموعة العميد التربوية")</f>
        <v>مجموعة العميد التربوية</v>
      </c>
      <c r="F933" s="26" t="str">
        <f ca="1">IFERROR(__xludf.DUMMYFUNCTION("""COMPUTED_VALUE"""),"G- روضة الجود")</f>
        <v>G- روضة الجود</v>
      </c>
      <c r="G933" s="26"/>
      <c r="H933" s="26" t="str">
        <f ca="1">IFERROR(__xludf.DUMMYFUNCTION("""COMPUTED_VALUE"""),"صيانة مكنسة كهربائية")</f>
        <v>صيانة مكنسة كهربائية</v>
      </c>
      <c r="I933" s="26"/>
      <c r="J933" s="26" t="s">
        <v>3910</v>
      </c>
      <c r="K933" s="26" t="s">
        <v>3911</v>
      </c>
      <c r="L933" s="55">
        <v>46201.417654490739</v>
      </c>
      <c r="M933" s="26"/>
    </row>
    <row r="934" spans="1:13" ht="75" customHeight="1" thickTop="1" thickBot="1">
      <c r="A934" s="26">
        <v>932</v>
      </c>
      <c r="B934" s="55">
        <f ca="1">IFERROR(__xludf.DUMMYFUNCTION("""COMPUTED_VALUE"""),46201.3870256944)</f>
        <v>46201.387025694399</v>
      </c>
      <c r="C934" s="56" t="str">
        <f ca="1">IFERROR(__xludf.DUMMYFUNCTION("""COMPUTED_VALUE"""),"المعملجي")</f>
        <v>المعملجي</v>
      </c>
      <c r="D934" s="56" t="str">
        <f ca="1">IFERROR(__xludf.DUMMYFUNCTION("""COMPUTED_VALUE"""),"ابراهيم الخطابي")</f>
        <v>ابراهيم الخطابي</v>
      </c>
      <c r="E934" s="26" t="str">
        <f ca="1">IFERROR(__xludf.DUMMYFUNCTION("""COMPUTED_VALUE"""),"مجموعة العميد التربوية")</f>
        <v>مجموعة العميد التربوية</v>
      </c>
      <c r="F934" s="26" t="str">
        <f ca="1">IFERROR(__xludf.DUMMYFUNCTION("""COMPUTED_VALUE"""),"F-  ابتدائية جود العميد للبنات (الرابعة)")</f>
        <v>F-  ابتدائية جود العميد للبنات (الرابعة)</v>
      </c>
      <c r="G934" s="26"/>
      <c r="H934" s="26" t="str">
        <f ca="1">IFERROR(__xludf.DUMMYFUNCTION("""COMPUTED_VALUE"""),"صيانة الباب الرئيسي")</f>
        <v>صيانة الباب الرئيسي</v>
      </c>
      <c r="I934" s="26"/>
      <c r="J934" s="26" t="s">
        <v>16</v>
      </c>
      <c r="K934" s="26" t="s">
        <v>13</v>
      </c>
      <c r="L934" s="55">
        <v>46201.476858611109</v>
      </c>
      <c r="M934" s="26"/>
    </row>
    <row r="935" spans="1:13" ht="75" customHeight="1" thickTop="1" thickBot="1">
      <c r="A935" s="34">
        <v>933</v>
      </c>
      <c r="B935" s="55">
        <f ca="1">IFERROR(__xludf.DUMMYFUNCTION("""COMPUTED_VALUE"""),46201.4185797569)</f>
        <v>46201.418579756901</v>
      </c>
      <c r="C935" s="56" t="str">
        <f ca="1">IFERROR(__xludf.DUMMYFUNCTION("""COMPUTED_VALUE"""),"المعملجي")</f>
        <v>المعملجي</v>
      </c>
      <c r="D935" s="56" t="str">
        <f ca="1">IFERROR(__xludf.DUMMYFUNCTION("""COMPUTED_VALUE"""),"ابو سجاد ")</f>
        <v xml:space="preserve">ابو سجاد </v>
      </c>
      <c r="E935" s="26" t="str">
        <f ca="1">IFERROR(__xludf.DUMMYFUNCTION("""COMPUTED_VALUE"""),"مجموعة العميد التربوية")</f>
        <v>مجموعة العميد التربوية</v>
      </c>
      <c r="F935" s="26" t="str">
        <f ca="1">IFERROR(__xludf.DUMMYFUNCTION("""COMPUTED_VALUE"""),"كرفان ابو سجاد ")</f>
        <v xml:space="preserve">كرفان ابو سجاد </v>
      </c>
      <c r="G935" s="26" t="str">
        <f ca="1">IFERROR(__xludf.DUMMYFUNCTION("""COMPUTED_VALUE"""),"الطابق الارضي")</f>
        <v>الطابق الارضي</v>
      </c>
      <c r="H935" s="26" t="str">
        <f ca="1">IFERROR(__xludf.DUMMYFUNCTION("""COMPUTED_VALUE"""),"تبديل بلك سويج ")</f>
        <v xml:space="preserve">تبديل بلك سويج </v>
      </c>
      <c r="I935" s="26"/>
      <c r="J935" s="26" t="s">
        <v>3910</v>
      </c>
      <c r="K935" s="26" t="s">
        <v>13</v>
      </c>
      <c r="L935" s="55">
        <v>46201.419082986111</v>
      </c>
      <c r="M935" s="26"/>
    </row>
    <row r="936" spans="1:13" ht="75" customHeight="1" thickTop="1" thickBot="1">
      <c r="A936" s="26">
        <v>934</v>
      </c>
      <c r="B936" s="55">
        <f ca="1">IFERROR(__xludf.DUMMYFUNCTION("""COMPUTED_VALUE"""),46201.4421840277)</f>
        <v>46201.442184027699</v>
      </c>
      <c r="C936" s="56" t="str">
        <f ca="1">IFERROR(__xludf.DUMMYFUNCTION("""COMPUTED_VALUE"""),"المعملجي")</f>
        <v>المعملجي</v>
      </c>
      <c r="D936" s="56" t="str">
        <f ca="1">IFERROR(__xludf.DUMMYFUNCTION("""COMPUTED_VALUE"""),"وحدة التبريد")</f>
        <v>وحدة التبريد</v>
      </c>
      <c r="E936" s="26" t="str">
        <f ca="1">IFERROR(__xludf.DUMMYFUNCTION("""COMPUTED_VALUE"""),"قسم المشاريع الهندسية")</f>
        <v>قسم المشاريع الهندسية</v>
      </c>
      <c r="F936" s="26" t="str">
        <f ca="1">IFERROR(__xludf.DUMMYFUNCTION("""COMPUTED_VALUE"""),"A- المركز الثقافي")</f>
        <v>A- المركز الثقافي</v>
      </c>
      <c r="G936" s="26" t="str">
        <f ca="1">IFERROR(__xludf.DUMMYFUNCTION("""COMPUTED_VALUE"""),"الطابق الارضي, الطابق الاول, الطابق الثاني, الطابق الثالث, الطابق الرابع")</f>
        <v>الطابق الارضي, الطابق الاول, الطابق الثاني, الطابق الثالث, الطابق الرابع</v>
      </c>
      <c r="H936" s="26" t="str">
        <f ca="1">IFERROR(__xludf.DUMMYFUNCTION("""COMPUTED_VALUE"""),"إدامة وتنظيف  فلاتر vrf في البناية ")</f>
        <v xml:space="preserve">إدامة وتنظيف  فلاتر vrf في البناية </v>
      </c>
      <c r="I936" s="26"/>
      <c r="J936" s="26" t="s">
        <v>14</v>
      </c>
      <c r="K936" s="26" t="s">
        <v>13</v>
      </c>
      <c r="L936" s="55"/>
      <c r="M936" s="26"/>
    </row>
    <row r="937" spans="1:13" ht="75" customHeight="1" thickTop="1" thickBot="1">
      <c r="A937" s="34">
        <v>935</v>
      </c>
      <c r="B937" s="55">
        <f ca="1">IFERROR(__xludf.DUMMYFUNCTION("""COMPUTED_VALUE"""),46201.4424103009)</f>
        <v>46201.442410300901</v>
      </c>
      <c r="C937" s="56" t="str">
        <f ca="1">IFERROR(__xludf.DUMMYFUNCTION("""COMPUTED_VALUE"""),"المعملجي")</f>
        <v>المعملجي</v>
      </c>
      <c r="D937" s="56" t="str">
        <f ca="1">IFERROR(__xludf.DUMMYFUNCTION("""COMPUTED_VALUE"""),"وحدة التبريد")</f>
        <v>وحدة التبريد</v>
      </c>
      <c r="E937" s="26" t="str">
        <f ca="1">IFERROR(__xludf.DUMMYFUNCTION("""COMPUTED_VALUE"""),"قسم المشاريع الهندسية")</f>
        <v>قسم المشاريع الهندسية</v>
      </c>
      <c r="F937" s="26" t="str">
        <f ca="1">IFERROR(__xludf.DUMMYFUNCTION("""COMPUTED_VALUE"""),"B- روضة القمر")</f>
        <v>B- روضة القمر</v>
      </c>
      <c r="G937" s="26" t="str">
        <f ca="1">IFERROR(__xludf.DUMMYFUNCTION("""COMPUTED_VALUE"""),"الطابق الارضي, الطابق الاول, الطابق الثاني")</f>
        <v>الطابق الارضي, الطابق الاول, الطابق الثاني</v>
      </c>
      <c r="H937" s="26" t="str">
        <f ca="1">IFERROR(__xludf.DUMMYFUNCTION("""COMPUTED_VALUE"""),"إدامة وتنظيف  فلاتر vrf في البناية")</f>
        <v>إدامة وتنظيف  فلاتر vrf في البناية</v>
      </c>
      <c r="I937" s="26"/>
      <c r="J937" s="26" t="s">
        <v>14</v>
      </c>
      <c r="K937" s="26" t="s">
        <v>13</v>
      </c>
      <c r="L937" s="55"/>
      <c r="M937" s="26"/>
    </row>
    <row r="938" spans="1:13" ht="75" customHeight="1" thickTop="1" thickBot="1">
      <c r="A938" s="26">
        <v>936</v>
      </c>
      <c r="B938" s="55">
        <f ca="1">IFERROR(__xludf.DUMMYFUNCTION("""COMPUTED_VALUE"""),46201.4426204282)</f>
        <v>46201.442620428199</v>
      </c>
      <c r="C938" s="56" t="str">
        <f ca="1">IFERROR(__xludf.DUMMYFUNCTION("""COMPUTED_VALUE"""),"المعملجي")</f>
        <v>المعملجي</v>
      </c>
      <c r="D938" s="56" t="str">
        <f ca="1">IFERROR(__xludf.DUMMYFUNCTION("""COMPUTED_VALUE"""),"وحدة التبريد")</f>
        <v>وحدة التبريد</v>
      </c>
      <c r="E938" s="26" t="str">
        <f ca="1">IFERROR(__xludf.DUMMYFUNCTION("""COMPUTED_VALUE"""),"قسم المشاريع الهندسية")</f>
        <v>قسم المشاريع الهندسية</v>
      </c>
      <c r="F938" s="26" t="str">
        <f ca="1">IFERROR(__xludf.DUMMYFUNCTION("""COMPUTED_VALUE"""),"G- روضة الجود")</f>
        <v>G- روضة الجود</v>
      </c>
      <c r="G938" s="26" t="str">
        <f ca="1">IFERROR(__xludf.DUMMYFUNCTION("""COMPUTED_VALUE"""),"الطابق الارضي, الطابق الاول, الطابق الثاني")</f>
        <v>الطابق الارضي, الطابق الاول, الطابق الثاني</v>
      </c>
      <c r="H938" s="26" t="str">
        <f ca="1">IFERROR(__xludf.DUMMYFUNCTION("""COMPUTED_VALUE"""),"إدامة وتنظيف  فلاتر vrf في البناية")</f>
        <v>إدامة وتنظيف  فلاتر vrf في البناية</v>
      </c>
      <c r="I938" s="26"/>
      <c r="J938" s="26" t="s">
        <v>14</v>
      </c>
      <c r="K938" s="26" t="s">
        <v>13</v>
      </c>
      <c r="L938" s="55"/>
      <c r="M938" s="26"/>
    </row>
    <row r="939" spans="1:13" ht="75" customHeight="1" thickTop="1" thickBot="1">
      <c r="A939" s="34">
        <v>937</v>
      </c>
      <c r="B939" s="55">
        <f ca="1">IFERROR(__xludf.DUMMYFUNCTION("""COMPUTED_VALUE"""),46201.4428406944)</f>
        <v>46201.442840694399</v>
      </c>
      <c r="C939" s="56" t="str">
        <f ca="1">IFERROR(__xludf.DUMMYFUNCTION("""COMPUTED_VALUE"""),"المعملجي")</f>
        <v>المعملجي</v>
      </c>
      <c r="D939" s="56" t="str">
        <f ca="1">IFERROR(__xludf.DUMMYFUNCTION("""COMPUTED_VALUE"""),"وحدة التبريد")</f>
        <v>وحدة التبريد</v>
      </c>
      <c r="E939" s="26" t="str">
        <f ca="1">IFERROR(__xludf.DUMMYFUNCTION("""COMPUTED_VALUE"""),"قسم المشاريع الهندسية")</f>
        <v>قسم المشاريع الهندسية</v>
      </c>
      <c r="F939" s="26" t="str">
        <f ca="1">IFERROR(__xludf.DUMMYFUNCTION("""COMPUTED_VALUE"""),"C- ثانوية العميد بناية الاعدادية  (الاولى)")</f>
        <v>C- ثانوية العميد بناية الاعدادية  (الاولى)</v>
      </c>
      <c r="G939" s="26" t="str">
        <f ca="1">IFERROR(__xludf.DUMMYFUNCTION("""COMPUTED_VALUE"""),"الطابق الارضي, الطابق الاول, الطابق الثاني, ZONE A, ZONE B")</f>
        <v>الطابق الارضي, الطابق الاول, الطابق الثاني, ZONE A, ZONE B</v>
      </c>
      <c r="H939" s="26" t="str">
        <f ca="1">IFERROR(__xludf.DUMMYFUNCTION("""COMPUTED_VALUE"""),"إدامة وتنظيف  فلاتر vrf في البناية")</f>
        <v>إدامة وتنظيف  فلاتر vrf في البناية</v>
      </c>
      <c r="I939" s="26"/>
      <c r="J939" s="26" t="s">
        <v>14</v>
      </c>
      <c r="K939" s="26" t="s">
        <v>13</v>
      </c>
      <c r="L939" s="55"/>
      <c r="M939" s="26"/>
    </row>
    <row r="940" spans="1:13" ht="75" customHeight="1" thickTop="1" thickBot="1">
      <c r="A940" s="26">
        <v>938</v>
      </c>
      <c r="B940" s="55">
        <f ca="1">IFERROR(__xludf.DUMMYFUNCTION("""COMPUTED_VALUE"""),46201.4430695833)</f>
        <v>46201.4430695833</v>
      </c>
      <c r="C940" s="56" t="str">
        <f ca="1">IFERROR(__xludf.DUMMYFUNCTION("""COMPUTED_VALUE"""),"المعملجي")</f>
        <v>المعملجي</v>
      </c>
      <c r="D940" s="56" t="str">
        <f ca="1">IFERROR(__xludf.DUMMYFUNCTION("""COMPUTED_VALUE"""),"وحدة التبريد")</f>
        <v>وحدة التبريد</v>
      </c>
      <c r="E940" s="26" t="str">
        <f ca="1">IFERROR(__xludf.DUMMYFUNCTION("""COMPUTED_VALUE"""),"قسم المشاريع الهندسية")</f>
        <v>قسم المشاريع الهندسية</v>
      </c>
      <c r="F940" s="26" t="str">
        <f ca="1">IFERROR(__xludf.DUMMYFUNCTION("""COMPUTED_VALUE"""),"D- ثانوية العميد بناية المتوسطة  (الثانية)")</f>
        <v>D- ثانوية العميد بناية المتوسطة  (الثانية)</v>
      </c>
      <c r="G940" s="26" t="str">
        <f ca="1">IFERROR(__xludf.DUMMYFUNCTION("""COMPUTED_VALUE"""),"الطابق الارضي, الطابق الاول, الطابق الثاني, ZONE A, ZONE B")</f>
        <v>الطابق الارضي, الطابق الاول, الطابق الثاني, ZONE A, ZONE B</v>
      </c>
      <c r="H940" s="26" t="str">
        <f ca="1">IFERROR(__xludf.DUMMYFUNCTION("""COMPUTED_VALUE"""),"إدامة وتنظيف  فلاتر vrf في البناية")</f>
        <v>إدامة وتنظيف  فلاتر vrf في البناية</v>
      </c>
      <c r="I940" s="26"/>
      <c r="J940" s="26" t="s">
        <v>14</v>
      </c>
      <c r="K940" s="26" t="s">
        <v>13</v>
      </c>
      <c r="L940" s="55"/>
      <c r="M940" s="26"/>
    </row>
    <row r="941" spans="1:13" ht="75" customHeight="1" thickTop="1" thickBot="1">
      <c r="A941" s="34">
        <v>939</v>
      </c>
      <c r="B941" s="55">
        <f ca="1">IFERROR(__xludf.DUMMYFUNCTION("""COMPUTED_VALUE"""),46201.4433510069)</f>
        <v>46201.443351006899</v>
      </c>
      <c r="C941" s="56" t="str">
        <f ca="1">IFERROR(__xludf.DUMMYFUNCTION("""COMPUTED_VALUE"""),"المعملجي")</f>
        <v>المعملجي</v>
      </c>
      <c r="D941" s="56" t="str">
        <f ca="1">IFERROR(__xludf.DUMMYFUNCTION("""COMPUTED_VALUE"""),"وحدة التبريد")</f>
        <v>وحدة التبريد</v>
      </c>
      <c r="E941" s="26" t="str">
        <f ca="1">IFERROR(__xludf.DUMMYFUNCTION("""COMPUTED_VALUE"""),"قسم المشاريع الهندسية")</f>
        <v>قسم المشاريع الهندسية</v>
      </c>
      <c r="F941" s="26" t="str">
        <f ca="1">IFERROR(__xludf.DUMMYFUNCTION("""COMPUTED_VALUE"""),"E- ابتدائية العميد للبنات (الثالثة)")</f>
        <v>E- ابتدائية العميد للبنات (الثالثة)</v>
      </c>
      <c r="G941" s="26" t="str">
        <f ca="1">IFERROR(__xludf.DUMMYFUNCTION("""COMPUTED_VALUE"""),"الطابق الارضي, الطابق الاول, الطابق الثاني, ZONE A, ZONE B")</f>
        <v>الطابق الارضي, الطابق الاول, الطابق الثاني, ZONE A, ZONE B</v>
      </c>
      <c r="H941" s="26" t="str">
        <f ca="1">IFERROR(__xludf.DUMMYFUNCTION("""COMPUTED_VALUE"""),"إدامة وتنظيف  فلاتر vrf في البناية")</f>
        <v>إدامة وتنظيف  فلاتر vrf في البناية</v>
      </c>
      <c r="I941" s="26"/>
      <c r="J941" s="26" t="s">
        <v>14</v>
      </c>
      <c r="K941" s="26" t="s">
        <v>13</v>
      </c>
      <c r="L941" s="55"/>
      <c r="M941" s="26"/>
    </row>
    <row r="942" spans="1:13" ht="75" customHeight="1" thickTop="1" thickBot="1">
      <c r="A942" s="26">
        <v>940</v>
      </c>
      <c r="B942" s="55">
        <f ca="1">IFERROR(__xludf.DUMMYFUNCTION("""COMPUTED_VALUE"""),46201.4440061342)</f>
        <v>46201.444006134203</v>
      </c>
      <c r="C942" s="56" t="str">
        <f ca="1">IFERROR(__xludf.DUMMYFUNCTION("""COMPUTED_VALUE"""),"المعملجي")</f>
        <v>المعملجي</v>
      </c>
      <c r="D942" s="56" t="str">
        <f ca="1">IFERROR(__xludf.DUMMYFUNCTION("""COMPUTED_VALUE"""),"وحدة التبريد")</f>
        <v>وحدة التبريد</v>
      </c>
      <c r="E942" s="26" t="str">
        <f ca="1">IFERROR(__xludf.DUMMYFUNCTION("""COMPUTED_VALUE"""),"قسم المشاريع الهندسية")</f>
        <v>قسم المشاريع الهندسية</v>
      </c>
      <c r="F942" s="26" t="str">
        <f ca="1">IFERROR(__xludf.DUMMYFUNCTION("""COMPUTED_VALUE"""),"F-  ابتدائية جود العميد للبنات (الرابعة)")</f>
        <v>F-  ابتدائية جود العميد للبنات (الرابعة)</v>
      </c>
      <c r="G942" s="26" t="str">
        <f ca="1">IFERROR(__xludf.DUMMYFUNCTION("""COMPUTED_VALUE"""),"الطابق الارضي, الطابق الاول, الطابق الثاني, ZONE A, ZONE B")</f>
        <v>الطابق الارضي, الطابق الاول, الطابق الثاني, ZONE A, ZONE B</v>
      </c>
      <c r="H942" s="26" t="str">
        <f ca="1">IFERROR(__xludf.DUMMYFUNCTION("""COMPUTED_VALUE"""),"إدامة وتنظيف  فلاتر vrf في البناية")</f>
        <v>إدامة وتنظيف  فلاتر vrf في البناية</v>
      </c>
      <c r="I942" s="26"/>
      <c r="J942" s="26" t="s">
        <v>14</v>
      </c>
      <c r="K942" s="26" t="s">
        <v>13</v>
      </c>
      <c r="L942" s="55"/>
      <c r="M942" s="26"/>
    </row>
    <row r="943" spans="1:13" ht="75" customHeight="1" thickTop="1" thickBot="1">
      <c r="A943" s="34">
        <v>941</v>
      </c>
      <c r="B943" s="55">
        <f ca="1">IFERROR(__xludf.DUMMYFUNCTION("""COMPUTED_VALUE"""),46201.4448613426)</f>
        <v>46201.444861342599</v>
      </c>
      <c r="C943" s="56" t="str">
        <f ca="1">IFERROR(__xludf.DUMMYFUNCTION("""COMPUTED_VALUE"""),"المعملجي")</f>
        <v>المعملجي</v>
      </c>
      <c r="D943" s="56" t="str">
        <f ca="1">IFERROR(__xludf.DUMMYFUNCTION("""COMPUTED_VALUE"""),"وحدة التبريد")</f>
        <v>وحدة التبريد</v>
      </c>
      <c r="E943" s="26" t="str">
        <f ca="1">IFERROR(__xludf.DUMMYFUNCTION("""COMPUTED_VALUE"""),"قسم المشاريع الهندسية")</f>
        <v>قسم المشاريع الهندسية</v>
      </c>
      <c r="F943" s="26" t="str">
        <f ca="1">IFERROR(__xludf.DUMMYFUNCTION("""COMPUTED_VALUE"""),"H- ابتدائية القمر للبنات (الخامسة)")</f>
        <v>H- ابتدائية القمر للبنات (الخامسة)</v>
      </c>
      <c r="G943" s="26" t="str">
        <f ca="1">IFERROR(__xludf.DUMMYFUNCTION("""COMPUTED_VALUE"""),"الطابق الارضي, الطابق الاول, الطابق الثاني, ZONE A, ZONE B")</f>
        <v>الطابق الارضي, الطابق الاول, الطابق الثاني, ZONE A, ZONE B</v>
      </c>
      <c r="H943" s="26" t="str">
        <f ca="1">IFERROR(__xludf.DUMMYFUNCTION("""COMPUTED_VALUE"""),"إدامة وتنظيف  فلاتر vrf في البناية")</f>
        <v>إدامة وتنظيف  فلاتر vrf في البناية</v>
      </c>
      <c r="I943" s="26"/>
      <c r="J943" s="26" t="s">
        <v>14</v>
      </c>
      <c r="K943" s="26" t="s">
        <v>13</v>
      </c>
      <c r="L943" s="55"/>
      <c r="M943" s="26"/>
    </row>
    <row r="944" spans="1:13" ht="75" customHeight="1" thickTop="1" thickBot="1">
      <c r="A944" s="26">
        <v>942</v>
      </c>
      <c r="B944" s="55">
        <f ca="1">IFERROR(__xludf.DUMMYFUNCTION("""COMPUTED_VALUE"""),46201.4452081134)</f>
        <v>46201.4452081134</v>
      </c>
      <c r="C944" s="56" t="str">
        <f ca="1">IFERROR(__xludf.DUMMYFUNCTION("""COMPUTED_VALUE"""),"المعملجي")</f>
        <v>المعملجي</v>
      </c>
      <c r="D944" s="56" t="str">
        <f ca="1">IFERROR(__xludf.DUMMYFUNCTION("""COMPUTED_VALUE"""),"وحدة التبريد")</f>
        <v>وحدة التبريد</v>
      </c>
      <c r="E944" s="26" t="str">
        <f ca="1">IFERROR(__xludf.DUMMYFUNCTION("""COMPUTED_VALUE"""),"قسم المشاريع الهندسية")</f>
        <v>قسم المشاريع الهندسية</v>
      </c>
      <c r="F944" s="26" t="str">
        <f ca="1">IFERROR(__xludf.DUMMYFUNCTION("""COMPUTED_VALUE"""),"I- ابتدائية الساقي للبنين (السادسة)")</f>
        <v>I- ابتدائية الساقي للبنين (السادسة)</v>
      </c>
      <c r="G944" s="26" t="str">
        <f ca="1">IFERROR(__xludf.DUMMYFUNCTION("""COMPUTED_VALUE"""),"الطابق الارضي, الطابق الاول, الطابق الثاني, ZONE A, ZONE B")</f>
        <v>الطابق الارضي, الطابق الاول, الطابق الثاني, ZONE A, ZONE B</v>
      </c>
      <c r="H944" s="26" t="str">
        <f ca="1">IFERROR(__xludf.DUMMYFUNCTION("""COMPUTED_VALUE"""),"إدامة وتنظيف  فلاتر vrf في البناية")</f>
        <v>إدامة وتنظيف  فلاتر vrf في البناية</v>
      </c>
      <c r="I944" s="26"/>
      <c r="J944" s="26" t="s">
        <v>14</v>
      </c>
      <c r="K944" s="26" t="s">
        <v>13</v>
      </c>
      <c r="L944" s="55"/>
      <c r="M944" s="26"/>
    </row>
    <row r="945" spans="1:13" ht="75" customHeight="1" thickTop="1" thickBot="1">
      <c r="A945" s="34">
        <v>943</v>
      </c>
      <c r="B945" s="55">
        <f ca="1">IFERROR(__xludf.DUMMYFUNCTION("""COMPUTED_VALUE"""),46201.4466502546)</f>
        <v>46201.446650254598</v>
      </c>
      <c r="C945" s="56" t="str">
        <f ca="1">IFERROR(__xludf.DUMMYFUNCTION("""COMPUTED_VALUE"""),"المعملجي")</f>
        <v>المعملجي</v>
      </c>
      <c r="D945" s="56" t="str">
        <f ca="1">IFERROR(__xludf.DUMMYFUNCTION("""COMPUTED_VALUE"""),"وحدة التبريد")</f>
        <v>وحدة التبريد</v>
      </c>
      <c r="E945" s="26" t="str">
        <f ca="1">IFERROR(__xludf.DUMMYFUNCTION("""COMPUTED_VALUE"""),"قسم المشاريع الهندسية")</f>
        <v>قسم المشاريع الهندسية</v>
      </c>
      <c r="F945"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945" s="26" t="str">
        <f ca="1">IFERROR(__xludf.DUMMYFUNCTION("""COMPUTED_VALUE"""),"الطابق الارضي, الطابق الاول, الطابق الثاني, ZONE A, ZONE B")</f>
        <v>الطابق الارضي, الطابق الاول, الطابق الثاني, ZONE A, ZONE B</v>
      </c>
      <c r="H945" s="26" t="str">
        <f ca="1">IFERROR(__xludf.DUMMYFUNCTION("""COMPUTED_VALUE"""),"إدامة وتنظيف  فلاتر vrf في البناية")</f>
        <v>إدامة وتنظيف  فلاتر vrf في البناية</v>
      </c>
      <c r="I945" s="26"/>
      <c r="J945" s="26" t="s">
        <v>14</v>
      </c>
      <c r="K945" s="26" t="s">
        <v>13</v>
      </c>
      <c r="L945" s="55"/>
      <c r="M945" s="26"/>
    </row>
    <row r="946" spans="1:13" ht="75" customHeight="1" thickTop="1" thickBot="1">
      <c r="A946" s="26">
        <v>944</v>
      </c>
      <c r="B946" s="55">
        <f ca="1">IFERROR(__xludf.DUMMYFUNCTION("""COMPUTED_VALUE"""),46201.4479005671)</f>
        <v>46201.447900567102</v>
      </c>
      <c r="C946" s="56" t="str">
        <f ca="1">IFERROR(__xludf.DUMMYFUNCTION("""COMPUTED_VALUE"""),"المعملجي")</f>
        <v>المعملجي</v>
      </c>
      <c r="D946" s="56" t="str">
        <f ca="1">IFERROR(__xludf.DUMMYFUNCTION("""COMPUTED_VALUE"""),"وحدة التبريد")</f>
        <v>وحدة التبريد</v>
      </c>
      <c r="E946" s="26" t="str">
        <f ca="1">IFERROR(__xludf.DUMMYFUNCTION("""COMPUTED_VALUE"""),"قسم المشاريع الهندسية")</f>
        <v>قسم المشاريع الهندسية</v>
      </c>
      <c r="F946" s="26" t="str">
        <f ca="1">IFERROR(__xludf.DUMMYFUNCTION("""COMPUTED_VALUE"""),"A- المركز الثقافي")</f>
        <v>A- المركز الثقافي</v>
      </c>
      <c r="G946" s="26" t="str">
        <f ca="1">IFERROR(__xludf.DUMMYFUNCTION("""COMPUTED_VALUE"""),"الطابق الثاني, السطح")</f>
        <v>الطابق الثاني, السطح</v>
      </c>
      <c r="H946" s="26" t="str">
        <f ca="1">IFERROR(__xludf.DUMMYFUNCTION("""COMPUTED_VALUE"""),"إدامة وتنظيف القطع الخارجية لمنظومات التبريد في البناية")</f>
        <v>إدامة وتنظيف القطع الخارجية لمنظومات التبريد في البناية</v>
      </c>
      <c r="I946" s="26"/>
      <c r="J946" s="26" t="s">
        <v>14</v>
      </c>
      <c r="K946" s="26" t="s">
        <v>13</v>
      </c>
      <c r="L946" s="55"/>
      <c r="M946" s="26"/>
    </row>
    <row r="947" spans="1:13" ht="75" customHeight="1" thickTop="1" thickBot="1">
      <c r="A947" s="34">
        <v>945</v>
      </c>
      <c r="B947" s="55">
        <f ca="1">IFERROR(__xludf.DUMMYFUNCTION("""COMPUTED_VALUE"""),46201.4503048611)</f>
        <v>46201.4503048611</v>
      </c>
      <c r="C947" s="56" t="str">
        <f ca="1">IFERROR(__xludf.DUMMYFUNCTION("""COMPUTED_VALUE"""),"المعملجي")</f>
        <v>المعملجي</v>
      </c>
      <c r="D947" s="56" t="str">
        <f ca="1">IFERROR(__xludf.DUMMYFUNCTION("""COMPUTED_VALUE"""),"ابو سجاد ")</f>
        <v xml:space="preserve">ابو سجاد </v>
      </c>
      <c r="E947" s="26" t="str">
        <f ca="1">IFERROR(__xludf.DUMMYFUNCTION("""COMPUTED_VALUE"""),"مجموعة العميد التربوية")</f>
        <v>مجموعة العميد التربوية</v>
      </c>
      <c r="F947" s="26" t="str">
        <f ca="1">IFERROR(__xludf.DUMMYFUNCTION("""COMPUTED_VALUE"""),"E- ابتدائية العميد للبنات (الثالثة)")</f>
        <v>E- ابتدائية العميد للبنات (الثالثة)</v>
      </c>
      <c r="G947" s="26" t="str">
        <f ca="1">IFERROR(__xludf.DUMMYFUNCTION("""COMPUTED_VALUE"""),"الطابق الثاني")</f>
        <v>الطابق الثاني</v>
      </c>
      <c r="H947" s="26" t="str">
        <f ca="1">IFERROR(__xludf.DUMMYFUNCTION("""COMPUTED_VALUE"""),"صيانة كرسي في المختبر")</f>
        <v>صيانة كرسي في المختبر</v>
      </c>
      <c r="I947" s="26"/>
      <c r="J947" s="26" t="s">
        <v>16</v>
      </c>
      <c r="K947" s="26" t="s">
        <v>13</v>
      </c>
      <c r="L947" s="55">
        <v>46201.450383935182</v>
      </c>
      <c r="M947" s="26"/>
    </row>
    <row r="948" spans="1:13" ht="75" customHeight="1" thickTop="1" thickBot="1">
      <c r="A948" s="26">
        <v>946</v>
      </c>
      <c r="B948" s="55">
        <f ca="1">IFERROR(__xludf.DUMMYFUNCTION("""COMPUTED_VALUE"""),46201.4718559953)</f>
        <v>46201.471855995303</v>
      </c>
      <c r="C948" s="56" t="str">
        <f ca="1">IFERROR(__xludf.DUMMYFUNCTION("""COMPUTED_VALUE"""),"المعملجي")</f>
        <v>المعملجي</v>
      </c>
      <c r="D948" s="56" t="str">
        <f ca="1">IFERROR(__xludf.DUMMYFUNCTION("""COMPUTED_VALUE"""),"ابراهيم الخطابي")</f>
        <v>ابراهيم الخطابي</v>
      </c>
      <c r="E948" s="26" t="str">
        <f ca="1">IFERROR(__xludf.DUMMYFUNCTION("""COMPUTED_VALUE"""),"مجموعة العميد التربوية")</f>
        <v>مجموعة العميد التربوية</v>
      </c>
      <c r="F948" s="26" t="str">
        <f ca="1">IFERROR(__xludf.DUMMYFUNCTION("""COMPUTED_VALUE"""),"F-  ابتدائية جود العميد للبنات (الرابعة)")</f>
        <v>F-  ابتدائية جود العميد للبنات (الرابعة)</v>
      </c>
      <c r="G948" s="26"/>
      <c r="H948" s="26" t="str">
        <f ca="1">IFERROR(__xludf.DUMMYFUNCTION("""COMPUTED_VALUE"""),"تبريد الاستعلامات  + صيانة غرفة المعاونات")</f>
        <v>تبريد الاستعلامات  + صيانة غرفة المعاونات</v>
      </c>
      <c r="I948" s="26"/>
      <c r="J948" s="26" t="s">
        <v>15</v>
      </c>
      <c r="K948" s="26" t="s">
        <v>13</v>
      </c>
      <c r="L948" s="55">
        <v>46201.501410914352</v>
      </c>
      <c r="M948" s="26"/>
    </row>
    <row r="949" spans="1:13" ht="75" customHeight="1" thickTop="1" thickBot="1">
      <c r="A949" s="34">
        <v>947</v>
      </c>
      <c r="B949" s="55">
        <f ca="1">IFERROR(__xludf.DUMMYFUNCTION("""COMPUTED_VALUE"""),46201.4724955555)</f>
        <v>46201.472495555499</v>
      </c>
      <c r="C949" s="56" t="str">
        <f ca="1">IFERROR(__xludf.DUMMYFUNCTION("""COMPUTED_VALUE"""),"المعملجي")</f>
        <v>المعملجي</v>
      </c>
      <c r="D949" s="56" t="str">
        <f ca="1">IFERROR(__xludf.DUMMYFUNCTION("""COMPUTED_VALUE"""),"ابراهيم الخطابي")</f>
        <v>ابراهيم الخطابي</v>
      </c>
      <c r="E949" s="26" t="str">
        <f ca="1">IFERROR(__xludf.DUMMYFUNCTION("""COMPUTED_VALUE"""),"مجموعة العميد التربوية")</f>
        <v>مجموعة العميد التربوية</v>
      </c>
      <c r="F949" s="26" t="str">
        <f ca="1">IFERROR(__xludf.DUMMYFUNCTION("""COMPUTED_VALUE"""),"F-  ابتدائية جود العميد للبنات (الرابعة)")</f>
        <v>F-  ابتدائية جود العميد للبنات (الرابعة)</v>
      </c>
      <c r="G949" s="26"/>
      <c r="H949" s="26" t="str">
        <f ca="1">IFERROR(__xludf.DUMMYFUNCTION("""COMPUTED_VALUE"""),"صيانة صوتيات الاستعلامات")</f>
        <v>صيانة صوتيات الاستعلامات</v>
      </c>
      <c r="I949" s="26"/>
      <c r="J949" s="26" t="s">
        <v>3910</v>
      </c>
      <c r="K949" s="26" t="s">
        <v>3911</v>
      </c>
      <c r="L949" s="55">
        <v>46202.311136041666</v>
      </c>
      <c r="M949" s="26"/>
    </row>
    <row r="950" spans="1:13" ht="75" customHeight="1" thickTop="1" thickBot="1">
      <c r="A950" s="26">
        <v>948</v>
      </c>
      <c r="B950" s="55">
        <f ca="1">IFERROR(__xludf.DUMMYFUNCTION("""COMPUTED_VALUE"""),46202.3115853472)</f>
        <v>46202.311585347197</v>
      </c>
      <c r="C950" s="56" t="str">
        <f ca="1">IFERROR(__xludf.DUMMYFUNCTION("""COMPUTED_VALUE"""),"المعملجي")</f>
        <v>المعملجي</v>
      </c>
      <c r="D950" s="56" t="str">
        <f ca="1">IFERROR(__xludf.DUMMYFUNCTION("""COMPUTED_VALUE"""),"وحدة الكهرباء")</f>
        <v>وحدة الكهرباء</v>
      </c>
      <c r="E950" s="26" t="str">
        <f ca="1">IFERROR(__xludf.DUMMYFUNCTION("""COMPUTED_VALUE"""),"قسم المشاريع الهندسية")</f>
        <v>قسم المشاريع الهندسية</v>
      </c>
      <c r="F950" s="26" t="str">
        <f ca="1">IFERROR(__xludf.DUMMYFUNCTION("""COMPUTED_VALUE"""),"المالية 2")</f>
        <v>المالية 2</v>
      </c>
      <c r="G950" s="26"/>
      <c r="H950" s="26" t="str">
        <f ca="1">IFERROR(__xludf.DUMMYFUNCTION("""COMPUTED_VALUE"""),"ربط التغذية الكهربائية الى الــRack الجديد ")</f>
        <v xml:space="preserve">ربط التغذية الكهربائية الى الــRack الجديد </v>
      </c>
      <c r="I950" s="26"/>
      <c r="J950" s="26" t="s">
        <v>3910</v>
      </c>
      <c r="K950" s="26" t="s">
        <v>13</v>
      </c>
      <c r="L950" s="55">
        <v>46202.331133807871</v>
      </c>
      <c r="M950" s="26"/>
    </row>
    <row r="951" spans="1:13" ht="75" customHeight="1" thickTop="1" thickBot="1">
      <c r="A951" s="34">
        <v>949</v>
      </c>
      <c r="B951" s="55">
        <f ca="1">IFERROR(__xludf.DUMMYFUNCTION("""COMPUTED_VALUE"""),46202.3123860995)</f>
        <v>46202.312386099497</v>
      </c>
      <c r="C951" s="56" t="str">
        <f ca="1">IFERROR(__xludf.DUMMYFUNCTION("""COMPUTED_VALUE"""),"المعملجي")</f>
        <v>المعملجي</v>
      </c>
      <c r="D951" s="56" t="str">
        <f ca="1">IFERROR(__xludf.DUMMYFUNCTION("""COMPUTED_VALUE"""),"وحدة الكهرباء")</f>
        <v>وحدة الكهرباء</v>
      </c>
      <c r="E951" s="26" t="str">
        <f ca="1">IFERROR(__xludf.DUMMYFUNCTION("""COMPUTED_VALUE"""),"قسم المشاريع الهندسية")</f>
        <v>قسم المشاريع الهندسية</v>
      </c>
      <c r="F951" s="26" t="str">
        <f ca="1">IFERROR(__xludf.DUMMYFUNCTION("""COMPUTED_VALUE"""),"المالية 2")</f>
        <v>المالية 2</v>
      </c>
      <c r="G951" s="26"/>
      <c r="H951" s="26" t="str">
        <f ca="1">IFERROR(__xludf.DUMMYFUNCTION("""COMPUTED_VALUE"""),"إيصال تغذية كهرباء Rack الى غرفة كهرباء الاستعلامات الرئيسية ")</f>
        <v xml:space="preserve">إيصال تغذية كهرباء Rack الى غرفة كهرباء الاستعلامات الرئيسية </v>
      </c>
      <c r="I951" s="26"/>
      <c r="J951" s="26" t="s">
        <v>3910</v>
      </c>
      <c r="K951" s="26" t="s">
        <v>13</v>
      </c>
      <c r="L951" s="55">
        <v>46202.331141655093</v>
      </c>
      <c r="M951" s="26"/>
    </row>
    <row r="952" spans="1:13" ht="75" customHeight="1" thickTop="1" thickBot="1">
      <c r="A952" s="26">
        <v>950</v>
      </c>
      <c r="B952" s="55">
        <f ca="1">IFERROR(__xludf.DUMMYFUNCTION("""COMPUTED_VALUE"""),46202.3127550925)</f>
        <v>46202.312755092498</v>
      </c>
      <c r="C952" s="56" t="str">
        <f ca="1">IFERROR(__xludf.DUMMYFUNCTION("""COMPUTED_VALUE"""),"المعملجي")</f>
        <v>المعملجي</v>
      </c>
      <c r="D952" s="56" t="str">
        <f ca="1">IFERROR(__xludf.DUMMYFUNCTION("""COMPUTED_VALUE"""),"وحدة الكهرباء")</f>
        <v>وحدة الكهرباء</v>
      </c>
      <c r="E952" s="26" t="str">
        <f ca="1">IFERROR(__xludf.DUMMYFUNCTION("""COMPUTED_VALUE"""),"قسم المشاريع الهندسية")</f>
        <v>قسم المشاريع الهندسية</v>
      </c>
      <c r="F952" s="26" t="str">
        <f ca="1">IFERROR(__xludf.DUMMYFUNCTION("""COMPUTED_VALUE"""),"المالية 2")</f>
        <v>المالية 2</v>
      </c>
      <c r="G952" s="26"/>
      <c r="H952" s="26" t="str">
        <f ca="1">IFERROR(__xludf.DUMMYFUNCTION("""COMPUTED_VALUE"""),"تفييش كيبل جديد UTP CAT6 الى التلفونات")</f>
        <v>تفييش كيبل جديد UTP CAT6 الى التلفونات</v>
      </c>
      <c r="I952" s="26"/>
      <c r="J952" s="26" t="s">
        <v>3910</v>
      </c>
      <c r="K952" s="26" t="s">
        <v>13</v>
      </c>
      <c r="L952" s="55">
        <v>46202.33115204861</v>
      </c>
      <c r="M952" s="26"/>
    </row>
    <row r="953" spans="1:13" ht="75" customHeight="1" thickTop="1" thickBot="1">
      <c r="A953" s="34">
        <v>951</v>
      </c>
      <c r="B953" s="55">
        <f ca="1">IFERROR(__xludf.DUMMYFUNCTION("""COMPUTED_VALUE"""),46202.3133324189)</f>
        <v>46202.313332418897</v>
      </c>
      <c r="C953" s="56" t="str">
        <f ca="1">IFERROR(__xludf.DUMMYFUNCTION("""COMPUTED_VALUE"""),"المعملجي")</f>
        <v>المعملجي</v>
      </c>
      <c r="D953" s="56" t="str">
        <f ca="1">IFERROR(__xludf.DUMMYFUNCTION("""COMPUTED_VALUE"""),"وحدة الكهرباء")</f>
        <v>وحدة الكهرباء</v>
      </c>
      <c r="E953" s="26" t="str">
        <f ca="1">IFERROR(__xludf.DUMMYFUNCTION("""COMPUTED_VALUE"""),"قسم المشاريع الهندسية")</f>
        <v>قسم المشاريع الهندسية</v>
      </c>
      <c r="F953" s="26" t="str">
        <f ca="1">IFERROR(__xludf.DUMMYFUNCTION("""COMPUTED_VALUE"""),"متفرقة")</f>
        <v>متفرقة</v>
      </c>
      <c r="G953" s="26"/>
      <c r="H953" s="26" t="str">
        <f ca="1">IFERROR(__xludf.DUMMYFUNCTION("""COMPUTED_VALUE"""),"تم صيانة  عدد (6) كارت خاص بجهاز منظومة التبريد نوع VRF،")</f>
        <v>تم صيانة  عدد (6) كارت خاص بجهاز منظومة التبريد نوع VRF،</v>
      </c>
      <c r="I953" s="26"/>
      <c r="J953" s="26" t="s">
        <v>3910</v>
      </c>
      <c r="K953" s="26" t="s">
        <v>13</v>
      </c>
      <c r="L953" s="55">
        <v>46202.331159560184</v>
      </c>
      <c r="M953" s="26"/>
    </row>
    <row r="954" spans="1:13" ht="75" customHeight="1" thickTop="1" thickBot="1">
      <c r="A954" s="26">
        <v>952</v>
      </c>
      <c r="B954" s="55">
        <f ca="1">IFERROR(__xludf.DUMMYFUNCTION("""COMPUTED_VALUE"""),46202.31377603)</f>
        <v>46202.313776030001</v>
      </c>
      <c r="C954" s="56" t="str">
        <f ca="1">IFERROR(__xludf.DUMMYFUNCTION("""COMPUTED_VALUE"""),"المعملجي")</f>
        <v>المعملجي</v>
      </c>
      <c r="D954" s="56" t="str">
        <f ca="1">IFERROR(__xludf.DUMMYFUNCTION("""COMPUTED_VALUE"""),"وحدة الكهرباء")</f>
        <v>وحدة الكهرباء</v>
      </c>
      <c r="E954" s="26" t="str">
        <f ca="1">IFERROR(__xludf.DUMMYFUNCTION("""COMPUTED_VALUE"""),"قسم المشاريع الهندسية")</f>
        <v>قسم المشاريع الهندسية</v>
      </c>
      <c r="F954" s="26" t="str">
        <f ca="1">IFERROR(__xludf.DUMMYFUNCTION("""COMPUTED_VALUE"""),"A- المركز الثقافي")</f>
        <v>A- المركز الثقافي</v>
      </c>
      <c r="G954" s="26" t="str">
        <f ca="1">IFERROR(__xludf.DUMMYFUNCTION("""COMPUTED_VALUE"""),"قاعة سراج العميد")</f>
        <v>قاعة سراج العميد</v>
      </c>
      <c r="H954" s="26" t="str">
        <f ca="1">IFERROR(__xludf.DUMMYFUNCTION("""COMPUTED_VALUE"""),"استبدال محولة سبوت لايت بقدرة 30W")</f>
        <v>استبدال محولة سبوت لايت بقدرة 30W</v>
      </c>
      <c r="I954" s="26"/>
      <c r="J954" s="26" t="s">
        <v>3910</v>
      </c>
      <c r="K954" s="26" t="s">
        <v>13</v>
      </c>
      <c r="L954" s="55">
        <v>46202.331170439815</v>
      </c>
      <c r="M954" s="26"/>
    </row>
    <row r="955" spans="1:13" ht="75" customHeight="1" thickTop="1" thickBot="1">
      <c r="A955" s="34">
        <v>953</v>
      </c>
      <c r="B955" s="55">
        <f ca="1">IFERROR(__xludf.DUMMYFUNCTION("""COMPUTED_VALUE"""),46202.314188206)</f>
        <v>46202.314188206001</v>
      </c>
      <c r="C955" s="56" t="str">
        <f ca="1">IFERROR(__xludf.DUMMYFUNCTION("""COMPUTED_VALUE"""),"المعملجي")</f>
        <v>المعملجي</v>
      </c>
      <c r="D955" s="56" t="str">
        <f ca="1">IFERROR(__xludf.DUMMYFUNCTION("""COMPUTED_VALUE"""),"وحدة الكهرباء")</f>
        <v>وحدة الكهرباء</v>
      </c>
      <c r="E955" s="26" t="str">
        <f ca="1">IFERROR(__xludf.DUMMYFUNCTION("""COMPUTED_VALUE"""),"قسم المشاريع الهندسية")</f>
        <v>قسم المشاريع الهندسية</v>
      </c>
      <c r="F955" s="26" t="str">
        <f ca="1">IFERROR(__xludf.DUMMYFUNCTION("""COMPUTED_VALUE"""),"C- ثانوية العميد بناية الاعدادية  (الاولى)")</f>
        <v>C- ثانوية العميد بناية الاعدادية  (الاولى)</v>
      </c>
      <c r="G955" s="26" t="str">
        <f ca="1">IFERROR(__xludf.DUMMYFUNCTION("""COMPUTED_VALUE"""),"السطح")</f>
        <v>السطح</v>
      </c>
      <c r="H955" s="26" t="str">
        <f ca="1">IFERROR(__xludf.DUMMYFUNCTION("""COMPUTED_VALUE"""),"صيانة مضخة الحريق")</f>
        <v>صيانة مضخة الحريق</v>
      </c>
      <c r="I955" s="26"/>
      <c r="J955" s="26" t="s">
        <v>3910</v>
      </c>
      <c r="K955" s="26" t="s">
        <v>13</v>
      </c>
      <c r="L955" s="55">
        <v>46202.331179432869</v>
      </c>
      <c r="M955" s="26"/>
    </row>
    <row r="956" spans="1:13" ht="75" customHeight="1" thickTop="1" thickBot="1">
      <c r="A956" s="26">
        <v>954</v>
      </c>
      <c r="B956" s="55">
        <f ca="1">IFERROR(__xludf.DUMMYFUNCTION("""COMPUTED_VALUE"""),46202.314889618)</f>
        <v>46202.314889617999</v>
      </c>
      <c r="C956" s="56" t="str">
        <f ca="1">IFERROR(__xludf.DUMMYFUNCTION("""COMPUTED_VALUE"""),"المعملجي")</f>
        <v>المعملجي</v>
      </c>
      <c r="D956" s="56" t="str">
        <f ca="1">IFERROR(__xludf.DUMMYFUNCTION("""COMPUTED_VALUE"""),"وحدة الكهرباء")</f>
        <v>وحدة الكهرباء</v>
      </c>
      <c r="E956" s="26" t="str">
        <f ca="1">IFERROR(__xludf.DUMMYFUNCTION("""COMPUTED_VALUE"""),"قسم المشاريع الهندسية")</f>
        <v>قسم المشاريع الهندسية</v>
      </c>
      <c r="F956" s="26" t="str">
        <f ca="1">IFERROR(__xludf.DUMMYFUNCTION("""COMPUTED_VALUE"""),"شعبة الصيانة")</f>
        <v>شعبة الصيانة</v>
      </c>
      <c r="G956" s="26" t="str">
        <f ca="1">IFERROR(__xludf.DUMMYFUNCTION("""COMPUTED_VALUE"""),"محطة الرفع")</f>
        <v>محطة الرفع</v>
      </c>
      <c r="H956" s="26" t="str">
        <f ca="1">IFERROR(__xludf.DUMMYFUNCTION("""COMPUTED_VALUE"""),"عمل لوبات بحجم 50 ملم وربطها الى قاطع تجهيز البيوت الخارجية")</f>
        <v>عمل لوبات بحجم 50 ملم وربطها الى قاطع تجهيز البيوت الخارجية</v>
      </c>
      <c r="I956" s="26"/>
      <c r="J956" s="26" t="s">
        <v>3910</v>
      </c>
      <c r="K956" s="26" t="s">
        <v>13</v>
      </c>
      <c r="L956" s="55">
        <v>46202.331181296293</v>
      </c>
      <c r="M956" s="26"/>
    </row>
    <row r="957" spans="1:13" ht="75" customHeight="1" thickTop="1" thickBot="1">
      <c r="A957" s="34">
        <v>955</v>
      </c>
      <c r="B957" s="55">
        <f ca="1">IFERROR(__xludf.DUMMYFUNCTION("""COMPUTED_VALUE"""),46202.3156266319)</f>
        <v>46202.315626631898</v>
      </c>
      <c r="C957" s="56" t="str">
        <f ca="1">IFERROR(__xludf.DUMMYFUNCTION("""COMPUTED_VALUE"""),"المعملجي")</f>
        <v>المعملجي</v>
      </c>
      <c r="D957" s="56" t="str">
        <f ca="1">IFERROR(__xludf.DUMMYFUNCTION("""COMPUTED_VALUE"""),"وحدة الكهرباء")</f>
        <v>وحدة الكهرباء</v>
      </c>
      <c r="E957" s="26" t="str">
        <f ca="1">IFERROR(__xludf.DUMMYFUNCTION("""COMPUTED_VALUE"""),"قسم المشاريع الهندسية")</f>
        <v>قسم المشاريع الهندسية</v>
      </c>
      <c r="F957" s="26" t="str">
        <f ca="1">IFERROR(__xludf.DUMMYFUNCTION("""COMPUTED_VALUE"""),"شعبة الصيانة")</f>
        <v>شعبة الصيانة</v>
      </c>
      <c r="G957" s="26" t="str">
        <f ca="1">IFERROR(__xludf.DUMMYFUNCTION("""COMPUTED_VALUE"""),"محطة الرفع")</f>
        <v>محطة الرفع</v>
      </c>
      <c r="H957" s="26" t="str">
        <f ca="1">IFERROR(__xludf.DUMMYFUNCTION("""COMPUTED_VALUE"""),"تنظيف محولة محطة الرفع من الدهن الخارج منها ")</f>
        <v xml:space="preserve">تنظيف محولة محطة الرفع من الدهن الخارج منها </v>
      </c>
      <c r="I957" s="26"/>
      <c r="J957" s="26" t="s">
        <v>3910</v>
      </c>
      <c r="K957" s="26" t="s">
        <v>13</v>
      </c>
      <c r="L957" s="55">
        <v>46202.331202384259</v>
      </c>
      <c r="M957" s="26"/>
    </row>
    <row r="958" spans="1:13" ht="75" customHeight="1" thickTop="1" thickBot="1">
      <c r="A958" s="26">
        <v>956</v>
      </c>
      <c r="B958" s="55">
        <f ca="1">IFERROR(__xludf.DUMMYFUNCTION("""COMPUTED_VALUE"""),46202.3163421642)</f>
        <v>46202.316342164297</v>
      </c>
      <c r="C958" s="56" t="str">
        <f ca="1">IFERROR(__xludf.DUMMYFUNCTION("""COMPUTED_VALUE"""),"المعملجي")</f>
        <v>المعملجي</v>
      </c>
      <c r="D958" s="56" t="str">
        <f ca="1">IFERROR(__xludf.DUMMYFUNCTION("""COMPUTED_VALUE"""),"وحدة الكهرباء")</f>
        <v>وحدة الكهرباء</v>
      </c>
      <c r="E958" s="26" t="str">
        <f ca="1">IFERROR(__xludf.DUMMYFUNCTION("""COMPUTED_VALUE"""),"قسم المشاريع الهندسية")</f>
        <v>قسم المشاريع الهندسية</v>
      </c>
      <c r="F958" s="26" t="str">
        <f ca="1">IFERROR(__xludf.DUMMYFUNCTION("""COMPUTED_VALUE"""),"A- المركز الثقافي")</f>
        <v>A- المركز الثقافي</v>
      </c>
      <c r="G958" s="26" t="str">
        <f ca="1">IFERROR(__xludf.DUMMYFUNCTION("""COMPUTED_VALUE"""),"الطابق الارضي")</f>
        <v>الطابق الارضي</v>
      </c>
      <c r="H958" s="26" t="str">
        <f ca="1">IFERROR(__xludf.DUMMYFUNCTION("""COMPUTED_VALUE"""),"تسليك وربط سبلت كنتوري 3 طن حيث تم اضافة سويج 45A ")</f>
        <v xml:space="preserve">تسليك وربط سبلت كنتوري 3 طن حيث تم اضافة سويج 45A </v>
      </c>
      <c r="I958" s="26"/>
      <c r="J958" s="26" t="s">
        <v>3910</v>
      </c>
      <c r="K958" s="26" t="s">
        <v>13</v>
      </c>
      <c r="L958" s="55">
        <v>46202.331203900467</v>
      </c>
      <c r="M958" s="26"/>
    </row>
    <row r="959" spans="1:13" ht="75" customHeight="1" thickTop="1" thickBot="1">
      <c r="A959" s="34">
        <v>957</v>
      </c>
      <c r="B959" s="55">
        <f ca="1">IFERROR(__xludf.DUMMYFUNCTION("""COMPUTED_VALUE"""),46202.3170924305)</f>
        <v>46202.317092430501</v>
      </c>
      <c r="C959" s="56" t="str">
        <f ca="1">IFERROR(__xludf.DUMMYFUNCTION("""COMPUTED_VALUE"""),"المعملجي")</f>
        <v>المعملجي</v>
      </c>
      <c r="D959" s="56" t="str">
        <f ca="1">IFERROR(__xludf.DUMMYFUNCTION("""COMPUTED_VALUE"""),"ابو سجاد ")</f>
        <v xml:space="preserve">ابو سجاد </v>
      </c>
      <c r="E959" s="26" t="str">
        <f ca="1">IFERROR(__xludf.DUMMYFUNCTION("""COMPUTED_VALUE"""),"مجموعة العميد التربوية")</f>
        <v>مجموعة العميد التربوية</v>
      </c>
      <c r="F959" s="26" t="str">
        <f ca="1">IFERROR(__xludf.DUMMYFUNCTION("""COMPUTED_VALUE"""),"I- ابتدائية الساقي للبنين (السادسة)")</f>
        <v>I- ابتدائية الساقي للبنين (السادسة)</v>
      </c>
      <c r="G959" s="26" t="str">
        <f ca="1">IFERROR(__xludf.DUMMYFUNCTION("""COMPUTED_VALUE"""),"السطح")</f>
        <v>السطح</v>
      </c>
      <c r="H959" s="26" t="str">
        <f ca="1">IFERROR(__xludf.DUMMYFUNCTION("""COMPUTED_VALUE"""),"Ro لايوجد ماء")</f>
        <v>Ro لايوجد ماء</v>
      </c>
      <c r="I959" s="26"/>
      <c r="J959" s="26" t="s">
        <v>14</v>
      </c>
      <c r="K959" s="26" t="s">
        <v>13</v>
      </c>
      <c r="L959" s="55">
        <v>46203.292530092593</v>
      </c>
      <c r="M959" s="26"/>
    </row>
    <row r="960" spans="1:13" ht="75" customHeight="1" thickTop="1" thickBot="1">
      <c r="A960" s="26">
        <v>958</v>
      </c>
      <c r="B960" s="55">
        <f ca="1">IFERROR(__xludf.DUMMYFUNCTION("""COMPUTED_VALUE"""),46202.3173344213)</f>
        <v>46202.317334421299</v>
      </c>
      <c r="C960" s="56" t="str">
        <f ca="1">IFERROR(__xludf.DUMMYFUNCTION("""COMPUTED_VALUE"""),"المعملجي")</f>
        <v>المعملجي</v>
      </c>
      <c r="D960" s="56" t="str">
        <f ca="1">IFERROR(__xludf.DUMMYFUNCTION("""COMPUTED_VALUE"""),"وحدة الكهرباء")</f>
        <v>وحدة الكهرباء</v>
      </c>
      <c r="E960" s="26" t="str">
        <f ca="1">IFERROR(__xludf.DUMMYFUNCTION("""COMPUTED_VALUE"""),"قسم المشاريع الهندسية")</f>
        <v>قسم المشاريع الهندسية</v>
      </c>
      <c r="F960" s="26" t="str">
        <f ca="1">IFERROR(__xludf.DUMMYFUNCTION("""COMPUTED_VALUE"""),"G- روضة الجود")</f>
        <v>G- روضة الجود</v>
      </c>
      <c r="G960" s="26" t="str">
        <f ca="1">IFERROR(__xludf.DUMMYFUNCTION("""COMPUTED_VALUE"""),"السطح, الطاقة الشمسية")</f>
        <v>السطح, الطاقة الشمسية</v>
      </c>
      <c r="H960" s="26" t="str">
        <f ca="1">IFERROR(__xludf.DUMMYFUNCTION("""COMPUTED_VALUE"""),"اثناء المتابعة الليلية عثر على خلل في احدى بطاريات المنظومة وتم فصلها لحين استبدالها")</f>
        <v>اثناء المتابعة الليلية عثر على خلل في احدى بطاريات المنظومة وتم فصلها لحين استبدالها</v>
      </c>
      <c r="I960" s="26"/>
      <c r="J960" s="26" t="s">
        <v>3910</v>
      </c>
      <c r="K960" s="26" t="s">
        <v>13</v>
      </c>
      <c r="L960" s="55">
        <v>46202.331263611108</v>
      </c>
      <c r="M960" s="26"/>
    </row>
    <row r="961" spans="1:13" ht="75" customHeight="1" thickTop="1" thickBot="1">
      <c r="A961" s="34">
        <v>959</v>
      </c>
      <c r="B961" s="55">
        <f ca="1">IFERROR(__xludf.DUMMYFUNCTION("""COMPUTED_VALUE"""),46202.3179558333)</f>
        <v>46202.317955833299</v>
      </c>
      <c r="C961" s="56" t="str">
        <f ca="1">IFERROR(__xludf.DUMMYFUNCTION("""COMPUTED_VALUE"""),"المعملجي")</f>
        <v>المعملجي</v>
      </c>
      <c r="D961" s="56" t="str">
        <f ca="1">IFERROR(__xludf.DUMMYFUNCTION("""COMPUTED_VALUE"""),"وحدة الكهرباء")</f>
        <v>وحدة الكهرباء</v>
      </c>
      <c r="E961" s="26" t="str">
        <f ca="1">IFERROR(__xludf.DUMMYFUNCTION("""COMPUTED_VALUE"""),"قسم المشاريع الهندسية")</f>
        <v>قسم المشاريع الهندسية</v>
      </c>
      <c r="F961" s="26" t="str">
        <f ca="1">IFERROR(__xludf.DUMMYFUNCTION("""COMPUTED_VALUE"""),"شعبة الصيانة")</f>
        <v>شعبة الصيانة</v>
      </c>
      <c r="G961" s="26" t="str">
        <f ca="1">IFERROR(__xludf.DUMMYFUNCTION("""COMPUTED_VALUE"""),"كرفان المدني")</f>
        <v>كرفان المدني</v>
      </c>
      <c r="H961" s="26" t="str">
        <f ca="1">IFERROR(__xludf.DUMMYFUNCTION("""COMPUTED_VALUE"""),"تبديل سبوت لايت عدد 2 بقدرة 24w")</f>
        <v>تبديل سبوت لايت عدد 2 بقدرة 24w</v>
      </c>
      <c r="I961" s="26"/>
      <c r="J961" s="26" t="s">
        <v>3910</v>
      </c>
      <c r="K961" s="26" t="s">
        <v>13</v>
      </c>
      <c r="L961" s="55">
        <v>46202.331272685187</v>
      </c>
      <c r="M961" s="26"/>
    </row>
    <row r="962" spans="1:13" ht="75" customHeight="1" thickTop="1" thickBot="1">
      <c r="A962" s="26">
        <v>960</v>
      </c>
      <c r="B962" s="55">
        <f ca="1">IFERROR(__xludf.DUMMYFUNCTION("""COMPUTED_VALUE"""),46202.3194640277)</f>
        <v>46202.3194640277</v>
      </c>
      <c r="C962" s="56" t="str">
        <f ca="1">IFERROR(__xludf.DUMMYFUNCTION("""COMPUTED_VALUE"""),"المعملجي")</f>
        <v>المعملجي</v>
      </c>
      <c r="D962" s="56" t="str">
        <f ca="1">IFERROR(__xludf.DUMMYFUNCTION("""COMPUTED_VALUE"""),"وحدة الكهرباء")</f>
        <v>وحدة الكهرباء</v>
      </c>
      <c r="E962" s="26" t="str">
        <f ca="1">IFERROR(__xludf.DUMMYFUNCTION("""COMPUTED_VALUE"""),"قسم المشاريع الهندسية")</f>
        <v>قسم المشاريع الهندسية</v>
      </c>
      <c r="F962" s="26" t="str">
        <f ca="1">IFERROR(__xludf.DUMMYFUNCTION("""COMPUTED_VALUE"""),"C- ثانوية العميد بناية الاعدادية  (الاولى)")</f>
        <v>C- ثانوية العميد بناية الاعدادية  (الاولى)</v>
      </c>
      <c r="G962" s="26"/>
      <c r="H962" s="26" t="str">
        <f ca="1">IFERROR(__xludf.DUMMYFUNCTION("""COMPUTED_VALUE"""),"استبدال محولة انارة منشورية عدد 2")</f>
        <v>استبدال محولة انارة منشورية عدد 2</v>
      </c>
      <c r="I962" s="26"/>
      <c r="J962" s="26" t="s">
        <v>3910</v>
      </c>
      <c r="K962" s="26" t="s">
        <v>13</v>
      </c>
      <c r="L962" s="55">
        <v>46202.331283796295</v>
      </c>
      <c r="M962" s="26"/>
    </row>
    <row r="963" spans="1:13" ht="75" customHeight="1" thickTop="1" thickBot="1">
      <c r="A963" s="34">
        <v>961</v>
      </c>
      <c r="B963" s="55">
        <f ca="1">IFERROR(__xludf.DUMMYFUNCTION("""COMPUTED_VALUE"""),46202.3201254745)</f>
        <v>46202.3201254745</v>
      </c>
      <c r="C963" s="56" t="str">
        <f ca="1">IFERROR(__xludf.DUMMYFUNCTION("""COMPUTED_VALUE"""),"المعملجي")</f>
        <v>المعملجي</v>
      </c>
      <c r="D963" s="56" t="str">
        <f ca="1">IFERROR(__xludf.DUMMYFUNCTION("""COMPUTED_VALUE"""),"وحدة الكهرباء")</f>
        <v>وحدة الكهرباء</v>
      </c>
      <c r="E963" s="26" t="str">
        <f ca="1">IFERROR(__xludf.DUMMYFUNCTION("""COMPUTED_VALUE"""),"قسم المشاريع الهندسية")</f>
        <v>قسم المشاريع الهندسية</v>
      </c>
      <c r="F963" s="26" t="str">
        <f ca="1">IFERROR(__xludf.DUMMYFUNCTION("""COMPUTED_VALUE"""),"A- المركز الثقافي")</f>
        <v>A- المركز الثقافي</v>
      </c>
      <c r="G963" s="26" t="str">
        <f ca="1">IFERROR(__xludf.DUMMYFUNCTION("""COMPUTED_VALUE"""),"الطابق الرابع, شعبة المراقبة_الكاميرات")</f>
        <v>الطابق الرابع, شعبة المراقبة_الكاميرات</v>
      </c>
      <c r="H963" s="26" t="str">
        <f ca="1">IFERROR(__xludf.DUMMYFUNCTION("""COMPUTED_VALUE""")," استبدال ماوس عاطل ")</f>
        <v xml:space="preserve"> استبدال ماوس عاطل </v>
      </c>
      <c r="I963" s="26"/>
      <c r="J963" s="26" t="s">
        <v>3910</v>
      </c>
      <c r="K963" s="26" t="s">
        <v>13</v>
      </c>
      <c r="L963" s="55">
        <v>46202.331294861113</v>
      </c>
      <c r="M963" s="26"/>
    </row>
    <row r="964" spans="1:13" ht="75" customHeight="1" thickTop="1" thickBot="1">
      <c r="A964" s="26">
        <v>962</v>
      </c>
      <c r="B964" s="55">
        <f ca="1">IFERROR(__xludf.DUMMYFUNCTION("""COMPUTED_VALUE"""),46202.3204953819)</f>
        <v>46202.3204953819</v>
      </c>
      <c r="C964" s="56" t="str">
        <f ca="1">IFERROR(__xludf.DUMMYFUNCTION("""COMPUTED_VALUE"""),"المعملجي")</f>
        <v>المعملجي</v>
      </c>
      <c r="D964" s="56" t="str">
        <f ca="1">IFERROR(__xludf.DUMMYFUNCTION("""COMPUTED_VALUE"""),"وحدة الكهرباء")</f>
        <v>وحدة الكهرباء</v>
      </c>
      <c r="E964" s="26" t="str">
        <f ca="1">IFERROR(__xludf.DUMMYFUNCTION("""COMPUTED_VALUE"""),"قسم المشاريع الهندسية")</f>
        <v>قسم المشاريع الهندسية</v>
      </c>
      <c r="F964" s="26" t="str">
        <f ca="1">IFERROR(__xludf.DUMMYFUNCTION("""COMPUTED_VALUE"""),"الاستعلامات الرئيسية")</f>
        <v>الاستعلامات الرئيسية</v>
      </c>
      <c r="G964" s="26"/>
      <c r="H964" s="26" t="str">
        <f ca="1">IFERROR(__xludf.DUMMYFUNCTION("""COMPUTED_VALUE"""),"استبدال بلك سويچ 13A تالف ")</f>
        <v xml:space="preserve">استبدال بلك سويچ 13A تالف </v>
      </c>
      <c r="I964" s="26"/>
      <c r="J964" s="26" t="s">
        <v>3910</v>
      </c>
      <c r="K964" s="26" t="s">
        <v>13</v>
      </c>
      <c r="L964" s="55">
        <v>46202.331296249999</v>
      </c>
      <c r="M964" s="26"/>
    </row>
    <row r="965" spans="1:13" ht="75" customHeight="1" thickTop="1" thickBot="1">
      <c r="A965" s="34">
        <v>963</v>
      </c>
      <c r="B965" s="55">
        <f ca="1">IFERROR(__xludf.DUMMYFUNCTION("""COMPUTED_VALUE"""),46202.3209691782)</f>
        <v>46202.320969178203</v>
      </c>
      <c r="C965" s="56" t="str">
        <f ca="1">IFERROR(__xludf.DUMMYFUNCTION("""COMPUTED_VALUE"""),"المعملجي")</f>
        <v>المعملجي</v>
      </c>
      <c r="D965" s="56" t="str">
        <f ca="1">IFERROR(__xludf.DUMMYFUNCTION("""COMPUTED_VALUE"""),"وحدة الكهرباء")</f>
        <v>وحدة الكهرباء</v>
      </c>
      <c r="E965" s="26" t="str">
        <f ca="1">IFERROR(__xludf.DUMMYFUNCTION("""COMPUTED_VALUE"""),"قسم المشاريع الهندسية")</f>
        <v>قسم المشاريع الهندسية</v>
      </c>
      <c r="F965" s="26" t="str">
        <f ca="1">IFERROR(__xludf.DUMMYFUNCTION("""COMPUTED_VALUE"""),"H- ابتدائية القمر للبنات (الخامسة)")</f>
        <v>H- ابتدائية القمر للبنات (الخامسة)</v>
      </c>
      <c r="G965" s="26"/>
      <c r="H965" s="26" t="str">
        <f ca="1">IFERROR(__xludf.DUMMYFUNCTION("""COMPUTED_VALUE"""),"أضافة ميزة الاطفاء الأوتوماتيكي للمدرسة الخامسة عند وضع سلكتر على (Solar)")</f>
        <v>أضافة ميزة الاطفاء الأوتوماتيكي للمدرسة الخامسة عند وضع سلكتر على (Solar)</v>
      </c>
      <c r="I965" s="26"/>
      <c r="J965" s="26" t="s">
        <v>3910</v>
      </c>
      <c r="K965" s="26" t="s">
        <v>13</v>
      </c>
      <c r="L965" s="55">
        <v>46202.331326203705</v>
      </c>
      <c r="M965" s="26"/>
    </row>
    <row r="966" spans="1:13" ht="75" customHeight="1" thickTop="1" thickBot="1">
      <c r="A966" s="26">
        <v>964</v>
      </c>
      <c r="B966" s="55">
        <f ca="1">IFERROR(__xludf.DUMMYFUNCTION("""COMPUTED_VALUE"""),46202.3220512731)</f>
        <v>46202.322051273099</v>
      </c>
      <c r="C966" s="56" t="str">
        <f ca="1">IFERROR(__xludf.DUMMYFUNCTION("""COMPUTED_VALUE"""),"المعملجي")</f>
        <v>المعملجي</v>
      </c>
      <c r="D966" s="56" t="str">
        <f ca="1">IFERROR(__xludf.DUMMYFUNCTION("""COMPUTED_VALUE"""),"وحدة الكهرباء")</f>
        <v>وحدة الكهرباء</v>
      </c>
      <c r="E966" s="26" t="str">
        <f ca="1">IFERROR(__xludf.DUMMYFUNCTION("""COMPUTED_VALUE"""),"قسم المشاريع الهندسية")</f>
        <v>قسم المشاريع الهندسية</v>
      </c>
      <c r="F966" s="26" t="str">
        <f ca="1">IFERROR(__xludf.DUMMYFUNCTION("""COMPUTED_VALUE"""),"A- المركز الثقافي")</f>
        <v>A- المركز الثقافي</v>
      </c>
      <c r="G966" s="26" t="str">
        <f ca="1">IFERROR(__xludf.DUMMYFUNCTION("""COMPUTED_VALUE"""),"الطابق الرابع, الكاميرات")</f>
        <v>الطابق الرابع, الكاميرات</v>
      </c>
      <c r="H966" s="26" t="str">
        <f ca="1">IFERROR(__xludf.DUMMYFUNCTION("""COMPUTED_VALUE"""),"استبدال المنچر الرباعي 32A التالف  والمغذي لـUPS")</f>
        <v>استبدال المنچر الرباعي 32A التالف  والمغذي لـUPS</v>
      </c>
      <c r="I966" s="26"/>
      <c r="J966" s="26" t="s">
        <v>3910</v>
      </c>
      <c r="K966" s="26" t="s">
        <v>13</v>
      </c>
      <c r="L966" s="55">
        <v>46202.33132409722</v>
      </c>
      <c r="M966" s="26"/>
    </row>
    <row r="967" spans="1:13" ht="75" customHeight="1" thickTop="1" thickBot="1">
      <c r="A967" s="34">
        <v>965</v>
      </c>
      <c r="B967" s="55">
        <f ca="1">IFERROR(__xludf.DUMMYFUNCTION("""COMPUTED_VALUE"""),46202.3224464814)</f>
        <v>46202.322446481397</v>
      </c>
      <c r="C967" s="56" t="str">
        <f ca="1">IFERROR(__xludf.DUMMYFUNCTION("""COMPUTED_VALUE"""),"المعملجي")</f>
        <v>المعملجي</v>
      </c>
      <c r="D967" s="56" t="str">
        <f ca="1">IFERROR(__xludf.DUMMYFUNCTION("""COMPUTED_VALUE"""),"وحدة الكهرباء")</f>
        <v>وحدة الكهرباء</v>
      </c>
      <c r="E967" s="26" t="str">
        <f ca="1">IFERROR(__xludf.DUMMYFUNCTION("""COMPUTED_VALUE"""),"قسم المشاريع الهندسية")</f>
        <v>قسم المشاريع الهندسية</v>
      </c>
      <c r="F967" s="26" t="str">
        <f ca="1">IFERROR(__xludf.DUMMYFUNCTION("""COMPUTED_VALUE"""),"A- المركز الثقافي")</f>
        <v>A- المركز الثقافي</v>
      </c>
      <c r="G967" s="26" t="str">
        <f ca="1">IFERROR(__xludf.DUMMYFUNCTION("""COMPUTED_VALUE"""),"الطابق الرابع, الكاميرات")</f>
        <v>الطابق الرابع, الكاميرات</v>
      </c>
      <c r="H967" s="26" t="str">
        <f ca="1">IFERROR(__xludf.DUMMYFUNCTION("""COMPUTED_VALUE"""),"استبدال محولة سبوت لايت سقفي عدد 1 ")</f>
        <v xml:space="preserve">استبدال محولة سبوت لايت سقفي عدد 1 </v>
      </c>
      <c r="I967" s="26"/>
      <c r="J967" s="26" t="s">
        <v>3910</v>
      </c>
      <c r="K967" s="26" t="s">
        <v>13</v>
      </c>
      <c r="L967" s="55">
        <v>46202.331328437504</v>
      </c>
      <c r="M967" s="26"/>
    </row>
    <row r="968" spans="1:13" ht="75" customHeight="1" thickTop="1" thickBot="1">
      <c r="A968" s="26">
        <v>966</v>
      </c>
      <c r="B968" s="55">
        <f ca="1">IFERROR(__xludf.DUMMYFUNCTION("""COMPUTED_VALUE"""),46202.3232226157)</f>
        <v>46202.323222615698</v>
      </c>
      <c r="C968" s="56" t="str">
        <f ca="1">IFERROR(__xludf.DUMMYFUNCTION("""COMPUTED_VALUE"""),"المعملجي")</f>
        <v>المعملجي</v>
      </c>
      <c r="D968" s="56" t="str">
        <f ca="1">IFERROR(__xludf.DUMMYFUNCTION("""COMPUTED_VALUE"""),"وحدة الكهرباء")</f>
        <v>وحدة الكهرباء</v>
      </c>
      <c r="E968" s="26" t="str">
        <f ca="1">IFERROR(__xludf.DUMMYFUNCTION("""COMPUTED_VALUE"""),"قسم المشاريع الهندسية")</f>
        <v>قسم المشاريع الهندسية</v>
      </c>
      <c r="F968" s="26" t="str">
        <f ca="1">IFERROR(__xludf.DUMMYFUNCTION("""COMPUTED_VALUE"""),"D- ثانوية العميد بناية المتوسطة  (الثانية)")</f>
        <v>D- ثانوية العميد بناية المتوسطة  (الثانية)</v>
      </c>
      <c r="G968" s="26"/>
      <c r="H968" s="26" t="str">
        <f ca="1">IFERROR(__xludf.DUMMYFUNCTION("""COMPUTED_VALUE"""),"استبدال محولة انارة منشورية عدد 4 وسبوت لايت عدد 1")</f>
        <v>استبدال محولة انارة منشورية عدد 4 وسبوت لايت عدد 1</v>
      </c>
      <c r="I968" s="26"/>
      <c r="J968" s="26" t="s">
        <v>3910</v>
      </c>
      <c r="K968" s="26" t="s">
        <v>13</v>
      </c>
      <c r="L968" s="55">
        <v>46202.331338298609</v>
      </c>
      <c r="M968" s="26"/>
    </row>
    <row r="969" spans="1:13" ht="75" customHeight="1" thickTop="1" thickBot="1">
      <c r="A969" s="34">
        <v>967</v>
      </c>
      <c r="B969" s="55">
        <f ca="1">IFERROR(__xludf.DUMMYFUNCTION("""COMPUTED_VALUE"""),46202.323714074)</f>
        <v>46202.323714074002</v>
      </c>
      <c r="C969" s="56" t="str">
        <f ca="1">IFERROR(__xludf.DUMMYFUNCTION("""COMPUTED_VALUE"""),"المعملجي")</f>
        <v>المعملجي</v>
      </c>
      <c r="D969" s="56" t="str">
        <f ca="1">IFERROR(__xludf.DUMMYFUNCTION("""COMPUTED_VALUE"""),"وحدة الكهرباء")</f>
        <v>وحدة الكهرباء</v>
      </c>
      <c r="E969" s="26" t="str">
        <f ca="1">IFERROR(__xludf.DUMMYFUNCTION("""COMPUTED_VALUE"""),"قسم المشاريع الهندسية")</f>
        <v>قسم المشاريع الهندسية</v>
      </c>
      <c r="F969" s="26" t="str">
        <f ca="1">IFERROR(__xludf.DUMMYFUNCTION("""COMPUTED_VALUE"""),"بيت الاعلام")</f>
        <v>بيت الاعلام</v>
      </c>
      <c r="G969" s="26"/>
      <c r="H969" s="26" t="str">
        <f ca="1">IFERROR(__xludf.DUMMYFUNCTION("""COMPUTED_VALUE"""),"عمل بورد جديد لبيت الأعلام وضع فيه قاطع رئيسي بسعة 125A")</f>
        <v>عمل بورد جديد لبيت الأعلام وضع فيه قاطع رئيسي بسعة 125A</v>
      </c>
      <c r="I969" s="26"/>
      <c r="J969" s="26" t="s">
        <v>3910</v>
      </c>
      <c r="K969" s="26" t="s">
        <v>13</v>
      </c>
      <c r="L969" s="55">
        <v>46202.331342962963</v>
      </c>
      <c r="M969" s="26"/>
    </row>
    <row r="970" spans="1:13" ht="75" customHeight="1" thickTop="1" thickBot="1">
      <c r="A970" s="26">
        <v>968</v>
      </c>
      <c r="B970" s="55">
        <f ca="1">IFERROR(__xludf.DUMMYFUNCTION("""COMPUTED_VALUE"""),46202.3240611921)</f>
        <v>46202.324061192099</v>
      </c>
      <c r="C970" s="56" t="str">
        <f ca="1">IFERROR(__xludf.DUMMYFUNCTION("""COMPUTED_VALUE"""),"المعملجي")</f>
        <v>المعملجي</v>
      </c>
      <c r="D970" s="56" t="str">
        <f ca="1">IFERROR(__xludf.DUMMYFUNCTION("""COMPUTED_VALUE"""),"وحدة الكهرباء")</f>
        <v>وحدة الكهرباء</v>
      </c>
      <c r="E970" s="26" t="str">
        <f ca="1">IFERROR(__xludf.DUMMYFUNCTION("""COMPUTED_VALUE"""),"قسم المشاريع الهندسية")</f>
        <v>قسم المشاريع الهندسية</v>
      </c>
      <c r="F970" s="26" t="str">
        <f ca="1">IFERROR(__xludf.DUMMYFUNCTION("""COMPUTED_VALUE"""),"A- المركز الثقافي")</f>
        <v>A- المركز الثقافي</v>
      </c>
      <c r="G970" s="26" t="str">
        <f ca="1">IFERROR(__xludf.DUMMYFUNCTION("""COMPUTED_VALUE"""),"الطابق الرابع, الكاميرات")</f>
        <v>الطابق الرابع, الكاميرات</v>
      </c>
      <c r="H970" s="26" t="str">
        <f ca="1">IFERROR(__xludf.DUMMYFUNCTION("""COMPUTED_VALUE""")," استبدال ماوس 🖱️ عاطل ")</f>
        <v xml:space="preserve"> استبدال ماوس 🖱️ عاطل </v>
      </c>
      <c r="I970" s="26"/>
      <c r="J970" s="26" t="s">
        <v>3910</v>
      </c>
      <c r="K970" s="26" t="s">
        <v>13</v>
      </c>
      <c r="L970" s="55">
        <v>46202.331352407404</v>
      </c>
      <c r="M970" s="26"/>
    </row>
    <row r="971" spans="1:13" ht="75" customHeight="1" thickTop="1" thickBot="1">
      <c r="A971" s="34">
        <v>969</v>
      </c>
      <c r="B971" s="55">
        <f ca="1">IFERROR(__xludf.DUMMYFUNCTION("""COMPUTED_VALUE"""),46202.3243588078)</f>
        <v>46202.324358807797</v>
      </c>
      <c r="C971" s="56" t="str">
        <f ca="1">IFERROR(__xludf.DUMMYFUNCTION("""COMPUTED_VALUE"""),"المعملجي")</f>
        <v>المعملجي</v>
      </c>
      <c r="D971" s="56" t="str">
        <f ca="1">IFERROR(__xludf.DUMMYFUNCTION("""COMPUTED_VALUE"""),"وحدة الكهرباء")</f>
        <v>وحدة الكهرباء</v>
      </c>
      <c r="E971" s="26" t="str">
        <f ca="1">IFERROR(__xludf.DUMMYFUNCTION("""COMPUTED_VALUE"""),"قسم المشاريع الهندسية")</f>
        <v>قسم المشاريع الهندسية</v>
      </c>
      <c r="F971" s="26" t="str">
        <f ca="1">IFERROR(__xludf.DUMMYFUNCTION("""COMPUTED_VALUE"""),"A- المركز الثقافي")</f>
        <v>A- المركز الثقافي</v>
      </c>
      <c r="G971" s="26" t="str">
        <f ca="1">IFERROR(__xludf.DUMMYFUNCTION("""COMPUTED_VALUE"""),"الطابق الرابع, الكاميرات")</f>
        <v>الطابق الرابع, الكاميرات</v>
      </c>
      <c r="H971" s="26" t="str">
        <f ca="1">IFERROR(__xludf.DUMMYFUNCTION("""COMPUTED_VALUE"""),"استبدال سبوت لايت عاطل 24W")</f>
        <v>استبدال سبوت لايت عاطل 24W</v>
      </c>
      <c r="I971" s="26"/>
      <c r="J971" s="26" t="s">
        <v>3910</v>
      </c>
      <c r="K971" s="26" t="s">
        <v>13</v>
      </c>
      <c r="L971" s="55">
        <v>46202.331358738425</v>
      </c>
      <c r="M971" s="26"/>
    </row>
    <row r="972" spans="1:13" ht="75" customHeight="1" thickTop="1" thickBot="1">
      <c r="A972" s="26">
        <v>970</v>
      </c>
      <c r="B972" s="55">
        <f ca="1">IFERROR(__xludf.DUMMYFUNCTION("""COMPUTED_VALUE"""),46202.325364375)</f>
        <v>46202.325364374999</v>
      </c>
      <c r="C972" s="56" t="str">
        <f ca="1">IFERROR(__xludf.DUMMYFUNCTION("""COMPUTED_VALUE"""),"المعملجي")</f>
        <v>المعملجي</v>
      </c>
      <c r="D972" s="56" t="str">
        <f ca="1">IFERROR(__xludf.DUMMYFUNCTION("""COMPUTED_VALUE"""),"وحدة الكهرباء")</f>
        <v>وحدة الكهرباء</v>
      </c>
      <c r="E972" s="26" t="str">
        <f ca="1">IFERROR(__xludf.DUMMYFUNCTION("""COMPUTED_VALUE"""),"قسم المشاريع الهندسية")</f>
        <v>قسم المشاريع الهندسية</v>
      </c>
      <c r="F972" s="26" t="str">
        <f ca="1">IFERROR(__xludf.DUMMYFUNCTION("""COMPUTED_VALUE"""),"شعبة الصيانة")</f>
        <v>شعبة الصيانة</v>
      </c>
      <c r="G972" s="26" t="str">
        <f ca="1">IFERROR(__xludf.DUMMYFUNCTION("""COMPUTED_VALUE"""),"محطة الرفع")</f>
        <v>محطة الرفع</v>
      </c>
      <c r="H972" s="26" t="str">
        <f ca="1">IFERROR(__xludf.DUMMYFUNCTION("""COMPUTED_VALUE"""),"تم استبدال جهاز تحويل  ATS بسعة (2500A) ")</f>
        <v xml:space="preserve">تم استبدال جهاز تحويل  ATS بسعة (2500A) </v>
      </c>
      <c r="I972" s="26"/>
      <c r="J972" s="26" t="s">
        <v>3910</v>
      </c>
      <c r="K972" s="26" t="s">
        <v>13</v>
      </c>
      <c r="L972" s="55">
        <v>46202.331377870374</v>
      </c>
      <c r="M972" s="26"/>
    </row>
    <row r="973" spans="1:13" ht="75" customHeight="1" thickTop="1" thickBot="1">
      <c r="A973" s="34">
        <v>971</v>
      </c>
      <c r="B973" s="55">
        <f ca="1">IFERROR(__xludf.DUMMYFUNCTION("""COMPUTED_VALUE"""),46202.3259772222)</f>
        <v>46202.325977222201</v>
      </c>
      <c r="C973" s="56" t="str">
        <f ca="1">IFERROR(__xludf.DUMMYFUNCTION("""COMPUTED_VALUE"""),"المعملجي")</f>
        <v>المعملجي</v>
      </c>
      <c r="D973" s="56" t="str">
        <f ca="1">IFERROR(__xludf.DUMMYFUNCTION("""COMPUTED_VALUE"""),"وحدة الكهرباء")</f>
        <v>وحدة الكهرباء</v>
      </c>
      <c r="E973" s="26" t="str">
        <f ca="1">IFERROR(__xludf.DUMMYFUNCTION("""COMPUTED_VALUE"""),"قسم المشاريع الهندسية")</f>
        <v>قسم المشاريع الهندسية</v>
      </c>
      <c r="F973" s="26" t="str">
        <f ca="1">IFERROR(__xludf.DUMMYFUNCTION("""COMPUTED_VALUE"""),"بيت الاعلام")</f>
        <v>بيت الاعلام</v>
      </c>
      <c r="G973" s="26"/>
      <c r="H973" s="26" t="str">
        <f ca="1">IFERROR(__xludf.DUMMYFUNCTION("""COMPUTED_VALUE"""),"استبدال بورد بيت الاعلام الجديد وإعادة ربط جميع كيبلات المداخل والمخارج")</f>
        <v>استبدال بورد بيت الاعلام الجديد وإعادة ربط جميع كيبلات المداخل والمخارج</v>
      </c>
      <c r="I973" s="26"/>
      <c r="J973" s="26" t="s">
        <v>3910</v>
      </c>
      <c r="K973" s="26" t="s">
        <v>13</v>
      </c>
      <c r="L973" s="55">
        <v>46202.331385277779</v>
      </c>
      <c r="M973" s="26"/>
    </row>
    <row r="974" spans="1:13" ht="75" customHeight="1" thickTop="1" thickBot="1">
      <c r="A974" s="26">
        <v>972</v>
      </c>
      <c r="B974" s="55">
        <f ca="1">IFERROR(__xludf.DUMMYFUNCTION("""COMPUTED_VALUE"""),46202.3309626273)</f>
        <v>46202.330962627297</v>
      </c>
      <c r="C974" s="56" t="str">
        <f ca="1">IFERROR(__xludf.DUMMYFUNCTION("""COMPUTED_VALUE"""),"المعملجي")</f>
        <v>المعملجي</v>
      </c>
      <c r="D974" s="56" t="str">
        <f ca="1">IFERROR(__xludf.DUMMYFUNCTION("""COMPUTED_VALUE"""),"وحدة الكهرباء")</f>
        <v>وحدة الكهرباء</v>
      </c>
      <c r="E974" s="26" t="str">
        <f ca="1">IFERROR(__xludf.DUMMYFUNCTION("""COMPUTED_VALUE"""),"قسم المشاريع الهندسية")</f>
        <v>قسم المشاريع الهندسية</v>
      </c>
      <c r="F974" s="26" t="str">
        <f ca="1">IFERROR(__xludf.DUMMYFUNCTION("""COMPUTED_VALUE"""),"A- المركز الثقافي")</f>
        <v>A- المركز الثقافي</v>
      </c>
      <c r="G974" s="26" t="str">
        <f ca="1">IFERROR(__xludf.DUMMYFUNCTION("""COMPUTED_VALUE"""),"الطابق الرابع, الكاميرات")</f>
        <v>الطابق الرابع, الكاميرات</v>
      </c>
      <c r="H974" s="26" t="str">
        <f ca="1">IFERROR(__xludf.DUMMYFUNCTION("""COMPUTED_VALUE"""),"فحص UPS شعبة الكاميرات_والبالغ عددهن 2")</f>
        <v>فحص UPS شعبة الكاميرات_والبالغ عددهن 2</v>
      </c>
      <c r="I974" s="26"/>
      <c r="J974" s="26" t="s">
        <v>3910</v>
      </c>
      <c r="K974" s="26" t="s">
        <v>13</v>
      </c>
      <c r="L974" s="55">
        <v>46202.331398379625</v>
      </c>
      <c r="M974" s="26"/>
    </row>
    <row r="975" spans="1:13" ht="75" customHeight="1" thickTop="1" thickBot="1">
      <c r="A975" s="34">
        <v>973</v>
      </c>
      <c r="B975" s="55">
        <f ca="1">IFERROR(__xludf.DUMMYFUNCTION("""COMPUTED_VALUE"""),46202.3849068981)</f>
        <v>46202.3849068981</v>
      </c>
      <c r="C975" s="56" t="str">
        <f ca="1">IFERROR(__xludf.DUMMYFUNCTION("""COMPUTED_VALUE"""),"المعملجي")</f>
        <v>المعملجي</v>
      </c>
      <c r="D975" s="56" t="str">
        <f ca="1">IFERROR(__xludf.DUMMYFUNCTION("""COMPUTED_VALUE"""),"وحدة التبريد")</f>
        <v>وحدة التبريد</v>
      </c>
      <c r="E975" s="26" t="str">
        <f ca="1">IFERROR(__xludf.DUMMYFUNCTION("""COMPUTED_VALUE"""),"قسم المشاريع الهندسية")</f>
        <v>قسم المشاريع الهندسية</v>
      </c>
      <c r="F975" s="26" t="str">
        <f ca="1">IFERROR(__xludf.DUMMYFUNCTION("""COMPUTED_VALUE"""),"B- روضة القمر")</f>
        <v>B- روضة القمر</v>
      </c>
      <c r="G975" s="26" t="str">
        <f ca="1">IFERROR(__xludf.DUMMYFUNCTION("""COMPUTED_VALUE"""),"السطح")</f>
        <v>السطح</v>
      </c>
      <c r="H975"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75" s="26"/>
      <c r="J975" s="26" t="s">
        <v>15</v>
      </c>
      <c r="K975" s="26" t="s">
        <v>13</v>
      </c>
      <c r="L975" s="55">
        <v>46203.298228425927</v>
      </c>
      <c r="M975" s="26"/>
    </row>
    <row r="976" spans="1:13" ht="75" customHeight="1" thickTop="1" thickBot="1">
      <c r="A976" s="26">
        <v>974</v>
      </c>
      <c r="B976" s="55">
        <f ca="1">IFERROR(__xludf.DUMMYFUNCTION("""COMPUTED_VALUE"""),46202.3851011921)</f>
        <v>46202.3851011921</v>
      </c>
      <c r="C976" s="56" t="str">
        <f ca="1">IFERROR(__xludf.DUMMYFUNCTION("""COMPUTED_VALUE"""),"المعملجي")</f>
        <v>المعملجي</v>
      </c>
      <c r="D976" s="56" t="str">
        <f ca="1">IFERROR(__xludf.DUMMYFUNCTION("""COMPUTED_VALUE"""),"وحدة التبريد")</f>
        <v>وحدة التبريد</v>
      </c>
      <c r="E976" s="26" t="str">
        <f ca="1">IFERROR(__xludf.DUMMYFUNCTION("""COMPUTED_VALUE"""),"قسم المشاريع الهندسية")</f>
        <v>قسم المشاريع الهندسية</v>
      </c>
      <c r="F976" s="26" t="str">
        <f ca="1">IFERROR(__xludf.DUMMYFUNCTION("""COMPUTED_VALUE"""),"G- روضة الجود")</f>
        <v>G- روضة الجود</v>
      </c>
      <c r="G976" s="26" t="str">
        <f ca="1">IFERROR(__xludf.DUMMYFUNCTION("""COMPUTED_VALUE"""),"السطح")</f>
        <v>السطح</v>
      </c>
      <c r="H976"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76" s="26"/>
      <c r="J976" s="26" t="s">
        <v>15</v>
      </c>
      <c r="K976" s="26" t="s">
        <v>13</v>
      </c>
      <c r="L976" s="55">
        <v>46203.298241851851</v>
      </c>
      <c r="M976" s="26"/>
    </row>
    <row r="977" spans="1:13" ht="75" customHeight="1" thickTop="1" thickBot="1">
      <c r="A977" s="34">
        <v>975</v>
      </c>
      <c r="B977" s="55">
        <f ca="1">IFERROR(__xludf.DUMMYFUNCTION("""COMPUTED_VALUE"""),46202.3853092245)</f>
        <v>46202.385309224497</v>
      </c>
      <c r="C977" s="56" t="str">
        <f ca="1">IFERROR(__xludf.DUMMYFUNCTION("""COMPUTED_VALUE"""),"المعملجي")</f>
        <v>المعملجي</v>
      </c>
      <c r="D977" s="56" t="str">
        <f ca="1">IFERROR(__xludf.DUMMYFUNCTION("""COMPUTED_VALUE"""),"وحدة التبريد")</f>
        <v>وحدة التبريد</v>
      </c>
      <c r="E977" s="26" t="str">
        <f ca="1">IFERROR(__xludf.DUMMYFUNCTION("""COMPUTED_VALUE"""),"قسم المشاريع الهندسية")</f>
        <v>قسم المشاريع الهندسية</v>
      </c>
      <c r="F977" s="26" t="str">
        <f ca="1">IFERROR(__xludf.DUMMYFUNCTION("""COMPUTED_VALUE"""),"C- ثانوية العميد بناية الاعدادية  (الاولى)")</f>
        <v>C- ثانوية العميد بناية الاعدادية  (الاولى)</v>
      </c>
      <c r="G977" s="26" t="str">
        <f ca="1">IFERROR(__xludf.DUMMYFUNCTION("""COMPUTED_VALUE"""),"السطح")</f>
        <v>السطح</v>
      </c>
      <c r="H977"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77" s="26"/>
      <c r="J977" s="26" t="s">
        <v>15</v>
      </c>
      <c r="K977" s="26" t="s">
        <v>13</v>
      </c>
      <c r="L977" s="55"/>
      <c r="M977" s="26"/>
    </row>
    <row r="978" spans="1:13" ht="75" customHeight="1" thickTop="1" thickBot="1">
      <c r="A978" s="26">
        <v>976</v>
      </c>
      <c r="B978" s="55">
        <f ca="1">IFERROR(__xludf.DUMMYFUNCTION("""COMPUTED_VALUE"""),46202.3855333564)</f>
        <v>46202.385533356399</v>
      </c>
      <c r="C978" s="56" t="str">
        <f ca="1">IFERROR(__xludf.DUMMYFUNCTION("""COMPUTED_VALUE"""),"المعملجي")</f>
        <v>المعملجي</v>
      </c>
      <c r="D978" s="56" t="str">
        <f ca="1">IFERROR(__xludf.DUMMYFUNCTION("""COMPUTED_VALUE"""),"وحدة التبريد")</f>
        <v>وحدة التبريد</v>
      </c>
      <c r="E978" s="26" t="str">
        <f ca="1">IFERROR(__xludf.DUMMYFUNCTION("""COMPUTED_VALUE"""),"قسم المشاريع الهندسية")</f>
        <v>قسم المشاريع الهندسية</v>
      </c>
      <c r="F978" s="26" t="str">
        <f ca="1">IFERROR(__xludf.DUMMYFUNCTION("""COMPUTED_VALUE"""),"D- ثانوية العميد بناية المتوسطة  (الثانية)")</f>
        <v>D- ثانوية العميد بناية المتوسطة  (الثانية)</v>
      </c>
      <c r="G978" s="26" t="str">
        <f ca="1">IFERROR(__xludf.DUMMYFUNCTION("""COMPUTED_VALUE"""),"السطح")</f>
        <v>السطح</v>
      </c>
      <c r="H978"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78" s="26"/>
      <c r="J978" s="26" t="s">
        <v>15</v>
      </c>
      <c r="K978" s="26" t="s">
        <v>13</v>
      </c>
      <c r="L978" s="55">
        <v>46203.298246655089</v>
      </c>
      <c r="M978" s="26"/>
    </row>
    <row r="979" spans="1:13" ht="75" customHeight="1" thickTop="1" thickBot="1">
      <c r="A979" s="34">
        <v>977</v>
      </c>
      <c r="B979" s="55">
        <f ca="1">IFERROR(__xludf.DUMMYFUNCTION("""COMPUTED_VALUE"""),46202.3857367592)</f>
        <v>46202.385736759199</v>
      </c>
      <c r="C979" s="56" t="str">
        <f ca="1">IFERROR(__xludf.DUMMYFUNCTION("""COMPUTED_VALUE"""),"المعملجي")</f>
        <v>المعملجي</v>
      </c>
      <c r="D979" s="56" t="str">
        <f ca="1">IFERROR(__xludf.DUMMYFUNCTION("""COMPUTED_VALUE"""),"وحدة التبريد")</f>
        <v>وحدة التبريد</v>
      </c>
      <c r="E979" s="26" t="str">
        <f ca="1">IFERROR(__xludf.DUMMYFUNCTION("""COMPUTED_VALUE"""),"قسم المشاريع الهندسية")</f>
        <v>قسم المشاريع الهندسية</v>
      </c>
      <c r="F979" s="26" t="str">
        <f ca="1">IFERROR(__xludf.DUMMYFUNCTION("""COMPUTED_VALUE"""),"E- ابتدائية العميد للبنات (الثالثة)")</f>
        <v>E- ابتدائية العميد للبنات (الثالثة)</v>
      </c>
      <c r="G979" s="26" t="str">
        <f ca="1">IFERROR(__xludf.DUMMYFUNCTION("""COMPUTED_VALUE"""),"السطح")</f>
        <v>السطح</v>
      </c>
      <c r="H979"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79" s="26"/>
      <c r="J979" s="26" t="s">
        <v>15</v>
      </c>
      <c r="K979" s="26" t="s">
        <v>13</v>
      </c>
      <c r="L979" s="55">
        <v>46203.298254351852</v>
      </c>
      <c r="M979" s="26"/>
    </row>
    <row r="980" spans="1:13" ht="75" customHeight="1" thickTop="1" thickBot="1">
      <c r="A980" s="26">
        <v>978</v>
      </c>
      <c r="B980" s="55">
        <f ca="1">IFERROR(__xludf.DUMMYFUNCTION("""COMPUTED_VALUE"""),46202.3859403009)</f>
        <v>46202.385940300897</v>
      </c>
      <c r="C980" s="56" t="str">
        <f ca="1">IFERROR(__xludf.DUMMYFUNCTION("""COMPUTED_VALUE"""),"المعملجي")</f>
        <v>المعملجي</v>
      </c>
      <c r="D980" s="56" t="str">
        <f ca="1">IFERROR(__xludf.DUMMYFUNCTION("""COMPUTED_VALUE"""),"وحدة التبريد")</f>
        <v>وحدة التبريد</v>
      </c>
      <c r="E980" s="26" t="str">
        <f ca="1">IFERROR(__xludf.DUMMYFUNCTION("""COMPUTED_VALUE"""),"قسم المشاريع الهندسية")</f>
        <v>قسم المشاريع الهندسية</v>
      </c>
      <c r="F980" s="26" t="str">
        <f ca="1">IFERROR(__xludf.DUMMYFUNCTION("""COMPUTED_VALUE"""),"F-  ابتدائية جود العميد للبنات (الرابعة)")</f>
        <v>F-  ابتدائية جود العميد للبنات (الرابعة)</v>
      </c>
      <c r="G980" s="26" t="str">
        <f ca="1">IFERROR(__xludf.DUMMYFUNCTION("""COMPUTED_VALUE"""),"السطح")</f>
        <v>السطح</v>
      </c>
      <c r="H980"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0" s="26"/>
      <c r="J980" s="26" t="s">
        <v>15</v>
      </c>
      <c r="K980" s="26" t="s">
        <v>13</v>
      </c>
      <c r="L980" s="55">
        <v>46203.298263657409</v>
      </c>
      <c r="M980" s="26"/>
    </row>
    <row r="981" spans="1:13" ht="75" customHeight="1" thickTop="1" thickBot="1">
      <c r="A981" s="34">
        <v>979</v>
      </c>
      <c r="B981" s="55">
        <f ca="1">IFERROR(__xludf.DUMMYFUNCTION("""COMPUTED_VALUE"""),46202.3862160648)</f>
        <v>46202.386216064799</v>
      </c>
      <c r="C981" s="56" t="str">
        <f ca="1">IFERROR(__xludf.DUMMYFUNCTION("""COMPUTED_VALUE"""),"المعملجي")</f>
        <v>المعملجي</v>
      </c>
      <c r="D981" s="56" t="str">
        <f ca="1">IFERROR(__xludf.DUMMYFUNCTION("""COMPUTED_VALUE"""),"وحدة التبريد")</f>
        <v>وحدة التبريد</v>
      </c>
      <c r="E981" s="26" t="str">
        <f ca="1">IFERROR(__xludf.DUMMYFUNCTION("""COMPUTED_VALUE"""),"قسم المشاريع الهندسية")</f>
        <v>قسم المشاريع الهندسية</v>
      </c>
      <c r="F981" s="26" t="str">
        <f ca="1">IFERROR(__xludf.DUMMYFUNCTION("""COMPUTED_VALUE"""),"H- ابتدائية القمر للبنات (الخامسة)")</f>
        <v>H- ابتدائية القمر للبنات (الخامسة)</v>
      </c>
      <c r="G981" s="26" t="str">
        <f ca="1">IFERROR(__xludf.DUMMYFUNCTION("""COMPUTED_VALUE"""),"السطح")</f>
        <v>السطح</v>
      </c>
      <c r="H981"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1" s="26"/>
      <c r="J981" s="26" t="s">
        <v>15</v>
      </c>
      <c r="K981" s="26" t="s">
        <v>13</v>
      </c>
      <c r="L981" s="55">
        <v>46203.29831701389</v>
      </c>
      <c r="M981" s="26"/>
    </row>
    <row r="982" spans="1:13" ht="75" customHeight="1" thickTop="1" thickBot="1">
      <c r="A982" s="26">
        <v>980</v>
      </c>
      <c r="B982" s="55">
        <f ca="1">IFERROR(__xludf.DUMMYFUNCTION("""COMPUTED_VALUE"""),46202.3865017476)</f>
        <v>46202.386501747598</v>
      </c>
      <c r="C982" s="56" t="str">
        <f ca="1">IFERROR(__xludf.DUMMYFUNCTION("""COMPUTED_VALUE"""),"المعملجي")</f>
        <v>المعملجي</v>
      </c>
      <c r="D982" s="56" t="str">
        <f ca="1">IFERROR(__xludf.DUMMYFUNCTION("""COMPUTED_VALUE"""),"وحدة التبريد")</f>
        <v>وحدة التبريد</v>
      </c>
      <c r="E982" s="26" t="str">
        <f ca="1">IFERROR(__xludf.DUMMYFUNCTION("""COMPUTED_VALUE"""),"قسم المشاريع الهندسية")</f>
        <v>قسم المشاريع الهندسية</v>
      </c>
      <c r="F982" s="26" t="str">
        <f ca="1">IFERROR(__xludf.DUMMYFUNCTION("""COMPUTED_VALUE"""),"I- ابتدائية الساقي للبنين (السادسة)")</f>
        <v>I- ابتدائية الساقي للبنين (السادسة)</v>
      </c>
      <c r="G982" s="26" t="str">
        <f ca="1">IFERROR(__xludf.DUMMYFUNCTION("""COMPUTED_VALUE"""),"السطح")</f>
        <v>السطح</v>
      </c>
      <c r="H982"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2" s="26"/>
      <c r="J982" s="26" t="s">
        <v>15</v>
      </c>
      <c r="K982" s="26" t="s">
        <v>13</v>
      </c>
      <c r="L982" s="55">
        <v>46203.298265358797</v>
      </c>
      <c r="M982" s="26"/>
    </row>
    <row r="983" spans="1:13" ht="75" customHeight="1" thickTop="1" thickBot="1">
      <c r="A983" s="34">
        <v>981</v>
      </c>
      <c r="B983" s="55">
        <f ca="1">IFERROR(__xludf.DUMMYFUNCTION("""COMPUTED_VALUE"""),46202.3866995138)</f>
        <v>46202.386699513801</v>
      </c>
      <c r="C983" s="56" t="str">
        <f ca="1">IFERROR(__xludf.DUMMYFUNCTION("""COMPUTED_VALUE"""),"المعملجي")</f>
        <v>المعملجي</v>
      </c>
      <c r="D983" s="56" t="str">
        <f ca="1">IFERROR(__xludf.DUMMYFUNCTION("""COMPUTED_VALUE"""),"وحدة التبريد")</f>
        <v>وحدة التبريد</v>
      </c>
      <c r="E983" s="26" t="str">
        <f ca="1">IFERROR(__xludf.DUMMYFUNCTION("""COMPUTED_VALUE"""),"قسم المشاريع الهندسية")</f>
        <v>قسم المشاريع الهندسية</v>
      </c>
      <c r="F983"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983" s="26" t="str">
        <f ca="1">IFERROR(__xludf.DUMMYFUNCTION("""COMPUTED_VALUE"""),"السطح")</f>
        <v>السطح</v>
      </c>
      <c r="H983"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3" s="26"/>
      <c r="J983" s="26" t="s">
        <v>15</v>
      </c>
      <c r="K983" s="26" t="s">
        <v>13</v>
      </c>
      <c r="L983" s="55">
        <v>46203.29827240741</v>
      </c>
      <c r="M983" s="26"/>
    </row>
    <row r="984" spans="1:13" ht="75" customHeight="1" thickTop="1" thickBot="1">
      <c r="A984" s="26">
        <v>982</v>
      </c>
      <c r="B984" s="55">
        <f ca="1">IFERROR(__xludf.DUMMYFUNCTION("""COMPUTED_VALUE"""),46202.3891906134)</f>
        <v>46202.389190613401</v>
      </c>
      <c r="C984" s="56" t="str">
        <f ca="1">IFERROR(__xludf.DUMMYFUNCTION("""COMPUTED_VALUE"""),"المعملجي")</f>
        <v>المعملجي</v>
      </c>
      <c r="D984" s="56" t="str">
        <f ca="1">IFERROR(__xludf.DUMMYFUNCTION("""COMPUTED_VALUE"""),"وحدة التبريد")</f>
        <v>وحدة التبريد</v>
      </c>
      <c r="E984" s="26" t="str">
        <f ca="1">IFERROR(__xludf.DUMMYFUNCTION("""COMPUTED_VALUE"""),"قسم المشاريع الهندسية")</f>
        <v>قسم المشاريع الهندسية</v>
      </c>
      <c r="F984" s="26" t="str">
        <f ca="1">IFERROR(__xludf.DUMMYFUNCTION("""COMPUTED_VALUE"""),"A- المركز الثقافي")</f>
        <v>A- المركز الثقافي</v>
      </c>
      <c r="G984" s="26" t="str">
        <f ca="1">IFERROR(__xludf.DUMMYFUNCTION("""COMPUTED_VALUE"""),"الطابق الارضي, الطابق الاول, الطابق الثاني, الطابق الثالث, الطابق الرابع, السطح")</f>
        <v>الطابق الارضي, الطابق الاول, الطابق الثاني, الطابق الثالث, الطابق الرابع, السطح</v>
      </c>
      <c r="H984"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84" s="26"/>
      <c r="J984" s="26" t="s">
        <v>15</v>
      </c>
      <c r="K984" s="26" t="s">
        <v>13</v>
      </c>
      <c r="L984" s="55">
        <v>46203.298281296295</v>
      </c>
      <c r="M984" s="26"/>
    </row>
    <row r="985" spans="1:13" ht="75" customHeight="1" thickTop="1" thickBot="1">
      <c r="A985" s="34">
        <v>983</v>
      </c>
      <c r="B985" s="55">
        <f ca="1">IFERROR(__xludf.DUMMYFUNCTION("""COMPUTED_VALUE"""),46202.3894019328)</f>
        <v>46202.3894019328</v>
      </c>
      <c r="C985" s="56" t="str">
        <f ca="1">IFERROR(__xludf.DUMMYFUNCTION("""COMPUTED_VALUE"""),"المعملجي")</f>
        <v>المعملجي</v>
      </c>
      <c r="D985" s="56" t="str">
        <f ca="1">IFERROR(__xludf.DUMMYFUNCTION("""COMPUTED_VALUE"""),"وحدة التبريد")</f>
        <v>وحدة التبريد</v>
      </c>
      <c r="E985" s="26" t="str">
        <f ca="1">IFERROR(__xludf.DUMMYFUNCTION("""COMPUTED_VALUE"""),"قسم المشاريع الهندسية")</f>
        <v>قسم المشاريع الهندسية</v>
      </c>
      <c r="F985" s="26" t="str">
        <f ca="1">IFERROR(__xludf.DUMMYFUNCTION("""COMPUTED_VALUE"""),"B- روضة القمر")</f>
        <v>B- روضة القمر</v>
      </c>
      <c r="G985" s="26" t="str">
        <f ca="1">IFERROR(__xludf.DUMMYFUNCTION("""COMPUTED_VALUE"""),"الطابق الارضي, الطابق الاول, الطابق الثاني")</f>
        <v>الطابق الارضي, الطابق الاول, الطابق الثاني</v>
      </c>
      <c r="H985"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5" s="26"/>
      <c r="J985" s="26" t="s">
        <v>15</v>
      </c>
      <c r="K985" s="26" t="s">
        <v>13</v>
      </c>
      <c r="L985" s="55">
        <v>46203.298348425931</v>
      </c>
      <c r="M985" s="26"/>
    </row>
    <row r="986" spans="1:13" ht="75" customHeight="1" thickTop="1" thickBot="1">
      <c r="A986" s="26">
        <v>984</v>
      </c>
      <c r="B986" s="55">
        <f ca="1">IFERROR(__xludf.DUMMYFUNCTION("""COMPUTED_VALUE"""),46202.3896587152)</f>
        <v>46202.389658715198</v>
      </c>
      <c r="C986" s="56" t="str">
        <f ca="1">IFERROR(__xludf.DUMMYFUNCTION("""COMPUTED_VALUE"""),"المعملجي")</f>
        <v>المعملجي</v>
      </c>
      <c r="D986" s="56" t="str">
        <f ca="1">IFERROR(__xludf.DUMMYFUNCTION("""COMPUTED_VALUE"""),"وحدة التبريد")</f>
        <v>وحدة التبريد</v>
      </c>
      <c r="E986" s="26" t="str">
        <f ca="1">IFERROR(__xludf.DUMMYFUNCTION("""COMPUTED_VALUE"""),"قسم المشاريع الهندسية")</f>
        <v>قسم المشاريع الهندسية</v>
      </c>
      <c r="F986" s="26" t="str">
        <f ca="1">IFERROR(__xludf.DUMMYFUNCTION("""COMPUTED_VALUE"""),"G- روضة الجود")</f>
        <v>G- روضة الجود</v>
      </c>
      <c r="G986" s="26" t="str">
        <f ca="1">IFERROR(__xludf.DUMMYFUNCTION("""COMPUTED_VALUE"""),"الطابق الارضي, الطابق الاول, الطابق الثاني")</f>
        <v>الطابق الارضي, الطابق الاول, الطابق الثاني</v>
      </c>
      <c r="H986" s="26" t="str">
        <f ca="1">IFERROR(__xludf.DUMMYFUNCTION("""COMPUTED_VALUE"""),"ادامة وتنظيف القطع الخارجية لمنظومات التبريد في البناية ")</f>
        <v xml:space="preserve">ادامة وتنظيف القطع الخارجية لمنظومات التبريد في البناية </v>
      </c>
      <c r="I986" s="26"/>
      <c r="J986" s="26" t="s">
        <v>15</v>
      </c>
      <c r="K986" s="26" t="s">
        <v>13</v>
      </c>
      <c r="L986" s="55">
        <v>46203.298354236111</v>
      </c>
      <c r="M986" s="26"/>
    </row>
    <row r="987" spans="1:13" ht="75" customHeight="1" thickTop="1" thickBot="1">
      <c r="A987" s="34">
        <v>985</v>
      </c>
      <c r="B987" s="55">
        <f ca="1">IFERROR(__xludf.DUMMYFUNCTION("""COMPUTED_VALUE"""),46202.3901428356)</f>
        <v>46202.390142835597</v>
      </c>
      <c r="C987" s="56" t="str">
        <f ca="1">IFERROR(__xludf.DUMMYFUNCTION("""COMPUTED_VALUE"""),"المعملجي")</f>
        <v>المعملجي</v>
      </c>
      <c r="D987" s="56" t="str">
        <f ca="1">IFERROR(__xludf.DUMMYFUNCTION("""COMPUTED_VALUE"""),"وحدة التبريد")</f>
        <v>وحدة التبريد</v>
      </c>
      <c r="E987" s="26" t="str">
        <f ca="1">IFERROR(__xludf.DUMMYFUNCTION("""COMPUTED_VALUE"""),"قسم المشاريع الهندسية")</f>
        <v>قسم المشاريع الهندسية</v>
      </c>
      <c r="F987" s="26" t="str">
        <f ca="1">IFERROR(__xludf.DUMMYFUNCTION("""COMPUTED_VALUE"""),"B- روضة القمر")</f>
        <v>B- روضة القمر</v>
      </c>
      <c r="G987" s="26" t="str">
        <f ca="1">IFERROR(__xludf.DUMMYFUNCTION("""COMPUTED_VALUE"""),"الطابق الارضي, الطابق الاول, الطابق الثاني")</f>
        <v>الطابق الارضي, الطابق الاول, الطابق الثاني</v>
      </c>
      <c r="H987"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87" s="26"/>
      <c r="J987" s="26" t="s">
        <v>15</v>
      </c>
      <c r="K987" s="26" t="s">
        <v>13</v>
      </c>
      <c r="L987" s="55">
        <v>46203.298360659726</v>
      </c>
      <c r="M987" s="26"/>
    </row>
    <row r="988" spans="1:13" ht="75" customHeight="1" thickTop="1" thickBot="1">
      <c r="A988" s="26">
        <v>986</v>
      </c>
      <c r="B988" s="55">
        <f ca="1">IFERROR(__xludf.DUMMYFUNCTION("""COMPUTED_VALUE"""),46202.3903262268)</f>
        <v>46202.3903262268</v>
      </c>
      <c r="C988" s="56" t="str">
        <f ca="1">IFERROR(__xludf.DUMMYFUNCTION("""COMPUTED_VALUE"""),"المعملجي")</f>
        <v>المعملجي</v>
      </c>
      <c r="D988" s="56" t="str">
        <f ca="1">IFERROR(__xludf.DUMMYFUNCTION("""COMPUTED_VALUE"""),"وحدة التبريد")</f>
        <v>وحدة التبريد</v>
      </c>
      <c r="E988" s="26" t="str">
        <f ca="1">IFERROR(__xludf.DUMMYFUNCTION("""COMPUTED_VALUE"""),"قسم المشاريع الهندسية")</f>
        <v>قسم المشاريع الهندسية</v>
      </c>
      <c r="F988" s="26" t="str">
        <f ca="1">IFERROR(__xludf.DUMMYFUNCTION("""COMPUTED_VALUE"""),"G- روضة الجود")</f>
        <v>G- روضة الجود</v>
      </c>
      <c r="G988" s="26" t="str">
        <f ca="1">IFERROR(__xludf.DUMMYFUNCTION("""COMPUTED_VALUE"""),"الطابق الارضي, الطابق الاول, الطابق الثاني")</f>
        <v>الطابق الارضي, الطابق الاول, الطابق الثاني</v>
      </c>
      <c r="H988"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88" s="26"/>
      <c r="J988" s="26" t="s">
        <v>15</v>
      </c>
      <c r="K988" s="26" t="s">
        <v>13</v>
      </c>
      <c r="L988" s="55">
        <v>46203.298407442126</v>
      </c>
      <c r="M988" s="26"/>
    </row>
    <row r="989" spans="1:13" ht="75" customHeight="1" thickTop="1" thickBot="1">
      <c r="A989" s="34">
        <v>987</v>
      </c>
      <c r="B989" s="55">
        <f ca="1">IFERROR(__xludf.DUMMYFUNCTION("""COMPUTED_VALUE"""),46202.3905267361)</f>
        <v>46202.390526736097</v>
      </c>
      <c r="C989" s="56" t="str">
        <f ca="1">IFERROR(__xludf.DUMMYFUNCTION("""COMPUTED_VALUE"""),"المعملجي")</f>
        <v>المعملجي</v>
      </c>
      <c r="D989" s="56" t="str">
        <f ca="1">IFERROR(__xludf.DUMMYFUNCTION("""COMPUTED_VALUE"""),"وحدة التبريد")</f>
        <v>وحدة التبريد</v>
      </c>
      <c r="E989" s="26" t="str">
        <f ca="1">IFERROR(__xludf.DUMMYFUNCTION("""COMPUTED_VALUE"""),"قسم المشاريع الهندسية")</f>
        <v>قسم المشاريع الهندسية</v>
      </c>
      <c r="F989" s="26" t="str">
        <f ca="1">IFERROR(__xludf.DUMMYFUNCTION("""COMPUTED_VALUE"""),"C- ثانوية العميد بناية الاعدادية  (الاولى)")</f>
        <v>C- ثانوية العميد بناية الاعدادية  (الاولى)</v>
      </c>
      <c r="G989" s="26" t="str">
        <f ca="1">IFERROR(__xludf.DUMMYFUNCTION("""COMPUTED_VALUE"""),"الطابق الارضي, الطابق الاول, الطابق الثاني, ZONE A, ZONE B, السطح")</f>
        <v>الطابق الارضي, الطابق الاول, الطابق الثاني, ZONE A, ZONE B, السطح</v>
      </c>
      <c r="H989"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89" s="26"/>
      <c r="J989" s="26" t="s">
        <v>15</v>
      </c>
      <c r="K989" s="26" t="s">
        <v>13</v>
      </c>
      <c r="L989" s="55">
        <v>46203.298381319444</v>
      </c>
      <c r="M989" s="26"/>
    </row>
    <row r="990" spans="1:13" ht="75" customHeight="1" thickTop="1" thickBot="1">
      <c r="A990" s="26">
        <v>988</v>
      </c>
      <c r="B990" s="55">
        <f ca="1">IFERROR(__xludf.DUMMYFUNCTION("""COMPUTED_VALUE"""),46202.3907971875)</f>
        <v>46202.390797187501</v>
      </c>
      <c r="C990" s="56" t="str">
        <f ca="1">IFERROR(__xludf.DUMMYFUNCTION("""COMPUTED_VALUE"""),"المعملجي")</f>
        <v>المعملجي</v>
      </c>
      <c r="D990" s="56" t="str">
        <f ca="1">IFERROR(__xludf.DUMMYFUNCTION("""COMPUTED_VALUE"""),"وحدة التبريد")</f>
        <v>وحدة التبريد</v>
      </c>
      <c r="E990" s="26" t="str">
        <f ca="1">IFERROR(__xludf.DUMMYFUNCTION("""COMPUTED_VALUE"""),"قسم المشاريع الهندسية")</f>
        <v>قسم المشاريع الهندسية</v>
      </c>
      <c r="F990" s="26" t="str">
        <f ca="1">IFERROR(__xludf.DUMMYFUNCTION("""COMPUTED_VALUE"""),"D- ثانوية العميد بناية المتوسطة  (الثانية)")</f>
        <v>D- ثانوية العميد بناية المتوسطة  (الثانية)</v>
      </c>
      <c r="G990" s="26" t="str">
        <f ca="1">IFERROR(__xludf.DUMMYFUNCTION("""COMPUTED_VALUE"""),"الطابق الارضي, الطابق الاول, الطابق الثاني, ZONE A, ZONE B, السطح, غرفة الكهرباء")</f>
        <v>الطابق الارضي, الطابق الاول, الطابق الثاني, ZONE A, ZONE B, السطح, غرفة الكهرباء</v>
      </c>
      <c r="H990"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0" s="26"/>
      <c r="J990" s="26" t="s">
        <v>15</v>
      </c>
      <c r="K990" s="26" t="s">
        <v>13</v>
      </c>
      <c r="L990" s="55">
        <v>46203.298424618057</v>
      </c>
      <c r="M990" s="26"/>
    </row>
    <row r="991" spans="1:13" ht="75" customHeight="1" thickTop="1" thickBot="1">
      <c r="A991" s="34">
        <v>989</v>
      </c>
      <c r="B991" s="55">
        <f ca="1">IFERROR(__xludf.DUMMYFUNCTION("""COMPUTED_VALUE"""),46202.391035949)</f>
        <v>46202.391035948996</v>
      </c>
      <c r="C991" s="56" t="str">
        <f ca="1">IFERROR(__xludf.DUMMYFUNCTION("""COMPUTED_VALUE"""),"المعملجي")</f>
        <v>المعملجي</v>
      </c>
      <c r="D991" s="56" t="str">
        <f ca="1">IFERROR(__xludf.DUMMYFUNCTION("""COMPUTED_VALUE"""),"وحدة التبريد")</f>
        <v>وحدة التبريد</v>
      </c>
      <c r="E991" s="26" t="str">
        <f ca="1">IFERROR(__xludf.DUMMYFUNCTION("""COMPUTED_VALUE"""),"قسم المشاريع الهندسية")</f>
        <v>قسم المشاريع الهندسية</v>
      </c>
      <c r="F991" s="26" t="str">
        <f ca="1">IFERROR(__xludf.DUMMYFUNCTION("""COMPUTED_VALUE"""),"E- ابتدائية العميد للبنات (الثالثة)")</f>
        <v>E- ابتدائية العميد للبنات (الثالثة)</v>
      </c>
      <c r="G991" s="26" t="str">
        <f ca="1">IFERROR(__xludf.DUMMYFUNCTION("""COMPUTED_VALUE"""),"الطابق الارضي, الطابق الاول, الطابق الثاني, ZONE A, ZONE B, السطح, غرفة الكهرباء")</f>
        <v>الطابق الارضي, الطابق الاول, الطابق الثاني, ZONE A, ZONE B, السطح, غرفة الكهرباء</v>
      </c>
      <c r="H991"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1" s="26"/>
      <c r="J991" s="26" t="s">
        <v>15</v>
      </c>
      <c r="K991" s="26" t="s">
        <v>13</v>
      </c>
      <c r="L991" s="55">
        <v>46203.298452962961</v>
      </c>
      <c r="M991" s="26"/>
    </row>
    <row r="992" spans="1:13" ht="75" customHeight="1" thickTop="1" thickBot="1">
      <c r="A992" s="26">
        <v>990</v>
      </c>
      <c r="B992" s="55">
        <f ca="1">IFERROR(__xludf.DUMMYFUNCTION("""COMPUTED_VALUE"""),46202.3912609606)</f>
        <v>46202.391260960598</v>
      </c>
      <c r="C992" s="56" t="str">
        <f ca="1">IFERROR(__xludf.DUMMYFUNCTION("""COMPUTED_VALUE"""),"المعملجي")</f>
        <v>المعملجي</v>
      </c>
      <c r="D992" s="56" t="str">
        <f ca="1">IFERROR(__xludf.DUMMYFUNCTION("""COMPUTED_VALUE"""),"وحدة التبريد")</f>
        <v>وحدة التبريد</v>
      </c>
      <c r="E992" s="26" t="str">
        <f ca="1">IFERROR(__xludf.DUMMYFUNCTION("""COMPUTED_VALUE"""),"قسم المشاريع الهندسية")</f>
        <v>قسم المشاريع الهندسية</v>
      </c>
      <c r="F992" s="26" t="str">
        <f ca="1">IFERROR(__xludf.DUMMYFUNCTION("""COMPUTED_VALUE"""),"F-  ابتدائية جود العميد للبنات (الرابعة)")</f>
        <v>F-  ابتدائية جود العميد للبنات (الرابعة)</v>
      </c>
      <c r="G992" s="26" t="str">
        <f ca="1">IFERROR(__xludf.DUMMYFUNCTION("""COMPUTED_VALUE"""),"الطابق الارضي, الطابق الاول, الطابق الثاني, ZONE A, ZONE B, السطح, غرفة الكهرباء")</f>
        <v>الطابق الارضي, الطابق الاول, الطابق الثاني, ZONE A, ZONE B, السطح, غرفة الكهرباء</v>
      </c>
      <c r="H992"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2" s="26"/>
      <c r="J992" s="26" t="s">
        <v>15</v>
      </c>
      <c r="K992" s="26" t="s">
        <v>13</v>
      </c>
      <c r="L992" s="55">
        <v>46203.298440370374</v>
      </c>
      <c r="M992" s="26"/>
    </row>
    <row r="993" spans="1:13" ht="75" customHeight="1" thickTop="1" thickBot="1">
      <c r="A993" s="34">
        <v>991</v>
      </c>
      <c r="B993" s="55">
        <f ca="1">IFERROR(__xludf.DUMMYFUNCTION("""COMPUTED_VALUE"""),46202.3915568402)</f>
        <v>46202.391556840201</v>
      </c>
      <c r="C993" s="56" t="str">
        <f ca="1">IFERROR(__xludf.DUMMYFUNCTION("""COMPUTED_VALUE"""),"المعملجي")</f>
        <v>المعملجي</v>
      </c>
      <c r="D993" s="56" t="str">
        <f ca="1">IFERROR(__xludf.DUMMYFUNCTION("""COMPUTED_VALUE"""),"وحدة التبريد")</f>
        <v>وحدة التبريد</v>
      </c>
      <c r="E993" s="26" t="str">
        <f ca="1">IFERROR(__xludf.DUMMYFUNCTION("""COMPUTED_VALUE"""),"قسم المشاريع الهندسية")</f>
        <v>قسم المشاريع الهندسية</v>
      </c>
      <c r="F993" s="26" t="str">
        <f ca="1">IFERROR(__xludf.DUMMYFUNCTION("""COMPUTED_VALUE"""),"H- ابتدائية القمر للبنات (الخامسة)")</f>
        <v>H- ابتدائية القمر للبنات (الخامسة)</v>
      </c>
      <c r="G993" s="26" t="str">
        <f ca="1">IFERROR(__xludf.DUMMYFUNCTION("""COMPUTED_VALUE"""),"الطابق الارضي, الطابق الاول, الطابق الثاني, ZONE A, ZONE B, السطح, غرفة الكهرباء")</f>
        <v>الطابق الارضي, الطابق الاول, الطابق الثاني, ZONE A, ZONE B, السطح, غرفة الكهرباء</v>
      </c>
      <c r="H993"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3" s="26"/>
      <c r="J993" s="26" t="s">
        <v>15</v>
      </c>
      <c r="K993" s="26" t="s">
        <v>13</v>
      </c>
      <c r="L993" s="55">
        <v>46203.298452870367</v>
      </c>
      <c r="M993" s="26"/>
    </row>
    <row r="994" spans="1:13" ht="75" customHeight="1" thickTop="1" thickBot="1">
      <c r="A994" s="26">
        <v>992</v>
      </c>
      <c r="B994" s="55">
        <f ca="1">IFERROR(__xludf.DUMMYFUNCTION("""COMPUTED_VALUE"""),46202.3921897453)</f>
        <v>46202.392189745296</v>
      </c>
      <c r="C994" s="56" t="str">
        <f ca="1">IFERROR(__xludf.DUMMYFUNCTION("""COMPUTED_VALUE"""),"المعملجي")</f>
        <v>المعملجي</v>
      </c>
      <c r="D994" s="56" t="str">
        <f ca="1">IFERROR(__xludf.DUMMYFUNCTION("""COMPUTED_VALUE"""),"وحدة التبريد")</f>
        <v>وحدة التبريد</v>
      </c>
      <c r="E994" s="26" t="str">
        <f ca="1">IFERROR(__xludf.DUMMYFUNCTION("""COMPUTED_VALUE"""),"قسم المشاريع الهندسية")</f>
        <v>قسم المشاريع الهندسية</v>
      </c>
      <c r="F994" s="26" t="str">
        <f ca="1">IFERROR(__xludf.DUMMYFUNCTION("""COMPUTED_VALUE"""),"I- ابتدائية الساقي للبنين (السادسة)")</f>
        <v>I- ابتدائية الساقي للبنين (السادسة)</v>
      </c>
      <c r="G994" s="26" t="str">
        <f ca="1">IFERROR(__xludf.DUMMYFUNCTION("""COMPUTED_VALUE"""),"الطابق الارضي, الطابق الاول, الطابق الثاني, ZONE A, ZONE B, السطح, غرفة الكهرباء")</f>
        <v>الطابق الارضي, الطابق الاول, الطابق الثاني, ZONE A, ZONE B, السطح, غرفة الكهرباء</v>
      </c>
      <c r="H994"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4" s="26"/>
      <c r="J994" s="26" t="s">
        <v>15</v>
      </c>
      <c r="K994" s="26" t="s">
        <v>13</v>
      </c>
      <c r="L994" s="55">
        <v>46203.298487905093</v>
      </c>
      <c r="M994" s="26"/>
    </row>
    <row r="995" spans="1:13" ht="75" customHeight="1" thickTop="1" thickBot="1">
      <c r="A995" s="34">
        <v>993</v>
      </c>
      <c r="B995" s="55">
        <f ca="1">IFERROR(__xludf.DUMMYFUNCTION("""COMPUTED_VALUE"""),46202.3924415046)</f>
        <v>46202.392441504599</v>
      </c>
      <c r="C995" s="56" t="str">
        <f ca="1">IFERROR(__xludf.DUMMYFUNCTION("""COMPUTED_VALUE"""),"المعملجي")</f>
        <v>المعملجي</v>
      </c>
      <c r="D995" s="56" t="str">
        <f ca="1">IFERROR(__xludf.DUMMYFUNCTION("""COMPUTED_VALUE"""),"وحدة التبريد")</f>
        <v>وحدة التبريد</v>
      </c>
      <c r="E995" s="26" t="str">
        <f ca="1">IFERROR(__xludf.DUMMYFUNCTION("""COMPUTED_VALUE"""),"قسم المشاريع الهندسية")</f>
        <v>قسم المشاريع الهندسية</v>
      </c>
      <c r="F995" s="26"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995" s="26" t="str">
        <f ca="1">IFERROR(__xludf.DUMMYFUNCTION("""COMPUTED_VALUE"""),"الطابق الارضي, الطابق الاول, الطابق الثاني, السطح, غرفة الكهرباء")</f>
        <v>الطابق الارضي, الطابق الاول, الطابق الثاني, السطح, غرفة الكهرباء</v>
      </c>
      <c r="H995"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5" s="26"/>
      <c r="J995" s="26" t="s">
        <v>15</v>
      </c>
      <c r="K995" s="26" t="s">
        <v>13</v>
      </c>
      <c r="L995" s="55">
        <v>46203.298470011578</v>
      </c>
      <c r="M995" s="26"/>
    </row>
    <row r="996" spans="1:13" ht="75" customHeight="1" thickTop="1" thickBot="1">
      <c r="A996" s="26">
        <v>994</v>
      </c>
      <c r="B996" s="55">
        <f ca="1">IFERROR(__xludf.DUMMYFUNCTION("""COMPUTED_VALUE"""),46202.3929109375)</f>
        <v>46202.392910937502</v>
      </c>
      <c r="C996" s="56" t="str">
        <f ca="1">IFERROR(__xludf.DUMMYFUNCTION("""COMPUTED_VALUE"""),"المعملجي")</f>
        <v>المعملجي</v>
      </c>
      <c r="D996" s="56" t="str">
        <f ca="1">IFERROR(__xludf.DUMMYFUNCTION("""COMPUTED_VALUE"""),"وحدة التبريد")</f>
        <v>وحدة التبريد</v>
      </c>
      <c r="E996" s="26" t="str">
        <f ca="1">IFERROR(__xludf.DUMMYFUNCTION("""COMPUTED_VALUE"""),"قسم المشاريع الهندسية")</f>
        <v>قسم المشاريع الهندسية</v>
      </c>
      <c r="F996" s="26" t="str">
        <f ca="1">IFERROR(__xludf.DUMMYFUNCTION("""COMPUTED_VALUE"""),"الاستعلامات الرئيسية, المالية 1, المالية 2, شعبة الصيانة, النافورة, غرف السنكرو")</f>
        <v>الاستعلامات الرئيسية, المالية 1, المالية 2, شعبة الصيانة, النافورة, غرف السنكرو</v>
      </c>
      <c r="G996" s="26" t="str">
        <f ca="1">IFERROR(__xludf.DUMMYFUNCTION("""COMPUTED_VALUE"""),"غرفة الكهرباء, محطة الرفع")</f>
        <v>غرفة الكهرباء, محطة الرفع</v>
      </c>
      <c r="H996" s="26" t="str">
        <f ca="1">IFERROR(__xludf.DUMMYFUNCTION("""COMPUTED_VALUE"""),"ادامة وتنظيف السبالت الاعتيادية الخاصة بغرف الكهرباء والاتصالات ")</f>
        <v xml:space="preserve">ادامة وتنظيف السبالت الاعتيادية الخاصة بغرف الكهرباء والاتصالات </v>
      </c>
      <c r="I996" s="26"/>
      <c r="J996" s="26" t="s">
        <v>15</v>
      </c>
      <c r="K996" s="26" t="s">
        <v>13</v>
      </c>
      <c r="L996" s="55">
        <v>46203.298476111115</v>
      </c>
      <c r="M996" s="26"/>
    </row>
    <row r="997" spans="1:13" ht="75" customHeight="1" thickTop="1" thickBot="1">
      <c r="A997" s="34">
        <v>995</v>
      </c>
      <c r="B997" s="55">
        <f ca="1">IFERROR(__xludf.DUMMYFUNCTION("""COMPUTED_VALUE"""),46202.3937237847)</f>
        <v>46202.393723784699</v>
      </c>
      <c r="C997" s="56" t="str">
        <f ca="1">IFERROR(__xludf.DUMMYFUNCTION("""COMPUTED_VALUE"""),"المعملجي")</f>
        <v>المعملجي</v>
      </c>
      <c r="D997" s="56" t="str">
        <f ca="1">IFERROR(__xludf.DUMMYFUNCTION("""COMPUTED_VALUE"""),"وحدة التبريد")</f>
        <v>وحدة التبريد</v>
      </c>
      <c r="E997" s="26" t="str">
        <f ca="1">IFERROR(__xludf.DUMMYFUNCTION("""COMPUTED_VALUE"""),"قسم المشاريع الهندسية")</f>
        <v>قسم المشاريع الهندسية</v>
      </c>
      <c r="F997" s="26" t="str">
        <f ca="1">IFERROR(__xludf.DUMMYFUNCTION("""COMPUTED_VALUE"""),"B- روضة القمر")</f>
        <v>B- روضة القمر</v>
      </c>
      <c r="G997" s="26" t="str">
        <f ca="1">IFERROR(__xludf.DUMMYFUNCTION("""COMPUTED_VALUE"""),"القاعة الرياضية مقابل الاولى ")</f>
        <v xml:space="preserve">القاعة الرياضية مقابل الاولى </v>
      </c>
      <c r="H997" s="26" t="str">
        <f ca="1">IFERROR(__xludf.DUMMYFUNCTION("""COMPUTED_VALUE"""),"ادامة وتنظيف فلاتر منظومة البكج الخاصة بالقاعة ")</f>
        <v xml:space="preserve">ادامة وتنظيف فلاتر منظومة البكج الخاصة بالقاعة </v>
      </c>
      <c r="I997" s="26"/>
      <c r="J997" s="26" t="s">
        <v>15</v>
      </c>
      <c r="K997" s="26" t="s">
        <v>13</v>
      </c>
      <c r="L997" s="55">
        <v>46203.298477719909</v>
      </c>
      <c r="M997" s="26"/>
    </row>
    <row r="998" spans="1:13" ht="75" customHeight="1" thickTop="1" thickBot="1">
      <c r="A998" s="26">
        <v>996</v>
      </c>
      <c r="B998" s="55">
        <f ca="1">IFERROR(__xludf.DUMMYFUNCTION("""COMPUTED_VALUE"""),46202.3940725231)</f>
        <v>46202.3940725231</v>
      </c>
      <c r="C998" s="56" t="str">
        <f ca="1">IFERROR(__xludf.DUMMYFUNCTION("""COMPUTED_VALUE"""),"المعملجي")</f>
        <v>المعملجي</v>
      </c>
      <c r="D998" s="56" t="str">
        <f ca="1">IFERROR(__xludf.DUMMYFUNCTION("""COMPUTED_VALUE"""),"وحدة التبريد")</f>
        <v>وحدة التبريد</v>
      </c>
      <c r="E998" s="26" t="str">
        <f ca="1">IFERROR(__xludf.DUMMYFUNCTION("""COMPUTED_VALUE"""),"قسم المشاريع الهندسية")</f>
        <v>قسم المشاريع الهندسية</v>
      </c>
      <c r="F998" s="26" t="str">
        <f ca="1">IFERROR(__xludf.DUMMYFUNCTION("""COMPUTED_VALUE"""),"B- روضة القمر")</f>
        <v>B- روضة القمر</v>
      </c>
      <c r="G998" s="26" t="str">
        <f ca="1">IFERROR(__xludf.DUMMYFUNCTION("""COMPUTED_VALUE"""),"القاعة الرياضية مقابل الالعاب")</f>
        <v>القاعة الرياضية مقابل الالعاب</v>
      </c>
      <c r="H998" s="26" t="str">
        <f ca="1">IFERROR(__xludf.DUMMYFUNCTION("""COMPUTED_VALUE"""),"ادامة وتنظيف فلاتر منظومة البكج الخاصة بالقاعة")</f>
        <v>ادامة وتنظيف فلاتر منظومة البكج الخاصة بالقاعة</v>
      </c>
      <c r="I998" s="26"/>
      <c r="J998" s="26" t="s">
        <v>15</v>
      </c>
      <c r="K998" s="26" t="s">
        <v>13</v>
      </c>
      <c r="L998" s="55">
        <v>46203.298485902778</v>
      </c>
      <c r="M998" s="26"/>
    </row>
    <row r="999" spans="1:13" ht="75" customHeight="1" thickTop="1" thickBot="1">
      <c r="A999" s="34">
        <v>997</v>
      </c>
      <c r="B999" s="55">
        <f ca="1">IFERROR(__xludf.DUMMYFUNCTION("""COMPUTED_VALUE"""),46202.3943626967)</f>
        <v>46202.394362696701</v>
      </c>
      <c r="C999" s="56" t="str">
        <f ca="1">IFERROR(__xludf.DUMMYFUNCTION("""COMPUTED_VALUE"""),"المعملجي")</f>
        <v>المعملجي</v>
      </c>
      <c r="D999" s="56" t="str">
        <f ca="1">IFERROR(__xludf.DUMMYFUNCTION("""COMPUTED_VALUE"""),"وحدة التبريد")</f>
        <v>وحدة التبريد</v>
      </c>
      <c r="E999" s="26" t="str">
        <f ca="1">IFERROR(__xludf.DUMMYFUNCTION("""COMPUTED_VALUE"""),"قسم المشاريع الهندسية")</f>
        <v>قسم المشاريع الهندسية</v>
      </c>
      <c r="F999" s="26" t="str">
        <f ca="1">IFERROR(__xludf.DUMMYFUNCTION("""COMPUTED_VALUE"""),"G- روضة الجود")</f>
        <v>G- روضة الجود</v>
      </c>
      <c r="G999" s="26" t="str">
        <f ca="1">IFERROR(__xludf.DUMMYFUNCTION("""COMPUTED_VALUE"""),"القاعة الرياضية مقابل الرابعة ")</f>
        <v xml:space="preserve">القاعة الرياضية مقابل الرابعة </v>
      </c>
      <c r="H999" s="26" t="str">
        <f ca="1">IFERROR(__xludf.DUMMYFUNCTION("""COMPUTED_VALUE"""),"ادامة وتنظيف فلاتر منظومة البكج الخاصة بالقاعة")</f>
        <v>ادامة وتنظيف فلاتر منظومة البكج الخاصة بالقاعة</v>
      </c>
      <c r="I999" s="26"/>
      <c r="J999" s="26" t="s">
        <v>15</v>
      </c>
      <c r="K999" s="26" t="s">
        <v>13</v>
      </c>
      <c r="L999" s="55"/>
      <c r="M999" s="26"/>
    </row>
    <row r="1000" spans="1:13" ht="75" customHeight="1" thickTop="1" thickBot="1">
      <c r="A1000" s="26">
        <v>998</v>
      </c>
      <c r="B1000" s="55">
        <f ca="1">IFERROR(__xludf.DUMMYFUNCTION("""COMPUTED_VALUE"""),46202.394882199)</f>
        <v>46202.394882198998</v>
      </c>
      <c r="C1000" s="56" t="str">
        <f ca="1">IFERROR(__xludf.DUMMYFUNCTION("""COMPUTED_VALUE"""),"المعملجي")</f>
        <v>المعملجي</v>
      </c>
      <c r="D1000" s="56" t="str">
        <f ca="1">IFERROR(__xludf.DUMMYFUNCTION("""COMPUTED_VALUE"""),"وحدة التبريد")</f>
        <v>وحدة التبريد</v>
      </c>
      <c r="E1000" s="26" t="str">
        <f ca="1">IFERROR(__xludf.DUMMYFUNCTION("""COMPUTED_VALUE"""),"قسم المشاريع الهندسية")</f>
        <v>قسم المشاريع الهندسية</v>
      </c>
      <c r="F1000" s="26" t="str">
        <f ca="1">IFERROR(__xludf.DUMMYFUNCTION("""COMPUTED_VALUE"""),"G- روضة الجود")</f>
        <v>G- روضة الجود</v>
      </c>
      <c r="G1000" s="26" t="str">
        <f ca="1">IFERROR(__xludf.DUMMYFUNCTION("""COMPUTED_VALUE"""),"القاعة الرياضية مقابل الخامسة ")</f>
        <v xml:space="preserve">القاعة الرياضية مقابل الخامسة </v>
      </c>
      <c r="H1000" s="26" t="str">
        <f ca="1">IFERROR(__xludf.DUMMYFUNCTION("""COMPUTED_VALUE"""),"ادامة وتنظيف فلاتر منظومة البكج الخاصة بالقاعة")</f>
        <v>ادامة وتنظيف فلاتر منظومة البكج الخاصة بالقاعة</v>
      </c>
      <c r="I1000" s="26"/>
      <c r="J1000" s="26" t="s">
        <v>15</v>
      </c>
      <c r="K1000" s="26" t="s">
        <v>13</v>
      </c>
      <c r="L1000" s="55">
        <v>46203.300479710648</v>
      </c>
      <c r="M1000" s="26"/>
    </row>
    <row r="1001" spans="1:13" ht="75" customHeight="1" thickTop="1" thickBot="1">
      <c r="A1001" s="34">
        <v>999</v>
      </c>
      <c r="B1001" s="55">
        <f ca="1">IFERROR(__xludf.DUMMYFUNCTION("""COMPUTED_VALUE"""),46202.3963467013)</f>
        <v>46202.396346701302</v>
      </c>
      <c r="C1001" s="56" t="str">
        <f ca="1">IFERROR(__xludf.DUMMYFUNCTION("""COMPUTED_VALUE"""),"المعملجي")</f>
        <v>المعملجي</v>
      </c>
      <c r="D1001" s="56" t="str">
        <f ca="1">IFERROR(__xludf.DUMMYFUNCTION("""COMPUTED_VALUE"""),"وحدة التبريد")</f>
        <v>وحدة التبريد</v>
      </c>
      <c r="E1001" s="26" t="str">
        <f ca="1">IFERROR(__xludf.DUMMYFUNCTION("""COMPUTED_VALUE"""),"قسم المشاريع الهندسية")</f>
        <v>قسم المشاريع الهندسية</v>
      </c>
      <c r="F1001" s="26" t="str">
        <f ca="1">IFERROR(__xludf.DUMMYFUNCTION("""COMPUTED_VALUE"""),"A- المركز الثقافي")</f>
        <v>A- المركز الثقافي</v>
      </c>
      <c r="G1001" s="26" t="str">
        <f ca="1">IFERROR(__xludf.DUMMYFUNCTION("""COMPUTED_VALUE"""),"الطابق الارضي, الطابق الاول, قاعة سراج العميد ")</f>
        <v xml:space="preserve">الطابق الارضي, الطابق الاول, قاعة سراج العميد </v>
      </c>
      <c r="H1001" s="26" t="str">
        <f ca="1">IFERROR(__xludf.DUMMYFUNCTION("""COMPUTED_VALUE"""),"ادامة وتنظيف فلاتر منظومة السبلت بكج الخاصة بالقاعة ")</f>
        <v xml:space="preserve">ادامة وتنظيف فلاتر منظومة السبلت بكج الخاصة بالقاعة </v>
      </c>
      <c r="I1001" s="26"/>
      <c r="J1001" s="26" t="s">
        <v>15</v>
      </c>
      <c r="K1001" s="26" t="s">
        <v>13</v>
      </c>
      <c r="L1001" s="55">
        <v>46203.300473634255</v>
      </c>
      <c r="M1001" s="26"/>
    </row>
    <row r="1002" spans="1:13" ht="75" customHeight="1" thickTop="1" thickBot="1">
      <c r="A1002" s="26">
        <v>1000</v>
      </c>
      <c r="B1002" s="57">
        <f ca="1">IFERROR(__xludf.DUMMYFUNCTION("""COMPUTED_VALUE"""),46202.3966910763)</f>
        <v>46202.396691076297</v>
      </c>
      <c r="C1002" s="58" t="str">
        <f ca="1">IFERROR(__xludf.DUMMYFUNCTION("""COMPUTED_VALUE"""),"المعملجي")</f>
        <v>المعملجي</v>
      </c>
      <c r="D1002" s="58" t="str">
        <f ca="1">IFERROR(__xludf.DUMMYFUNCTION("""COMPUTED_VALUE"""),"وحدة التبريد")</f>
        <v>وحدة التبريد</v>
      </c>
      <c r="E1002" s="48" t="str">
        <f ca="1">IFERROR(__xludf.DUMMYFUNCTION("""COMPUTED_VALUE"""),"قسم المشاريع الهندسية")</f>
        <v>قسم المشاريع الهندسية</v>
      </c>
      <c r="F1002" s="48" t="str">
        <f ca="1">IFERROR(__xludf.DUMMYFUNCTION("""COMPUTED_VALUE"""),"A- المركز الثقافي")</f>
        <v>A- المركز الثقافي</v>
      </c>
      <c r="G1002" s="48" t="str">
        <f ca="1">IFERROR(__xludf.DUMMYFUNCTION("""COMPUTED_VALUE"""),"الطابق الارضي, الطابق الاول, قاعة المؤتمرات ")</f>
        <v xml:space="preserve">الطابق الارضي, الطابق الاول, قاعة المؤتمرات </v>
      </c>
      <c r="H1002" s="48" t="str">
        <f ca="1">IFERROR(__xludf.DUMMYFUNCTION("""COMPUTED_VALUE"""),"ادامة وتنظيف فلاتر منظومة السبلت بكج الخاصة بالقاعة ")</f>
        <v xml:space="preserve">ادامة وتنظيف فلاتر منظومة السبلت بكج الخاصة بالقاعة </v>
      </c>
      <c r="I1002" s="48"/>
      <c r="J1002" s="48" t="s">
        <v>15</v>
      </c>
      <c r="K1002" s="48" t="s">
        <v>13</v>
      </c>
      <c r="L1002" s="57">
        <v>46203.30048711806</v>
      </c>
      <c r="M1002" s="48"/>
    </row>
    <row r="1003" spans="1:13" ht="75" customHeight="1" thickTop="1" thickBot="1">
      <c r="A1003" s="34">
        <v>1001</v>
      </c>
      <c r="B1003" s="57">
        <f ca="1">IFERROR(__xludf.DUMMYFUNCTION("""COMPUTED_VALUE"""),46202.3975107638)</f>
        <v>46202.397510763803</v>
      </c>
      <c r="C1003" s="58" t="str">
        <f ca="1">IFERROR(__xludf.DUMMYFUNCTION("""COMPUTED_VALUE"""),"المعملجي")</f>
        <v>المعملجي</v>
      </c>
      <c r="D1003" s="58" t="str">
        <f ca="1">IFERROR(__xludf.DUMMYFUNCTION("""COMPUTED_VALUE"""),"وحدة التبريد")</f>
        <v>وحدة التبريد</v>
      </c>
      <c r="E1003" s="48" t="str">
        <f ca="1">IFERROR(__xludf.DUMMYFUNCTION("""COMPUTED_VALUE"""),"قسم المشاريع الهندسية")</f>
        <v>قسم المشاريع الهندسية</v>
      </c>
      <c r="F1003" s="48" t="str">
        <f ca="1">IFERROR(__xludf.DUMMYFUNCTION("""COMPUTED_VALUE"""),"A- المركز الثقافي")</f>
        <v>A- المركز الثقافي</v>
      </c>
      <c r="G1003" s="48" t="str">
        <f ca="1">IFERROR(__xludf.DUMMYFUNCTION("""COMPUTED_VALUE"""),"الطابق الثاني, الطابق الثالث, الطابق الرابع, السطح")</f>
        <v>الطابق الثاني, الطابق الثالث, الطابق الرابع, السطح</v>
      </c>
      <c r="H1003" s="48" t="str">
        <f ca="1">IFERROR(__xludf.DUMMYFUNCTION("""COMPUTED_VALUE"""),"ادامة وتنظيف منظومة التهوية الDX في البناية ")</f>
        <v xml:space="preserve">ادامة وتنظيف منظومة التهوية الDX في البناية </v>
      </c>
      <c r="I1003" s="48"/>
      <c r="J1003" s="48" t="s">
        <v>15</v>
      </c>
      <c r="K1003" s="48" t="s">
        <v>13</v>
      </c>
      <c r="L1003" s="57">
        <v>46203.300487881948</v>
      </c>
      <c r="M1003" s="48"/>
    </row>
    <row r="1004" spans="1:13" ht="75" customHeight="1" thickTop="1" thickBot="1">
      <c r="A1004" s="26">
        <v>1002</v>
      </c>
      <c r="B1004" s="57">
        <f ca="1">IFERROR(__xludf.DUMMYFUNCTION("""COMPUTED_VALUE"""),46202.397693449)</f>
        <v>46202.397693448998</v>
      </c>
      <c r="C1004" s="58" t="str">
        <f ca="1">IFERROR(__xludf.DUMMYFUNCTION("""COMPUTED_VALUE"""),"المعملجي")</f>
        <v>المعملجي</v>
      </c>
      <c r="D1004" s="58" t="str">
        <f ca="1">IFERROR(__xludf.DUMMYFUNCTION("""COMPUTED_VALUE"""),"وحدة التبريد")</f>
        <v>وحدة التبريد</v>
      </c>
      <c r="E1004" s="48" t="str">
        <f ca="1">IFERROR(__xludf.DUMMYFUNCTION("""COMPUTED_VALUE"""),"قسم المشاريع الهندسية")</f>
        <v>قسم المشاريع الهندسية</v>
      </c>
      <c r="F1004" s="48" t="str">
        <f ca="1">IFERROR(__xludf.DUMMYFUNCTION("""COMPUTED_VALUE"""),"B- روضة القمر")</f>
        <v>B- روضة القمر</v>
      </c>
      <c r="G1004" s="48" t="str">
        <f ca="1">IFERROR(__xludf.DUMMYFUNCTION("""COMPUTED_VALUE"""),"السطح")</f>
        <v>السطح</v>
      </c>
      <c r="H1004" s="48" t="str">
        <f ca="1">IFERROR(__xludf.DUMMYFUNCTION("""COMPUTED_VALUE"""),"ادامة وتنظيف منظومة التهوية الDX في البناية")</f>
        <v>ادامة وتنظيف منظومة التهوية الDX في البناية</v>
      </c>
      <c r="I1004" s="48"/>
      <c r="J1004" s="48" t="s">
        <v>15</v>
      </c>
      <c r="K1004" s="48" t="s">
        <v>13</v>
      </c>
      <c r="L1004" s="57">
        <v>46203.300504236111</v>
      </c>
      <c r="M1004" s="48"/>
    </row>
    <row r="1005" spans="1:13" ht="75" customHeight="1" thickTop="1" thickBot="1">
      <c r="A1005" s="34">
        <v>1003</v>
      </c>
      <c r="B1005" s="57">
        <f ca="1">IFERROR(__xludf.DUMMYFUNCTION("""COMPUTED_VALUE"""),46202.3978632523)</f>
        <v>46202.397863252299</v>
      </c>
      <c r="C1005" s="58" t="str">
        <f ca="1">IFERROR(__xludf.DUMMYFUNCTION("""COMPUTED_VALUE"""),"المعملجي")</f>
        <v>المعملجي</v>
      </c>
      <c r="D1005" s="58" t="str">
        <f ca="1">IFERROR(__xludf.DUMMYFUNCTION("""COMPUTED_VALUE"""),"وحدة التبريد")</f>
        <v>وحدة التبريد</v>
      </c>
      <c r="E1005" s="48" t="str">
        <f ca="1">IFERROR(__xludf.DUMMYFUNCTION("""COMPUTED_VALUE"""),"قسم المشاريع الهندسية")</f>
        <v>قسم المشاريع الهندسية</v>
      </c>
      <c r="F1005" s="48" t="str">
        <f ca="1">IFERROR(__xludf.DUMMYFUNCTION("""COMPUTED_VALUE"""),"G- روضة الجود")</f>
        <v>G- روضة الجود</v>
      </c>
      <c r="G1005" s="48" t="str">
        <f ca="1">IFERROR(__xludf.DUMMYFUNCTION("""COMPUTED_VALUE"""),"السطح")</f>
        <v>السطح</v>
      </c>
      <c r="H1005" s="48" t="str">
        <f ca="1">IFERROR(__xludf.DUMMYFUNCTION("""COMPUTED_VALUE"""),"ادامة وتنظيف منظومة التهوية الDX في البناية")</f>
        <v>ادامة وتنظيف منظومة التهوية الDX في البناية</v>
      </c>
      <c r="I1005" s="48"/>
      <c r="J1005" s="48" t="s">
        <v>15</v>
      </c>
      <c r="K1005" s="48" t="s">
        <v>13</v>
      </c>
      <c r="L1005" s="57">
        <v>46203.300504421291</v>
      </c>
      <c r="M1005" s="48"/>
    </row>
    <row r="1006" spans="1:13" ht="75" customHeight="1" thickTop="1" thickBot="1">
      <c r="A1006" s="26">
        <v>1004</v>
      </c>
      <c r="B1006" s="57">
        <f ca="1">IFERROR(__xludf.DUMMYFUNCTION("""COMPUTED_VALUE"""),46202.3980659953)</f>
        <v>46202.398065995301</v>
      </c>
      <c r="C1006" s="58" t="str">
        <f ca="1">IFERROR(__xludf.DUMMYFUNCTION("""COMPUTED_VALUE"""),"المعملجي")</f>
        <v>المعملجي</v>
      </c>
      <c r="D1006" s="58" t="str">
        <f ca="1">IFERROR(__xludf.DUMMYFUNCTION("""COMPUTED_VALUE"""),"وحدة التبريد")</f>
        <v>وحدة التبريد</v>
      </c>
      <c r="E1006" s="48" t="str">
        <f ca="1">IFERROR(__xludf.DUMMYFUNCTION("""COMPUTED_VALUE"""),"قسم المشاريع الهندسية")</f>
        <v>قسم المشاريع الهندسية</v>
      </c>
      <c r="F1006" s="48" t="str">
        <f ca="1">IFERROR(__xludf.DUMMYFUNCTION("""COMPUTED_VALUE"""),"C- ثانوية العميد بناية الاعدادية  (الاولى)")</f>
        <v>C- ثانوية العميد بناية الاعدادية  (الاولى)</v>
      </c>
      <c r="G1006" s="48" t="str">
        <f ca="1">IFERROR(__xludf.DUMMYFUNCTION("""COMPUTED_VALUE"""),"السطح")</f>
        <v>السطح</v>
      </c>
      <c r="H1006" s="48" t="str">
        <f ca="1">IFERROR(__xludf.DUMMYFUNCTION("""COMPUTED_VALUE"""),"ادامة وتنظيف منظومة التهوية الDX في البناية")</f>
        <v>ادامة وتنظيف منظومة التهوية الDX في البناية</v>
      </c>
      <c r="I1006" s="48"/>
      <c r="J1006" s="48" t="s">
        <v>15</v>
      </c>
      <c r="K1006" s="48" t="s">
        <v>13</v>
      </c>
      <c r="L1006" s="57">
        <v>46203.300517291667</v>
      </c>
      <c r="M1006" s="48"/>
    </row>
    <row r="1007" spans="1:13" ht="75" customHeight="1" thickTop="1" thickBot="1">
      <c r="A1007" s="34">
        <v>1005</v>
      </c>
      <c r="B1007" s="57">
        <f ca="1">IFERROR(__xludf.DUMMYFUNCTION("""COMPUTED_VALUE"""),46202.3982557754)</f>
        <v>46202.398255775399</v>
      </c>
      <c r="C1007" s="58" t="str">
        <f ca="1">IFERROR(__xludf.DUMMYFUNCTION("""COMPUTED_VALUE"""),"المعملجي")</f>
        <v>المعملجي</v>
      </c>
      <c r="D1007" s="58" t="str">
        <f ca="1">IFERROR(__xludf.DUMMYFUNCTION("""COMPUTED_VALUE"""),"وحدة التبريد")</f>
        <v>وحدة التبريد</v>
      </c>
      <c r="E1007" s="48" t="str">
        <f ca="1">IFERROR(__xludf.DUMMYFUNCTION("""COMPUTED_VALUE"""),"قسم المشاريع الهندسية")</f>
        <v>قسم المشاريع الهندسية</v>
      </c>
      <c r="F1007" s="48" t="str">
        <f ca="1">IFERROR(__xludf.DUMMYFUNCTION("""COMPUTED_VALUE"""),"D- ثانوية العميد بناية المتوسطة  (الثانية)")</f>
        <v>D- ثانوية العميد بناية المتوسطة  (الثانية)</v>
      </c>
      <c r="G1007" s="48" t="str">
        <f ca="1">IFERROR(__xludf.DUMMYFUNCTION("""COMPUTED_VALUE"""),"السطح")</f>
        <v>السطح</v>
      </c>
      <c r="H1007" s="48" t="str">
        <f ca="1">IFERROR(__xludf.DUMMYFUNCTION("""COMPUTED_VALUE"""),"ادامة وتنظيف منظومة التهوية الDX في البناية")</f>
        <v>ادامة وتنظيف منظومة التهوية الDX في البناية</v>
      </c>
      <c r="I1007" s="48"/>
      <c r="J1007" s="48" t="s">
        <v>15</v>
      </c>
      <c r="K1007" s="48" t="s">
        <v>13</v>
      </c>
      <c r="L1007" s="57">
        <v>46203.300518090276</v>
      </c>
      <c r="M1007" s="48"/>
    </row>
    <row r="1008" spans="1:13" ht="75" customHeight="1" thickTop="1" thickBot="1">
      <c r="A1008" s="26">
        <v>1006</v>
      </c>
      <c r="B1008" s="57">
        <f ca="1">IFERROR(__xludf.DUMMYFUNCTION("""COMPUTED_VALUE"""),46202.3984368287)</f>
        <v>46202.398436828698</v>
      </c>
      <c r="C1008" s="58" t="str">
        <f ca="1">IFERROR(__xludf.DUMMYFUNCTION("""COMPUTED_VALUE"""),"المعملجي")</f>
        <v>المعملجي</v>
      </c>
      <c r="D1008" s="58" t="str">
        <f ca="1">IFERROR(__xludf.DUMMYFUNCTION("""COMPUTED_VALUE"""),"وحدة التبريد")</f>
        <v>وحدة التبريد</v>
      </c>
      <c r="E1008" s="48" t="str">
        <f ca="1">IFERROR(__xludf.DUMMYFUNCTION("""COMPUTED_VALUE"""),"قسم المشاريع الهندسية")</f>
        <v>قسم المشاريع الهندسية</v>
      </c>
      <c r="F1008" s="48" t="str">
        <f ca="1">IFERROR(__xludf.DUMMYFUNCTION("""COMPUTED_VALUE"""),"E- ابتدائية العميد للبنات (الثالثة)")</f>
        <v>E- ابتدائية العميد للبنات (الثالثة)</v>
      </c>
      <c r="G1008" s="48" t="str">
        <f ca="1">IFERROR(__xludf.DUMMYFUNCTION("""COMPUTED_VALUE"""),"السطح")</f>
        <v>السطح</v>
      </c>
      <c r="H1008" s="48" t="str">
        <f ca="1">IFERROR(__xludf.DUMMYFUNCTION("""COMPUTED_VALUE"""),"ادامة وتنظيف منظومة التهوية الDX في البناية")</f>
        <v>ادامة وتنظيف منظومة التهوية الDX في البناية</v>
      </c>
      <c r="I1008" s="48"/>
      <c r="J1008" s="48" t="s">
        <v>15</v>
      </c>
      <c r="K1008" s="48" t="s">
        <v>13</v>
      </c>
      <c r="L1008" s="57">
        <v>46203.300522245372</v>
      </c>
      <c r="M1008" s="48"/>
    </row>
    <row r="1009" spans="1:13" ht="75" customHeight="1" thickTop="1" thickBot="1">
      <c r="A1009" s="34">
        <v>1007</v>
      </c>
      <c r="B1009" s="57">
        <f ca="1">IFERROR(__xludf.DUMMYFUNCTION("""COMPUTED_VALUE"""),46202.3986338888)</f>
        <v>46202.398633888799</v>
      </c>
      <c r="C1009" s="58" t="str">
        <f ca="1">IFERROR(__xludf.DUMMYFUNCTION("""COMPUTED_VALUE"""),"المعملجي")</f>
        <v>المعملجي</v>
      </c>
      <c r="D1009" s="58" t="str">
        <f ca="1">IFERROR(__xludf.DUMMYFUNCTION("""COMPUTED_VALUE"""),"وحدة التبريد")</f>
        <v>وحدة التبريد</v>
      </c>
      <c r="E1009" s="48" t="str">
        <f ca="1">IFERROR(__xludf.DUMMYFUNCTION("""COMPUTED_VALUE"""),"قسم المشاريع الهندسية")</f>
        <v>قسم المشاريع الهندسية</v>
      </c>
      <c r="F1009" s="48" t="str">
        <f ca="1">IFERROR(__xludf.DUMMYFUNCTION("""COMPUTED_VALUE"""),"F-  ابتدائية جود العميد للبنات (الرابعة)")</f>
        <v>F-  ابتدائية جود العميد للبنات (الرابعة)</v>
      </c>
      <c r="G1009" s="48" t="str">
        <f ca="1">IFERROR(__xludf.DUMMYFUNCTION("""COMPUTED_VALUE"""),"السطح")</f>
        <v>السطح</v>
      </c>
      <c r="H1009" s="48" t="str">
        <f ca="1">IFERROR(__xludf.DUMMYFUNCTION("""COMPUTED_VALUE"""),"ادامة وتنظيف منظومة التهوية الDX في البناية")</f>
        <v>ادامة وتنظيف منظومة التهوية الDX في البناية</v>
      </c>
      <c r="I1009" s="48"/>
      <c r="J1009" s="48" t="s">
        <v>15</v>
      </c>
      <c r="K1009" s="48" t="s">
        <v>13</v>
      </c>
      <c r="L1009" s="57">
        <v>46203.300532152774</v>
      </c>
      <c r="M1009" s="48"/>
    </row>
    <row r="1010" spans="1:13" ht="75" customHeight="1" thickTop="1" thickBot="1">
      <c r="A1010" s="26">
        <v>1008</v>
      </c>
      <c r="B1010" s="57">
        <f ca="1">IFERROR(__xludf.DUMMYFUNCTION("""COMPUTED_VALUE"""),46202.4019568634)</f>
        <v>46202.401956863403</v>
      </c>
      <c r="C1010" s="58" t="str">
        <f ca="1">IFERROR(__xludf.DUMMYFUNCTION("""COMPUTED_VALUE"""),"المعملجي")</f>
        <v>المعملجي</v>
      </c>
      <c r="D1010" s="58" t="str">
        <f ca="1">IFERROR(__xludf.DUMMYFUNCTION("""COMPUTED_VALUE"""),"وحدة التبريد")</f>
        <v>وحدة التبريد</v>
      </c>
      <c r="E1010" s="48" t="str">
        <f ca="1">IFERROR(__xludf.DUMMYFUNCTION("""COMPUTED_VALUE"""),"قسم المشاريع الهندسية")</f>
        <v>قسم المشاريع الهندسية</v>
      </c>
      <c r="F1010" s="48" t="str">
        <f ca="1">IFERROR(__xludf.DUMMYFUNCTION("""COMPUTED_VALUE"""),"H- ابتدائية القمر للبنات (الخامسة)")</f>
        <v>H- ابتدائية القمر للبنات (الخامسة)</v>
      </c>
      <c r="G1010" s="48" t="str">
        <f ca="1">IFERROR(__xludf.DUMMYFUNCTION("""COMPUTED_VALUE"""),"السطح")</f>
        <v>السطح</v>
      </c>
      <c r="H1010" s="48" t="str">
        <f ca="1">IFERROR(__xludf.DUMMYFUNCTION("""COMPUTED_VALUE"""),"ادامة وتنظيف منظومة التهوية الDX في البناية")</f>
        <v>ادامة وتنظيف منظومة التهوية الDX في البناية</v>
      </c>
      <c r="I1010" s="48"/>
      <c r="J1010" s="48" t="s">
        <v>15</v>
      </c>
      <c r="K1010" s="48" t="s">
        <v>13</v>
      </c>
      <c r="L1010" s="57">
        <v>46203.300545543985</v>
      </c>
      <c r="M1010" s="48"/>
    </row>
    <row r="1011" spans="1:13" ht="75" customHeight="1" thickTop="1" thickBot="1">
      <c r="A1011" s="34">
        <v>1009</v>
      </c>
      <c r="B1011" s="57">
        <f ca="1">IFERROR(__xludf.DUMMYFUNCTION("""COMPUTED_VALUE"""),46202.4021543981)</f>
        <v>46202.4021543981</v>
      </c>
      <c r="C1011" s="58" t="str">
        <f ca="1">IFERROR(__xludf.DUMMYFUNCTION("""COMPUTED_VALUE"""),"المعملجي")</f>
        <v>المعملجي</v>
      </c>
      <c r="D1011" s="58" t="str">
        <f ca="1">IFERROR(__xludf.DUMMYFUNCTION("""COMPUTED_VALUE"""),"وحدة التبريد")</f>
        <v>وحدة التبريد</v>
      </c>
      <c r="E1011" s="48" t="str">
        <f ca="1">IFERROR(__xludf.DUMMYFUNCTION("""COMPUTED_VALUE"""),"قسم المشاريع الهندسية")</f>
        <v>قسم المشاريع الهندسية</v>
      </c>
      <c r="F1011" s="48" t="str">
        <f ca="1">IFERROR(__xludf.DUMMYFUNCTION("""COMPUTED_VALUE"""),"I- ابتدائية الساقي للبنين (السادسة)")</f>
        <v>I- ابتدائية الساقي للبنين (السادسة)</v>
      </c>
      <c r="G1011" s="48" t="str">
        <f ca="1">IFERROR(__xludf.DUMMYFUNCTION("""COMPUTED_VALUE"""),"السطح")</f>
        <v>السطح</v>
      </c>
      <c r="H1011" s="48" t="str">
        <f ca="1">IFERROR(__xludf.DUMMYFUNCTION("""COMPUTED_VALUE"""),"ادامة وتنظيف منظومة التهوية الDX في البناية")</f>
        <v>ادامة وتنظيف منظومة التهوية الDX في البناية</v>
      </c>
      <c r="I1011" s="48"/>
      <c r="J1011" s="48" t="s">
        <v>15</v>
      </c>
      <c r="K1011" s="48" t="s">
        <v>13</v>
      </c>
      <c r="L1011" s="57">
        <v>46203.300545844904</v>
      </c>
      <c r="M1011" s="48"/>
    </row>
    <row r="1012" spans="1:13" ht="75" customHeight="1" thickTop="1" thickBot="1">
      <c r="A1012" s="26">
        <v>1010</v>
      </c>
      <c r="B1012" s="57">
        <f ca="1">IFERROR(__xludf.DUMMYFUNCTION("""COMPUTED_VALUE"""),46202.4023675)</f>
        <v>46202.402367499999</v>
      </c>
      <c r="C1012" s="58" t="str">
        <f ca="1">IFERROR(__xludf.DUMMYFUNCTION("""COMPUTED_VALUE"""),"المعملجي")</f>
        <v>المعملجي</v>
      </c>
      <c r="D1012" s="58" t="str">
        <f ca="1">IFERROR(__xludf.DUMMYFUNCTION("""COMPUTED_VALUE"""),"وحدة التبريد")</f>
        <v>وحدة التبريد</v>
      </c>
      <c r="E1012" s="48" t="str">
        <f ca="1">IFERROR(__xludf.DUMMYFUNCTION("""COMPUTED_VALUE"""),"قسم المشاريع الهندسية")</f>
        <v>قسم المشاريع الهندسية</v>
      </c>
      <c r="F1012" s="48" t="str">
        <f ca="1">IFERROR(__xludf.DUMMYFUNCTION("""COMPUTED_VALUE"""),"J- ابتدائية الساقي للبنين الجانب الثاني (السابعة), J- جامعة العميد (السابعة)")</f>
        <v>J- ابتدائية الساقي للبنين الجانب الثاني (السابعة), J- جامعة العميد (السابعة)</v>
      </c>
      <c r="G1012" s="48" t="str">
        <f ca="1">IFERROR(__xludf.DUMMYFUNCTION("""COMPUTED_VALUE"""),"السطح")</f>
        <v>السطح</v>
      </c>
      <c r="H1012" s="48" t="str">
        <f ca="1">IFERROR(__xludf.DUMMYFUNCTION("""COMPUTED_VALUE"""),"ادامة وتنظيف منظومة التهوية الDX في البناية")</f>
        <v>ادامة وتنظيف منظومة التهوية الDX في البناية</v>
      </c>
      <c r="I1012" s="48"/>
      <c r="J1012" s="48" t="s">
        <v>15</v>
      </c>
      <c r="K1012" s="48" t="s">
        <v>13</v>
      </c>
      <c r="L1012" s="57">
        <v>46203.300561932869</v>
      </c>
      <c r="M1012" s="48"/>
    </row>
    <row r="1013" spans="1:13" ht="75" customHeight="1" thickTop="1" thickBot="1">
      <c r="A1013" s="34">
        <v>1011</v>
      </c>
      <c r="B1013" s="57">
        <f ca="1">IFERROR(__xludf.DUMMYFUNCTION("""COMPUTED_VALUE"""),46202.4031427893)</f>
        <v>46202.403142789299</v>
      </c>
      <c r="C1013" s="58" t="str">
        <f ca="1">IFERROR(__xludf.DUMMYFUNCTION("""COMPUTED_VALUE"""),"المعملجي")</f>
        <v>المعملجي</v>
      </c>
      <c r="D1013" s="58" t="str">
        <f ca="1">IFERROR(__xludf.DUMMYFUNCTION("""COMPUTED_VALUE"""),"وحدة التبريد")</f>
        <v>وحدة التبريد</v>
      </c>
      <c r="E1013" s="48" t="str">
        <f ca="1">IFERROR(__xludf.DUMMYFUNCTION("""COMPUTED_VALUE"""),"قسم المشاريع الهندسية")</f>
        <v>قسم المشاريع الهندسية</v>
      </c>
      <c r="F1013" s="48" t="str">
        <f ca="1">IFERROR(__xludf.DUMMYFUNCTION("""COMPUTED_VALUE"""),"D- ثانوية العميد بناية المتوسطة  (الثانية)")</f>
        <v>D- ثانوية العميد بناية المتوسطة  (الثانية)</v>
      </c>
      <c r="G1013" s="48" t="str">
        <f ca="1">IFERROR(__xludf.DUMMYFUNCTION("""COMPUTED_VALUE"""),"الطابق الثاني, ZONE A")</f>
        <v>الطابق الثاني, ZONE A</v>
      </c>
      <c r="H1013" s="48" t="str">
        <f ca="1">IFERROR(__xludf.DUMMYFUNCTION("""COMPUTED_VALUE"""),"اضافة سبلت كنتوري 3 طن في مصلى البناية ")</f>
        <v xml:space="preserve">اضافة سبلت كنتوري 3 طن في مصلى البناية </v>
      </c>
      <c r="I1013" s="48"/>
      <c r="J1013" s="48" t="s">
        <v>15</v>
      </c>
      <c r="K1013" s="48" t="s">
        <v>13</v>
      </c>
      <c r="L1013" s="57">
        <v>46203.300563206023</v>
      </c>
      <c r="M1013" s="48"/>
    </row>
    <row r="1014" spans="1:13" ht="75" customHeight="1" thickTop="1" thickBot="1">
      <c r="A1014" s="26">
        <v>1012</v>
      </c>
      <c r="B1014" s="57">
        <f ca="1">IFERROR(__xludf.DUMMYFUNCTION("""COMPUTED_VALUE"""),46202.4033534722)</f>
        <v>46202.403353472197</v>
      </c>
      <c r="C1014" s="58" t="str">
        <f ca="1">IFERROR(__xludf.DUMMYFUNCTION("""COMPUTED_VALUE"""),"المعملجي")</f>
        <v>المعملجي</v>
      </c>
      <c r="D1014" s="58" t="str">
        <f ca="1">IFERROR(__xludf.DUMMYFUNCTION("""COMPUTED_VALUE"""),"وحدة التبريد")</f>
        <v>وحدة التبريد</v>
      </c>
      <c r="E1014" s="48" t="str">
        <f ca="1">IFERROR(__xludf.DUMMYFUNCTION("""COMPUTED_VALUE"""),"قسم المشاريع الهندسية")</f>
        <v>قسم المشاريع الهندسية</v>
      </c>
      <c r="F1014" s="48" t="str">
        <f ca="1">IFERROR(__xludf.DUMMYFUNCTION("""COMPUTED_VALUE"""),"C- ثانوية العميد بناية الاعدادية  (الاولى)")</f>
        <v>C- ثانوية العميد بناية الاعدادية  (الاولى)</v>
      </c>
      <c r="G1014" s="48" t="str">
        <f ca="1">IFERROR(__xludf.DUMMYFUNCTION("""COMPUTED_VALUE"""),"الطابق الثاني, ZONE A")</f>
        <v>الطابق الثاني, ZONE A</v>
      </c>
      <c r="H1014" s="48" t="str">
        <f ca="1">IFERROR(__xludf.DUMMYFUNCTION("""COMPUTED_VALUE"""),"اضافة سبلت كنتوري 3 طن في مصلى البناية")</f>
        <v>اضافة سبلت كنتوري 3 طن في مصلى البناية</v>
      </c>
      <c r="I1014" s="48"/>
      <c r="J1014" s="48" t="s">
        <v>15</v>
      </c>
      <c r="K1014" s="48" t="s">
        <v>13</v>
      </c>
      <c r="L1014" s="57">
        <v>46203.300565682875</v>
      </c>
      <c r="M1014" s="48"/>
    </row>
    <row r="1015" spans="1:13" ht="75" customHeight="1" thickTop="1" thickBot="1">
      <c r="A1015" s="34">
        <v>1013</v>
      </c>
      <c r="B1015" s="57">
        <f ca="1">IFERROR(__xludf.DUMMYFUNCTION("""COMPUTED_VALUE"""),46202.4039214467)</f>
        <v>46202.403921446697</v>
      </c>
      <c r="C1015" s="58" t="str">
        <f ca="1">IFERROR(__xludf.DUMMYFUNCTION("""COMPUTED_VALUE"""),"المعملجي")</f>
        <v>المعملجي</v>
      </c>
      <c r="D1015" s="58" t="str">
        <f ca="1">IFERROR(__xludf.DUMMYFUNCTION("""COMPUTED_VALUE"""),"وحدة التبريد")</f>
        <v>وحدة التبريد</v>
      </c>
      <c r="E1015" s="48" t="str">
        <f ca="1">IFERROR(__xludf.DUMMYFUNCTION("""COMPUTED_VALUE"""),"قسم المشاريع الهندسية")</f>
        <v>قسم المشاريع الهندسية</v>
      </c>
      <c r="F1015" s="48" t="str">
        <f ca="1">IFERROR(__xludf.DUMMYFUNCTION("""COMPUTED_VALUE"""),"A- المركز الثقافي")</f>
        <v>A- المركز الثقافي</v>
      </c>
      <c r="G1015" s="48" t="str">
        <f ca="1">IFERROR(__xludf.DUMMYFUNCTION("""COMPUTED_VALUE"""),"الطابق الارضي")</f>
        <v>الطابق الارضي</v>
      </c>
      <c r="H1015" s="48" t="str">
        <f ca="1">IFERROR(__xludf.DUMMYFUNCTION("""COMPUTED_VALUE"""),"اضافة سبلت كنتوري 3 طن في غرفة الادارة ")</f>
        <v xml:space="preserve">اضافة سبلت كنتوري 3 طن في غرفة الادارة </v>
      </c>
      <c r="I1015" s="48"/>
      <c r="J1015" s="48" t="s">
        <v>15</v>
      </c>
      <c r="K1015" s="48" t="s">
        <v>13</v>
      </c>
      <c r="L1015" s="57">
        <v>46203.300572083332</v>
      </c>
      <c r="M1015" s="48"/>
    </row>
    <row r="1016" spans="1:13" ht="75" customHeight="1" thickTop="1" thickBot="1">
      <c r="A1016" s="26">
        <v>1014</v>
      </c>
      <c r="B1016" s="57">
        <f ca="1">IFERROR(__xludf.DUMMYFUNCTION("""COMPUTED_VALUE"""),46202.4049528703)</f>
        <v>46202.404952870304</v>
      </c>
      <c r="C1016" s="58" t="str">
        <f ca="1">IFERROR(__xludf.DUMMYFUNCTION("""COMPUTED_VALUE"""),"المعملجي")</f>
        <v>المعملجي</v>
      </c>
      <c r="D1016" s="58" t="str">
        <f ca="1">IFERROR(__xludf.DUMMYFUNCTION("""COMPUTED_VALUE"""),"وحدة التبريد")</f>
        <v>وحدة التبريد</v>
      </c>
      <c r="E1016" s="48" t="str">
        <f ca="1">IFERROR(__xludf.DUMMYFUNCTION("""COMPUTED_VALUE"""),"قسم المشاريع الهندسية")</f>
        <v>قسم المشاريع الهندسية</v>
      </c>
      <c r="F1016" s="48" t="str">
        <f ca="1">IFERROR(__xludf.DUMMYFUNCTION("""COMPUTED_VALUE"""),"A- المركز الثقافي")</f>
        <v>A- المركز الثقافي</v>
      </c>
      <c r="G1016" s="48" t="str">
        <f ca="1">IFERROR(__xludf.DUMMYFUNCTION("""COMPUTED_VALUE"""),"الطابق الرابع")</f>
        <v>الطابق الرابع</v>
      </c>
      <c r="H1016" s="48" t="str">
        <f ca="1">IFERROR(__xludf.DUMMYFUNCTION("""COMPUTED_VALUE"""),"اضافة سبلت كاسيت 4 طن في غرفة الكامرات ")</f>
        <v xml:space="preserve">اضافة سبلت كاسيت 4 طن في غرفة الكامرات </v>
      </c>
      <c r="I1016" s="48"/>
      <c r="J1016" s="48" t="s">
        <v>15</v>
      </c>
      <c r="K1016" s="48" t="s">
        <v>13</v>
      </c>
      <c r="L1016" s="57"/>
      <c r="M1016" s="48"/>
    </row>
    <row r="1017" spans="1:13" ht="75" customHeight="1" thickTop="1" thickBot="1">
      <c r="A1017" s="34">
        <v>1015</v>
      </c>
      <c r="B1017" s="57">
        <f ca="1">IFERROR(__xludf.DUMMYFUNCTION("""COMPUTED_VALUE"""),46202.4057034375)</f>
        <v>46202.4057034375</v>
      </c>
      <c r="C1017" s="58" t="str">
        <f ca="1">IFERROR(__xludf.DUMMYFUNCTION("""COMPUTED_VALUE"""),"المعملجي")</f>
        <v>المعملجي</v>
      </c>
      <c r="D1017" s="58" t="str">
        <f ca="1">IFERROR(__xludf.DUMMYFUNCTION("""COMPUTED_VALUE"""),"وحدة التبريد")</f>
        <v>وحدة التبريد</v>
      </c>
      <c r="E1017" s="48" t="str">
        <f ca="1">IFERROR(__xludf.DUMMYFUNCTION("""COMPUTED_VALUE"""),"قسم المشاريع الهندسية")</f>
        <v>قسم المشاريع الهندسية</v>
      </c>
      <c r="F1017" s="48" t="str">
        <f ca="1">IFERROR(__xludf.DUMMYFUNCTION("""COMPUTED_VALUE"""),"A- المركز الثقافي")</f>
        <v>A- المركز الثقافي</v>
      </c>
      <c r="G1017" s="48" t="str">
        <f ca="1">IFERROR(__xludf.DUMMYFUNCTION("""COMPUTED_VALUE"""),"الطابق الرابع")</f>
        <v>الطابق الرابع</v>
      </c>
      <c r="H1017" s="48" t="str">
        <f ca="1">IFERROR(__xludf.DUMMYFUNCTION("""COMPUTED_VALUE"""),"نقل فانات منظومة vrf للاماكن الاكثر اشغالا")</f>
        <v>نقل فانات منظومة vrf للاماكن الاكثر اشغالا</v>
      </c>
      <c r="I1017" s="48"/>
      <c r="J1017" s="48" t="s">
        <v>15</v>
      </c>
      <c r="K1017" s="48" t="s">
        <v>13</v>
      </c>
      <c r="L1017" s="57">
        <v>46203.300613981482</v>
      </c>
      <c r="M1017" s="48"/>
    </row>
    <row r="1018" spans="1:13" ht="75" customHeight="1" thickTop="1" thickBot="1">
      <c r="A1018" s="26">
        <v>1016</v>
      </c>
      <c r="B1018" s="57">
        <f ca="1">IFERROR(__xludf.DUMMYFUNCTION("""COMPUTED_VALUE"""),46202.4074776041)</f>
        <v>46202.407477604102</v>
      </c>
      <c r="C1018" s="58" t="str">
        <f ca="1">IFERROR(__xludf.DUMMYFUNCTION("""COMPUTED_VALUE"""),"المعملجي")</f>
        <v>المعملجي</v>
      </c>
      <c r="D1018" s="58" t="str">
        <f ca="1">IFERROR(__xludf.DUMMYFUNCTION("""COMPUTED_VALUE"""),"وحدة التبريد")</f>
        <v>وحدة التبريد</v>
      </c>
      <c r="E1018" s="48" t="str">
        <f ca="1">IFERROR(__xludf.DUMMYFUNCTION("""COMPUTED_VALUE"""),"قسم المشاريع الهندسية")</f>
        <v>قسم المشاريع الهندسية</v>
      </c>
      <c r="F1018" s="48" t="str">
        <f ca="1">IFERROR(__xludf.DUMMYFUNCTION("""COMPUTED_VALUE"""),"A- المركز الثقافي")</f>
        <v>A- المركز الثقافي</v>
      </c>
      <c r="G1018" s="48" t="str">
        <f ca="1">IFERROR(__xludf.DUMMYFUNCTION("""COMPUTED_VALUE"""),"الطابق الارضي, قاعة المؤتمرات ")</f>
        <v xml:space="preserve">الطابق الارضي, قاعة المؤتمرات </v>
      </c>
      <c r="H1018" s="48" t="str">
        <f ca="1">IFERROR(__xludf.DUMMYFUNCTION("""COMPUTED_VALUE"""),"ضغط المنظومة بغاز النايتروجين وتحديد اماكن التسريب")</f>
        <v>ضغط المنظومة بغاز النايتروجين وتحديد اماكن التسريب</v>
      </c>
      <c r="I1018" s="48"/>
      <c r="J1018" s="48" t="s">
        <v>15</v>
      </c>
      <c r="K1018" s="48" t="s">
        <v>13</v>
      </c>
      <c r="L1018" s="57">
        <v>46203.300590960644</v>
      </c>
      <c r="M1018" s="48"/>
    </row>
    <row r="1019" spans="1:13" ht="75" customHeight="1" thickTop="1" thickBot="1">
      <c r="A1019" s="34">
        <v>1017</v>
      </c>
      <c r="B1019" s="57">
        <f ca="1">IFERROR(__xludf.DUMMYFUNCTION("""COMPUTED_VALUE"""),46202.4080529976)</f>
        <v>46202.408052997598</v>
      </c>
      <c r="C1019" s="58" t="str">
        <f ca="1">IFERROR(__xludf.DUMMYFUNCTION("""COMPUTED_VALUE"""),"المعملجي")</f>
        <v>المعملجي</v>
      </c>
      <c r="D1019" s="58" t="str">
        <f ca="1">IFERROR(__xludf.DUMMYFUNCTION("""COMPUTED_VALUE"""),"وحدة التبريد")</f>
        <v>وحدة التبريد</v>
      </c>
      <c r="E1019" s="48" t="str">
        <f ca="1">IFERROR(__xludf.DUMMYFUNCTION("""COMPUTED_VALUE"""),"قسم المشاريع الهندسية")</f>
        <v>قسم المشاريع الهندسية</v>
      </c>
      <c r="F1019" s="48" t="str">
        <f ca="1">IFERROR(__xludf.DUMMYFUNCTION("""COMPUTED_VALUE"""),"A- المركز الثقافي")</f>
        <v>A- المركز الثقافي</v>
      </c>
      <c r="G1019" s="48" t="str">
        <f ca="1">IFERROR(__xludf.DUMMYFUNCTION("""COMPUTED_VALUE"""),"الطابق الارضي, قاعة المؤتمرات ")</f>
        <v xml:space="preserve">الطابق الارضي, قاعة المؤتمرات </v>
      </c>
      <c r="H1019" s="48" t="str">
        <f ca="1">IFERROR(__xludf.DUMMYFUNCTION("""COMPUTED_VALUE"""),"لحام كل الليكات في القطع الخارجية والداخليه لمنظومة السبلت البكج ")</f>
        <v xml:space="preserve">لحام كل الليكات في القطع الخارجية والداخليه لمنظومة السبلت البكج </v>
      </c>
      <c r="I1019" s="48"/>
      <c r="J1019" s="48" t="s">
        <v>15</v>
      </c>
      <c r="K1019" s="48" t="s">
        <v>13</v>
      </c>
      <c r="L1019" s="57">
        <v>46203.301256932871</v>
      </c>
      <c r="M1019" s="48"/>
    </row>
    <row r="1020" spans="1:13" ht="75" customHeight="1" thickTop="1" thickBot="1">
      <c r="A1020" s="26">
        <v>1018</v>
      </c>
      <c r="B1020" s="57">
        <f ca="1">IFERROR(__xludf.DUMMYFUNCTION("""COMPUTED_VALUE"""),46202.4087038773)</f>
        <v>46202.4087038773</v>
      </c>
      <c r="C1020" s="58" t="str">
        <f ca="1">IFERROR(__xludf.DUMMYFUNCTION("""COMPUTED_VALUE"""),"المعملجي")</f>
        <v>المعملجي</v>
      </c>
      <c r="D1020" s="58" t="str">
        <f ca="1">IFERROR(__xludf.DUMMYFUNCTION("""COMPUTED_VALUE"""),"وحدة التبريد")</f>
        <v>وحدة التبريد</v>
      </c>
      <c r="E1020" s="48" t="str">
        <f ca="1">IFERROR(__xludf.DUMMYFUNCTION("""COMPUTED_VALUE"""),"قسم المشاريع الهندسية")</f>
        <v>قسم المشاريع الهندسية</v>
      </c>
      <c r="F1020" s="48" t="str">
        <f ca="1">IFERROR(__xludf.DUMMYFUNCTION("""COMPUTED_VALUE"""),"A- المركز الثقافي")</f>
        <v>A- المركز الثقافي</v>
      </c>
      <c r="G1020" s="48" t="str">
        <f ca="1">IFERROR(__xludf.DUMMYFUNCTION("""COMPUTED_VALUE"""),"الطابق الارضي, قاعة المؤتمرات ")</f>
        <v xml:space="preserve">الطابق الارضي, قاعة المؤتمرات </v>
      </c>
      <c r="H1020" s="48" t="str">
        <f ca="1">IFERROR(__xludf.DUMMYFUNCTION("""COMPUTED_VALUE"""),"عمل فاكيم لمنظومة السبلت بكج واعادة شحن غاز التبريد وتشغيل المنظومة ")</f>
        <v xml:space="preserve">عمل فاكيم لمنظومة السبلت بكج واعادة شحن غاز التبريد وتشغيل المنظومة </v>
      </c>
      <c r="I1020" s="48"/>
      <c r="J1020" s="48" t="s">
        <v>15</v>
      </c>
      <c r="K1020" s="48" t="s">
        <v>13</v>
      </c>
      <c r="L1020" s="57">
        <v>46203.301262291665</v>
      </c>
      <c r="M1020" s="48"/>
    </row>
    <row r="1021" spans="1:13" ht="75" customHeight="1" thickTop="1" thickBot="1">
      <c r="A1021" s="34">
        <v>1019</v>
      </c>
      <c r="B1021" s="57">
        <f ca="1">IFERROR(__xludf.DUMMYFUNCTION("""COMPUTED_VALUE"""),46202.4097733217)</f>
        <v>46202.409773321699</v>
      </c>
      <c r="C1021" s="58" t="str">
        <f ca="1">IFERROR(__xludf.DUMMYFUNCTION("""COMPUTED_VALUE"""),"المعملجي")</f>
        <v>المعملجي</v>
      </c>
      <c r="D1021" s="58" t="str">
        <f ca="1">IFERROR(__xludf.DUMMYFUNCTION("""COMPUTED_VALUE"""),"وحدة التبريد")</f>
        <v>وحدة التبريد</v>
      </c>
      <c r="E1021" s="48" t="str">
        <f ca="1">IFERROR(__xludf.DUMMYFUNCTION("""COMPUTED_VALUE"""),"قسم المشاريع الهندسية")</f>
        <v>قسم المشاريع الهندسية</v>
      </c>
      <c r="F1021" s="48" t="str">
        <f ca="1">IFERROR(__xludf.DUMMYFUNCTION("""COMPUTED_VALUE"""),"B- روضة القمر")</f>
        <v>B- روضة القمر</v>
      </c>
      <c r="G1021" s="48" t="str">
        <f ca="1">IFERROR(__xludf.DUMMYFUNCTION("""COMPUTED_VALUE"""),"القاعة الرياضية مقابل الاولى ")</f>
        <v xml:space="preserve">القاعة الرياضية مقابل الاولى </v>
      </c>
      <c r="H1021" s="48" t="str">
        <f ca="1">IFERROR(__xludf.DUMMYFUNCTION("""COMPUTED_VALUE"""),"صيانة مشكله في فولتيات الفيزات الثلاث المغذية لجهاز البكج الخاص بالقاعة ")</f>
        <v xml:space="preserve">صيانة مشكله في فولتيات الفيزات الثلاث المغذية لجهاز البكج الخاص بالقاعة </v>
      </c>
      <c r="I1021" s="48"/>
      <c r="J1021" s="48" t="s">
        <v>15</v>
      </c>
      <c r="K1021" s="48" t="s">
        <v>13</v>
      </c>
      <c r="L1021" s="57">
        <v>46203.301263761576</v>
      </c>
      <c r="M1021" s="48"/>
    </row>
    <row r="1022" spans="1:13" ht="75" customHeight="1" thickTop="1" thickBot="1">
      <c r="A1022" s="26">
        <v>1020</v>
      </c>
      <c r="B1022" s="57">
        <f ca="1">IFERROR(__xludf.DUMMYFUNCTION("""COMPUTED_VALUE"""),46202.4164356944)</f>
        <v>46202.416435694402</v>
      </c>
      <c r="C1022" s="58" t="str">
        <f ca="1">IFERROR(__xludf.DUMMYFUNCTION("""COMPUTED_VALUE"""),"المعملجي")</f>
        <v>المعملجي</v>
      </c>
      <c r="D1022" s="58" t="str">
        <f ca="1">IFERROR(__xludf.DUMMYFUNCTION("""COMPUTED_VALUE"""),"وحدة التبريد")</f>
        <v>وحدة التبريد</v>
      </c>
      <c r="E1022" s="48" t="str">
        <f ca="1">IFERROR(__xludf.DUMMYFUNCTION("""COMPUTED_VALUE"""),"قسم المشاريع الهندسية")</f>
        <v>قسم المشاريع الهندسية</v>
      </c>
      <c r="F1022" s="48" t="str">
        <f ca="1">IFERROR(__xludf.DUMMYFUNCTION("""COMPUTED_VALUE"""),"B- روضة القمر")</f>
        <v>B- روضة القمر</v>
      </c>
      <c r="G1022" s="48" t="str">
        <f ca="1">IFERROR(__xludf.DUMMYFUNCTION("""COMPUTED_VALUE"""),"الطابق الارضي, غرفة الكهرباء")</f>
        <v>الطابق الارضي, غرفة الكهرباء</v>
      </c>
      <c r="H1022" s="48" t="str">
        <f ca="1">IFERROR(__xludf.DUMMYFUNCTION("""COMPUTED_VALUE"""),"فتح سبلت جداري ولحام الليكات واعادة تنصيب وشحن الغاز لغرفة الكهرباء الخارجية ")</f>
        <v xml:space="preserve">فتح سبلت جداري ولحام الليكات واعادة تنصيب وشحن الغاز لغرفة الكهرباء الخارجية </v>
      </c>
      <c r="I1022" s="48"/>
      <c r="J1022" s="48" t="s">
        <v>15</v>
      </c>
      <c r="K1022" s="48" t="s">
        <v>13</v>
      </c>
      <c r="L1022" s="57">
        <v>46203.302030474537</v>
      </c>
      <c r="M1022" s="48"/>
    </row>
    <row r="1023" spans="1:13" ht="75" customHeight="1" thickTop="1" thickBot="1">
      <c r="A1023" s="34">
        <v>1021</v>
      </c>
      <c r="B1023" s="57">
        <f ca="1">IFERROR(__xludf.DUMMYFUNCTION("""COMPUTED_VALUE"""),46202.4167669212)</f>
        <v>46202.416766921197</v>
      </c>
      <c r="C1023" s="58" t="str">
        <f ca="1">IFERROR(__xludf.DUMMYFUNCTION("""COMPUTED_VALUE"""),"المعملجي")</f>
        <v>المعملجي</v>
      </c>
      <c r="D1023" s="58" t="str">
        <f ca="1">IFERROR(__xludf.DUMMYFUNCTION("""COMPUTED_VALUE"""),"وحدة التبريد")</f>
        <v>وحدة التبريد</v>
      </c>
      <c r="E1023" s="48" t="str">
        <f ca="1">IFERROR(__xludf.DUMMYFUNCTION("""COMPUTED_VALUE"""),"قسم المشاريع الهندسية")</f>
        <v>قسم المشاريع الهندسية</v>
      </c>
      <c r="F1023" s="48" t="str">
        <f ca="1">IFERROR(__xludf.DUMMYFUNCTION("""COMPUTED_VALUE"""),"A- المركز الثقافي")</f>
        <v>A- المركز الثقافي</v>
      </c>
      <c r="G1023" s="48" t="str">
        <f ca="1">IFERROR(__xludf.DUMMYFUNCTION("""COMPUTED_VALUE"""),"الطابق الارضي")</f>
        <v>الطابق الارضي</v>
      </c>
      <c r="H1023" s="48" t="str">
        <f ca="1">IFERROR(__xludf.DUMMYFUNCTION("""COMPUTED_VALUE"""),"فتح سبلت جداري ولحام الليكات واعادة تنصيب وشحن الغاز لغرفة الكهرباء في الطابق")</f>
        <v>فتح سبلت جداري ولحام الليكات واعادة تنصيب وشحن الغاز لغرفة الكهرباء في الطابق</v>
      </c>
      <c r="I1023" s="48"/>
      <c r="J1023" s="48" t="s">
        <v>15</v>
      </c>
      <c r="K1023" s="48" t="s">
        <v>13</v>
      </c>
      <c r="L1023" s="57">
        <v>46203.30204141204</v>
      </c>
      <c r="M1023" s="48"/>
    </row>
    <row r="1024" spans="1:13" ht="75" customHeight="1" thickTop="1" thickBot="1">
      <c r="A1024" s="26">
        <v>1022</v>
      </c>
      <c r="B1024" s="57">
        <f ca="1">IFERROR(__xludf.DUMMYFUNCTION("""COMPUTED_VALUE"""),46202.417163125)</f>
        <v>46202.417163124999</v>
      </c>
      <c r="C1024" s="58" t="str">
        <f ca="1">IFERROR(__xludf.DUMMYFUNCTION("""COMPUTED_VALUE"""),"المعملجي")</f>
        <v>المعملجي</v>
      </c>
      <c r="D1024" s="58" t="str">
        <f ca="1">IFERROR(__xludf.DUMMYFUNCTION("""COMPUTED_VALUE"""),"وحدة التبريد")</f>
        <v>وحدة التبريد</v>
      </c>
      <c r="E1024" s="48" t="str">
        <f ca="1">IFERROR(__xludf.DUMMYFUNCTION("""COMPUTED_VALUE"""),"قسم المشاريع الهندسية")</f>
        <v>قسم المشاريع الهندسية</v>
      </c>
      <c r="F1024" s="48" t="str">
        <f ca="1">IFERROR(__xludf.DUMMYFUNCTION("""COMPUTED_VALUE"""),"B- روضة القمر")</f>
        <v>B- روضة القمر</v>
      </c>
      <c r="G1024" s="48" t="str">
        <f ca="1">IFERROR(__xludf.DUMMYFUNCTION("""COMPUTED_VALUE"""),"الطابق الاول, غرفة الكهرباء")</f>
        <v>الطابق الاول, غرفة الكهرباء</v>
      </c>
      <c r="H1024" s="48" t="str">
        <f ca="1">IFERROR(__xludf.DUMMYFUNCTION("""COMPUTED_VALUE"""),"فتح سبلت جداري ولحام الليكات واعادة تنصيب وشحن الغاز لغرفة الكهرباء في الطابق الاول ")</f>
        <v xml:space="preserve">فتح سبلت جداري ولحام الليكات واعادة تنصيب وشحن الغاز لغرفة الكهرباء في الطابق الاول </v>
      </c>
      <c r="I1024" s="48"/>
      <c r="J1024" s="48" t="s">
        <v>15</v>
      </c>
      <c r="K1024" s="48" t="s">
        <v>13</v>
      </c>
      <c r="L1024" s="57">
        <v>46203.302046122684</v>
      </c>
      <c r="M1024" s="48"/>
    </row>
    <row r="1025" spans="1:13" ht="75" customHeight="1" thickTop="1" thickBot="1">
      <c r="A1025" s="34">
        <v>1023</v>
      </c>
      <c r="B1025" s="57">
        <f ca="1">IFERROR(__xludf.DUMMYFUNCTION("""COMPUTED_VALUE"""),46202.4175474537)</f>
        <v>46202.417547453697</v>
      </c>
      <c r="C1025" s="58" t="str">
        <f ca="1">IFERROR(__xludf.DUMMYFUNCTION("""COMPUTED_VALUE"""),"المعملجي")</f>
        <v>المعملجي</v>
      </c>
      <c r="D1025" s="58" t="str">
        <f ca="1">IFERROR(__xludf.DUMMYFUNCTION("""COMPUTED_VALUE"""),"وحدة التبريد")</f>
        <v>وحدة التبريد</v>
      </c>
      <c r="E1025" s="48" t="str">
        <f ca="1">IFERROR(__xludf.DUMMYFUNCTION("""COMPUTED_VALUE"""),"قسم المشاريع الهندسية")</f>
        <v>قسم المشاريع الهندسية</v>
      </c>
      <c r="F1025" s="48" t="str">
        <f ca="1">IFERROR(__xludf.DUMMYFUNCTION("""COMPUTED_VALUE"""),"B- روضة القمر")</f>
        <v>B- روضة القمر</v>
      </c>
      <c r="G1025" s="48" t="str">
        <f ca="1">IFERROR(__xludf.DUMMYFUNCTION("""COMPUTED_VALUE"""),"الطابق الثاني, غرفة الكهرباء")</f>
        <v>الطابق الثاني, غرفة الكهرباء</v>
      </c>
      <c r="H1025" s="48" t="str">
        <f ca="1">IFERROR(__xludf.DUMMYFUNCTION("""COMPUTED_VALUE"""),"فتح سبلت جداري ولحام الليكات واعادة تنصيب وشحن الغاز لغرفة الكهرباء في الطابق الثاني")</f>
        <v>فتح سبلت جداري ولحام الليكات واعادة تنصيب وشحن الغاز لغرفة الكهرباء في الطابق الثاني</v>
      </c>
      <c r="I1025" s="48"/>
      <c r="J1025" s="48" t="s">
        <v>15</v>
      </c>
      <c r="K1025" s="48" t="s">
        <v>13</v>
      </c>
      <c r="L1025" s="57">
        <v>46203.302055</v>
      </c>
      <c r="M1025" s="48"/>
    </row>
    <row r="1026" spans="1:13" ht="75" customHeight="1" thickTop="1" thickBot="1">
      <c r="A1026" s="26">
        <v>1024</v>
      </c>
      <c r="B1026" s="57">
        <f ca="1">IFERROR(__xludf.DUMMYFUNCTION("""COMPUTED_VALUE"""),46202.4179335532)</f>
        <v>46202.417933553203</v>
      </c>
      <c r="C1026" s="58" t="str">
        <f ca="1">IFERROR(__xludf.DUMMYFUNCTION("""COMPUTED_VALUE"""),"المعملجي")</f>
        <v>المعملجي</v>
      </c>
      <c r="D1026" s="58" t="str">
        <f ca="1">IFERROR(__xludf.DUMMYFUNCTION("""COMPUTED_VALUE"""),"وحدة التبريد")</f>
        <v>وحدة التبريد</v>
      </c>
      <c r="E1026" s="48" t="str">
        <f ca="1">IFERROR(__xludf.DUMMYFUNCTION("""COMPUTED_VALUE"""),"قسم المشاريع الهندسية")</f>
        <v>قسم المشاريع الهندسية</v>
      </c>
      <c r="F1026" s="48" t="str">
        <f ca="1">IFERROR(__xludf.DUMMYFUNCTION("""COMPUTED_VALUE"""),"G- روضة الجود")</f>
        <v>G- روضة الجود</v>
      </c>
      <c r="G1026" s="48" t="str">
        <f ca="1">IFERROR(__xludf.DUMMYFUNCTION("""COMPUTED_VALUE"""),"الطابق الارضي, غرفة الكهرباء")</f>
        <v>الطابق الارضي, غرفة الكهرباء</v>
      </c>
      <c r="H1026" s="48" t="str">
        <f ca="1">IFERROR(__xludf.DUMMYFUNCTION("""COMPUTED_VALUE"""),"فتح سبلت جداري ولحام الليكات واعادة تنصيب وشحن الغاز لغرفة الكهرباء الخارجية")</f>
        <v>فتح سبلت جداري ولحام الليكات واعادة تنصيب وشحن الغاز لغرفة الكهرباء الخارجية</v>
      </c>
      <c r="I1026" s="48"/>
      <c r="J1026" s="48" t="s">
        <v>15</v>
      </c>
      <c r="K1026" s="48" t="s">
        <v>13</v>
      </c>
      <c r="L1026" s="57">
        <v>46203.30207888889</v>
      </c>
      <c r="M1026" s="48"/>
    </row>
    <row r="1027" spans="1:13" ht="75" customHeight="1" thickTop="1" thickBot="1">
      <c r="A1027" s="34">
        <v>1025</v>
      </c>
      <c r="B1027" s="57">
        <f ca="1">IFERROR(__xludf.DUMMYFUNCTION("""COMPUTED_VALUE"""),46202.4182706134)</f>
        <v>46202.418270613402</v>
      </c>
      <c r="C1027" s="58" t="str">
        <f ca="1">IFERROR(__xludf.DUMMYFUNCTION("""COMPUTED_VALUE"""),"المعملجي")</f>
        <v>المعملجي</v>
      </c>
      <c r="D1027" s="58" t="str">
        <f ca="1">IFERROR(__xludf.DUMMYFUNCTION("""COMPUTED_VALUE"""),"وحدة التبريد")</f>
        <v>وحدة التبريد</v>
      </c>
      <c r="E1027" s="48" t="str">
        <f ca="1">IFERROR(__xludf.DUMMYFUNCTION("""COMPUTED_VALUE"""),"قسم المشاريع الهندسية")</f>
        <v>قسم المشاريع الهندسية</v>
      </c>
      <c r="F1027" s="48" t="str">
        <f ca="1">IFERROR(__xludf.DUMMYFUNCTION("""COMPUTED_VALUE"""),"G- روضة الجود")</f>
        <v>G- روضة الجود</v>
      </c>
      <c r="G1027" s="48" t="str">
        <f ca="1">IFERROR(__xludf.DUMMYFUNCTION("""COMPUTED_VALUE"""),"الطابق الاول, غرفة الكهرباء")</f>
        <v>الطابق الاول, غرفة الكهرباء</v>
      </c>
      <c r="H1027" s="48" t="str">
        <f ca="1">IFERROR(__xludf.DUMMYFUNCTION("""COMPUTED_VALUE"""),"فتح سبلت جداري ولحام الليكات واعادة تنصيب وشحن الغاز لغرفة الكهرباء في الطابق الاول")</f>
        <v>فتح سبلت جداري ولحام الليكات واعادة تنصيب وشحن الغاز لغرفة الكهرباء في الطابق الاول</v>
      </c>
      <c r="I1027" s="48"/>
      <c r="J1027" s="48" t="s">
        <v>15</v>
      </c>
      <c r="K1027" s="48" t="s">
        <v>13</v>
      </c>
      <c r="L1027" s="57">
        <v>46203.302084618059</v>
      </c>
      <c r="M1027" s="48"/>
    </row>
    <row r="1028" spans="1:13" ht="75" customHeight="1" thickTop="1" thickBot="1">
      <c r="A1028" s="26">
        <v>1026</v>
      </c>
      <c r="B1028" s="57">
        <f ca="1">IFERROR(__xludf.DUMMYFUNCTION("""COMPUTED_VALUE"""),46202.4185179282)</f>
        <v>46202.418517928199</v>
      </c>
      <c r="C1028" s="58" t="str">
        <f ca="1">IFERROR(__xludf.DUMMYFUNCTION("""COMPUTED_VALUE"""),"المعملجي")</f>
        <v>المعملجي</v>
      </c>
      <c r="D1028" s="58" t="str">
        <f ca="1">IFERROR(__xludf.DUMMYFUNCTION("""COMPUTED_VALUE"""),"وحدة التبريد")</f>
        <v>وحدة التبريد</v>
      </c>
      <c r="E1028" s="48" t="str">
        <f ca="1">IFERROR(__xludf.DUMMYFUNCTION("""COMPUTED_VALUE"""),"قسم المشاريع الهندسية")</f>
        <v>قسم المشاريع الهندسية</v>
      </c>
      <c r="F1028" s="48" t="str">
        <f ca="1">IFERROR(__xludf.DUMMYFUNCTION("""COMPUTED_VALUE"""),"D- ثانوية العميد بناية المتوسطة  (الثانية)")</f>
        <v>D- ثانوية العميد بناية المتوسطة  (الثانية)</v>
      </c>
      <c r="G1028" s="48" t="str">
        <f ca="1">IFERROR(__xludf.DUMMYFUNCTION("""COMPUTED_VALUE"""),"الطابق الارضي, غرفة الكهرباء")</f>
        <v>الطابق الارضي, غرفة الكهرباء</v>
      </c>
      <c r="H1028" s="48" t="str">
        <f ca="1">IFERROR(__xludf.DUMMYFUNCTION("""COMPUTED_VALUE"""),"فتح سبلت جداري ولحام الليكات واعادة تنصيب وشحن الغاز لغرفة الكهرباء الخارجية")</f>
        <v>فتح سبلت جداري ولحام الليكات واعادة تنصيب وشحن الغاز لغرفة الكهرباء الخارجية</v>
      </c>
      <c r="I1028" s="48"/>
      <c r="J1028" s="48" t="s">
        <v>15</v>
      </c>
      <c r="K1028" s="48" t="s">
        <v>13</v>
      </c>
      <c r="L1028" s="57">
        <v>46203.302070879625</v>
      </c>
      <c r="M1028" s="48"/>
    </row>
    <row r="1029" spans="1:13" ht="75" customHeight="1" thickTop="1" thickBot="1">
      <c r="A1029" s="34">
        <v>1027</v>
      </c>
      <c r="B1029" s="57">
        <f ca="1">IFERROR(__xludf.DUMMYFUNCTION("""COMPUTED_VALUE"""),46202.4191510069)</f>
        <v>46202.419151006899</v>
      </c>
      <c r="C1029" s="58" t="str">
        <f ca="1">IFERROR(__xludf.DUMMYFUNCTION("""COMPUTED_VALUE"""),"المعملجي")</f>
        <v>المعملجي</v>
      </c>
      <c r="D1029" s="58" t="str">
        <f ca="1">IFERROR(__xludf.DUMMYFUNCTION("""COMPUTED_VALUE"""),"وحدة التبريد")</f>
        <v>وحدة التبريد</v>
      </c>
      <c r="E1029" s="48" t="str">
        <f ca="1">IFERROR(__xludf.DUMMYFUNCTION("""COMPUTED_VALUE"""),"قسم المشاريع الهندسية")</f>
        <v>قسم المشاريع الهندسية</v>
      </c>
      <c r="F1029" s="48" t="str">
        <f ca="1">IFERROR(__xludf.DUMMYFUNCTION("""COMPUTED_VALUE"""),"C- ثانوية العميد بناية الاعدادية  (الاولى)")</f>
        <v>C- ثانوية العميد بناية الاعدادية  (الاولى)</v>
      </c>
      <c r="G1029" s="48" t="str">
        <f ca="1">IFERROR(__xludf.DUMMYFUNCTION("""COMPUTED_VALUE"""),"الطابق الارضي, ZONE B, غرفة الكهرباء")</f>
        <v>الطابق الارضي, ZONE B, غرفة الكهرباء</v>
      </c>
      <c r="H1029" s="48" t="str">
        <f ca="1">IFERROR(__xludf.DUMMYFUNCTION("""COMPUTED_VALUE"""),"فتح سبلت جداري ولحام الليكات واعادة تنصيب وشحن الغاز لغرفة الكهرباء في الطابق الارضي ")</f>
        <v xml:space="preserve">فتح سبلت جداري ولحام الليكات واعادة تنصيب وشحن الغاز لغرفة الكهرباء في الطابق الارضي </v>
      </c>
      <c r="I1029" s="48"/>
      <c r="J1029" s="48" t="s">
        <v>15</v>
      </c>
      <c r="K1029" s="48" t="s">
        <v>13</v>
      </c>
      <c r="L1029" s="57">
        <v>46203.302085694449</v>
      </c>
      <c r="M1029" s="48"/>
    </row>
    <row r="1030" spans="1:13" ht="75" customHeight="1" thickTop="1" thickBot="1">
      <c r="A1030" s="26">
        <v>1028</v>
      </c>
      <c r="B1030" s="57">
        <f ca="1">IFERROR(__xludf.DUMMYFUNCTION("""COMPUTED_VALUE"""),46202.4195330324)</f>
        <v>46202.4195330324</v>
      </c>
      <c r="C1030" s="58" t="str">
        <f ca="1">IFERROR(__xludf.DUMMYFUNCTION("""COMPUTED_VALUE"""),"المعملجي")</f>
        <v>المعملجي</v>
      </c>
      <c r="D1030" s="58" t="str">
        <f ca="1">IFERROR(__xludf.DUMMYFUNCTION("""COMPUTED_VALUE"""),"وحدة التبريد")</f>
        <v>وحدة التبريد</v>
      </c>
      <c r="E1030" s="48" t="str">
        <f ca="1">IFERROR(__xludf.DUMMYFUNCTION("""COMPUTED_VALUE"""),"قسم المشاريع الهندسية")</f>
        <v>قسم المشاريع الهندسية</v>
      </c>
      <c r="F1030" s="48" t="str">
        <f ca="1">IFERROR(__xludf.DUMMYFUNCTION("""COMPUTED_VALUE"""),"F-  ابتدائية جود العميد للبنات (الرابعة)")</f>
        <v>F-  ابتدائية جود العميد للبنات (الرابعة)</v>
      </c>
      <c r="G1030" s="48" t="str">
        <f ca="1">IFERROR(__xludf.DUMMYFUNCTION("""COMPUTED_VALUE"""),"الطابق الثاني, ZONE A, غرفة الكهرباء")</f>
        <v>الطابق الثاني, ZONE A, غرفة الكهرباء</v>
      </c>
      <c r="H1030" s="48" t="str">
        <f ca="1">IFERROR(__xludf.DUMMYFUNCTION("""COMPUTED_VALUE"""),"فتح سبلت جداري ولحام الليكات واعادة تنصيب وشحن الغاز لغرفة الكهرباء في الطابق الثاني")</f>
        <v>فتح سبلت جداري ولحام الليكات واعادة تنصيب وشحن الغاز لغرفة الكهرباء في الطابق الثاني</v>
      </c>
      <c r="I1030" s="48"/>
      <c r="J1030" s="48" t="s">
        <v>15</v>
      </c>
      <c r="K1030" s="48" t="s">
        <v>13</v>
      </c>
      <c r="L1030" s="57">
        <v>46203.3026521875</v>
      </c>
      <c r="M1030" s="48"/>
    </row>
    <row r="1031" spans="1:13" ht="75" customHeight="1" thickTop="1" thickBot="1">
      <c r="A1031" s="34">
        <v>1029</v>
      </c>
      <c r="B1031" s="57">
        <f ca="1">IFERROR(__xludf.DUMMYFUNCTION("""COMPUTED_VALUE"""),46202.420361412)</f>
        <v>46202.420361411998</v>
      </c>
      <c r="C1031" s="58" t="str">
        <f ca="1">IFERROR(__xludf.DUMMYFUNCTION("""COMPUTED_VALUE"""),"المعملجي")</f>
        <v>المعملجي</v>
      </c>
      <c r="D1031" s="58" t="str">
        <f ca="1">IFERROR(__xludf.DUMMYFUNCTION("""COMPUTED_VALUE"""),"وحدة التبريد")</f>
        <v>وحدة التبريد</v>
      </c>
      <c r="E1031" s="48" t="str">
        <f ca="1">IFERROR(__xludf.DUMMYFUNCTION("""COMPUTED_VALUE"""),"قسم المشاريع الهندسية")</f>
        <v>قسم المشاريع الهندسية</v>
      </c>
      <c r="F1031" s="48" t="str">
        <f ca="1">IFERROR(__xludf.DUMMYFUNCTION("""COMPUTED_VALUE"""),"E- ابتدائية العميد للبنات (الثالثة)")</f>
        <v>E- ابتدائية العميد للبنات (الثالثة)</v>
      </c>
      <c r="G1031" s="48" t="str">
        <f ca="1">IFERROR(__xludf.DUMMYFUNCTION("""COMPUTED_VALUE"""),"الطابق الارضي, ZONE B, غرفة الكهرباء")</f>
        <v>الطابق الارضي, ZONE B, غرفة الكهرباء</v>
      </c>
      <c r="H1031" s="48" t="str">
        <f ca="1">IFERROR(__xludf.DUMMYFUNCTION("""COMPUTED_VALUE"""),"تبديل كمبريسر تالف الخاص بسبلت جداري لغرفة الكهرباء في الطابق الارضي ")</f>
        <v xml:space="preserve">تبديل كمبريسر تالف الخاص بسبلت جداري لغرفة الكهرباء في الطابق الارضي </v>
      </c>
      <c r="I1031" s="48"/>
      <c r="J1031" s="48" t="s">
        <v>15</v>
      </c>
      <c r="K1031" s="48" t="s">
        <v>13</v>
      </c>
      <c r="L1031" s="57">
        <v>46203.302658981484</v>
      </c>
      <c r="M1031" s="48"/>
    </row>
    <row r="1032" spans="1:13" ht="75" customHeight="1" thickTop="1" thickBot="1">
      <c r="A1032" s="26">
        <v>1030</v>
      </c>
      <c r="B1032" s="57">
        <f ca="1">IFERROR(__xludf.DUMMYFUNCTION("""COMPUTED_VALUE"""),46202.4324645717)</f>
        <v>46202.432464571699</v>
      </c>
      <c r="C1032" s="58" t="str">
        <f ca="1">IFERROR(__xludf.DUMMYFUNCTION("""COMPUTED_VALUE"""),"المعملجي")</f>
        <v>المعملجي</v>
      </c>
      <c r="D1032" s="58" t="str">
        <f ca="1">IFERROR(__xludf.DUMMYFUNCTION("""COMPUTED_VALUE"""),"وحدة التبريد")</f>
        <v>وحدة التبريد</v>
      </c>
      <c r="E1032" s="48" t="str">
        <f ca="1">IFERROR(__xludf.DUMMYFUNCTION("""COMPUTED_VALUE"""),"قسم المشاريع الهندسية")</f>
        <v>قسم المشاريع الهندسية</v>
      </c>
      <c r="F1032" s="48" t="str">
        <f ca="1">IFERROR(__xludf.DUMMYFUNCTION("""COMPUTED_VALUE"""),"F-  ابتدائية جود العميد للبنات (الرابعة)")</f>
        <v>F-  ابتدائية جود العميد للبنات (الرابعة)</v>
      </c>
      <c r="G1032" s="48" t="str">
        <f ca="1">IFERROR(__xludf.DUMMYFUNCTION("""COMPUTED_VALUE"""),"الطابق الارضي, ZONE A")</f>
        <v>الطابق الارضي, ZONE A</v>
      </c>
      <c r="H1032" s="48" t="str">
        <f ca="1">IFERROR(__xludf.DUMMYFUNCTION("""COMPUTED_VALUE"""),"صيانة تلف في كارتات منظومة الvrf نتيجة الحرارة في الطابق")</f>
        <v>صيانة تلف في كارتات منظومة الvrf نتيجة الحرارة في الطابق</v>
      </c>
      <c r="I1032" s="48"/>
      <c r="J1032" s="48" t="s">
        <v>15</v>
      </c>
      <c r="K1032" s="48" t="s">
        <v>13</v>
      </c>
      <c r="L1032" s="57">
        <v>46203.302664629635</v>
      </c>
      <c r="M1032" s="48"/>
    </row>
    <row r="1033" spans="1:13" ht="75" customHeight="1" thickTop="1" thickBot="1">
      <c r="A1033" s="34">
        <v>1031</v>
      </c>
      <c r="B1033" s="57">
        <f ca="1">IFERROR(__xludf.DUMMYFUNCTION("""COMPUTED_VALUE"""),46202.4330499074)</f>
        <v>46202.433049907399</v>
      </c>
      <c r="C1033" s="58" t="str">
        <f ca="1">IFERROR(__xludf.DUMMYFUNCTION("""COMPUTED_VALUE"""),"المعملجي")</f>
        <v>المعملجي</v>
      </c>
      <c r="D1033" s="58" t="str">
        <f ca="1">IFERROR(__xludf.DUMMYFUNCTION("""COMPUTED_VALUE"""),"وحدة التبريد")</f>
        <v>وحدة التبريد</v>
      </c>
      <c r="E1033" s="48" t="str">
        <f ca="1">IFERROR(__xludf.DUMMYFUNCTION("""COMPUTED_VALUE"""),"قسم المشاريع الهندسية")</f>
        <v>قسم المشاريع الهندسية</v>
      </c>
      <c r="F1033" s="48" t="str">
        <f ca="1">IFERROR(__xludf.DUMMYFUNCTION("""COMPUTED_VALUE"""),"F-  ابتدائية جود العميد للبنات (الرابعة)")</f>
        <v>F-  ابتدائية جود العميد للبنات (الرابعة)</v>
      </c>
      <c r="G1033" s="48" t="str">
        <f ca="1">IFERROR(__xludf.DUMMYFUNCTION("""COMPUTED_VALUE"""),"الطابق الاول, ZONE A, ZONE B")</f>
        <v>الطابق الاول, ZONE A, ZONE B</v>
      </c>
      <c r="H1033" s="48" t="str">
        <f ca="1">IFERROR(__xludf.DUMMYFUNCTION("""COMPUTED_VALUE"""),"صيانة تلف في كارتات منظومة ال vrf نتيجة الحرارة في الطابق ")</f>
        <v xml:space="preserve">صيانة تلف في كارتات منظومة ال vrf نتيجة الحرارة في الطابق </v>
      </c>
      <c r="I1033" s="48"/>
      <c r="J1033" s="48" t="s">
        <v>15</v>
      </c>
      <c r="K1033" s="48" t="s">
        <v>13</v>
      </c>
      <c r="L1033" s="57">
        <v>46203.302680138891</v>
      </c>
      <c r="M1033" s="48"/>
    </row>
    <row r="1034" spans="1:13" ht="75" customHeight="1" thickTop="1" thickBot="1">
      <c r="A1034" s="26">
        <v>1032</v>
      </c>
      <c r="B1034" s="57">
        <f ca="1">IFERROR(__xludf.DUMMYFUNCTION("""COMPUTED_VALUE"""),46202.4332471875)</f>
        <v>46202.433247187502</v>
      </c>
      <c r="C1034" s="58" t="str">
        <f ca="1">IFERROR(__xludf.DUMMYFUNCTION("""COMPUTED_VALUE"""),"المعملجي")</f>
        <v>المعملجي</v>
      </c>
      <c r="D1034" s="58" t="str">
        <f ca="1">IFERROR(__xludf.DUMMYFUNCTION("""COMPUTED_VALUE"""),"وحدة التبريد")</f>
        <v>وحدة التبريد</v>
      </c>
      <c r="E1034" s="48" t="str">
        <f ca="1">IFERROR(__xludf.DUMMYFUNCTION("""COMPUTED_VALUE"""),"قسم المشاريع الهندسية")</f>
        <v>قسم المشاريع الهندسية</v>
      </c>
      <c r="F1034" s="48" t="str">
        <f ca="1">IFERROR(__xludf.DUMMYFUNCTION("""COMPUTED_VALUE"""),"F-  ابتدائية جود العميد للبنات (الرابعة)")</f>
        <v>F-  ابتدائية جود العميد للبنات (الرابعة)</v>
      </c>
      <c r="G1034" s="48" t="str">
        <f ca="1">IFERROR(__xludf.DUMMYFUNCTION("""COMPUTED_VALUE"""),"الطابق الثاني, ZONE A, ZONE B")</f>
        <v>الطابق الثاني, ZONE A, ZONE B</v>
      </c>
      <c r="H1034" s="48" t="str">
        <f ca="1">IFERROR(__xludf.DUMMYFUNCTION("""COMPUTED_VALUE"""),"صيانة تلف في كارتات منظومة ال vrf نتيجة الحرارة في الطابق")</f>
        <v>صيانة تلف في كارتات منظومة ال vrf نتيجة الحرارة في الطابق</v>
      </c>
      <c r="I1034" s="48"/>
      <c r="J1034" s="48" t="s">
        <v>15</v>
      </c>
      <c r="K1034" s="48" t="s">
        <v>13</v>
      </c>
      <c r="L1034" s="57">
        <v>46203.302687442134</v>
      </c>
      <c r="M1034" s="48"/>
    </row>
    <row r="1035" spans="1:13" ht="75" customHeight="1" thickTop="1" thickBot="1">
      <c r="A1035" s="34">
        <v>1033</v>
      </c>
      <c r="B1035" s="57">
        <f ca="1">IFERROR(__xludf.DUMMYFUNCTION("""COMPUTED_VALUE"""),46202.4334823842)</f>
        <v>46202.4334823842</v>
      </c>
      <c r="C1035" s="58" t="str">
        <f ca="1">IFERROR(__xludf.DUMMYFUNCTION("""COMPUTED_VALUE"""),"المعملجي")</f>
        <v>المعملجي</v>
      </c>
      <c r="D1035" s="58" t="str">
        <f ca="1">IFERROR(__xludf.DUMMYFUNCTION("""COMPUTED_VALUE"""),"وحدة التبريد")</f>
        <v>وحدة التبريد</v>
      </c>
      <c r="E1035" s="48" t="str">
        <f ca="1">IFERROR(__xludf.DUMMYFUNCTION("""COMPUTED_VALUE"""),"قسم المشاريع الهندسية")</f>
        <v>قسم المشاريع الهندسية</v>
      </c>
      <c r="F1035" s="48" t="str">
        <f ca="1">IFERROR(__xludf.DUMMYFUNCTION("""COMPUTED_VALUE"""),"A- المركز الثقافي")</f>
        <v>A- المركز الثقافي</v>
      </c>
      <c r="G1035" s="48" t="str">
        <f ca="1">IFERROR(__xludf.DUMMYFUNCTION("""COMPUTED_VALUE"""),"الطابق الثالث")</f>
        <v>الطابق الثالث</v>
      </c>
      <c r="H1035" s="48" t="str">
        <f ca="1">IFERROR(__xludf.DUMMYFUNCTION("""COMPUTED_VALUE"""),"صيانة تلف في كارتات منظومة ال vrf نتيجة الحرارة في الطابق")</f>
        <v>صيانة تلف في كارتات منظومة ال vrf نتيجة الحرارة في الطابق</v>
      </c>
      <c r="I1035" s="48"/>
      <c r="J1035" s="48" t="s">
        <v>15</v>
      </c>
      <c r="K1035" s="48" t="s">
        <v>13</v>
      </c>
      <c r="L1035" s="57">
        <v>46203.302680763889</v>
      </c>
      <c r="M1035" s="48"/>
    </row>
    <row r="1036" spans="1:13" ht="75" customHeight="1" thickTop="1" thickBot="1">
      <c r="A1036" s="26">
        <v>1034</v>
      </c>
      <c r="B1036" s="57">
        <f ca="1">IFERROR(__xludf.DUMMYFUNCTION("""COMPUTED_VALUE"""),46202.4336743055)</f>
        <v>46202.433674305503</v>
      </c>
      <c r="C1036" s="58" t="str">
        <f ca="1">IFERROR(__xludf.DUMMYFUNCTION("""COMPUTED_VALUE"""),"المعملجي")</f>
        <v>المعملجي</v>
      </c>
      <c r="D1036" s="58" t="str">
        <f ca="1">IFERROR(__xludf.DUMMYFUNCTION("""COMPUTED_VALUE"""),"وحدة التبريد")</f>
        <v>وحدة التبريد</v>
      </c>
      <c r="E1036" s="48" t="str">
        <f ca="1">IFERROR(__xludf.DUMMYFUNCTION("""COMPUTED_VALUE"""),"قسم المشاريع الهندسية")</f>
        <v>قسم المشاريع الهندسية</v>
      </c>
      <c r="F1036" s="48" t="str">
        <f ca="1">IFERROR(__xludf.DUMMYFUNCTION("""COMPUTED_VALUE"""),"G- روضة الجود")</f>
        <v>G- روضة الجود</v>
      </c>
      <c r="G1036" s="48" t="str">
        <f ca="1">IFERROR(__xludf.DUMMYFUNCTION("""COMPUTED_VALUE"""),"الطابق الاول, الطابق الثاني")</f>
        <v>الطابق الاول, الطابق الثاني</v>
      </c>
      <c r="H1036" s="48" t="str">
        <f ca="1">IFERROR(__xludf.DUMMYFUNCTION("""COMPUTED_VALUE"""),"صيانة تلف في كارتات منظومة ال vrf نتيجة الحرارة في الطابق")</f>
        <v>صيانة تلف في كارتات منظومة ال vrf نتيجة الحرارة في الطابق</v>
      </c>
      <c r="I1036" s="48"/>
      <c r="J1036" s="48" t="s">
        <v>15</v>
      </c>
      <c r="K1036" s="48" t="s">
        <v>13</v>
      </c>
      <c r="L1036" s="57">
        <v>46203.302687858799</v>
      </c>
      <c r="M1036" s="48"/>
    </row>
    <row r="1037" spans="1:13" ht="75" customHeight="1" thickTop="1" thickBot="1">
      <c r="A1037" s="34">
        <v>1035</v>
      </c>
      <c r="B1037" s="57">
        <f ca="1">IFERROR(__xludf.DUMMYFUNCTION("""COMPUTED_VALUE"""),46202.4339878819)</f>
        <v>46202.433987881901</v>
      </c>
      <c r="C1037" s="58" t="str">
        <f ca="1">IFERROR(__xludf.DUMMYFUNCTION("""COMPUTED_VALUE"""),"المعملجي")</f>
        <v>المعملجي</v>
      </c>
      <c r="D1037" s="58" t="str">
        <f ca="1">IFERROR(__xludf.DUMMYFUNCTION("""COMPUTED_VALUE"""),"وحدة التبريد")</f>
        <v>وحدة التبريد</v>
      </c>
      <c r="E1037" s="48" t="str">
        <f ca="1">IFERROR(__xludf.DUMMYFUNCTION("""COMPUTED_VALUE"""),"قسم المشاريع الهندسية")</f>
        <v>قسم المشاريع الهندسية</v>
      </c>
      <c r="F1037" s="48" t="str">
        <f ca="1">IFERROR(__xludf.DUMMYFUNCTION("""COMPUTED_VALUE"""),"C- ثانوية العميد بناية الاعدادية  (الاولى)")</f>
        <v>C- ثانوية العميد بناية الاعدادية  (الاولى)</v>
      </c>
      <c r="G1037" s="48" t="str">
        <f ca="1">IFERROR(__xludf.DUMMYFUNCTION("""COMPUTED_VALUE"""),"الطابق الاول, ZONE B")</f>
        <v>الطابق الاول, ZONE B</v>
      </c>
      <c r="H1037" s="48" t="str">
        <f ca="1">IFERROR(__xludf.DUMMYFUNCTION("""COMPUTED_VALUE"""),"صيانة تلف في كارتات منظومة ال vrf نتيجة الحرارة في الطابق")</f>
        <v>صيانة تلف في كارتات منظومة ال vrf نتيجة الحرارة في الطابق</v>
      </c>
      <c r="I1037" s="48"/>
      <c r="J1037" s="48" t="s">
        <v>15</v>
      </c>
      <c r="K1037" s="48" t="s">
        <v>13</v>
      </c>
      <c r="L1037" s="57">
        <v>46203.303603344903</v>
      </c>
      <c r="M1037" s="48"/>
    </row>
    <row r="1038" spans="1:13" ht="75" customHeight="1" thickTop="1" thickBot="1">
      <c r="A1038" s="26">
        <v>1036</v>
      </c>
      <c r="B1038" s="57">
        <f ca="1">IFERROR(__xludf.DUMMYFUNCTION("""COMPUTED_VALUE"""),46202.4342014467)</f>
        <v>46202.434201446697</v>
      </c>
      <c r="C1038" s="58" t="str">
        <f ca="1">IFERROR(__xludf.DUMMYFUNCTION("""COMPUTED_VALUE"""),"المعملجي")</f>
        <v>المعملجي</v>
      </c>
      <c r="D1038" s="58" t="str">
        <f ca="1">IFERROR(__xludf.DUMMYFUNCTION("""COMPUTED_VALUE"""),"وحدة التبريد")</f>
        <v>وحدة التبريد</v>
      </c>
      <c r="E1038" s="48" t="str">
        <f ca="1">IFERROR(__xludf.DUMMYFUNCTION("""COMPUTED_VALUE"""),"قسم المشاريع الهندسية")</f>
        <v>قسم المشاريع الهندسية</v>
      </c>
      <c r="F1038" s="48" t="str">
        <f ca="1">IFERROR(__xludf.DUMMYFUNCTION("""COMPUTED_VALUE"""),"D- ثانوية العميد بناية المتوسطة  (الثانية)")</f>
        <v>D- ثانوية العميد بناية المتوسطة  (الثانية)</v>
      </c>
      <c r="G1038" s="48" t="str">
        <f ca="1">IFERROR(__xludf.DUMMYFUNCTION("""COMPUTED_VALUE"""),"الطابق الثاني, ZONE A")</f>
        <v>الطابق الثاني, ZONE A</v>
      </c>
      <c r="H1038" s="48" t="str">
        <f ca="1">IFERROR(__xludf.DUMMYFUNCTION("""COMPUTED_VALUE"""),"صيانة تلف في كارتات منظومة ال vrf نتيجة الحرارة في الطابق")</f>
        <v>صيانة تلف في كارتات منظومة ال vrf نتيجة الحرارة في الطابق</v>
      </c>
      <c r="I1038" s="48"/>
      <c r="J1038" s="48" t="s">
        <v>15</v>
      </c>
      <c r="K1038" s="48" t="s">
        <v>13</v>
      </c>
      <c r="L1038" s="57">
        <v>46203.303616284727</v>
      </c>
      <c r="M1038" s="48"/>
    </row>
    <row r="1039" spans="1:13" ht="75" customHeight="1" thickTop="1" thickBot="1">
      <c r="A1039" s="34">
        <v>1037</v>
      </c>
      <c r="B1039" s="57">
        <f ca="1">IFERROR(__xludf.DUMMYFUNCTION("""COMPUTED_VALUE"""),46202.4344355324)</f>
        <v>46202.434435532399</v>
      </c>
      <c r="C1039" s="58" t="str">
        <f ca="1">IFERROR(__xludf.DUMMYFUNCTION("""COMPUTED_VALUE"""),"المعملجي")</f>
        <v>المعملجي</v>
      </c>
      <c r="D1039" s="58" t="str">
        <f ca="1">IFERROR(__xludf.DUMMYFUNCTION("""COMPUTED_VALUE"""),"وحدة التبريد")</f>
        <v>وحدة التبريد</v>
      </c>
      <c r="E1039" s="48" t="str">
        <f ca="1">IFERROR(__xludf.DUMMYFUNCTION("""COMPUTED_VALUE"""),"قسم المشاريع الهندسية")</f>
        <v>قسم المشاريع الهندسية</v>
      </c>
      <c r="F1039" s="48" t="str">
        <f ca="1">IFERROR(__xludf.DUMMYFUNCTION("""COMPUTED_VALUE"""),"H- ابتدائية القمر للبنات (الخامسة)")</f>
        <v>H- ابتدائية القمر للبنات (الخامسة)</v>
      </c>
      <c r="G1039" s="48" t="str">
        <f ca="1">IFERROR(__xludf.DUMMYFUNCTION("""COMPUTED_VALUE"""),"الطابق الثاني, ZONE A, ZONE B")</f>
        <v>الطابق الثاني, ZONE A, ZONE B</v>
      </c>
      <c r="H1039" s="48" t="str">
        <f ca="1">IFERROR(__xludf.DUMMYFUNCTION("""COMPUTED_VALUE"""),"صيانة تلف في كارتات منظومة ال vrf نتيجة الحرارة في الطابق")</f>
        <v>صيانة تلف في كارتات منظومة ال vrf نتيجة الحرارة في الطابق</v>
      </c>
      <c r="I1039" s="48"/>
      <c r="J1039" s="48" t="s">
        <v>15</v>
      </c>
      <c r="K1039" s="48" t="s">
        <v>13</v>
      </c>
      <c r="L1039" s="57">
        <v>46203.303618472222</v>
      </c>
      <c r="M1039" s="48"/>
    </row>
    <row r="1040" spans="1:13" ht="75" customHeight="1" thickTop="1" thickBot="1">
      <c r="A1040" s="26">
        <v>1038</v>
      </c>
      <c r="B1040" s="57">
        <f ca="1">IFERROR(__xludf.DUMMYFUNCTION("""COMPUTED_VALUE"""),46202.5046312963)</f>
        <v>46202.504631296302</v>
      </c>
      <c r="C1040" s="58" t="str">
        <f ca="1">IFERROR(__xludf.DUMMYFUNCTION("""COMPUTED_VALUE"""),"المعملجي")</f>
        <v>المعملجي</v>
      </c>
      <c r="D1040" s="58" t="str">
        <f ca="1">IFERROR(__xludf.DUMMYFUNCTION("""COMPUTED_VALUE"""),"ابو سجاد ")</f>
        <v xml:space="preserve">ابو سجاد </v>
      </c>
      <c r="E1040" s="48" t="str">
        <f ca="1">IFERROR(__xludf.DUMMYFUNCTION("""COMPUTED_VALUE"""),"مجموعة العميد التربوية")</f>
        <v>مجموعة العميد التربوية</v>
      </c>
      <c r="F1040" s="48" t="str">
        <f ca="1">IFERROR(__xludf.DUMMYFUNCTION("""COMPUTED_VALUE"""),"الصحيات مقابل المدرسة الاولى ")</f>
        <v xml:space="preserve">الصحيات مقابل المدرسة الاولى </v>
      </c>
      <c r="G1040" s="48" t="str">
        <f ca="1">IFERROR(__xludf.DUMMYFUNCTION("""COMPUTED_VALUE"""),"الطابق الارضي")</f>
        <v>الطابق الارضي</v>
      </c>
      <c r="H1040" s="48" t="str">
        <f ca="1">IFERROR(__xludf.DUMMYFUNCTION("""COMPUTED_VALUE"""),"تبديل صوندة شطاف ")</f>
        <v xml:space="preserve">تبديل صوندة شطاف </v>
      </c>
      <c r="I1040" s="48"/>
      <c r="J1040" s="48" t="s">
        <v>14</v>
      </c>
      <c r="K1040" s="48" t="s">
        <v>13</v>
      </c>
      <c r="L1040" s="57">
        <v>46203.303618298611</v>
      </c>
      <c r="M1040" s="48"/>
    </row>
    <row r="1041" spans="1:13" ht="75" customHeight="1" thickTop="1" thickBot="1">
      <c r="A1041" s="34">
        <v>1039</v>
      </c>
      <c r="B1041" s="57">
        <f ca="1">IFERROR(__xludf.DUMMYFUNCTION("""COMPUTED_VALUE"""),46203.2929425347)</f>
        <v>46203.292942534703</v>
      </c>
      <c r="C1041" s="58" t="str">
        <f ca="1">IFERROR(__xludf.DUMMYFUNCTION("""COMPUTED_VALUE"""),"المعملجي")</f>
        <v>المعملجي</v>
      </c>
      <c r="D1041" s="58" t="str">
        <f ca="1">IFERROR(__xludf.DUMMYFUNCTION("""COMPUTED_VALUE"""),"وحدة الميكانيك")</f>
        <v>وحدة الميكانيك</v>
      </c>
      <c r="E1041" s="48" t="str">
        <f ca="1">IFERROR(__xludf.DUMMYFUNCTION("""COMPUTED_VALUE"""),"قسم المشاريع الهندسية")</f>
        <v>قسم المشاريع الهندسية</v>
      </c>
      <c r="F1041" s="48" t="str">
        <f ca="1">IFERROR(__xludf.DUMMYFUNCTION("""COMPUTED_VALUE"""),"B- روضة القمر")</f>
        <v>B- روضة القمر</v>
      </c>
      <c r="G1041" s="48"/>
      <c r="H1041" s="48" t="str">
        <f ca="1">IFERROR(__xludf.DUMMYFUNCTION("""COMPUTED_VALUE"""),"لايوجد ماء RO")</f>
        <v>لايوجد ماء RO</v>
      </c>
      <c r="I1041" s="48"/>
      <c r="J1041" s="48" t="s">
        <v>14</v>
      </c>
      <c r="K1041" s="48" t="s">
        <v>13</v>
      </c>
      <c r="L1041" s="57">
        <v>46203.303620636572</v>
      </c>
      <c r="M1041" s="48"/>
    </row>
    <row r="1042" spans="1:13" ht="75" customHeight="1" thickTop="1" thickBot="1">
      <c r="A1042" s="26">
        <v>1040</v>
      </c>
      <c r="B1042" s="57">
        <f ca="1">IFERROR(__xludf.DUMMYFUNCTION("""COMPUTED_VALUE"""),46203.2944915972)</f>
        <v>46203.294491597197</v>
      </c>
      <c r="C1042" s="58" t="str">
        <f ca="1">IFERROR(__xludf.DUMMYFUNCTION("""COMPUTED_VALUE"""),"المعملجي")</f>
        <v>المعملجي</v>
      </c>
      <c r="D1042" s="58" t="str">
        <f ca="1">IFERROR(__xludf.DUMMYFUNCTION("""COMPUTED_VALUE"""),"وحدة المدني")</f>
        <v>وحدة المدني</v>
      </c>
      <c r="E1042" s="48" t="str">
        <f ca="1">IFERROR(__xludf.DUMMYFUNCTION("""COMPUTED_VALUE"""),"قسم المشاريع الهندسية")</f>
        <v>قسم المشاريع الهندسية</v>
      </c>
      <c r="F1042" s="48" t="str">
        <f ca="1">IFERROR(__xludf.DUMMYFUNCTION("""COMPUTED_VALUE"""),"G- روضة الجود")</f>
        <v>G- روضة الجود</v>
      </c>
      <c r="G1042" s="48" t="str">
        <f ca="1">IFERROR(__xludf.DUMMYFUNCTION("""COMPUTED_VALUE"""),"الطابق الارضي")</f>
        <v>الطابق الارضي</v>
      </c>
      <c r="H1042" s="48" t="str">
        <f ca="1">IFERROR(__xludf.DUMMYFUNCTION("""COMPUTED_VALUE"""),"معجنة وصيانة حائط الطابق")</f>
        <v>معجنة وصيانة حائط الطابق</v>
      </c>
      <c r="I1042" s="48"/>
      <c r="J1042" s="48" t="s">
        <v>16</v>
      </c>
      <c r="K1042" s="48" t="s">
        <v>13</v>
      </c>
      <c r="L1042" s="57">
        <v>46203.303635821758</v>
      </c>
      <c r="M1042" s="48"/>
    </row>
    <row r="1043" spans="1:13" ht="75" customHeight="1" thickTop="1" thickBot="1">
      <c r="A1043" s="34">
        <v>1041</v>
      </c>
      <c r="B1043" s="57">
        <f ca="1">IFERROR(__xludf.DUMMYFUNCTION("""COMPUTED_VALUE"""),46203.2948000925)</f>
        <v>46203.294800092503</v>
      </c>
      <c r="C1043" s="58" t="str">
        <f ca="1">IFERROR(__xludf.DUMMYFUNCTION("""COMPUTED_VALUE"""),"المعملجي")</f>
        <v>المعملجي</v>
      </c>
      <c r="D1043" s="58" t="str">
        <f ca="1">IFERROR(__xludf.DUMMYFUNCTION("""COMPUTED_VALUE"""),"وحدة المدني")</f>
        <v>وحدة المدني</v>
      </c>
      <c r="E1043" s="48" t="str">
        <f ca="1">IFERROR(__xludf.DUMMYFUNCTION("""COMPUTED_VALUE"""),"قسم المشاريع الهندسية")</f>
        <v>قسم المشاريع الهندسية</v>
      </c>
      <c r="F1043" s="48" t="str">
        <f ca="1">IFERROR(__xludf.DUMMYFUNCTION("""COMPUTED_VALUE"""),"G- روضة الجود")</f>
        <v>G- روضة الجود</v>
      </c>
      <c r="G1043" s="48" t="str">
        <f ca="1">IFERROR(__xludf.DUMMYFUNCTION("""COMPUTED_VALUE"""),"الطابق الاول")</f>
        <v>الطابق الاول</v>
      </c>
      <c r="H1043" s="48" t="str">
        <f ca="1">IFERROR(__xludf.DUMMYFUNCTION("""COMPUTED_VALUE"""),"معجنة وصيانة حائط الطابق")</f>
        <v>معجنة وصيانة حائط الطابق</v>
      </c>
      <c r="I1043" s="48"/>
      <c r="J1043" s="48" t="s">
        <v>16</v>
      </c>
      <c r="K1043" s="48" t="s">
        <v>13</v>
      </c>
      <c r="L1043" s="57">
        <v>46203.303635231481</v>
      </c>
      <c r="M1043" s="48"/>
    </row>
    <row r="1044" spans="1:13" ht="75" customHeight="1" thickTop="1" thickBot="1">
      <c r="A1044" s="26">
        <v>1042</v>
      </c>
      <c r="B1044" s="57">
        <f ca="1">IFERROR(__xludf.DUMMYFUNCTION("""COMPUTED_VALUE"""),46203.2950542245)</f>
        <v>46203.295054224502</v>
      </c>
      <c r="C1044" s="58" t="str">
        <f ca="1">IFERROR(__xludf.DUMMYFUNCTION("""COMPUTED_VALUE"""),"المعملجي")</f>
        <v>المعملجي</v>
      </c>
      <c r="D1044" s="58" t="str">
        <f ca="1">IFERROR(__xludf.DUMMYFUNCTION("""COMPUTED_VALUE"""),"وحدة المدني")</f>
        <v>وحدة المدني</v>
      </c>
      <c r="E1044" s="48" t="str">
        <f ca="1">IFERROR(__xludf.DUMMYFUNCTION("""COMPUTED_VALUE"""),"قسم المشاريع الهندسية")</f>
        <v>قسم المشاريع الهندسية</v>
      </c>
      <c r="F1044" s="48" t="str">
        <f ca="1">IFERROR(__xludf.DUMMYFUNCTION("""COMPUTED_VALUE"""),"G- روضة الجود")</f>
        <v>G- روضة الجود</v>
      </c>
      <c r="G1044" s="48" t="str">
        <f ca="1">IFERROR(__xludf.DUMMYFUNCTION("""COMPUTED_VALUE"""),"الطابق الثاني")</f>
        <v>الطابق الثاني</v>
      </c>
      <c r="H1044" s="48" t="str">
        <f ca="1">IFERROR(__xludf.DUMMYFUNCTION("""COMPUTED_VALUE"""),"معجنة وصيانة حائط الطابق")</f>
        <v>معجنة وصيانة حائط الطابق</v>
      </c>
      <c r="I1044" s="48"/>
      <c r="J1044" s="48" t="s">
        <v>16</v>
      </c>
      <c r="K1044" s="48" t="s">
        <v>13</v>
      </c>
      <c r="L1044" s="57">
        <v>46203.303644826388</v>
      </c>
      <c r="M1044" s="48"/>
    </row>
    <row r="1045" spans="1:13" ht="75" customHeight="1" thickTop="1" thickBot="1">
      <c r="A1045" s="34">
        <v>1043</v>
      </c>
      <c r="B1045" s="57">
        <f ca="1">IFERROR(__xludf.DUMMYFUNCTION("""COMPUTED_VALUE"""),46203.2973305555)</f>
        <v>46203.297330555499</v>
      </c>
      <c r="C1045" s="58" t="str">
        <f ca="1">IFERROR(__xludf.DUMMYFUNCTION("""COMPUTED_VALUE"""),"المعملجي")</f>
        <v>المعملجي</v>
      </c>
      <c r="D1045" s="58" t="str">
        <f ca="1">IFERROR(__xludf.DUMMYFUNCTION("""COMPUTED_VALUE"""),"وحدة المدني")</f>
        <v>وحدة المدني</v>
      </c>
      <c r="E1045" s="48" t="str">
        <f ca="1">IFERROR(__xludf.DUMMYFUNCTION("""COMPUTED_VALUE"""),"قسم المشاريع الهندسية")</f>
        <v>قسم المشاريع الهندسية</v>
      </c>
      <c r="F1045" s="48" t="str">
        <f ca="1">IFERROR(__xludf.DUMMYFUNCTION("""COMPUTED_VALUE"""),"B- روضة القمر")</f>
        <v>B- روضة القمر</v>
      </c>
      <c r="G1045" s="48"/>
      <c r="H1045" s="48" t="str">
        <f ca="1">IFERROR(__xludf.DUMMYFUNCTION("""COMPUTED_VALUE"""),"ارجاع قطعة مرمر قرب الروضة")</f>
        <v>ارجاع قطعة مرمر قرب الروضة</v>
      </c>
      <c r="I1045" s="48"/>
      <c r="J1045" s="48" t="s">
        <v>16</v>
      </c>
      <c r="K1045" s="48" t="s">
        <v>13</v>
      </c>
      <c r="L1045" s="57">
        <v>46203.303651226852</v>
      </c>
      <c r="M1045" s="48"/>
    </row>
    <row r="1046" spans="1:13" ht="75" customHeight="1" thickTop="1" thickBot="1">
      <c r="A1046" s="26">
        <v>1044</v>
      </c>
      <c r="B1046" s="57">
        <f ca="1">IFERROR(__xludf.DUMMYFUNCTION("""COMPUTED_VALUE"""),46203.2976325231)</f>
        <v>46203.297632523099</v>
      </c>
      <c r="C1046" s="58" t="str">
        <f ca="1">IFERROR(__xludf.DUMMYFUNCTION("""COMPUTED_VALUE"""),"المعملجي")</f>
        <v>المعملجي</v>
      </c>
      <c r="D1046" s="58" t="str">
        <f ca="1">IFERROR(__xludf.DUMMYFUNCTION("""COMPUTED_VALUE"""),"وحدة المدني")</f>
        <v>وحدة المدني</v>
      </c>
      <c r="E1046" s="48" t="str">
        <f ca="1">IFERROR(__xludf.DUMMYFUNCTION("""COMPUTED_VALUE"""),"قسم المشاريع الهندسية")</f>
        <v>قسم المشاريع الهندسية</v>
      </c>
      <c r="F1046" s="48" t="str">
        <f ca="1">IFERROR(__xludf.DUMMYFUNCTION("""COMPUTED_VALUE"""),"النافورة")</f>
        <v>النافورة</v>
      </c>
      <c r="G1046" s="48"/>
      <c r="H1046" s="48" t="str">
        <f ca="1">IFERROR(__xludf.DUMMYFUNCTION("""COMPUTED_VALUE"""),"غسل النافورة")</f>
        <v>غسل النافورة</v>
      </c>
      <c r="I1046" s="48"/>
      <c r="J1046" s="48" t="s">
        <v>16</v>
      </c>
      <c r="K1046" s="48" t="s">
        <v>13</v>
      </c>
      <c r="L1046" s="57"/>
      <c r="M1046" s="48"/>
    </row>
    <row r="1047" spans="1:13" ht="75" customHeight="1" thickTop="1" thickBot="1">
      <c r="A1047" s="34">
        <v>1045</v>
      </c>
      <c r="B1047" s="57">
        <f ca="1">IFERROR(__xludf.DUMMYFUNCTION("""COMPUTED_VALUE"""),46203.298926655)</f>
        <v>46203.298926654999</v>
      </c>
      <c r="C1047" s="58" t="str">
        <f ca="1">IFERROR(__xludf.DUMMYFUNCTION("""COMPUTED_VALUE"""),"المعملجي")</f>
        <v>المعملجي</v>
      </c>
      <c r="D1047" s="58" t="str">
        <f ca="1">IFERROR(__xludf.DUMMYFUNCTION("""COMPUTED_VALUE"""),"وحدة المدني")</f>
        <v>وحدة المدني</v>
      </c>
      <c r="E1047" s="48" t="str">
        <f ca="1">IFERROR(__xludf.DUMMYFUNCTION("""COMPUTED_VALUE"""),"قسم المشاريع الهندسية")</f>
        <v>قسم المشاريع الهندسية</v>
      </c>
      <c r="F1047" s="48" t="str">
        <f ca="1">IFERROR(__xludf.DUMMYFUNCTION("""COMPUTED_VALUE"""),"B- روضة القمر")</f>
        <v>B- روضة القمر</v>
      </c>
      <c r="G1047" s="48" t="str">
        <f ca="1">IFERROR(__xludf.DUMMYFUNCTION("""COMPUTED_VALUE"""),"الطابق الارضي")</f>
        <v>الطابق الارضي</v>
      </c>
      <c r="H1047" s="48" t="str">
        <f ca="1">IFERROR(__xludf.DUMMYFUNCTION("""COMPUTED_VALUE"""),"اعمال سنفرة ومعجنة")</f>
        <v>اعمال سنفرة ومعجنة</v>
      </c>
      <c r="I1047" s="48"/>
      <c r="J1047" s="48" t="s">
        <v>16</v>
      </c>
      <c r="K1047" s="48" t="s">
        <v>13</v>
      </c>
      <c r="L1047" s="57">
        <v>46203.303655555559</v>
      </c>
      <c r="M1047" s="48"/>
    </row>
    <row r="1048" spans="1:13" ht="75" customHeight="1" thickTop="1" thickBot="1">
      <c r="A1048" s="26">
        <v>1046</v>
      </c>
      <c r="B1048" s="57">
        <f ca="1">IFERROR(__xludf.DUMMYFUNCTION("""COMPUTED_VALUE"""),46203.2991025115)</f>
        <v>46203.299102511497</v>
      </c>
      <c r="C1048" s="58" t="str">
        <f ca="1">IFERROR(__xludf.DUMMYFUNCTION("""COMPUTED_VALUE"""),"المعملجي")</f>
        <v>المعملجي</v>
      </c>
      <c r="D1048" s="58" t="str">
        <f ca="1">IFERROR(__xludf.DUMMYFUNCTION("""COMPUTED_VALUE"""),"وحدة المدني")</f>
        <v>وحدة المدني</v>
      </c>
      <c r="E1048" s="48" t="str">
        <f ca="1">IFERROR(__xludf.DUMMYFUNCTION("""COMPUTED_VALUE"""),"قسم المشاريع الهندسية")</f>
        <v>قسم المشاريع الهندسية</v>
      </c>
      <c r="F1048" s="48" t="str">
        <f ca="1">IFERROR(__xludf.DUMMYFUNCTION("""COMPUTED_VALUE"""),"B- روضة القمر")</f>
        <v>B- روضة القمر</v>
      </c>
      <c r="G1048" s="48" t="str">
        <f ca="1">IFERROR(__xludf.DUMMYFUNCTION("""COMPUTED_VALUE"""),"الطابق الاول")</f>
        <v>الطابق الاول</v>
      </c>
      <c r="H1048" s="48" t="str">
        <f ca="1">IFERROR(__xludf.DUMMYFUNCTION("""COMPUTED_VALUE"""),"اعمال سنفرة ومعجنة")</f>
        <v>اعمال سنفرة ومعجنة</v>
      </c>
      <c r="I1048" s="48"/>
      <c r="J1048" s="48" t="s">
        <v>16</v>
      </c>
      <c r="K1048" s="48" t="s">
        <v>13</v>
      </c>
      <c r="L1048" s="57">
        <v>46203.303665995365</v>
      </c>
      <c r="M1048" s="48"/>
    </row>
    <row r="1049" spans="1:13" ht="75" customHeight="1" thickTop="1" thickBot="1">
      <c r="A1049" s="34">
        <v>1047</v>
      </c>
      <c r="B1049" s="57">
        <f ca="1">IFERROR(__xludf.DUMMYFUNCTION("""COMPUTED_VALUE"""),46203.2992356365)</f>
        <v>46203.299235636499</v>
      </c>
      <c r="C1049" s="58" t="str">
        <f ca="1">IFERROR(__xludf.DUMMYFUNCTION("""COMPUTED_VALUE"""),"المعملجي")</f>
        <v>المعملجي</v>
      </c>
      <c r="D1049" s="58" t="str">
        <f ca="1">IFERROR(__xludf.DUMMYFUNCTION("""COMPUTED_VALUE"""),"وحدة المدني")</f>
        <v>وحدة المدني</v>
      </c>
      <c r="E1049" s="48" t="str">
        <f ca="1">IFERROR(__xludf.DUMMYFUNCTION("""COMPUTED_VALUE"""),"قسم المشاريع الهندسية")</f>
        <v>قسم المشاريع الهندسية</v>
      </c>
      <c r="F1049" s="48" t="str">
        <f ca="1">IFERROR(__xludf.DUMMYFUNCTION("""COMPUTED_VALUE"""),"B- روضة القمر")</f>
        <v>B- روضة القمر</v>
      </c>
      <c r="G1049" s="48" t="str">
        <f ca="1">IFERROR(__xludf.DUMMYFUNCTION("""COMPUTED_VALUE"""),"الطابق الثاني")</f>
        <v>الطابق الثاني</v>
      </c>
      <c r="H1049" s="48" t="str">
        <f ca="1">IFERROR(__xludf.DUMMYFUNCTION("""COMPUTED_VALUE"""),"اعمال سنفرة ومعجنة")</f>
        <v>اعمال سنفرة ومعجنة</v>
      </c>
      <c r="I1049" s="48"/>
      <c r="J1049" s="48" t="s">
        <v>16</v>
      </c>
      <c r="K1049" s="48" t="s">
        <v>13</v>
      </c>
      <c r="L1049" s="57">
        <v>46203.303680613426</v>
      </c>
      <c r="M1049" s="48"/>
    </row>
    <row r="1050" spans="1:13" ht="75" customHeight="1" thickTop="1" thickBot="1">
      <c r="A1050" s="26">
        <v>1048</v>
      </c>
      <c r="B1050" s="57">
        <f ca="1">IFERROR(__xludf.DUMMYFUNCTION("""COMPUTED_VALUE"""),46203.3001367013)</f>
        <v>46203.300136701298</v>
      </c>
      <c r="C1050" s="58" t="str">
        <f ca="1">IFERROR(__xludf.DUMMYFUNCTION("""COMPUTED_VALUE"""),"المعملجي")</f>
        <v>المعملجي</v>
      </c>
      <c r="D1050" s="58" t="str">
        <f ca="1">IFERROR(__xludf.DUMMYFUNCTION("""COMPUTED_VALUE"""),"وحدة المدني")</f>
        <v>وحدة المدني</v>
      </c>
      <c r="E1050" s="48" t="str">
        <f ca="1">IFERROR(__xludf.DUMMYFUNCTION("""COMPUTED_VALUE"""),"قسم المشاريع الهندسية")</f>
        <v>قسم المشاريع الهندسية</v>
      </c>
      <c r="F1050" s="48" t="str">
        <f ca="1">IFERROR(__xludf.DUMMYFUNCTION("""COMPUTED_VALUE"""),"B- روضة القمر")</f>
        <v>B- روضة القمر</v>
      </c>
      <c r="G1050" s="48"/>
      <c r="H1050" s="48" t="str">
        <f ca="1">IFERROR(__xludf.DUMMYFUNCTION("""COMPUTED_VALUE"""),"اعمال صبغ برايمر")</f>
        <v>اعمال صبغ برايمر</v>
      </c>
      <c r="I1050" s="48"/>
      <c r="J1050" s="48" t="s">
        <v>16</v>
      </c>
      <c r="K1050" s="48" t="s">
        <v>13</v>
      </c>
      <c r="L1050" s="57">
        <v>46203.303665300926</v>
      </c>
      <c r="M1050" s="48"/>
    </row>
    <row r="1051" spans="1:13" ht="75" customHeight="1" thickTop="1" thickBot="1">
      <c r="A1051" s="34">
        <v>1049</v>
      </c>
      <c r="B1051" s="57">
        <f ca="1">IFERROR(__xludf.DUMMYFUNCTION("""COMPUTED_VALUE"""),46203.3002674652)</f>
        <v>46203.300267465202</v>
      </c>
      <c r="C1051" s="58" t="str">
        <f ca="1">IFERROR(__xludf.DUMMYFUNCTION("""COMPUTED_VALUE"""),"المعملجي")</f>
        <v>المعملجي</v>
      </c>
      <c r="D1051" s="58" t="str">
        <f ca="1">IFERROR(__xludf.DUMMYFUNCTION("""COMPUTED_VALUE"""),"وحدة المدني")</f>
        <v>وحدة المدني</v>
      </c>
      <c r="E1051" s="48" t="str">
        <f ca="1">IFERROR(__xludf.DUMMYFUNCTION("""COMPUTED_VALUE"""),"قسم المشاريع الهندسية")</f>
        <v>قسم المشاريع الهندسية</v>
      </c>
      <c r="F1051" s="48" t="str">
        <f ca="1">IFERROR(__xludf.DUMMYFUNCTION("""COMPUTED_VALUE"""),"G- روضة الجود")</f>
        <v>G- روضة الجود</v>
      </c>
      <c r="G1051" s="48"/>
      <c r="H1051" s="48" t="str">
        <f ca="1">IFERROR(__xludf.DUMMYFUNCTION("""COMPUTED_VALUE"""),"اعمال صبغ برايمر")</f>
        <v>اعمال صبغ برايمر</v>
      </c>
      <c r="I1051" s="48"/>
      <c r="J1051" s="48" t="s">
        <v>16</v>
      </c>
      <c r="K1051" s="48" t="s">
        <v>13</v>
      </c>
      <c r="L1051" s="57">
        <v>46203.303696805553</v>
      </c>
      <c r="M1051" s="48"/>
    </row>
    <row r="1052" spans="1:13" ht="75" customHeight="1" thickTop="1" thickBot="1">
      <c r="A1052" s="26">
        <v>1050</v>
      </c>
      <c r="B1052" s="57">
        <f ca="1">IFERROR(__xludf.DUMMYFUNCTION("""COMPUTED_VALUE"""),46203.3009177662)</f>
        <v>46203.300917766202</v>
      </c>
      <c r="C1052" s="58" t="str">
        <f ca="1">IFERROR(__xludf.DUMMYFUNCTION("""COMPUTED_VALUE"""),"المعملجي")</f>
        <v>المعملجي</v>
      </c>
      <c r="D1052" s="58" t="str">
        <f ca="1">IFERROR(__xludf.DUMMYFUNCTION("""COMPUTED_VALUE"""),"وحدة المدني")</f>
        <v>وحدة المدني</v>
      </c>
      <c r="E1052" s="48" t="str">
        <f ca="1">IFERROR(__xludf.DUMMYFUNCTION("""COMPUTED_VALUE"""),"قسم المشاريع الهندسية")</f>
        <v>قسم المشاريع الهندسية</v>
      </c>
      <c r="F1052" s="48" t="str">
        <f ca="1">IFERROR(__xludf.DUMMYFUNCTION("""COMPUTED_VALUE"""),"B- روضة القمر")</f>
        <v>B- روضة القمر</v>
      </c>
      <c r="G1052" s="48" t="str">
        <f ca="1">IFERROR(__xludf.DUMMYFUNCTION("""COMPUTED_VALUE"""),"الطابق الارضي")</f>
        <v>الطابق الارضي</v>
      </c>
      <c r="H1052" s="48" t="str">
        <f ca="1">IFERROR(__xludf.DUMMYFUNCTION("""COMPUTED_VALUE"""),"اعمال شربتت حمام الروضة")</f>
        <v>اعمال شربتت حمام الروضة</v>
      </c>
      <c r="I1052" s="48"/>
      <c r="J1052" s="48" t="s">
        <v>16</v>
      </c>
      <c r="K1052" s="48" t="s">
        <v>13</v>
      </c>
      <c r="L1052" s="57">
        <v>46203.303705960643</v>
      </c>
      <c r="M1052" s="48"/>
    </row>
    <row r="1053" spans="1:13" ht="75" customHeight="1" thickTop="1" thickBot="1">
      <c r="A1053" s="34">
        <v>1051</v>
      </c>
      <c r="B1053" s="57">
        <f ca="1">IFERROR(__xludf.DUMMYFUNCTION("""COMPUTED_VALUE"""),46203.3011615856)</f>
        <v>46203.301161585601</v>
      </c>
      <c r="C1053" s="58" t="str">
        <f ca="1">IFERROR(__xludf.DUMMYFUNCTION("""COMPUTED_VALUE"""),"المعملجي")</f>
        <v>المعملجي</v>
      </c>
      <c r="D1053" s="58" t="str">
        <f ca="1">IFERROR(__xludf.DUMMYFUNCTION("""COMPUTED_VALUE"""),"وحدة المدني")</f>
        <v>وحدة المدني</v>
      </c>
      <c r="E1053" s="48" t="str">
        <f ca="1">IFERROR(__xludf.DUMMYFUNCTION("""COMPUTED_VALUE"""),"قسم المشاريع الهندسية")</f>
        <v>قسم المشاريع الهندسية</v>
      </c>
      <c r="F1053" s="48" t="str">
        <f ca="1">IFERROR(__xludf.DUMMYFUNCTION("""COMPUTED_VALUE"""),"B- روضة القمر")</f>
        <v>B- روضة القمر</v>
      </c>
      <c r="G1053" s="48" t="str">
        <f ca="1">IFERROR(__xludf.DUMMYFUNCTION("""COMPUTED_VALUE"""),"الطابق الثاني")</f>
        <v>الطابق الثاني</v>
      </c>
      <c r="H1053" s="48" t="str">
        <f ca="1">IFERROR(__xludf.DUMMYFUNCTION("""COMPUTED_VALUE"""),"اعمال شربتت حمام الروضة")</f>
        <v>اعمال شربتت حمام الروضة</v>
      </c>
      <c r="I1053" s="48"/>
      <c r="J1053" s="48" t="s">
        <v>16</v>
      </c>
      <c r="K1053" s="48" t="s">
        <v>13</v>
      </c>
      <c r="L1053" s="57">
        <v>46203.30370971065</v>
      </c>
      <c r="M1053" s="48"/>
    </row>
    <row r="1054" spans="1:13" ht="75" customHeight="1" thickTop="1" thickBot="1">
      <c r="A1054" s="26">
        <v>1052</v>
      </c>
      <c r="B1054" s="57">
        <f ca="1">IFERROR(__xludf.DUMMYFUNCTION("""COMPUTED_VALUE"""),46203.3015069791)</f>
        <v>46203.3015069791</v>
      </c>
      <c r="C1054" s="58" t="str">
        <f ca="1">IFERROR(__xludf.DUMMYFUNCTION("""COMPUTED_VALUE"""),"المعملجي")</f>
        <v>المعملجي</v>
      </c>
      <c r="D1054" s="58" t="str">
        <f ca="1">IFERROR(__xludf.DUMMYFUNCTION("""COMPUTED_VALUE"""),"وحدة المدني")</f>
        <v>وحدة المدني</v>
      </c>
      <c r="E1054" s="48" t="str">
        <f ca="1">IFERROR(__xludf.DUMMYFUNCTION("""COMPUTED_VALUE"""),"قسم المشاريع الهندسية")</f>
        <v>قسم المشاريع الهندسية</v>
      </c>
      <c r="F1054" s="48" t="str">
        <f ca="1">IFERROR(__xludf.DUMMYFUNCTION("""COMPUTED_VALUE"""),"H- ابتدائية القمر للبنات (الخامسة)")</f>
        <v>H- ابتدائية القمر للبنات (الخامسة)</v>
      </c>
      <c r="G1054" s="48"/>
      <c r="H1054" s="48" t="str">
        <f ca="1">IFERROR(__xludf.DUMMYFUNCTION("""COMPUTED_VALUE"""),"فتح بردات جميع صفوف المدرسة")</f>
        <v>فتح بردات جميع صفوف المدرسة</v>
      </c>
      <c r="I1054" s="48"/>
      <c r="J1054" s="48" t="s">
        <v>16</v>
      </c>
      <c r="K1054" s="48" t="s">
        <v>13</v>
      </c>
      <c r="L1054" s="57">
        <v>46203.305114664356</v>
      </c>
      <c r="M1054" s="48"/>
    </row>
    <row r="1055" spans="1:13" ht="75" customHeight="1" thickTop="1" thickBot="1">
      <c r="A1055" s="34">
        <v>1053</v>
      </c>
      <c r="B1055" s="57">
        <f ca="1">IFERROR(__xludf.DUMMYFUNCTION("""COMPUTED_VALUE"""),46203.301756875)</f>
        <v>46203.301756875</v>
      </c>
      <c r="C1055" s="58" t="str">
        <f ca="1">IFERROR(__xludf.DUMMYFUNCTION("""COMPUTED_VALUE"""),"المعملجي")</f>
        <v>المعملجي</v>
      </c>
      <c r="D1055" s="58" t="str">
        <f ca="1">IFERROR(__xludf.DUMMYFUNCTION("""COMPUTED_VALUE"""),"وحدة المدني")</f>
        <v>وحدة المدني</v>
      </c>
      <c r="E1055" s="48" t="str">
        <f ca="1">IFERROR(__xludf.DUMMYFUNCTION("""COMPUTED_VALUE"""),"قسم المشاريع الهندسية")</f>
        <v>قسم المشاريع الهندسية</v>
      </c>
      <c r="F1055" s="48" t="str">
        <f ca="1">IFERROR(__xludf.DUMMYFUNCTION("""COMPUTED_VALUE"""),"B- روضة القمر")</f>
        <v>B- روضة القمر</v>
      </c>
      <c r="G1055" s="48" t="str">
        <f ca="1">IFERROR(__xludf.DUMMYFUNCTION("""COMPUTED_VALUE"""),"الطابق الارضي")</f>
        <v>الطابق الارضي</v>
      </c>
      <c r="H1055" s="48" t="str">
        <f ca="1">IFERROR(__xludf.DUMMYFUNCTION("""COMPUTED_VALUE"""),"اعمال صب الصحيات")</f>
        <v>اعمال صب الصحيات</v>
      </c>
      <c r="I1055" s="48"/>
      <c r="J1055" s="48" t="s">
        <v>16</v>
      </c>
      <c r="K1055" s="48" t="s">
        <v>13</v>
      </c>
      <c r="L1055" s="57">
        <v>46203.303718460651</v>
      </c>
      <c r="M1055" s="48"/>
    </row>
    <row r="1056" spans="1:13" ht="75" customHeight="1" thickTop="1" thickBot="1">
      <c r="A1056" s="26">
        <v>1054</v>
      </c>
      <c r="B1056" s="57">
        <f ca="1">IFERROR(__xludf.DUMMYFUNCTION("""COMPUTED_VALUE"""),46203.3019150231)</f>
        <v>46203.301915023098</v>
      </c>
      <c r="C1056" s="58" t="str">
        <f ca="1">IFERROR(__xludf.DUMMYFUNCTION("""COMPUTED_VALUE"""),"المعملجي")</f>
        <v>المعملجي</v>
      </c>
      <c r="D1056" s="58" t="str">
        <f ca="1">IFERROR(__xludf.DUMMYFUNCTION("""COMPUTED_VALUE"""),"وحدة المدني")</f>
        <v>وحدة المدني</v>
      </c>
      <c r="E1056" s="48" t="str">
        <f ca="1">IFERROR(__xludf.DUMMYFUNCTION("""COMPUTED_VALUE"""),"قسم المشاريع الهندسية")</f>
        <v>قسم المشاريع الهندسية</v>
      </c>
      <c r="F1056" s="48" t="str">
        <f ca="1">IFERROR(__xludf.DUMMYFUNCTION("""COMPUTED_VALUE"""),"B- روضة القمر")</f>
        <v>B- روضة القمر</v>
      </c>
      <c r="G1056" s="48" t="str">
        <f ca="1">IFERROR(__xludf.DUMMYFUNCTION("""COMPUTED_VALUE"""),"الطابق الثاني")</f>
        <v>الطابق الثاني</v>
      </c>
      <c r="H1056" s="48" t="str">
        <f ca="1">IFERROR(__xludf.DUMMYFUNCTION("""COMPUTED_VALUE"""),"اعمال صب الصحيات")</f>
        <v>اعمال صب الصحيات</v>
      </c>
      <c r="I1056" s="48"/>
      <c r="J1056" s="48" t="s">
        <v>16</v>
      </c>
      <c r="K1056" s="48" t="s">
        <v>13</v>
      </c>
      <c r="L1056" s="57">
        <v>46203.305143935184</v>
      </c>
      <c r="M1056" s="48"/>
    </row>
    <row r="1057" spans="1:13" ht="75" customHeight="1" thickTop="1" thickBot="1">
      <c r="A1057" s="34">
        <v>1055</v>
      </c>
      <c r="B1057" s="57">
        <f ca="1">IFERROR(__xludf.DUMMYFUNCTION("""COMPUTED_VALUE"""),46203.3023168171)</f>
        <v>46203.302316817098</v>
      </c>
      <c r="C1057" s="58" t="str">
        <f ca="1">IFERROR(__xludf.DUMMYFUNCTION("""COMPUTED_VALUE"""),"المعملجي")</f>
        <v>المعملجي</v>
      </c>
      <c r="D1057" s="58" t="str">
        <f ca="1">IFERROR(__xludf.DUMMYFUNCTION("""COMPUTED_VALUE"""),"وحدة المدني")</f>
        <v>وحدة المدني</v>
      </c>
      <c r="E1057" s="48" t="str">
        <f ca="1">IFERROR(__xludf.DUMMYFUNCTION("""COMPUTED_VALUE"""),"قسم المشاريع الهندسية")</f>
        <v>قسم المشاريع الهندسية</v>
      </c>
      <c r="F1057" s="48" t="str">
        <f ca="1">IFERROR(__xludf.DUMMYFUNCTION("""COMPUTED_VALUE"""),"B- روضة القمر")</f>
        <v>B- روضة القمر</v>
      </c>
      <c r="G1057" s="48" t="str">
        <f ca="1">IFERROR(__xludf.DUMMYFUNCTION("""COMPUTED_VALUE"""),"الطابق الارضي")</f>
        <v>الطابق الارضي</v>
      </c>
      <c r="H1057" s="48" t="str">
        <f ca="1">IFERROR(__xludf.DUMMYFUNCTION("""COMPUTED_VALUE"""),"تطبيك ارضية الصحيات")</f>
        <v>تطبيك ارضية الصحيات</v>
      </c>
      <c r="I1057" s="48"/>
      <c r="J1057" s="48" t="s">
        <v>16</v>
      </c>
      <c r="K1057" s="48" t="s">
        <v>13</v>
      </c>
      <c r="L1057" s="57">
        <v>46203.305153645837</v>
      </c>
      <c r="M1057" s="48"/>
    </row>
    <row r="1058" spans="1:13" ht="75" customHeight="1" thickTop="1" thickBot="1">
      <c r="A1058" s="26">
        <v>1056</v>
      </c>
      <c r="B1058" s="57">
        <f ca="1">IFERROR(__xludf.DUMMYFUNCTION("""COMPUTED_VALUE"""),46203.3025131713)</f>
        <v>46203.3025131713</v>
      </c>
      <c r="C1058" s="58" t="str">
        <f ca="1">IFERROR(__xludf.DUMMYFUNCTION("""COMPUTED_VALUE"""),"المعملجي")</f>
        <v>المعملجي</v>
      </c>
      <c r="D1058" s="58" t="str">
        <f ca="1">IFERROR(__xludf.DUMMYFUNCTION("""COMPUTED_VALUE"""),"وحدة المدني")</f>
        <v>وحدة المدني</v>
      </c>
      <c r="E1058" s="48" t="str">
        <f ca="1">IFERROR(__xludf.DUMMYFUNCTION("""COMPUTED_VALUE"""),"قسم المشاريع الهندسية")</f>
        <v>قسم المشاريع الهندسية</v>
      </c>
      <c r="F1058" s="48" t="str">
        <f ca="1">IFERROR(__xludf.DUMMYFUNCTION("""COMPUTED_VALUE"""),"B- روضة القمر")</f>
        <v>B- روضة القمر</v>
      </c>
      <c r="G1058" s="48" t="str">
        <f ca="1">IFERROR(__xludf.DUMMYFUNCTION("""COMPUTED_VALUE"""),"الطابق الثاني")</f>
        <v>الطابق الثاني</v>
      </c>
      <c r="H1058" s="48" t="str">
        <f ca="1">IFERROR(__xludf.DUMMYFUNCTION("""COMPUTED_VALUE"""),"تطبيك ارضية الصحيات")</f>
        <v>تطبيك ارضية الصحيات</v>
      </c>
      <c r="I1058" s="48"/>
      <c r="J1058" s="48" t="s">
        <v>16</v>
      </c>
      <c r="K1058" s="48" t="s">
        <v>13</v>
      </c>
      <c r="L1058" s="57">
        <v>46203.305158680552</v>
      </c>
      <c r="M1058" s="48"/>
    </row>
    <row r="1059" spans="1:13" ht="75" customHeight="1" thickTop="1" thickBot="1">
      <c r="A1059" s="34">
        <v>1057</v>
      </c>
      <c r="B1059" s="57">
        <f ca="1">IFERROR(__xludf.DUMMYFUNCTION("""COMPUTED_VALUE"""),46203.3035252662)</f>
        <v>46203.303525266201</v>
      </c>
      <c r="C1059" s="58" t="str">
        <f ca="1">IFERROR(__xludf.DUMMYFUNCTION("""COMPUTED_VALUE"""),"المعملجي")</f>
        <v>المعملجي</v>
      </c>
      <c r="D1059" s="58" t="str">
        <f ca="1">IFERROR(__xludf.DUMMYFUNCTION("""COMPUTED_VALUE"""),"وحدة المدني")</f>
        <v>وحدة المدني</v>
      </c>
      <c r="E1059" s="48" t="str">
        <f ca="1">IFERROR(__xludf.DUMMYFUNCTION("""COMPUTED_VALUE"""),"قسم المشاريع الهندسية")</f>
        <v>قسم المشاريع الهندسية</v>
      </c>
      <c r="F1059" s="48" t="str">
        <f ca="1">IFERROR(__xludf.DUMMYFUNCTION("""COMPUTED_VALUE"""),"H- ابتدائية القمر للبنات (الخامسة)")</f>
        <v>H- ابتدائية القمر للبنات (الخامسة)</v>
      </c>
      <c r="G1059" s="48"/>
      <c r="H1059" s="48" t="str">
        <f ca="1">IFERROR(__xludf.DUMMYFUNCTION("""COMPUTED_VALUE"""),"شد بردات جميع صفوف المدرسة")</f>
        <v>شد بردات جميع صفوف المدرسة</v>
      </c>
      <c r="I1059" s="48"/>
      <c r="J1059" s="48" t="s">
        <v>16</v>
      </c>
      <c r="K1059" s="48" t="s">
        <v>13</v>
      </c>
      <c r="L1059" s="57">
        <v>46203.305167604165</v>
      </c>
      <c r="M1059" s="48"/>
    </row>
    <row r="1060" spans="1:13" ht="75" customHeight="1" thickTop="1" thickBot="1">
      <c r="A1060" s="26">
        <v>1058</v>
      </c>
      <c r="B1060" s="57">
        <f ca="1">IFERROR(__xludf.DUMMYFUNCTION("""COMPUTED_VALUE"""),46203.3043651157)</f>
        <v>46203.304365115699</v>
      </c>
      <c r="C1060" s="58" t="str">
        <f ca="1">IFERROR(__xludf.DUMMYFUNCTION("""COMPUTED_VALUE"""),"المعملجي")</f>
        <v>المعملجي</v>
      </c>
      <c r="D1060" s="58" t="str">
        <f ca="1">IFERROR(__xludf.DUMMYFUNCTION("""COMPUTED_VALUE"""),"وحدة المدني")</f>
        <v>وحدة المدني</v>
      </c>
      <c r="E1060" s="48" t="str">
        <f ca="1">IFERROR(__xludf.DUMMYFUNCTION("""COMPUTED_VALUE"""),"قسم المشاريع الهندسية")</f>
        <v>قسم المشاريع الهندسية</v>
      </c>
      <c r="F1060" s="48" t="str">
        <f ca="1">IFERROR(__xludf.DUMMYFUNCTION("""COMPUTED_VALUE"""),"B- روضة القمر")</f>
        <v>B- روضة القمر</v>
      </c>
      <c r="G1060" s="48" t="str">
        <f ca="1">IFERROR(__xludf.DUMMYFUNCTION("""COMPUTED_VALUE"""),"الطابق الارضي")</f>
        <v>الطابق الارضي</v>
      </c>
      <c r="H1060" s="48" t="str">
        <f ca="1">IFERROR(__xludf.DUMMYFUNCTION("""COMPUTED_VALUE"""),"اعمال حفر ورفع الانقاض من الصحيات")</f>
        <v>اعمال حفر ورفع الانقاض من الصحيات</v>
      </c>
      <c r="I1060" s="48"/>
      <c r="J1060" s="48" t="s">
        <v>16</v>
      </c>
      <c r="K1060" s="48" t="s">
        <v>13</v>
      </c>
      <c r="L1060" s="57"/>
      <c r="M1060" s="48"/>
    </row>
    <row r="1061" spans="1:13" ht="75" customHeight="1" thickTop="1" thickBot="1">
      <c r="A1061" s="34">
        <v>1059</v>
      </c>
      <c r="B1061" s="57">
        <f ca="1">IFERROR(__xludf.DUMMYFUNCTION("""COMPUTED_VALUE"""),46203.30451228)</f>
        <v>46203.304512280003</v>
      </c>
      <c r="C1061" s="58" t="str">
        <f ca="1">IFERROR(__xludf.DUMMYFUNCTION("""COMPUTED_VALUE"""),"المعملجي")</f>
        <v>المعملجي</v>
      </c>
      <c r="D1061" s="58" t="str">
        <f ca="1">IFERROR(__xludf.DUMMYFUNCTION("""COMPUTED_VALUE"""),"وحدة المدني")</f>
        <v>وحدة المدني</v>
      </c>
      <c r="E1061" s="48" t="str">
        <f ca="1">IFERROR(__xludf.DUMMYFUNCTION("""COMPUTED_VALUE"""),"قسم المشاريع الهندسية")</f>
        <v>قسم المشاريع الهندسية</v>
      </c>
      <c r="F1061" s="48" t="str">
        <f ca="1">IFERROR(__xludf.DUMMYFUNCTION("""COMPUTED_VALUE"""),"B- روضة القمر")</f>
        <v>B- روضة القمر</v>
      </c>
      <c r="G1061" s="48" t="str">
        <f ca="1">IFERROR(__xludf.DUMMYFUNCTION("""COMPUTED_VALUE"""),"الطابق الثاني")</f>
        <v>الطابق الثاني</v>
      </c>
      <c r="H1061" s="48" t="str">
        <f ca="1">IFERROR(__xludf.DUMMYFUNCTION("""COMPUTED_VALUE"""),"اعمال حفر ورفع الانقاض من الصحيات")</f>
        <v>اعمال حفر ورفع الانقاض من الصحيات</v>
      </c>
      <c r="I1061" s="48"/>
      <c r="J1061" s="48" t="s">
        <v>16</v>
      </c>
      <c r="K1061" s="48" t="s">
        <v>13</v>
      </c>
      <c r="L1061" s="57">
        <v>46203.305182280092</v>
      </c>
      <c r="M1061" s="48"/>
    </row>
    <row r="1062" spans="1:13" ht="75" customHeight="1" thickTop="1" thickBot="1">
      <c r="A1062" s="26">
        <v>1060</v>
      </c>
      <c r="B1062" s="57">
        <f ca="1">IFERROR(__xludf.DUMMYFUNCTION("""COMPUTED_VALUE"""),46203.3048088425)</f>
        <v>46203.304808842498</v>
      </c>
      <c r="C1062" s="58" t="str">
        <f ca="1">IFERROR(__xludf.DUMMYFUNCTION("""COMPUTED_VALUE"""),"المعملجي")</f>
        <v>المعملجي</v>
      </c>
      <c r="D1062" s="58" t="str">
        <f ca="1">IFERROR(__xludf.DUMMYFUNCTION("""COMPUTED_VALUE"""),"وحدة المدني")</f>
        <v>وحدة المدني</v>
      </c>
      <c r="E1062" s="48" t="str">
        <f ca="1">IFERROR(__xludf.DUMMYFUNCTION("""COMPUTED_VALUE"""),"قسم المشاريع الهندسية")</f>
        <v>قسم المشاريع الهندسية</v>
      </c>
      <c r="F1062" s="48" t="str">
        <f ca="1">IFERROR(__xludf.DUMMYFUNCTION("""COMPUTED_VALUE"""),"B- روضة القمر")</f>
        <v>B- روضة القمر</v>
      </c>
      <c r="G1062" s="48" t="str">
        <f ca="1">IFERROR(__xludf.DUMMYFUNCTION("""COMPUTED_VALUE"""),"الطابق الارضي")</f>
        <v>الطابق الارضي</v>
      </c>
      <c r="H1062" s="48" t="str">
        <f ca="1">IFERROR(__xludf.DUMMYFUNCTION("""COMPUTED_VALUE"""),"اعمال دفن الصحيات")</f>
        <v>اعمال دفن الصحيات</v>
      </c>
      <c r="I1062" s="48"/>
      <c r="J1062" s="48" t="s">
        <v>16</v>
      </c>
      <c r="K1062" s="48" t="s">
        <v>13</v>
      </c>
      <c r="L1062" s="57">
        <v>46203.305177372684</v>
      </c>
      <c r="M1062" s="48"/>
    </row>
    <row r="1063" spans="1:13" ht="75" customHeight="1" thickTop="1" thickBot="1">
      <c r="A1063" s="34">
        <v>1061</v>
      </c>
      <c r="B1063" s="57">
        <f ca="1">IFERROR(__xludf.DUMMYFUNCTION("""COMPUTED_VALUE"""),46203.3050246412)</f>
        <v>46203.305024641202</v>
      </c>
      <c r="C1063" s="58" t="str">
        <f ca="1">IFERROR(__xludf.DUMMYFUNCTION("""COMPUTED_VALUE"""),"المعملجي")</f>
        <v>المعملجي</v>
      </c>
      <c r="D1063" s="58" t="str">
        <f ca="1">IFERROR(__xludf.DUMMYFUNCTION("""COMPUTED_VALUE"""),"وحدة المدني")</f>
        <v>وحدة المدني</v>
      </c>
      <c r="E1063" s="48" t="str">
        <f ca="1">IFERROR(__xludf.DUMMYFUNCTION("""COMPUTED_VALUE"""),"قسم المشاريع الهندسية")</f>
        <v>قسم المشاريع الهندسية</v>
      </c>
      <c r="F1063" s="48" t="str">
        <f ca="1">IFERROR(__xludf.DUMMYFUNCTION("""COMPUTED_VALUE"""),"B- روضة القمر")</f>
        <v>B- روضة القمر</v>
      </c>
      <c r="G1063" s="48" t="str">
        <f ca="1">IFERROR(__xludf.DUMMYFUNCTION("""COMPUTED_VALUE"""),"الطابق الثاني")</f>
        <v>الطابق الثاني</v>
      </c>
      <c r="H1063" s="48" t="str">
        <f ca="1">IFERROR(__xludf.DUMMYFUNCTION("""COMPUTED_VALUE"""),"اعمال دفن الصحيات")</f>
        <v>اعمال دفن الصحيات</v>
      </c>
      <c r="I1063" s="48"/>
      <c r="J1063" s="48" t="s">
        <v>16</v>
      </c>
      <c r="K1063" s="48" t="s">
        <v>13</v>
      </c>
      <c r="L1063" s="57">
        <v>46203.305679895835</v>
      </c>
      <c r="M1063" s="48"/>
    </row>
    <row r="1064" spans="1:13" ht="75" customHeight="1" thickTop="1" thickBot="1">
      <c r="A1064" s="26">
        <v>1062</v>
      </c>
      <c r="B1064" s="57">
        <f ca="1">IFERROR(__xludf.DUMMYFUNCTION("""COMPUTED_VALUE"""),46203.3056156944)</f>
        <v>46203.3056156944</v>
      </c>
      <c r="C1064" s="58" t="str">
        <f ca="1">IFERROR(__xludf.DUMMYFUNCTION("""COMPUTED_VALUE"""),"المعملجي")</f>
        <v>المعملجي</v>
      </c>
      <c r="D1064" s="58" t="str">
        <f ca="1">IFERROR(__xludf.DUMMYFUNCTION("""COMPUTED_VALUE"""),"وحدة المدني")</f>
        <v>وحدة المدني</v>
      </c>
      <c r="E1064" s="48" t="str">
        <f ca="1">IFERROR(__xludf.DUMMYFUNCTION("""COMPUTED_VALUE"""),"قسم المشاريع الهندسية")</f>
        <v>قسم المشاريع الهندسية</v>
      </c>
      <c r="F1064" s="48" t="str">
        <f ca="1">IFERROR(__xludf.DUMMYFUNCTION("""COMPUTED_VALUE"""),"A- المركز الثقافي")</f>
        <v>A- المركز الثقافي</v>
      </c>
      <c r="G1064" s="48" t="str">
        <f ca="1">IFERROR(__xludf.DUMMYFUNCTION("""COMPUTED_VALUE"""),"الطابق الارضي")</f>
        <v>الطابق الارضي</v>
      </c>
      <c r="H1064" s="48" t="str">
        <f ca="1">IFERROR(__xludf.DUMMYFUNCTION("""COMPUTED_VALUE"""),"حفر ومد انبوب سبلت كنتوري")</f>
        <v>حفر ومد انبوب سبلت كنتوري</v>
      </c>
      <c r="I1064" s="48"/>
      <c r="J1064" s="48" t="s">
        <v>16</v>
      </c>
      <c r="K1064" s="48" t="s">
        <v>13</v>
      </c>
      <c r="L1064" s="57">
        <v>46203.30569695602</v>
      </c>
      <c r="M1064" s="48"/>
    </row>
    <row r="1065" spans="1:13" ht="75" customHeight="1" thickTop="1" thickBot="1">
      <c r="A1065" s="34">
        <v>1063</v>
      </c>
      <c r="B1065" s="57">
        <f ca="1">IFERROR(__xludf.DUMMYFUNCTION("""COMPUTED_VALUE"""),46203.3060723611)</f>
        <v>46203.306072361098</v>
      </c>
      <c r="C1065" s="58" t="str">
        <f ca="1">IFERROR(__xludf.DUMMYFUNCTION("""COMPUTED_VALUE"""),"المعملجي")</f>
        <v>المعملجي</v>
      </c>
      <c r="D1065" s="58" t="str">
        <f ca="1">IFERROR(__xludf.DUMMYFUNCTION("""COMPUTED_VALUE"""),"وحدة المدني")</f>
        <v>وحدة المدني</v>
      </c>
      <c r="E1065" s="48" t="str">
        <f ca="1">IFERROR(__xludf.DUMMYFUNCTION("""COMPUTED_VALUE"""),"قسم المشاريع الهندسية")</f>
        <v>قسم المشاريع الهندسية</v>
      </c>
      <c r="F1065" s="48" t="str">
        <f ca="1">IFERROR(__xludf.DUMMYFUNCTION("""COMPUTED_VALUE"""),"A- المركز الثقافي")</f>
        <v>A- المركز الثقافي</v>
      </c>
      <c r="G1065" s="48" t="str">
        <f ca="1">IFERROR(__xludf.DUMMYFUNCTION("""COMPUTED_VALUE"""),"الطابق الاول")</f>
        <v>الطابق الاول</v>
      </c>
      <c r="H1065" s="48" t="str">
        <f ca="1">IFERROR(__xludf.DUMMYFUNCTION("""COMPUTED_VALUE"""),"حفر ومد انبوب سبلت")</f>
        <v>حفر ومد انبوب سبلت</v>
      </c>
      <c r="I1065" s="48"/>
      <c r="J1065" s="48" t="s">
        <v>16</v>
      </c>
      <c r="K1065" s="48" t="s">
        <v>13</v>
      </c>
      <c r="L1065" s="57">
        <v>46203.307512962958</v>
      </c>
      <c r="M1065" s="48"/>
    </row>
    <row r="1066" spans="1:13" ht="75" customHeight="1" thickTop="1" thickBot="1">
      <c r="A1066" s="26">
        <v>1064</v>
      </c>
      <c r="B1066" s="57">
        <f ca="1">IFERROR(__xludf.DUMMYFUNCTION("""COMPUTED_VALUE"""),46203.3063373611)</f>
        <v>46203.3063373611</v>
      </c>
      <c r="C1066" s="58" t="str">
        <f ca="1">IFERROR(__xludf.DUMMYFUNCTION("""COMPUTED_VALUE"""),"المعملجي")</f>
        <v>المعملجي</v>
      </c>
      <c r="D1066" s="58" t="str">
        <f ca="1">IFERROR(__xludf.DUMMYFUNCTION("""COMPUTED_VALUE"""),"وحدة المدني")</f>
        <v>وحدة المدني</v>
      </c>
      <c r="E1066" s="48" t="str">
        <f ca="1">IFERROR(__xludf.DUMMYFUNCTION("""COMPUTED_VALUE"""),"قسم المشاريع الهندسية")</f>
        <v>قسم المشاريع الهندسية</v>
      </c>
      <c r="F1066" s="48" t="str">
        <f ca="1">IFERROR(__xludf.DUMMYFUNCTION("""COMPUTED_VALUE"""),"A- المركز الثقافي")</f>
        <v>A- المركز الثقافي</v>
      </c>
      <c r="G1066" s="48" t="str">
        <f ca="1">IFERROR(__xludf.DUMMYFUNCTION("""COMPUTED_VALUE"""),"الطابق الثاني")</f>
        <v>الطابق الثاني</v>
      </c>
      <c r="H1066" s="48" t="str">
        <f ca="1">IFERROR(__xludf.DUMMYFUNCTION("""COMPUTED_VALUE"""),"حفر ومد انبوب سبلت")</f>
        <v>حفر ومد انبوب سبلت</v>
      </c>
      <c r="I1066" s="48"/>
      <c r="J1066" s="48" t="s">
        <v>16</v>
      </c>
      <c r="K1066" s="48" t="s">
        <v>13</v>
      </c>
      <c r="L1066" s="57">
        <v>46203.307516944449</v>
      </c>
      <c r="M1066" s="48"/>
    </row>
    <row r="1067" spans="1:13" ht="75" customHeight="1" thickTop="1" thickBot="1">
      <c r="A1067" s="34">
        <v>1065</v>
      </c>
      <c r="B1067" s="57">
        <f ca="1">IFERROR(__xludf.DUMMYFUNCTION("""COMPUTED_VALUE"""),46203.3070834722)</f>
        <v>46203.307083472202</v>
      </c>
      <c r="C1067" s="58" t="str">
        <f ca="1">IFERROR(__xludf.DUMMYFUNCTION("""COMPUTED_VALUE"""),"المعملجي")</f>
        <v>المعملجي</v>
      </c>
      <c r="D1067" s="58" t="str">
        <f ca="1">IFERROR(__xludf.DUMMYFUNCTION("""COMPUTED_VALUE"""),"وحدة المدني")</f>
        <v>وحدة المدني</v>
      </c>
      <c r="E1067" s="48" t="str">
        <f ca="1">IFERROR(__xludf.DUMMYFUNCTION("""COMPUTED_VALUE"""),"قسم المشاريع الهندسية")</f>
        <v>قسم المشاريع الهندسية</v>
      </c>
      <c r="F1067" s="48" t="str">
        <f ca="1">IFERROR(__xludf.DUMMYFUNCTION("""COMPUTED_VALUE"""),"H- ابتدائية القمر للبنات (الخامسة)")</f>
        <v>H- ابتدائية القمر للبنات (الخامسة)</v>
      </c>
      <c r="G1067" s="48" t="str">
        <f ca="1">IFERROR(__xludf.DUMMYFUNCTION("""COMPUTED_VALUE"""),"السطح")</f>
        <v>السطح</v>
      </c>
      <c r="H1067" s="48" t="str">
        <f ca="1">IFERROR(__xludf.DUMMYFUNCTION("""COMPUTED_VALUE"""),"اعمال صب سيفونة امطار")</f>
        <v>اعمال صب سيفونة امطار</v>
      </c>
      <c r="I1067" s="48"/>
      <c r="J1067" s="48" t="s">
        <v>16</v>
      </c>
      <c r="K1067" s="48" t="s">
        <v>13</v>
      </c>
      <c r="L1067" s="57">
        <v>46203.307526145829</v>
      </c>
      <c r="M1067" s="48"/>
    </row>
    <row r="1068" spans="1:13" ht="75" customHeight="1" thickTop="1" thickBot="1">
      <c r="A1068" s="26">
        <v>1066</v>
      </c>
      <c r="B1068" s="57">
        <f ca="1">IFERROR(__xludf.DUMMYFUNCTION("""COMPUTED_VALUE"""),46203.3077497916)</f>
        <v>46203.307749791602</v>
      </c>
      <c r="C1068" s="58" t="str">
        <f ca="1">IFERROR(__xludf.DUMMYFUNCTION("""COMPUTED_VALUE"""),"المعملجي")</f>
        <v>المعملجي</v>
      </c>
      <c r="D1068" s="58" t="str">
        <f ca="1">IFERROR(__xludf.DUMMYFUNCTION("""COMPUTED_VALUE"""),"وحدة المدني")</f>
        <v>وحدة المدني</v>
      </c>
      <c r="E1068" s="48" t="str">
        <f ca="1">IFERROR(__xludf.DUMMYFUNCTION("""COMPUTED_VALUE"""),"قسم المشاريع الهندسية")</f>
        <v>قسم المشاريع الهندسية</v>
      </c>
      <c r="F1068" s="48" t="str">
        <f ca="1">IFERROR(__xludf.DUMMYFUNCTION("""COMPUTED_VALUE"""),"H- ابتدائية القمر للبنات (الخامسة)")</f>
        <v>H- ابتدائية القمر للبنات (الخامسة)</v>
      </c>
      <c r="G1068" s="48" t="str">
        <f ca="1">IFERROR(__xludf.DUMMYFUNCTION("""COMPUTED_VALUE"""),"السطح")</f>
        <v>السطح</v>
      </c>
      <c r="H1068" s="48" t="str">
        <f ca="1">IFERROR(__xludf.DUMMYFUNCTION("""COMPUTED_VALUE"""),"اعمال رفع الانقاض")</f>
        <v>اعمال رفع الانقاض</v>
      </c>
      <c r="I1068" s="48"/>
      <c r="J1068" s="48" t="s">
        <v>16</v>
      </c>
      <c r="K1068" s="48" t="s">
        <v>13</v>
      </c>
      <c r="L1068" s="57">
        <v>46203.307802430558</v>
      </c>
      <c r="M1068" s="48"/>
    </row>
    <row r="1069" spans="1:13" ht="75" customHeight="1" thickTop="1" thickBot="1">
      <c r="A1069" s="34">
        <v>1067</v>
      </c>
      <c r="B1069" s="57">
        <f ca="1">IFERROR(__xludf.DUMMYFUNCTION("""COMPUTED_VALUE"""),46203.5907102893)</f>
        <v>46203.590710289303</v>
      </c>
      <c r="C1069" s="58" t="str">
        <f ca="1">IFERROR(__xludf.DUMMYFUNCTION("""COMPUTED_VALUE"""),"المعملجي")</f>
        <v>المعملجي</v>
      </c>
      <c r="D1069" s="58" t="str">
        <f ca="1">IFERROR(__xludf.DUMMYFUNCTION("""COMPUTED_VALUE"""),"ابو سجاد ")</f>
        <v xml:space="preserve">ابو سجاد </v>
      </c>
      <c r="E1069" s="48" t="str">
        <f ca="1">IFERROR(__xludf.DUMMYFUNCTION("""COMPUTED_VALUE"""),"مجموعة العميد التربوية")</f>
        <v>مجموعة العميد التربوية</v>
      </c>
      <c r="F1069" s="48" t="str">
        <f ca="1">IFERROR(__xludf.DUMMYFUNCTION("""COMPUTED_VALUE"""),"G- روضة الجود")</f>
        <v>G- روضة الجود</v>
      </c>
      <c r="G1069" s="48" t="str">
        <f ca="1">IFERROR(__xludf.DUMMYFUNCTION("""COMPUTED_VALUE"""),"الطابق الارضي")</f>
        <v>الطابق الارضي</v>
      </c>
      <c r="H1069" s="48" t="str">
        <f ca="1">IFERROR(__xludf.DUMMYFUNCTION("""COMPUTED_VALUE"""),"تبديل كاك سقي ")</f>
        <v xml:space="preserve">تبديل كاك سقي </v>
      </c>
      <c r="I1069" s="48"/>
      <c r="J1069" s="48" t="s">
        <v>14</v>
      </c>
      <c r="K1069" s="48" t="s">
        <v>13</v>
      </c>
      <c r="L1069" s="57">
        <v>46203.59144837963</v>
      </c>
      <c r="M1069" s="48"/>
    </row>
    <row r="1070" spans="1:13" ht="75" customHeight="1" thickTop="1" thickBot="1">
      <c r="A1070" s="26">
        <v>1068</v>
      </c>
      <c r="B1070" s="57">
        <f ca="1">IFERROR(__xludf.DUMMYFUNCTION("""COMPUTED_VALUE"""),46203.5962764814)</f>
        <v>46203.596276481403</v>
      </c>
      <c r="C1070" s="58" t="str">
        <f ca="1">IFERROR(__xludf.DUMMYFUNCTION("""COMPUTED_VALUE"""),"المعملجي")</f>
        <v>المعملجي</v>
      </c>
      <c r="D1070" s="58" t="str">
        <f ca="1">IFERROR(__xludf.DUMMYFUNCTION("""COMPUTED_VALUE"""),"وحدة المدني")</f>
        <v>وحدة المدني</v>
      </c>
      <c r="E1070" s="48" t="str">
        <f ca="1">IFERROR(__xludf.DUMMYFUNCTION("""COMPUTED_VALUE"""),"قسم المشاريع الهندسية")</f>
        <v>قسم المشاريع الهندسية</v>
      </c>
      <c r="F1070" s="48" t="str">
        <f ca="1">IFERROR(__xludf.DUMMYFUNCTION("""COMPUTED_VALUE"""),"F-  ابتدائية جود العميد للبنات (الرابعة)")</f>
        <v>F-  ابتدائية جود العميد للبنات (الرابعة)</v>
      </c>
      <c r="G1070" s="48" t="str">
        <f ca="1">IFERROR(__xludf.DUMMYFUNCTION("""COMPUTED_VALUE"""),"الطابق الثاني")</f>
        <v>الطابق الثاني</v>
      </c>
      <c r="H1070" s="48" t="str">
        <f ca="1">IFERROR(__xludf.DUMMYFUNCTION("""COMPUTED_VALUE"""),"فتح وشد بردة")</f>
        <v>فتح وشد بردة</v>
      </c>
      <c r="I1070" s="48"/>
      <c r="J1070" s="48" t="s">
        <v>16</v>
      </c>
      <c r="K1070" s="48" t="s">
        <v>13</v>
      </c>
      <c r="L1070" s="57">
        <v>46203.596871805552</v>
      </c>
      <c r="M1070" s="48"/>
    </row>
    <row r="1071" spans="1:13" ht="75" customHeight="1" thickTop="1" thickBot="1">
      <c r="A1071" s="34">
        <v>1069</v>
      </c>
      <c r="B1071" s="57">
        <f ca="1">IFERROR(__xludf.DUMMYFUNCTION("""COMPUTED_VALUE"""),46203.596674699)</f>
        <v>46203.596674699002</v>
      </c>
      <c r="C1071" s="58" t="str">
        <f ca="1">IFERROR(__xludf.DUMMYFUNCTION("""COMPUTED_VALUE"""),"المعملجي")</f>
        <v>المعملجي</v>
      </c>
      <c r="D1071" s="58" t="str">
        <f ca="1">IFERROR(__xludf.DUMMYFUNCTION("""COMPUTED_VALUE"""),"وحدة التبريد")</f>
        <v>وحدة التبريد</v>
      </c>
      <c r="E1071" s="48" t="str">
        <f ca="1">IFERROR(__xludf.DUMMYFUNCTION("""COMPUTED_VALUE"""),"قسم المشاريع الهندسية")</f>
        <v>قسم المشاريع الهندسية</v>
      </c>
      <c r="F1071" s="48" t="str">
        <f ca="1">IFERROR(__xludf.DUMMYFUNCTION("""COMPUTED_VALUE"""),"A- المركز الثقافي")</f>
        <v>A- المركز الثقافي</v>
      </c>
      <c r="G1071" s="48" t="str">
        <f ca="1">IFERROR(__xludf.DUMMYFUNCTION("""COMPUTED_VALUE"""),"الطابق الارضي")</f>
        <v>الطابق الارضي</v>
      </c>
      <c r="H1071" s="48" t="str">
        <f ca="1">IFERROR(__xludf.DUMMYFUNCTION("""COMPUTED_VALUE"""),"صيانة سبلت")</f>
        <v>صيانة سبلت</v>
      </c>
      <c r="I1071" s="48"/>
      <c r="J1071" s="48" t="s">
        <v>15</v>
      </c>
      <c r="K1071" s="48" t="s">
        <v>13</v>
      </c>
      <c r="L1071" s="57">
        <v>46203.596878587967</v>
      </c>
      <c r="M1071" s="48"/>
    </row>
    <row r="1072" spans="1:13" ht="75" customHeight="1" thickTop="1" thickBot="1">
      <c r="A1072" s="26">
        <v>1070</v>
      </c>
      <c r="B1072" s="57">
        <f ca="1">IFERROR(__xludf.DUMMYFUNCTION("""COMPUTED_VALUE"""),46203.6017398263)</f>
        <v>46203.601739826299</v>
      </c>
      <c r="C1072" s="58" t="str">
        <f ca="1">IFERROR(__xludf.DUMMYFUNCTION("""COMPUTED_VALUE"""),"المعملجي")</f>
        <v>المعملجي</v>
      </c>
      <c r="D1072" s="58" t="str">
        <f ca="1">IFERROR(__xludf.DUMMYFUNCTION("""COMPUTED_VALUE"""),"وحدة الكهرباء")</f>
        <v>وحدة الكهرباء</v>
      </c>
      <c r="E1072" s="48" t="str">
        <f ca="1">IFERROR(__xludf.DUMMYFUNCTION("""COMPUTED_VALUE"""),"قسم المشاريع الهندسية")</f>
        <v>قسم المشاريع الهندسية</v>
      </c>
      <c r="F1072" s="48" t="str">
        <f ca="1">IFERROR(__xludf.DUMMYFUNCTION("""COMPUTED_VALUE"""),"J- جامعة العميد (السابعة)")</f>
        <v>J- جامعة العميد (السابعة)</v>
      </c>
      <c r="G1072" s="48" t="str">
        <f ca="1">IFERROR(__xludf.DUMMYFUNCTION("""COMPUTED_VALUE"""),"الطابق الارضي, ZONE B")</f>
        <v>الطابق الارضي, ZONE B</v>
      </c>
      <c r="H1072" s="48" t="str">
        <f ca="1">IFERROR(__xludf.DUMMYFUNCTION("""COMPUTED_VALUE"""),"إعادة تسمية كل وحدة تبريد داخلية بغرف الكهرباء بأسم الغرفة التي فيها")</f>
        <v>إعادة تسمية كل وحدة تبريد داخلية بغرف الكهرباء بأسم الغرفة التي فيها</v>
      </c>
      <c r="I1072" s="48"/>
      <c r="J1072" s="48" t="s">
        <v>3910</v>
      </c>
      <c r="K1072" s="48" t="s">
        <v>13</v>
      </c>
      <c r="L1072" s="57">
        <v>46203.630558611112</v>
      </c>
      <c r="M1072" s="48"/>
    </row>
    <row r="1073" spans="1:13" ht="75" customHeight="1" thickTop="1" thickBot="1">
      <c r="A1073" s="34">
        <v>1071</v>
      </c>
      <c r="B1073" s="57">
        <f ca="1">IFERROR(__xludf.DUMMYFUNCTION("""COMPUTED_VALUE"""),46203.6021217245)</f>
        <v>46203.6021217245</v>
      </c>
      <c r="C1073" s="58" t="str">
        <f ca="1">IFERROR(__xludf.DUMMYFUNCTION("""COMPUTED_VALUE"""),"المعملجي")</f>
        <v>المعملجي</v>
      </c>
      <c r="D1073" s="58" t="str">
        <f ca="1">IFERROR(__xludf.DUMMYFUNCTION("""COMPUTED_VALUE"""),"وحدة الكهرباء")</f>
        <v>وحدة الكهرباء</v>
      </c>
      <c r="E1073" s="48" t="str">
        <f ca="1">IFERROR(__xludf.DUMMYFUNCTION("""COMPUTED_VALUE"""),"قسم المشاريع الهندسية")</f>
        <v>قسم المشاريع الهندسية</v>
      </c>
      <c r="F1073" s="48" t="str">
        <f ca="1">IFERROR(__xludf.DUMMYFUNCTION("""COMPUTED_VALUE"""),"J- جامعة العميد (السابعة)")</f>
        <v>J- جامعة العميد (السابعة)</v>
      </c>
      <c r="G1073" s="48"/>
      <c r="H1073" s="48" t="str">
        <f ca="1">IFERROR(__xludf.DUMMYFUNCTION("""COMPUTED_VALUE""")," إضافة قسم جديد باسم ""غرف الكهرباء""  وإضافة جميع الوحدات فيها")</f>
        <v xml:space="preserve"> إضافة قسم جديد باسم "غرف الكهرباء"  وإضافة جميع الوحدات فيها</v>
      </c>
      <c r="I1073" s="48"/>
      <c r="J1073" s="48" t="s">
        <v>3910</v>
      </c>
      <c r="K1073" s="48" t="s">
        <v>13</v>
      </c>
      <c r="L1073" s="57">
        <v>46203.630563587962</v>
      </c>
      <c r="M1073" s="48"/>
    </row>
    <row r="1074" spans="1:13" ht="75" customHeight="1" thickTop="1" thickBot="1">
      <c r="A1074" s="26">
        <v>1072</v>
      </c>
      <c r="B1074" s="57">
        <f ca="1">IFERROR(__xludf.DUMMYFUNCTION("""COMPUTED_VALUE"""),46203.6118444444)</f>
        <v>46203.6118444444</v>
      </c>
      <c r="C1074" s="58" t="str">
        <f ca="1">IFERROR(__xludf.DUMMYFUNCTION("""COMPUTED_VALUE"""),"المعملجي")</f>
        <v>المعملجي</v>
      </c>
      <c r="D1074" s="58" t="str">
        <f ca="1">IFERROR(__xludf.DUMMYFUNCTION("""COMPUTED_VALUE"""),"وحدة الكهرباء")</f>
        <v>وحدة الكهرباء</v>
      </c>
      <c r="E1074" s="48" t="str">
        <f ca="1">IFERROR(__xludf.DUMMYFUNCTION("""COMPUTED_VALUE"""),"قسم المشاريع الهندسية")</f>
        <v>قسم المشاريع الهندسية</v>
      </c>
      <c r="F1074" s="48" t="str">
        <f ca="1">IFERROR(__xludf.DUMMYFUNCTION("""COMPUTED_VALUE"""),"B- روضة القمر")</f>
        <v>B- روضة القمر</v>
      </c>
      <c r="G1074" s="48"/>
      <c r="H1074" s="48" t="str">
        <f ca="1">IFERROR(__xludf.DUMMYFUNCTION("""COMPUTED_VALUE"""),"صيانة سبوت لايت عدد 2 واعادة تثبيت بلك سيوج عدد 2")</f>
        <v>صيانة سبوت لايت عدد 2 واعادة تثبيت بلك سيوج عدد 2</v>
      </c>
      <c r="I1074" s="48"/>
      <c r="J1074" s="48" t="s">
        <v>3910</v>
      </c>
      <c r="K1074" s="48" t="s">
        <v>13</v>
      </c>
      <c r="L1074" s="57">
        <v>46203.630564004634</v>
      </c>
      <c r="M1074" s="48"/>
    </row>
    <row r="1075" spans="1:13" ht="75" customHeight="1" thickTop="1" thickBot="1">
      <c r="A1075" s="34">
        <v>1073</v>
      </c>
      <c r="B1075" s="57">
        <f ca="1">IFERROR(__xludf.DUMMYFUNCTION("""COMPUTED_VALUE"""),46203.6124647337)</f>
        <v>46203.612464733698</v>
      </c>
      <c r="C1075" s="58" t="str">
        <f ca="1">IFERROR(__xludf.DUMMYFUNCTION("""COMPUTED_VALUE"""),"المعملجي")</f>
        <v>المعملجي</v>
      </c>
      <c r="D1075" s="58" t="str">
        <f ca="1">IFERROR(__xludf.DUMMYFUNCTION("""COMPUTED_VALUE"""),"وحدة الكهرباء")</f>
        <v>وحدة الكهرباء</v>
      </c>
      <c r="E1075" s="48" t="str">
        <f ca="1">IFERROR(__xludf.DUMMYFUNCTION("""COMPUTED_VALUE"""),"قسم المشاريع الهندسية")</f>
        <v>قسم المشاريع الهندسية</v>
      </c>
      <c r="F1075" s="48" t="str">
        <f ca="1">IFERROR(__xludf.DUMMYFUNCTION("""COMPUTED_VALUE"""),"B- روضة القمر")</f>
        <v>B- روضة القمر</v>
      </c>
      <c r="G1075" s="48"/>
      <c r="H1075" s="48" t="str">
        <f ca="1">IFERROR(__xludf.DUMMYFUNCTION("""COMPUTED_VALUE"""),"استبدال ماشة وتثبيت بلك سويج ثلاثي
")</f>
        <v xml:space="preserve">استبدال ماشة وتثبيت بلك سويج ثلاثي
</v>
      </c>
      <c r="I1075" s="48"/>
      <c r="J1075" s="48" t="s">
        <v>3910</v>
      </c>
      <c r="K1075" s="48" t="s">
        <v>13</v>
      </c>
      <c r="L1075" s="57">
        <v>46203.63058081019</v>
      </c>
      <c r="M1075" s="48"/>
    </row>
    <row r="1076" spans="1:13" ht="75" customHeight="1" thickTop="1" thickBot="1">
      <c r="A1076" s="26">
        <v>1074</v>
      </c>
      <c r="B1076" s="57">
        <f ca="1">IFERROR(__xludf.DUMMYFUNCTION("""COMPUTED_VALUE"""),46203.6250905439)</f>
        <v>46203.625090543901</v>
      </c>
      <c r="C1076" s="58" t="str">
        <f ca="1">IFERROR(__xludf.DUMMYFUNCTION("""COMPUTED_VALUE"""),"المعملجي")</f>
        <v>المعملجي</v>
      </c>
      <c r="D1076" s="58" t="str">
        <f ca="1">IFERROR(__xludf.DUMMYFUNCTION("""COMPUTED_VALUE"""),"وحدة الكهرباء")</f>
        <v>وحدة الكهرباء</v>
      </c>
      <c r="E1076" s="48" t="str">
        <f ca="1">IFERROR(__xludf.DUMMYFUNCTION("""COMPUTED_VALUE"""),"قسم المشاريع الهندسية")</f>
        <v>قسم المشاريع الهندسية</v>
      </c>
      <c r="F1076" s="48" t="str">
        <f ca="1">IFERROR(__xludf.DUMMYFUNCTION("""COMPUTED_VALUE"""),"C- ثانوية العميد بناية الاعدادية  (الاولى)")</f>
        <v>C- ثانوية العميد بناية الاعدادية  (الاولى)</v>
      </c>
      <c r="G1076" s="48"/>
      <c r="H1076" s="48" t="str">
        <f ca="1">IFERROR(__xludf.DUMMYFUNCTION("""COMPUTED_VALUE"""),"استبدال محولة سبوت لايت عدد 1 ")</f>
        <v xml:space="preserve">استبدال محولة سبوت لايت عدد 1 </v>
      </c>
      <c r="I1076" s="48"/>
      <c r="J1076" s="48" t="s">
        <v>3910</v>
      </c>
      <c r="K1076" s="48" t="s">
        <v>13</v>
      </c>
      <c r="L1076" s="57">
        <v>46203.630581782403</v>
      </c>
      <c r="M1076" s="48"/>
    </row>
    <row r="1077" spans="1:13" ht="75" customHeight="1" thickTop="1" thickBot="1">
      <c r="A1077" s="34">
        <v>1075</v>
      </c>
      <c r="B1077" s="57">
        <f ca="1">IFERROR(__xludf.DUMMYFUNCTION("""COMPUTED_VALUE"""),46203.6255305902)</f>
        <v>46203.625530590201</v>
      </c>
      <c r="C1077" s="58" t="str">
        <f ca="1">IFERROR(__xludf.DUMMYFUNCTION("""COMPUTED_VALUE"""),"المعملجي")</f>
        <v>المعملجي</v>
      </c>
      <c r="D1077" s="58" t="str">
        <f ca="1">IFERROR(__xludf.DUMMYFUNCTION("""COMPUTED_VALUE"""),"وحدة الكهرباء")</f>
        <v>وحدة الكهرباء</v>
      </c>
      <c r="E1077" s="48" t="str">
        <f ca="1">IFERROR(__xludf.DUMMYFUNCTION("""COMPUTED_VALUE"""),"قسم المشاريع الهندسية")</f>
        <v>قسم المشاريع الهندسية</v>
      </c>
      <c r="F1077" s="48" t="str">
        <f ca="1">IFERROR(__xludf.DUMMYFUNCTION("""COMPUTED_VALUE"""),"C- ثانوية العميد بناية الاعدادية  (الاولى)")</f>
        <v>C- ثانوية العميد بناية الاعدادية  (الاولى)</v>
      </c>
      <c r="G1077" s="48"/>
      <c r="H1077" s="48" t="str">
        <f ca="1">IFERROR(__xludf.DUMMYFUNCTION("""COMPUTED_VALUE"""),"استبدال ماخذ قدرة عدد 2 ")</f>
        <v xml:space="preserve">استبدال ماخذ قدرة عدد 2 </v>
      </c>
      <c r="I1077" s="48"/>
      <c r="J1077" s="48" t="s">
        <v>3910</v>
      </c>
      <c r="K1077" s="48" t="s">
        <v>13</v>
      </c>
      <c r="L1077" s="57">
        <v>46203.63059479167</v>
      </c>
      <c r="M1077" s="48"/>
    </row>
    <row r="1078" spans="1:13" ht="75" customHeight="1" thickTop="1" thickBot="1">
      <c r="A1078" s="26">
        <v>1076</v>
      </c>
      <c r="B1078" s="57">
        <f ca="1">IFERROR(__xludf.DUMMYFUNCTION("""COMPUTED_VALUE"""),46203.6262084259)</f>
        <v>46203.6262084259</v>
      </c>
      <c r="C1078" s="58" t="str">
        <f ca="1">IFERROR(__xludf.DUMMYFUNCTION("""COMPUTED_VALUE"""),"المعملجي")</f>
        <v>المعملجي</v>
      </c>
      <c r="D1078" s="58" t="str">
        <f ca="1">IFERROR(__xludf.DUMMYFUNCTION("""COMPUTED_VALUE"""),"وحدة الكهرباء")</f>
        <v>وحدة الكهرباء</v>
      </c>
      <c r="E1078" s="48" t="str">
        <f ca="1">IFERROR(__xludf.DUMMYFUNCTION("""COMPUTED_VALUE"""),"قسم المشاريع الهندسية")</f>
        <v>قسم المشاريع الهندسية</v>
      </c>
      <c r="F1078" s="48" t="str">
        <f ca="1">IFERROR(__xludf.DUMMYFUNCTION("""COMPUTED_VALUE"""),"A- المركز الثقافي")</f>
        <v>A- المركز الثقافي</v>
      </c>
      <c r="G1078" s="48" t="str">
        <f ca="1">IFERROR(__xludf.DUMMYFUNCTION("""COMPUTED_VALUE"""),"الطابق الرابع, الكاميرات")</f>
        <v>الطابق الرابع, الكاميرات</v>
      </c>
      <c r="H1078" s="48" t="str">
        <f ca="1">IFERROR(__xludf.DUMMYFUNCTION("""COMPUTED_VALUE""")," تسمية بقية الماوسات عدد (8) لسهولة تميزها")</f>
        <v xml:space="preserve"> تسمية بقية الماوسات عدد (8) لسهولة تميزها</v>
      </c>
      <c r="I1078" s="48"/>
      <c r="J1078" s="48" t="s">
        <v>3910</v>
      </c>
      <c r="K1078" s="48" t="s">
        <v>13</v>
      </c>
      <c r="L1078" s="57">
        <v>46203.630597071759</v>
      </c>
      <c r="M1078" s="48"/>
    </row>
    <row r="1079" spans="1:13" ht="75" customHeight="1" thickTop="1" thickBot="1">
      <c r="A1079" s="34">
        <v>1077</v>
      </c>
      <c r="B1079" s="57">
        <f ca="1">IFERROR(__xludf.DUMMYFUNCTION("""COMPUTED_VALUE"""),46203.6285526736)</f>
        <v>46203.628552673603</v>
      </c>
      <c r="C1079" s="58" t="str">
        <f ca="1">IFERROR(__xludf.DUMMYFUNCTION("""COMPUTED_VALUE"""),"المعملجي")</f>
        <v>المعملجي</v>
      </c>
      <c r="D1079" s="58" t="str">
        <f ca="1">IFERROR(__xludf.DUMMYFUNCTION("""COMPUTED_VALUE"""),"وحدة التبريد")</f>
        <v>وحدة التبريد</v>
      </c>
      <c r="E1079" s="48" t="str">
        <f ca="1">IFERROR(__xludf.DUMMYFUNCTION("""COMPUTED_VALUE"""),"قسم المشاريع الهندسية")</f>
        <v>قسم المشاريع الهندسية</v>
      </c>
      <c r="F1079" s="48" t="str">
        <f ca="1">IFERROR(__xludf.DUMMYFUNCTION("""COMPUTED_VALUE"""),"G- روضة الجود")</f>
        <v>G- روضة الجود</v>
      </c>
      <c r="G1079" s="48"/>
      <c r="H1079" s="48" t="str">
        <f ca="1">IFERROR(__xludf.DUMMYFUNCTION("""COMPUTED_VALUE"""),"ربط سيارت المبردات وسيار إضافي متكون من 15 بلك سويج لتشغيل انارة البالونات")</f>
        <v>ربط سيارت المبردات وسيار إضافي متكون من 15 بلك سويج لتشغيل انارة البالونات</v>
      </c>
      <c r="I1079" s="48"/>
      <c r="J1079" s="48" t="s">
        <v>3910</v>
      </c>
      <c r="K1079" s="48" t="s">
        <v>13</v>
      </c>
      <c r="L1079" s="57">
        <v>46203.630600868055</v>
      </c>
      <c r="M1079" s="48"/>
    </row>
    <row r="1080" spans="1:13" ht="75" customHeight="1" thickTop="1" thickBot="1">
      <c r="A1080" s="26">
        <v>1078</v>
      </c>
      <c r="B1080" s="57">
        <f ca="1">IFERROR(__xludf.DUMMYFUNCTION("""COMPUTED_VALUE"""),46203.6292127777)</f>
        <v>46203.629212777698</v>
      </c>
      <c r="C1080" s="58" t="str">
        <f ca="1">IFERROR(__xludf.DUMMYFUNCTION("""COMPUTED_VALUE"""),"المعملجي")</f>
        <v>المعملجي</v>
      </c>
      <c r="D1080" s="58" t="str">
        <f ca="1">IFERROR(__xludf.DUMMYFUNCTION("""COMPUTED_VALUE"""),"وحدة الكهرباء")</f>
        <v>وحدة الكهرباء</v>
      </c>
      <c r="E1080" s="48" t="str">
        <f ca="1">IFERROR(__xludf.DUMMYFUNCTION("""COMPUTED_VALUE"""),"قسم المشاريع الهندسية")</f>
        <v>قسم المشاريع الهندسية</v>
      </c>
      <c r="F1080" s="48" t="str">
        <f ca="1">IFERROR(__xludf.DUMMYFUNCTION("""COMPUTED_VALUE"""),"B- روضة القمر")</f>
        <v>B- روضة القمر</v>
      </c>
      <c r="G1080" s="48"/>
      <c r="H1080" s="48" t="str">
        <f ca="1">IFERROR(__xludf.DUMMYFUNCTION("""COMPUTED_VALUE"""),"ربط سيار اضافي متكون من 12 بلك سويج لتشغيل انارة البالونات")</f>
        <v>ربط سيار اضافي متكون من 12 بلك سويج لتشغيل انارة البالونات</v>
      </c>
      <c r="I1080" s="48"/>
      <c r="J1080" s="48" t="s">
        <v>3910</v>
      </c>
      <c r="K1080" s="48" t="s">
        <v>13</v>
      </c>
      <c r="L1080" s="57">
        <v>46203.630614201393</v>
      </c>
      <c r="M1080" s="48"/>
    </row>
    <row r="1081" spans="1:13" ht="75" customHeight="1" thickTop="1" thickBot="1">
      <c r="A1081" s="34">
        <v>1079</v>
      </c>
      <c r="B1081" s="57">
        <f ca="1">IFERROR(__xludf.DUMMYFUNCTION("""COMPUTED_VALUE"""),46203.6331047685)</f>
        <v>46203.633104768502</v>
      </c>
      <c r="C1081" s="58" t="str">
        <f ca="1">IFERROR(__xludf.DUMMYFUNCTION("""COMPUTED_VALUE"""),"المعملجي")</f>
        <v>المعملجي</v>
      </c>
      <c r="D1081" s="58" t="str">
        <f ca="1">IFERROR(__xludf.DUMMYFUNCTION("""COMPUTED_VALUE"""),"وحدة الكهرباء")</f>
        <v>وحدة الكهرباء</v>
      </c>
      <c r="E1081" s="48" t="str">
        <f ca="1">IFERROR(__xludf.DUMMYFUNCTION("""COMPUTED_VALUE"""),"قسم المشاريع الهندسية")</f>
        <v>قسم المشاريع الهندسية</v>
      </c>
      <c r="F1081" s="48" t="str">
        <f ca="1">IFERROR(__xludf.DUMMYFUNCTION("""COMPUTED_VALUE"""),"شعبة الخدمات")</f>
        <v>شعبة الخدمات</v>
      </c>
      <c r="G1081" s="48"/>
      <c r="H1081" s="48" t="str">
        <f ca="1">IFERROR(__xludf.DUMMYFUNCTION("""COMPUTED_VALUE"""),"عمل سيار كهرباء بطول 5 متر")</f>
        <v>عمل سيار كهرباء بطول 5 متر</v>
      </c>
      <c r="I1081" s="48"/>
      <c r="J1081" s="48" t="s">
        <v>3910</v>
      </c>
      <c r="K1081" s="48" t="s">
        <v>13</v>
      </c>
      <c r="L1081" s="57">
        <v>46203.65527447917</v>
      </c>
      <c r="M1081" s="48"/>
    </row>
    <row r="1082" spans="1:13" ht="75" customHeight="1" thickTop="1" thickBot="1">
      <c r="A1082" s="26">
        <v>1080</v>
      </c>
      <c r="B1082" s="57">
        <f ca="1">IFERROR(__xludf.DUMMYFUNCTION("""COMPUTED_VALUE"""),46203.634224699)</f>
        <v>46203.634224699003</v>
      </c>
      <c r="C1082" s="58" t="str">
        <f ca="1">IFERROR(__xludf.DUMMYFUNCTION("""COMPUTED_VALUE"""),"المعملجي")</f>
        <v>المعملجي</v>
      </c>
      <c r="D1082" s="58" t="str">
        <f ca="1">IFERROR(__xludf.DUMMYFUNCTION("""COMPUTED_VALUE"""),"وحدة الكهرباء")</f>
        <v>وحدة الكهرباء</v>
      </c>
      <c r="E1082" s="48" t="str">
        <f ca="1">IFERROR(__xludf.DUMMYFUNCTION("""COMPUTED_VALUE"""),"قسم المشاريع الهندسية")</f>
        <v>قسم المشاريع الهندسية</v>
      </c>
      <c r="F1082" s="48" t="str">
        <f ca="1">IFERROR(__xludf.DUMMYFUNCTION("""COMPUTED_VALUE"""),"F-  ابتدائية جود العميد للبنات (الرابعة)")</f>
        <v>F-  ابتدائية جود العميد للبنات (الرابعة)</v>
      </c>
      <c r="G1082" s="48" t="str">
        <f ca="1">IFERROR(__xludf.DUMMYFUNCTION("""COMPUTED_VALUE"""),"الطابق الارضي, ZONE B")</f>
        <v>الطابق الارضي, ZONE B</v>
      </c>
      <c r="H1082" s="48" t="str">
        <f ca="1">IFERROR(__xludf.DUMMYFUNCTION("""COMPUTED_VALUE"""),"تسليك كيبل بطول 40 متر لتغية سيارات حرارية ")</f>
        <v xml:space="preserve">تسليك كيبل بطول 40 متر لتغية سيارات حرارية </v>
      </c>
      <c r="I1082" s="48"/>
      <c r="J1082" s="48" t="s">
        <v>3910</v>
      </c>
      <c r="K1082" s="48" t="s">
        <v>13</v>
      </c>
      <c r="L1082" s="57">
        <v>46203.655287766203</v>
      </c>
      <c r="M1082" s="48"/>
    </row>
    <row r="1083" spans="1:13" ht="75" customHeight="1" thickTop="1" thickBot="1">
      <c r="A1083" s="34">
        <v>1081</v>
      </c>
      <c r="B1083" s="57">
        <f ca="1">IFERROR(__xludf.DUMMYFUNCTION("""COMPUTED_VALUE"""),46203.6347844907)</f>
        <v>46203.6347844907</v>
      </c>
      <c r="C1083" s="58" t="str">
        <f ca="1">IFERROR(__xludf.DUMMYFUNCTION("""COMPUTED_VALUE"""),"المعملجي")</f>
        <v>المعملجي</v>
      </c>
      <c r="D1083" s="58" t="str">
        <f ca="1">IFERROR(__xludf.DUMMYFUNCTION("""COMPUTED_VALUE"""),"وحدة الكهرباء")</f>
        <v>وحدة الكهرباء</v>
      </c>
      <c r="E1083" s="48" t="str">
        <f ca="1">IFERROR(__xludf.DUMMYFUNCTION("""COMPUTED_VALUE"""),"قسم المشاريع الهندسية")</f>
        <v>قسم المشاريع الهندسية</v>
      </c>
      <c r="F1083" s="48" t="str">
        <f ca="1">IFERROR(__xludf.DUMMYFUNCTION("""COMPUTED_VALUE"""),"D- ثانوية العميد بناية المتوسطة  (الثانية)")</f>
        <v>D- ثانوية العميد بناية المتوسطة  (الثانية)</v>
      </c>
      <c r="G1083" s="48" t="str">
        <f ca="1">IFERROR(__xludf.DUMMYFUNCTION("""COMPUTED_VALUE"""),"الطابق الارضي, ZONE A")</f>
        <v>الطابق الارضي, ZONE A</v>
      </c>
      <c r="H1083" s="48" t="str">
        <f ca="1">IFERROR(__xludf.DUMMYFUNCTION("""COMPUTED_VALUE"""),"فتح احد القواطع الاحتياطية لاستغلالها في مكان اخر")</f>
        <v>فتح احد القواطع الاحتياطية لاستغلالها في مكان اخر</v>
      </c>
      <c r="I1083" s="48"/>
      <c r="J1083" s="48" t="s">
        <v>3910</v>
      </c>
      <c r="K1083" s="48" t="s">
        <v>13</v>
      </c>
      <c r="L1083" s="57">
        <v>46203.655287719906</v>
      </c>
      <c r="M1083" s="48"/>
    </row>
    <row r="1084" spans="1:13" ht="75" customHeight="1" thickTop="1" thickBot="1">
      <c r="A1084" s="26">
        <v>1082</v>
      </c>
      <c r="B1084" s="57">
        <f ca="1">IFERROR(__xludf.DUMMYFUNCTION("""COMPUTED_VALUE"""),46203.6351678356)</f>
        <v>46203.6351678356</v>
      </c>
      <c r="C1084" s="58" t="str">
        <f ca="1">IFERROR(__xludf.DUMMYFUNCTION("""COMPUTED_VALUE"""),"المعملجي")</f>
        <v>المعملجي</v>
      </c>
      <c r="D1084" s="58" t="str">
        <f ca="1">IFERROR(__xludf.DUMMYFUNCTION("""COMPUTED_VALUE"""),"وحدة الكهرباء")</f>
        <v>وحدة الكهرباء</v>
      </c>
      <c r="E1084" s="48" t="str">
        <f ca="1">IFERROR(__xludf.DUMMYFUNCTION("""COMPUTED_VALUE"""),"قسم المشاريع الهندسية")</f>
        <v>قسم المشاريع الهندسية</v>
      </c>
      <c r="F1084" s="48" t="str">
        <f ca="1">IFERROR(__xludf.DUMMYFUNCTION("""COMPUTED_VALUE"""),"بيت الاعلام")</f>
        <v>بيت الاعلام</v>
      </c>
      <c r="G1084" s="48"/>
      <c r="H1084" s="48" t="str">
        <f ca="1">IFERROR(__xludf.DUMMYFUNCTION("""COMPUTED_VALUE"""),"استبدال قاطع 100 امبير تالف")</f>
        <v>استبدال قاطع 100 امبير تالف</v>
      </c>
      <c r="I1084" s="48"/>
      <c r="J1084" s="48" t="s">
        <v>3910</v>
      </c>
      <c r="K1084" s="48" t="s">
        <v>13</v>
      </c>
      <c r="L1084" s="57">
        <v>46203.655291041665</v>
      </c>
      <c r="M1084" s="48"/>
    </row>
    <row r="1085" spans="1:13" ht="75" customHeight="1" thickTop="1" thickBot="1">
      <c r="A1085" s="34">
        <v>1083</v>
      </c>
      <c r="B1085" s="57">
        <f ca="1">IFERROR(__xludf.DUMMYFUNCTION("""COMPUTED_VALUE"""),46203.6355355092)</f>
        <v>46203.635535509202</v>
      </c>
      <c r="C1085" s="58" t="str">
        <f ca="1">IFERROR(__xludf.DUMMYFUNCTION("""COMPUTED_VALUE"""),"المعملجي")</f>
        <v>المعملجي</v>
      </c>
      <c r="D1085" s="58" t="str">
        <f ca="1">IFERROR(__xludf.DUMMYFUNCTION("""COMPUTED_VALUE"""),"وحدة الكهرباء")</f>
        <v>وحدة الكهرباء</v>
      </c>
      <c r="E1085" s="48" t="str">
        <f ca="1">IFERROR(__xludf.DUMMYFUNCTION("""COMPUTED_VALUE"""),"قسم المشاريع الهندسية")</f>
        <v>قسم المشاريع الهندسية</v>
      </c>
      <c r="F1085" s="48" t="str">
        <f ca="1">IFERROR(__xludf.DUMMYFUNCTION("""COMPUTED_VALUE"""),"بيت الاعلام")</f>
        <v>بيت الاعلام</v>
      </c>
      <c r="G1085" s="48"/>
      <c r="H1085" s="48" t="str">
        <f ca="1">IFERROR(__xludf.DUMMYFUNCTION("""COMPUTED_VALUE"""),"اعادة توزيع الاحمال الكهربائية بالتساوي ")</f>
        <v xml:space="preserve">اعادة توزيع الاحمال الكهربائية بالتساوي </v>
      </c>
      <c r="I1085" s="48"/>
      <c r="J1085" s="48" t="s">
        <v>3910</v>
      </c>
      <c r="K1085" s="48" t="s">
        <v>13</v>
      </c>
      <c r="L1085" s="57">
        <v>46203.655299803242</v>
      </c>
      <c r="M1085" s="48"/>
    </row>
    <row r="1086" spans="1:13" ht="75" customHeight="1" thickTop="1" thickBot="1">
      <c r="A1086" s="26">
        <v>1084</v>
      </c>
      <c r="B1086" s="57">
        <f ca="1">IFERROR(__xludf.DUMMYFUNCTION("""COMPUTED_VALUE"""),46203.6360692129)</f>
        <v>46203.636069212902</v>
      </c>
      <c r="C1086" s="58" t="str">
        <f ca="1">IFERROR(__xludf.DUMMYFUNCTION("""COMPUTED_VALUE"""),"المعملجي")</f>
        <v>المعملجي</v>
      </c>
      <c r="D1086" s="58" t="str">
        <f ca="1">IFERROR(__xludf.DUMMYFUNCTION("""COMPUTED_VALUE"""),"وحدة الكهرباء")</f>
        <v>وحدة الكهرباء</v>
      </c>
      <c r="E1086" s="48" t="str">
        <f ca="1">IFERROR(__xludf.DUMMYFUNCTION("""COMPUTED_VALUE"""),"قسم المشاريع الهندسية")</f>
        <v>قسم المشاريع الهندسية</v>
      </c>
      <c r="F1086" s="48" t="str">
        <f ca="1">IFERROR(__xludf.DUMMYFUNCTION("""COMPUTED_VALUE"""),"A- المركز الثقافي")</f>
        <v>A- المركز الثقافي</v>
      </c>
      <c r="G1086" s="48" t="str">
        <f ca="1">IFERROR(__xludf.DUMMYFUNCTION("""COMPUTED_VALUE"""),"الطابق الاول")</f>
        <v>الطابق الاول</v>
      </c>
      <c r="H1086" s="48" t="str">
        <f ca="1">IFERROR(__xludf.DUMMYFUNCTION("""COMPUTED_VALUE"""),"فحص كفاءة بطاريات ups بعد اطفاء الكهرباء عنه")</f>
        <v>فحص كفاءة بطاريات ups بعد اطفاء الكهرباء عنه</v>
      </c>
      <c r="I1086" s="48"/>
      <c r="J1086" s="48" t="s">
        <v>3910</v>
      </c>
      <c r="K1086" s="48" t="s">
        <v>13</v>
      </c>
      <c r="L1086" s="57">
        <v>46203.655310925926</v>
      </c>
      <c r="M1086" s="48"/>
    </row>
    <row r="1087" spans="1:13" ht="75" customHeight="1" thickTop="1" thickBot="1">
      <c r="A1087" s="34">
        <v>1085</v>
      </c>
      <c r="B1087" s="57">
        <f ca="1">IFERROR(__xludf.DUMMYFUNCTION("""COMPUTED_VALUE"""),46203.636816875)</f>
        <v>46203.636816874998</v>
      </c>
      <c r="C1087" s="58" t="str">
        <f ca="1">IFERROR(__xludf.DUMMYFUNCTION("""COMPUTED_VALUE"""),"المعملجي")</f>
        <v>المعملجي</v>
      </c>
      <c r="D1087" s="58" t="str">
        <f ca="1">IFERROR(__xludf.DUMMYFUNCTION("""COMPUTED_VALUE"""),"وحدة الكهرباء")</f>
        <v>وحدة الكهرباء</v>
      </c>
      <c r="E1087" s="48" t="str">
        <f ca="1">IFERROR(__xludf.DUMMYFUNCTION("""COMPUTED_VALUE"""),"قسم المشاريع الهندسية")</f>
        <v>قسم المشاريع الهندسية</v>
      </c>
      <c r="F1087" s="48" t="str">
        <f ca="1">IFERROR(__xludf.DUMMYFUNCTION("""COMPUTED_VALUE"""),"متفرقة")</f>
        <v>متفرقة</v>
      </c>
      <c r="G1087" s="48"/>
      <c r="H1087" s="48" t="str">
        <f ca="1">IFERROR(__xludf.DUMMYFUNCTION("""COMPUTED_VALUE"""),"صيانة كرت عدد 2 خاص بالتبريد المركزي vrf")</f>
        <v>صيانة كرت عدد 2 خاص بالتبريد المركزي vrf</v>
      </c>
      <c r="I1087" s="48"/>
      <c r="J1087" s="48" t="s">
        <v>3910</v>
      </c>
      <c r="K1087" s="48" t="s">
        <v>13</v>
      </c>
      <c r="L1087" s="57">
        <v>46203.655314224539</v>
      </c>
      <c r="M1087" s="48"/>
    </row>
    <row r="1088" spans="1:13" ht="75" customHeight="1" thickTop="1" thickBot="1">
      <c r="A1088" s="26">
        <v>1086</v>
      </c>
      <c r="B1088" s="57">
        <f ca="1">IFERROR(__xludf.DUMMYFUNCTION("""COMPUTED_VALUE"""),46203.6388000578)</f>
        <v>46203.638800057801</v>
      </c>
      <c r="C1088" s="58" t="str">
        <f ca="1">IFERROR(__xludf.DUMMYFUNCTION("""COMPUTED_VALUE"""),"المعملجي")</f>
        <v>المعملجي</v>
      </c>
      <c r="D1088" s="58" t="str">
        <f ca="1">IFERROR(__xludf.DUMMYFUNCTION("""COMPUTED_VALUE"""),"وحدة الكهرباء")</f>
        <v>وحدة الكهرباء</v>
      </c>
      <c r="E1088" s="48" t="str">
        <f ca="1">IFERROR(__xludf.DUMMYFUNCTION("""COMPUTED_VALUE"""),"قسم المشاريع الهندسية")</f>
        <v>قسم المشاريع الهندسية</v>
      </c>
      <c r="F1088" s="48" t="str">
        <f ca="1">IFERROR(__xludf.DUMMYFUNCTION("""COMPUTED_VALUE"""),"G- روضة الجود")</f>
        <v>G- روضة الجود</v>
      </c>
      <c r="G1088" s="48" t="str">
        <f ca="1">IFERROR(__xludf.DUMMYFUNCTION("""COMPUTED_VALUE"""),"الطاقة الشمسية")</f>
        <v>الطاقة الشمسية</v>
      </c>
      <c r="H1088" s="48" t="str">
        <f ca="1">IFERROR(__xludf.DUMMYFUNCTION("""COMPUTED_VALUE"""),"توزيع الاحمال بين الانفيرتر والبطارية بوضع قاطع  بالوسط")</f>
        <v>توزيع الاحمال بين الانفيرتر والبطارية بوضع قاطع  بالوسط</v>
      </c>
      <c r="I1088" s="48"/>
      <c r="J1088" s="48" t="s">
        <v>3910</v>
      </c>
      <c r="K1088" s="48" t="s">
        <v>13</v>
      </c>
      <c r="L1088" s="57">
        <v>46203.655317731478</v>
      </c>
      <c r="M1088" s="48"/>
    </row>
    <row r="1089" spans="1:13" ht="75" customHeight="1" thickTop="1" thickBot="1">
      <c r="A1089" s="34">
        <v>1087</v>
      </c>
      <c r="B1089" s="57">
        <f ca="1">IFERROR(__xludf.DUMMYFUNCTION("""COMPUTED_VALUE"""),46203.6394199537)</f>
        <v>46203.639419953703</v>
      </c>
      <c r="C1089" s="58" t="str">
        <f ca="1">IFERROR(__xludf.DUMMYFUNCTION("""COMPUTED_VALUE"""),"المعملجي")</f>
        <v>المعملجي</v>
      </c>
      <c r="D1089" s="58" t="str">
        <f ca="1">IFERROR(__xludf.DUMMYFUNCTION("""COMPUTED_VALUE"""),"وحدة الكهرباء")</f>
        <v>وحدة الكهرباء</v>
      </c>
      <c r="E1089" s="48" t="str">
        <f ca="1">IFERROR(__xludf.DUMMYFUNCTION("""COMPUTED_VALUE"""),"قسم المشاريع الهندسية")</f>
        <v>قسم المشاريع الهندسية</v>
      </c>
      <c r="F1089" s="48" t="str">
        <f ca="1">IFERROR(__xludf.DUMMYFUNCTION("""COMPUTED_VALUE"""),"H- ابتدائية القمر للبنات (الخامسة)")</f>
        <v>H- ابتدائية القمر للبنات (الخامسة)</v>
      </c>
      <c r="G1089" s="48" t="str">
        <f ca="1">IFERROR(__xludf.DUMMYFUNCTION("""COMPUTED_VALUE"""),"الطابق الارضي, ZONE B")</f>
        <v>الطابق الارضي, ZONE B</v>
      </c>
      <c r="H1089" s="48" t="str">
        <f ca="1">IFERROR(__xludf.DUMMYFUNCTION("""COMPUTED_VALUE"""),"اسنبدال قاطع 20 بقاطع 32 امبير")</f>
        <v>اسنبدال قاطع 20 بقاطع 32 امبير</v>
      </c>
      <c r="I1089" s="48"/>
      <c r="J1089" s="48" t="s">
        <v>3910</v>
      </c>
      <c r="K1089" s="48" t="s">
        <v>13</v>
      </c>
      <c r="L1089" s="57">
        <v>46203.655323356477</v>
      </c>
      <c r="M1089" s="48"/>
    </row>
    <row r="1090" spans="1:13" ht="75" customHeight="1" thickTop="1" thickBot="1">
      <c r="A1090" s="26">
        <v>1088</v>
      </c>
      <c r="B1090" s="57">
        <f ca="1">IFERROR(__xludf.DUMMYFUNCTION("""COMPUTED_VALUE"""),46203.6546045833)</f>
        <v>46203.654604583302</v>
      </c>
      <c r="C1090" s="58" t="str">
        <f ca="1">IFERROR(__xludf.DUMMYFUNCTION("""COMPUTED_VALUE"""),"المعملجي")</f>
        <v>المعملجي</v>
      </c>
      <c r="D1090" s="58" t="str">
        <f ca="1">IFERROR(__xludf.DUMMYFUNCTION("""COMPUTED_VALUE"""),"وحدة الكهرباء")</f>
        <v>وحدة الكهرباء</v>
      </c>
      <c r="E1090" s="48" t="str">
        <f ca="1">IFERROR(__xludf.DUMMYFUNCTION("""COMPUTED_VALUE"""),"قسم المشاريع الهندسية")</f>
        <v>قسم المشاريع الهندسية</v>
      </c>
      <c r="F1090" s="48" t="str">
        <f ca="1">IFERROR(__xludf.DUMMYFUNCTION("""COMPUTED_VALUE"""),"A- المركز الثقافي")</f>
        <v>A- المركز الثقافي</v>
      </c>
      <c r="G1090" s="48" t="str">
        <f ca="1">IFERROR(__xludf.DUMMYFUNCTION("""COMPUTED_VALUE"""),"الطابق الاول, غرفة الكهرباء")</f>
        <v>الطابق الاول, غرفة الكهرباء</v>
      </c>
      <c r="H1090" s="48" t="str">
        <f ca="1">IFERROR(__xludf.DUMMYFUNCTION("""COMPUTED_VALUE"""),"إحكام تثبيت اسلاك سويج مكيف بعد سماع صوت spark يخرج من النقطة")</f>
        <v>إحكام تثبيت اسلاك سويج مكيف بعد سماع صوت spark يخرج من النقطة</v>
      </c>
      <c r="I1090" s="48"/>
      <c r="J1090" s="48" t="s">
        <v>3910</v>
      </c>
      <c r="K1090" s="48" t="s">
        <v>13</v>
      </c>
      <c r="L1090" s="57">
        <v>46203.655380902783</v>
      </c>
      <c r="M1090" s="48"/>
    </row>
    <row r="1091" spans="1:13" ht="75" customHeight="1" thickTop="1" thickBot="1">
      <c r="A1091" s="34">
        <v>1089</v>
      </c>
      <c r="B1091" s="57">
        <f ca="1">IFERROR(__xludf.DUMMYFUNCTION("""COMPUTED_VALUE"""),46203.6560956249)</f>
        <v>46203.656095624901</v>
      </c>
      <c r="C1091" s="58" t="str">
        <f ca="1">IFERROR(__xludf.DUMMYFUNCTION("""COMPUTED_VALUE"""),"المعملجي")</f>
        <v>المعملجي</v>
      </c>
      <c r="D1091" s="58" t="str">
        <f ca="1">IFERROR(__xludf.DUMMYFUNCTION("""COMPUTED_VALUE"""),"وحدة الكهرباء")</f>
        <v>وحدة الكهرباء</v>
      </c>
      <c r="E1091" s="48" t="str">
        <f ca="1">IFERROR(__xludf.DUMMYFUNCTION("""COMPUTED_VALUE"""),"قسم المشاريع الهندسية")</f>
        <v>قسم المشاريع الهندسية</v>
      </c>
      <c r="F1091" s="48" t="str">
        <f ca="1">IFERROR(__xludf.DUMMYFUNCTION("""COMPUTED_VALUE"""),"A- المركز الثقافي")</f>
        <v>A- المركز الثقافي</v>
      </c>
      <c r="G1091" s="48" t="str">
        <f ca="1">IFERROR(__xludf.DUMMYFUNCTION("""COMPUTED_VALUE"""),"الطابق الاول, غرفة الكهرباء")</f>
        <v>الطابق الاول, غرفة الكهرباء</v>
      </c>
      <c r="H1091" s="48" t="str">
        <f ca="1">IFERROR(__xludf.DUMMYFUNCTION("""COMPUTED_VALUE"""),"اصلاح مشكلة في UPS بعد تعرضه لتوقف مفاجا")</f>
        <v>اصلاح مشكلة في UPS بعد تعرضه لتوقف مفاجا</v>
      </c>
      <c r="I1091" s="48"/>
      <c r="J1091" s="48" t="s">
        <v>3910</v>
      </c>
      <c r="K1091" s="48" t="s">
        <v>13</v>
      </c>
      <c r="L1091" s="57">
        <v>46203.656927928241</v>
      </c>
      <c r="M1091" s="48"/>
    </row>
    <row r="1092" spans="1:13" ht="75" customHeight="1" thickTop="1" thickBot="1">
      <c r="A1092" s="26">
        <v>1090</v>
      </c>
      <c r="B1092" s="57">
        <f ca="1">IFERROR(__xludf.DUMMYFUNCTION("""COMPUTED_VALUE"""),46203.6567054398)</f>
        <v>46203.656705439796</v>
      </c>
      <c r="C1092" s="58" t="str">
        <f ca="1">IFERROR(__xludf.DUMMYFUNCTION("""COMPUTED_VALUE"""),"المعملجي")</f>
        <v>المعملجي</v>
      </c>
      <c r="D1092" s="58" t="str">
        <f ca="1">IFERROR(__xludf.DUMMYFUNCTION("""COMPUTED_VALUE"""),"وحدة الكهرباء")</f>
        <v>وحدة الكهرباء</v>
      </c>
      <c r="E1092" s="48" t="str">
        <f ca="1">IFERROR(__xludf.DUMMYFUNCTION("""COMPUTED_VALUE"""),"قسم المشاريع الهندسية")</f>
        <v>قسم المشاريع الهندسية</v>
      </c>
      <c r="F1092" s="48" t="str">
        <f ca="1">IFERROR(__xludf.DUMMYFUNCTION("""COMPUTED_VALUE"""),"A- المركز الثقافي")</f>
        <v>A- المركز الثقافي</v>
      </c>
      <c r="G1092" s="48" t="str">
        <f ca="1">IFERROR(__xludf.DUMMYFUNCTION("""COMPUTED_VALUE"""),"الطابق الرابع, الكاميرات")</f>
        <v>الطابق الرابع, الكاميرات</v>
      </c>
      <c r="H1092" s="48" t="str">
        <f ca="1">IFERROR(__xludf.DUMMYFUNCTION("""COMPUTED_VALUE"""),"استبدال سبوت لايت شمسي تالف بآخر جديد")</f>
        <v>استبدال سبوت لايت شمسي تالف بآخر جديد</v>
      </c>
      <c r="I1092" s="48"/>
      <c r="J1092" s="48" t="s">
        <v>3910</v>
      </c>
      <c r="K1092" s="48" t="s">
        <v>13</v>
      </c>
      <c r="L1092" s="57">
        <v>46203.656933761573</v>
      </c>
      <c r="M1092" s="48"/>
    </row>
    <row r="1093" spans="1:13" ht="75" customHeight="1" thickTop="1"/>
  </sheetData>
  <conditionalFormatting sqref="K1093:K1048576">
    <cfRule type="containsText" dxfId="104" priority="6" operator="containsText" text="منجز">
      <formula>NOT(ISERROR(SEARCH("منجز",K1093)))</formula>
    </cfRule>
    <cfRule type="containsText" dxfId="103" priority="7" operator="containsText" text="منجز">
      <formula>NOT(ISERROR(SEARCH("منجز",K1093)))</formula>
    </cfRule>
  </conditionalFormatting>
  <conditionalFormatting sqref="B3:B1092">
    <cfRule type="expression" dxfId="102" priority="3">
      <formula>AND($B3&lt;&gt;"", TRIM($K3)="")</formula>
    </cfRule>
    <cfRule type="expression" dxfId="101" priority="4">
      <formula>INT($B3) &lt; TODAY()</formula>
    </cfRule>
    <cfRule type="expression" dxfId="100" priority="5">
      <formula>INT($B3) = TODAY()</formula>
    </cfRule>
  </conditionalFormatting>
  <conditionalFormatting sqref="K1:K1092">
    <cfRule type="containsText" dxfId="99" priority="1" operator="containsText" text="منجز">
      <formula>NOT(ISERROR(SEARCH("منجز",K1)))</formula>
    </cfRule>
    <cfRule type="containsText" dxfId="98" priority="2" operator="containsText" text="منجز">
      <formula>NOT(ISERROR(SEARCH("منجز",K1)))</formula>
    </cfRule>
  </conditionalFormatting>
  <dataValidations disablePrompts="1" count="2">
    <dataValidation type="list" allowBlank="1" sqref="K3:K1092" xr:uid="{1BFBA080-DD04-44E5-B09F-C78ED1912732}">
      <formula1>"منجز,ملغي,تابع للتربية,مؤجل"</formula1>
    </dataValidation>
    <dataValidation type="list" allowBlank="1" sqref="J3:J1092" xr:uid="{5CB338BA-8567-4513-9ADC-BFAA78754A0B}">
      <formula1>#REF!</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5AA2-8673-4016-A016-1721BE903C20}">
  <sheetPr>
    <tabColor rgb="FF2ECC71"/>
    <outlinePr summaryBelow="0" summaryRight="0"/>
    <pageSetUpPr fitToPage="1"/>
  </sheetPr>
  <dimension ref="A1:N1076"/>
  <sheetViews>
    <sheetView showGridLines="0" zoomScale="70" zoomScaleNormal="70" zoomScalePageLayoutView="85" workbookViewId="0">
      <selection activeCell="Q1" sqref="Q1"/>
    </sheetView>
  </sheetViews>
  <sheetFormatPr defaultColWidth="12.5546875" defaultRowHeight="75" customHeight="1"/>
  <cols>
    <col min="1" max="1" width="9.33203125" style="60" customWidth="1"/>
    <col min="2" max="2" width="30.5546875" style="61" bestFit="1" customWidth="1"/>
    <col min="3" max="4" width="6" style="61" customWidth="1"/>
    <col min="5" max="5" width="13" style="60" customWidth="1"/>
    <col min="6" max="6" width="45.33203125" style="60" bestFit="1" customWidth="1"/>
    <col min="7" max="7" width="25.109375" style="60" customWidth="1"/>
    <col min="8" max="8" width="65" style="62" customWidth="1"/>
    <col min="9" max="9" width="18.88671875" style="60" customWidth="1"/>
    <col min="10" max="10" width="10.6640625" style="60" customWidth="1"/>
    <col min="11" max="11" width="10" style="60" customWidth="1"/>
    <col min="12" max="12" width="30.5546875" style="60" bestFit="1" customWidth="1"/>
    <col min="13" max="13" width="18.88671875" style="60" customWidth="1"/>
    <col min="14" max="14" width="15.109375" hidden="1" customWidth="1"/>
  </cols>
  <sheetData>
    <row r="1" spans="1:14" ht="99.9" customHeight="1" thickBot="1"/>
    <row r="2" spans="1:14" ht="50.1" customHeight="1" thickTop="1" thickBot="1">
      <c r="A2" s="37" t="s">
        <v>112</v>
      </c>
      <c r="B2" s="37" t="s">
        <v>0</v>
      </c>
      <c r="C2" s="38" t="s">
        <v>1</v>
      </c>
      <c r="D2" s="38" t="s">
        <v>2</v>
      </c>
      <c r="E2" s="37" t="s">
        <v>3</v>
      </c>
      <c r="F2" s="37" t="s">
        <v>4</v>
      </c>
      <c r="G2" s="37" t="s">
        <v>18</v>
      </c>
      <c r="H2" s="37" t="s">
        <v>5</v>
      </c>
      <c r="I2" s="37" t="s">
        <v>6</v>
      </c>
      <c r="J2" s="40" t="s">
        <v>7</v>
      </c>
      <c r="K2" s="40" t="s">
        <v>8</v>
      </c>
      <c r="L2" s="40" t="s">
        <v>9</v>
      </c>
      <c r="M2" s="40" t="s">
        <v>10</v>
      </c>
      <c r="N2" s="1" t="s">
        <v>11</v>
      </c>
    </row>
    <row r="3" spans="1:14" ht="75" customHeight="1" thickTop="1" thickBot="1">
      <c r="A3" s="34">
        <v>1</v>
      </c>
      <c r="B3" s="53">
        <v>46023.421961238397</v>
      </c>
      <c r="C3" s="54" t="s">
        <v>26</v>
      </c>
      <c r="D3" s="54" t="s">
        <v>49</v>
      </c>
      <c r="E3" s="34" t="s">
        <v>22</v>
      </c>
      <c r="F3" s="34" t="s">
        <v>42</v>
      </c>
      <c r="G3" s="34" t="s">
        <v>56</v>
      </c>
      <c r="H3" s="34" t="s">
        <v>132</v>
      </c>
      <c r="I3" s="34"/>
      <c r="J3" s="34" t="s">
        <v>12</v>
      </c>
      <c r="K3" s="34" t="s">
        <v>13</v>
      </c>
      <c r="L3" s="53">
        <v>46023.569167488429</v>
      </c>
      <c r="M3" s="34"/>
      <c r="N3" s="4" t="s">
        <v>121</v>
      </c>
    </row>
    <row r="4" spans="1:14" ht="75" customHeight="1" thickTop="1" thickBot="1">
      <c r="A4" s="26">
        <v>2</v>
      </c>
      <c r="B4" s="55">
        <v>46023.423563587901</v>
      </c>
      <c r="C4" s="56" t="s">
        <v>26</v>
      </c>
      <c r="D4" s="56" t="s">
        <v>49</v>
      </c>
      <c r="E4" s="26" t="s">
        <v>22</v>
      </c>
      <c r="F4" s="26" t="s">
        <v>42</v>
      </c>
      <c r="G4" s="26" t="s">
        <v>56</v>
      </c>
      <c r="H4" s="26" t="s">
        <v>133</v>
      </c>
      <c r="I4" s="26"/>
      <c r="J4" s="26" t="s">
        <v>16</v>
      </c>
      <c r="K4" s="26" t="s">
        <v>13</v>
      </c>
      <c r="L4" s="55">
        <v>46023.569320659721</v>
      </c>
      <c r="M4" s="26"/>
      <c r="N4" s="4" t="s">
        <v>121</v>
      </c>
    </row>
    <row r="5" spans="1:14" ht="75" customHeight="1" thickTop="1" thickBot="1">
      <c r="A5" s="34">
        <v>3</v>
      </c>
      <c r="B5" s="55">
        <v>46023.460558229097</v>
      </c>
      <c r="C5" s="56" t="s">
        <v>26</v>
      </c>
      <c r="D5" s="56" t="s">
        <v>49</v>
      </c>
      <c r="E5" s="26" t="s">
        <v>22</v>
      </c>
      <c r="F5" s="26" t="s">
        <v>28</v>
      </c>
      <c r="G5" s="26" t="s">
        <v>38</v>
      </c>
      <c r="H5" s="26" t="s">
        <v>3527</v>
      </c>
      <c r="I5" s="26"/>
      <c r="J5" s="26" t="s">
        <v>14</v>
      </c>
      <c r="K5" s="26" t="s">
        <v>13</v>
      </c>
      <c r="L5" s="55">
        <v>46023.462045694439</v>
      </c>
      <c r="M5" s="26"/>
      <c r="N5" s="4" t="s">
        <v>121</v>
      </c>
    </row>
    <row r="6" spans="1:14" ht="75" customHeight="1" thickTop="1" thickBot="1">
      <c r="A6" s="26">
        <v>4</v>
      </c>
      <c r="B6" s="55">
        <v>46023.461819004602</v>
      </c>
      <c r="C6" s="56" t="s">
        <v>26</v>
      </c>
      <c r="D6" s="56" t="s">
        <v>49</v>
      </c>
      <c r="E6" s="26" t="s">
        <v>22</v>
      </c>
      <c r="F6" s="26" t="s">
        <v>28</v>
      </c>
      <c r="G6" s="26" t="s">
        <v>36</v>
      </c>
      <c r="H6" s="26" t="s">
        <v>3528</v>
      </c>
      <c r="I6" s="26"/>
      <c r="J6" s="26" t="s">
        <v>14</v>
      </c>
      <c r="K6" s="26" t="s">
        <v>13</v>
      </c>
      <c r="L6" s="55">
        <v>46023.462108032407</v>
      </c>
      <c r="M6" s="26"/>
      <c r="N6" s="4" t="s">
        <v>121</v>
      </c>
    </row>
    <row r="7" spans="1:14" ht="75" customHeight="1" thickTop="1" thickBot="1">
      <c r="A7" s="34">
        <v>5</v>
      </c>
      <c r="B7" s="55">
        <v>46023.463379016197</v>
      </c>
      <c r="C7" s="56" t="s">
        <v>26</v>
      </c>
      <c r="D7" s="56" t="s">
        <v>49</v>
      </c>
      <c r="E7" s="26" t="s">
        <v>22</v>
      </c>
      <c r="F7" s="26" t="s">
        <v>42</v>
      </c>
      <c r="G7" s="26" t="s">
        <v>25</v>
      </c>
      <c r="H7" s="26" t="s">
        <v>134</v>
      </c>
      <c r="I7" s="26"/>
      <c r="J7" s="26" t="s">
        <v>14</v>
      </c>
      <c r="K7" s="26" t="s">
        <v>13</v>
      </c>
      <c r="L7" s="55">
        <v>46023.463519803241</v>
      </c>
      <c r="M7" s="26"/>
      <c r="N7" s="4" t="s">
        <v>121</v>
      </c>
    </row>
    <row r="8" spans="1:14" ht="75" customHeight="1" thickTop="1" thickBot="1">
      <c r="A8" s="26">
        <v>6</v>
      </c>
      <c r="B8" s="55">
        <v>46023.464420613403</v>
      </c>
      <c r="C8" s="56" t="s">
        <v>26</v>
      </c>
      <c r="D8" s="56" t="s">
        <v>49</v>
      </c>
      <c r="E8" s="26" t="s">
        <v>22</v>
      </c>
      <c r="F8" s="26" t="s">
        <v>31</v>
      </c>
      <c r="G8" s="26" t="s">
        <v>36</v>
      </c>
      <c r="H8" s="26" t="s">
        <v>3529</v>
      </c>
      <c r="I8" s="26"/>
      <c r="J8" s="26" t="s">
        <v>14</v>
      </c>
      <c r="K8" s="26" t="s">
        <v>13</v>
      </c>
      <c r="L8" s="55">
        <v>46023.464546388888</v>
      </c>
      <c r="M8" s="26"/>
      <c r="N8" s="4" t="s">
        <v>121</v>
      </c>
    </row>
    <row r="9" spans="1:14" ht="75" customHeight="1" thickTop="1" thickBot="1">
      <c r="A9" s="34">
        <v>7</v>
      </c>
      <c r="B9" s="55">
        <v>46023.465423900401</v>
      </c>
      <c r="C9" s="56" t="s">
        <v>26</v>
      </c>
      <c r="D9" s="56" t="s">
        <v>49</v>
      </c>
      <c r="E9" s="26" t="s">
        <v>22</v>
      </c>
      <c r="F9" s="26" t="s">
        <v>31</v>
      </c>
      <c r="G9" s="26" t="s">
        <v>36</v>
      </c>
      <c r="H9" s="26" t="s">
        <v>3530</v>
      </c>
      <c r="I9" s="26"/>
      <c r="J9" s="26" t="s">
        <v>14</v>
      </c>
      <c r="K9" s="26" t="s">
        <v>13</v>
      </c>
      <c r="L9" s="55">
        <v>46023.465576678238</v>
      </c>
      <c r="M9" s="26"/>
      <c r="N9" s="4" t="s">
        <v>121</v>
      </c>
    </row>
    <row r="10" spans="1:14" ht="75" customHeight="1" thickTop="1" thickBot="1">
      <c r="A10" s="26">
        <v>8</v>
      </c>
      <c r="B10" s="55">
        <v>46023.466717013798</v>
      </c>
      <c r="C10" s="56" t="s">
        <v>26</v>
      </c>
      <c r="D10" s="56" t="s">
        <v>49</v>
      </c>
      <c r="E10" s="26" t="s">
        <v>22</v>
      </c>
      <c r="F10" s="26" t="s">
        <v>31</v>
      </c>
      <c r="G10" s="26" t="s">
        <v>40</v>
      </c>
      <c r="H10" s="26" t="s">
        <v>3531</v>
      </c>
      <c r="I10" s="26"/>
      <c r="J10" s="26" t="s">
        <v>14</v>
      </c>
      <c r="K10" s="26" t="s">
        <v>13</v>
      </c>
      <c r="L10" s="55">
        <v>46023.466870682867</v>
      </c>
      <c r="M10" s="26"/>
      <c r="N10" s="4" t="s">
        <v>121</v>
      </c>
    </row>
    <row r="11" spans="1:14" ht="75" customHeight="1" thickTop="1" thickBot="1">
      <c r="A11" s="34">
        <v>9</v>
      </c>
      <c r="B11" s="55">
        <v>46023.467466238399</v>
      </c>
      <c r="C11" s="56" t="s">
        <v>26</v>
      </c>
      <c r="D11" s="56" t="s">
        <v>49</v>
      </c>
      <c r="E11" s="26" t="s">
        <v>22</v>
      </c>
      <c r="F11" s="26" t="s">
        <v>31</v>
      </c>
      <c r="G11" s="26" t="s">
        <v>37</v>
      </c>
      <c r="H11" s="26" t="s">
        <v>3532</v>
      </c>
      <c r="I11" s="26"/>
      <c r="J11" s="26" t="s">
        <v>16</v>
      </c>
      <c r="K11" s="26" t="s">
        <v>13</v>
      </c>
      <c r="L11" s="55">
        <v>46023.467630613421</v>
      </c>
      <c r="M11" s="26"/>
      <c r="N11" s="4" t="s">
        <v>121</v>
      </c>
    </row>
    <row r="12" spans="1:14" ht="75" customHeight="1" thickTop="1" thickBot="1">
      <c r="A12" s="26">
        <v>10</v>
      </c>
      <c r="B12" s="55">
        <v>46023.468342557797</v>
      </c>
      <c r="C12" s="56" t="s">
        <v>26</v>
      </c>
      <c r="D12" s="56" t="s">
        <v>49</v>
      </c>
      <c r="E12" s="26" t="s">
        <v>22</v>
      </c>
      <c r="F12" s="26" t="s">
        <v>28</v>
      </c>
      <c r="G12" s="26" t="s">
        <v>47</v>
      </c>
      <c r="H12" s="26" t="s">
        <v>3533</v>
      </c>
      <c r="I12" s="26"/>
      <c r="J12" s="26" t="s">
        <v>16</v>
      </c>
      <c r="K12" s="26" t="s">
        <v>13</v>
      </c>
      <c r="L12" s="55">
        <v>46023.468478356481</v>
      </c>
      <c r="M12" s="26"/>
      <c r="N12" s="4" t="s">
        <v>121</v>
      </c>
    </row>
    <row r="13" spans="1:14" ht="75" customHeight="1" thickTop="1" thickBot="1">
      <c r="A13" s="34">
        <v>11</v>
      </c>
      <c r="B13" s="55">
        <v>46023.469426967502</v>
      </c>
      <c r="C13" s="56" t="s">
        <v>26</v>
      </c>
      <c r="D13" s="56" t="s">
        <v>49</v>
      </c>
      <c r="E13" s="26" t="s">
        <v>22</v>
      </c>
      <c r="F13" s="26" t="s">
        <v>42</v>
      </c>
      <c r="G13" s="26" t="s">
        <v>25</v>
      </c>
      <c r="H13" s="26" t="s">
        <v>3534</v>
      </c>
      <c r="I13" s="26"/>
      <c r="J13" s="26" t="s">
        <v>16</v>
      </c>
      <c r="K13" s="26" t="s">
        <v>13</v>
      </c>
      <c r="L13" s="55">
        <v>46023.469585150466</v>
      </c>
      <c r="M13" s="26"/>
      <c r="N13" s="4" t="s">
        <v>121</v>
      </c>
    </row>
    <row r="14" spans="1:14" ht="75" customHeight="1" thickTop="1" thickBot="1">
      <c r="A14" s="26">
        <v>12</v>
      </c>
      <c r="B14" s="55">
        <v>46023.4705130902</v>
      </c>
      <c r="C14" s="56" t="s">
        <v>26</v>
      </c>
      <c r="D14" s="56" t="s">
        <v>49</v>
      </c>
      <c r="E14" s="26" t="s">
        <v>22</v>
      </c>
      <c r="F14" s="26" t="s">
        <v>42</v>
      </c>
      <c r="G14" s="26" t="s">
        <v>37</v>
      </c>
      <c r="H14" s="26" t="s">
        <v>3535</v>
      </c>
      <c r="I14" s="26"/>
      <c r="J14" s="26" t="s">
        <v>12</v>
      </c>
      <c r="K14" s="26" t="s">
        <v>13</v>
      </c>
      <c r="L14" s="55">
        <v>46023.470667106478</v>
      </c>
      <c r="M14" s="26"/>
      <c r="N14" s="4" t="s">
        <v>121</v>
      </c>
    </row>
    <row r="15" spans="1:14" ht="75" customHeight="1" thickTop="1" thickBot="1">
      <c r="A15" s="34">
        <v>13</v>
      </c>
      <c r="B15" s="55">
        <v>46023.4715423495</v>
      </c>
      <c r="C15" s="56" t="s">
        <v>26</v>
      </c>
      <c r="D15" s="56" t="s">
        <v>49</v>
      </c>
      <c r="E15" s="26" t="s">
        <v>22</v>
      </c>
      <c r="F15" s="26" t="s">
        <v>39</v>
      </c>
      <c r="G15" s="26" t="s">
        <v>40</v>
      </c>
      <c r="H15" s="26" t="s">
        <v>3536</v>
      </c>
      <c r="I15" s="26"/>
      <c r="J15" s="26" t="s">
        <v>12</v>
      </c>
      <c r="K15" s="26" t="s">
        <v>13</v>
      </c>
      <c r="L15" s="55">
        <v>46023.471703506948</v>
      </c>
      <c r="M15" s="26"/>
      <c r="N15" s="4" t="s">
        <v>121</v>
      </c>
    </row>
    <row r="16" spans="1:14" ht="75" customHeight="1" thickTop="1" thickBot="1">
      <c r="A16" s="26">
        <v>14</v>
      </c>
      <c r="B16" s="55">
        <v>46023.472642581</v>
      </c>
      <c r="C16" s="56" t="s">
        <v>26</v>
      </c>
      <c r="D16" s="56" t="s">
        <v>49</v>
      </c>
      <c r="E16" s="26" t="s">
        <v>22</v>
      </c>
      <c r="F16" s="26" t="s">
        <v>135</v>
      </c>
      <c r="G16" s="26" t="s">
        <v>136</v>
      </c>
      <c r="H16" s="26" t="s">
        <v>3537</v>
      </c>
      <c r="I16" s="26"/>
      <c r="J16" s="26" t="s">
        <v>12</v>
      </c>
      <c r="K16" s="26" t="s">
        <v>13</v>
      </c>
      <c r="L16" s="55">
        <v>46023.472767604166</v>
      </c>
      <c r="M16" s="26"/>
      <c r="N16" s="4" t="s">
        <v>121</v>
      </c>
    </row>
    <row r="17" spans="1:14" ht="75" customHeight="1" thickTop="1" thickBot="1">
      <c r="A17" s="34">
        <v>15</v>
      </c>
      <c r="B17" s="55">
        <v>46025.587970393499</v>
      </c>
      <c r="C17" s="56" t="s">
        <v>26</v>
      </c>
      <c r="D17" s="56" t="s">
        <v>49</v>
      </c>
      <c r="E17" s="26" t="s">
        <v>22</v>
      </c>
      <c r="F17" s="26" t="s">
        <v>31</v>
      </c>
      <c r="G17" s="26" t="s">
        <v>37</v>
      </c>
      <c r="H17" s="26" t="s">
        <v>3538</v>
      </c>
      <c r="I17" s="26"/>
      <c r="J17" s="26" t="s">
        <v>12</v>
      </c>
      <c r="K17" s="26" t="s">
        <v>13</v>
      </c>
      <c r="L17" s="55">
        <v>46025.589262650465</v>
      </c>
      <c r="M17" s="26"/>
      <c r="N17" s="4" t="s">
        <v>121</v>
      </c>
    </row>
    <row r="18" spans="1:14" ht="75" customHeight="1" thickTop="1" thickBot="1">
      <c r="A18" s="26">
        <v>16</v>
      </c>
      <c r="B18" s="55">
        <v>46025.5891306134</v>
      </c>
      <c r="C18" s="56" t="s">
        <v>26</v>
      </c>
      <c r="D18" s="56" t="s">
        <v>49</v>
      </c>
      <c r="E18" s="26" t="s">
        <v>22</v>
      </c>
      <c r="F18" s="26" t="s">
        <v>39</v>
      </c>
      <c r="G18" s="26" t="s">
        <v>37</v>
      </c>
      <c r="H18" s="26" t="s">
        <v>3539</v>
      </c>
      <c r="I18" s="26"/>
      <c r="J18" s="26" t="s">
        <v>12</v>
      </c>
      <c r="K18" s="26" t="s">
        <v>13</v>
      </c>
      <c r="L18" s="55">
        <v>46025.589317685182</v>
      </c>
      <c r="M18" s="26"/>
      <c r="N18" s="4" t="s">
        <v>121</v>
      </c>
    </row>
    <row r="19" spans="1:14" ht="75" customHeight="1" thickTop="1" thickBot="1">
      <c r="A19" s="34">
        <v>17</v>
      </c>
      <c r="B19" s="55">
        <v>46025.590849594897</v>
      </c>
      <c r="C19" s="56" t="s">
        <v>26</v>
      </c>
      <c r="D19" s="56" t="s">
        <v>49</v>
      </c>
      <c r="E19" s="26" t="s">
        <v>22</v>
      </c>
      <c r="F19" s="26" t="s">
        <v>52</v>
      </c>
      <c r="G19" s="26" t="s">
        <v>40</v>
      </c>
      <c r="H19" s="26" t="s">
        <v>3540</v>
      </c>
      <c r="I19" s="26"/>
      <c r="J19" s="26" t="s">
        <v>12</v>
      </c>
      <c r="K19" s="26" t="s">
        <v>13</v>
      </c>
      <c r="L19" s="55">
        <v>46025.591271759258</v>
      </c>
      <c r="M19" s="26"/>
      <c r="N19" s="4" t="s">
        <v>121</v>
      </c>
    </row>
    <row r="20" spans="1:14" ht="75" customHeight="1" thickTop="1" thickBot="1">
      <c r="A20" s="26">
        <v>18</v>
      </c>
      <c r="B20" s="55">
        <v>46025.593693807801</v>
      </c>
      <c r="C20" s="56" t="s">
        <v>26</v>
      </c>
      <c r="D20" s="56" t="s">
        <v>49</v>
      </c>
      <c r="E20" s="26" t="s">
        <v>22</v>
      </c>
      <c r="F20" s="26" t="s">
        <v>42</v>
      </c>
      <c r="G20" s="26" t="s">
        <v>46</v>
      </c>
      <c r="H20" s="26" t="s">
        <v>3541</v>
      </c>
      <c r="I20" s="26"/>
      <c r="J20" s="26" t="s">
        <v>14</v>
      </c>
      <c r="K20" s="26" t="s">
        <v>13</v>
      </c>
      <c r="L20" s="55">
        <v>46025.595517986112</v>
      </c>
      <c r="M20" s="26"/>
      <c r="N20" s="4" t="s">
        <v>121</v>
      </c>
    </row>
    <row r="21" spans="1:14" ht="75" customHeight="1" thickTop="1" thickBot="1">
      <c r="A21" s="34">
        <v>19</v>
      </c>
      <c r="B21" s="55">
        <v>46025.595240706003</v>
      </c>
      <c r="C21" s="56" t="s">
        <v>26</v>
      </c>
      <c r="D21" s="56" t="s">
        <v>49</v>
      </c>
      <c r="E21" s="26" t="s">
        <v>22</v>
      </c>
      <c r="F21" s="26" t="s">
        <v>42</v>
      </c>
      <c r="G21" s="26" t="s">
        <v>37</v>
      </c>
      <c r="H21" s="26" t="s">
        <v>3542</v>
      </c>
      <c r="I21" s="26"/>
      <c r="J21" s="26" t="s">
        <v>14</v>
      </c>
      <c r="K21" s="26" t="s">
        <v>13</v>
      </c>
      <c r="L21" s="55">
        <v>46025.595606388888</v>
      </c>
      <c r="M21" s="26"/>
      <c r="N21" s="4" t="s">
        <v>121</v>
      </c>
    </row>
    <row r="22" spans="1:14" ht="75" customHeight="1" thickTop="1" thickBot="1">
      <c r="A22" s="26">
        <v>20</v>
      </c>
      <c r="B22" s="55">
        <v>46025.5985727199</v>
      </c>
      <c r="C22" s="56" t="s">
        <v>26</v>
      </c>
      <c r="D22" s="56" t="s">
        <v>49</v>
      </c>
      <c r="E22" s="26" t="s">
        <v>22</v>
      </c>
      <c r="F22" s="26" t="s">
        <v>31</v>
      </c>
      <c r="G22" s="26" t="s">
        <v>37</v>
      </c>
      <c r="H22" s="26" t="s">
        <v>3543</v>
      </c>
      <c r="I22" s="26"/>
      <c r="J22" s="26" t="s">
        <v>16</v>
      </c>
      <c r="K22" s="26" t="s">
        <v>13</v>
      </c>
      <c r="L22" s="55">
        <v>46025.599951180557</v>
      </c>
      <c r="M22" s="26"/>
      <c r="N22" s="4" t="s">
        <v>121</v>
      </c>
    </row>
    <row r="23" spans="1:14" ht="75" customHeight="1" thickTop="1" thickBot="1">
      <c r="A23" s="34">
        <v>21</v>
      </c>
      <c r="B23" s="55">
        <v>46025.599167847198</v>
      </c>
      <c r="C23" s="56" t="s">
        <v>26</v>
      </c>
      <c r="D23" s="56" t="s">
        <v>49</v>
      </c>
      <c r="E23" s="26" t="s">
        <v>22</v>
      </c>
      <c r="F23" s="26" t="s">
        <v>42</v>
      </c>
      <c r="G23" s="26" t="s">
        <v>38</v>
      </c>
      <c r="H23" s="26" t="s">
        <v>3544</v>
      </c>
      <c r="I23" s="26"/>
      <c r="J23" s="26" t="s">
        <v>16</v>
      </c>
      <c r="K23" s="26" t="s">
        <v>13</v>
      </c>
      <c r="L23" s="55">
        <v>46025.600051805552</v>
      </c>
      <c r="M23" s="26"/>
      <c r="N23" s="4" t="s">
        <v>121</v>
      </c>
    </row>
    <row r="24" spans="1:14" ht="75" customHeight="1" thickTop="1" thickBot="1">
      <c r="A24" s="26">
        <v>22</v>
      </c>
      <c r="B24" s="55">
        <v>46025.599816921298</v>
      </c>
      <c r="C24" s="56" t="s">
        <v>26</v>
      </c>
      <c r="D24" s="56" t="s">
        <v>49</v>
      </c>
      <c r="E24" s="26" t="s">
        <v>22</v>
      </c>
      <c r="F24" s="26" t="s">
        <v>42</v>
      </c>
      <c r="G24" s="26" t="s">
        <v>45</v>
      </c>
      <c r="H24" s="26" t="s">
        <v>3545</v>
      </c>
      <c r="I24" s="26"/>
      <c r="J24" s="26" t="s">
        <v>16</v>
      </c>
      <c r="K24" s="26" t="s">
        <v>13</v>
      </c>
      <c r="L24" s="55">
        <v>46025.600130648148</v>
      </c>
      <c r="M24" s="26"/>
      <c r="N24" s="4"/>
    </row>
    <row r="25" spans="1:14" ht="75" customHeight="1" thickTop="1" thickBot="1">
      <c r="A25" s="34">
        <v>23</v>
      </c>
      <c r="B25" s="55">
        <v>46026.380783333298</v>
      </c>
      <c r="C25" s="56" t="s">
        <v>26</v>
      </c>
      <c r="D25" s="56" t="s">
        <v>50</v>
      </c>
      <c r="E25" s="26" t="s">
        <v>21</v>
      </c>
      <c r="F25" s="26" t="s">
        <v>28</v>
      </c>
      <c r="G25" s="26" t="s">
        <v>25</v>
      </c>
      <c r="H25" s="26" t="s">
        <v>3546</v>
      </c>
      <c r="I25" s="26"/>
      <c r="J25" s="26" t="s">
        <v>14</v>
      </c>
      <c r="K25" s="26" t="s">
        <v>13</v>
      </c>
      <c r="L25" s="55">
        <v>46026.499097523149</v>
      </c>
      <c r="M25" s="26"/>
      <c r="N25" s="4"/>
    </row>
    <row r="26" spans="1:14" ht="75" customHeight="1" thickTop="1" thickBot="1">
      <c r="A26" s="26">
        <v>24</v>
      </c>
      <c r="B26" s="55">
        <v>46026.386371817098</v>
      </c>
      <c r="C26" s="56" t="s">
        <v>26</v>
      </c>
      <c r="D26" s="56" t="s">
        <v>137</v>
      </c>
      <c r="E26" s="26" t="s">
        <v>21</v>
      </c>
      <c r="F26" s="26" t="s">
        <v>28</v>
      </c>
      <c r="G26" s="26" t="s">
        <v>58</v>
      </c>
      <c r="H26" s="26" t="s">
        <v>138</v>
      </c>
      <c r="I26" s="26"/>
      <c r="J26" s="26" t="s">
        <v>16</v>
      </c>
      <c r="K26" s="26" t="s">
        <v>13</v>
      </c>
      <c r="L26" s="55">
        <v>46026.498243333335</v>
      </c>
      <c r="M26" s="26"/>
      <c r="N26" s="4"/>
    </row>
    <row r="27" spans="1:14" ht="75" customHeight="1" thickTop="1" thickBot="1">
      <c r="A27" s="34">
        <v>25</v>
      </c>
      <c r="B27" s="55">
        <v>46026.4663917129</v>
      </c>
      <c r="C27" s="56" t="s">
        <v>26</v>
      </c>
      <c r="D27" s="56" t="s">
        <v>49</v>
      </c>
      <c r="E27" s="26" t="s">
        <v>22</v>
      </c>
      <c r="F27" s="26" t="s">
        <v>42</v>
      </c>
      <c r="G27" s="26" t="s">
        <v>37</v>
      </c>
      <c r="H27" s="26" t="s">
        <v>3547</v>
      </c>
      <c r="I27" s="26"/>
      <c r="J27" s="26" t="s">
        <v>14</v>
      </c>
      <c r="K27" s="26" t="s">
        <v>13</v>
      </c>
      <c r="L27" s="55">
        <v>46026.466528865742</v>
      </c>
      <c r="M27" s="26"/>
      <c r="N27" s="4"/>
    </row>
    <row r="28" spans="1:14" ht="75" customHeight="1" thickTop="1" thickBot="1">
      <c r="A28" s="26">
        <v>26</v>
      </c>
      <c r="B28" s="55">
        <v>46026.4701982638</v>
      </c>
      <c r="C28" s="56" t="s">
        <v>26</v>
      </c>
      <c r="D28" s="56" t="s">
        <v>49</v>
      </c>
      <c r="E28" s="26" t="s">
        <v>22</v>
      </c>
      <c r="F28" s="26" t="s">
        <v>28</v>
      </c>
      <c r="G28" s="26" t="s">
        <v>25</v>
      </c>
      <c r="H28" s="26" t="s">
        <v>3548</v>
      </c>
      <c r="I28" s="26"/>
      <c r="J28" s="26" t="s">
        <v>12</v>
      </c>
      <c r="K28" s="26" t="s">
        <v>13</v>
      </c>
      <c r="L28" s="55">
        <v>46026.470339687497</v>
      </c>
      <c r="M28" s="26"/>
      <c r="N28" s="4"/>
    </row>
    <row r="29" spans="1:14" ht="75" customHeight="1" thickTop="1" thickBot="1">
      <c r="A29" s="34">
        <v>27</v>
      </c>
      <c r="B29" s="55">
        <v>46026.499448344897</v>
      </c>
      <c r="C29" s="56" t="s">
        <v>26</v>
      </c>
      <c r="D29" s="56" t="s">
        <v>49</v>
      </c>
      <c r="E29" s="26" t="s">
        <v>22</v>
      </c>
      <c r="F29" s="26" t="s">
        <v>28</v>
      </c>
      <c r="G29" s="26" t="s">
        <v>37</v>
      </c>
      <c r="H29" s="26" t="s">
        <v>3549</v>
      </c>
      <c r="I29" s="26"/>
      <c r="J29" s="26" t="s">
        <v>16</v>
      </c>
      <c r="K29" s="26" t="s">
        <v>13</v>
      </c>
      <c r="L29" s="55">
        <v>46026.499679606481</v>
      </c>
      <c r="M29" s="26"/>
      <c r="N29" s="4"/>
    </row>
    <row r="30" spans="1:14" ht="75" customHeight="1" thickTop="1" thickBot="1">
      <c r="A30" s="26">
        <v>28</v>
      </c>
      <c r="B30" s="55">
        <v>46026.563671319404</v>
      </c>
      <c r="C30" s="56" t="s">
        <v>26</v>
      </c>
      <c r="D30" s="56" t="s">
        <v>49</v>
      </c>
      <c r="E30" s="26" t="s">
        <v>22</v>
      </c>
      <c r="F30" s="26" t="s">
        <v>39</v>
      </c>
      <c r="G30" s="26" t="s">
        <v>25</v>
      </c>
      <c r="H30" s="26" t="s">
        <v>3550</v>
      </c>
      <c r="I30" s="26"/>
      <c r="J30" s="26" t="s">
        <v>12</v>
      </c>
      <c r="K30" s="26" t="s">
        <v>13</v>
      </c>
      <c r="L30" s="55">
        <v>46026.563828298611</v>
      </c>
      <c r="M30" s="26"/>
      <c r="N30" s="4"/>
    </row>
    <row r="31" spans="1:14" ht="75" customHeight="1" thickTop="1" thickBot="1">
      <c r="A31" s="34">
        <v>29</v>
      </c>
      <c r="B31" s="55">
        <v>46026.564648657397</v>
      </c>
      <c r="C31" s="56" t="s">
        <v>26</v>
      </c>
      <c r="D31" s="56" t="s">
        <v>49</v>
      </c>
      <c r="E31" s="26" t="s">
        <v>22</v>
      </c>
      <c r="F31" s="26" t="s">
        <v>28</v>
      </c>
      <c r="G31" s="26" t="s">
        <v>43</v>
      </c>
      <c r="H31" s="26" t="s">
        <v>669</v>
      </c>
      <c r="I31" s="26"/>
      <c r="J31" s="26" t="s">
        <v>12</v>
      </c>
      <c r="K31" s="26" t="s">
        <v>13</v>
      </c>
      <c r="L31" s="55">
        <v>46026.564782349538</v>
      </c>
      <c r="M31" s="26"/>
      <c r="N31" s="4"/>
    </row>
    <row r="32" spans="1:14" ht="75" customHeight="1" thickTop="1" thickBot="1">
      <c r="A32" s="26">
        <v>30</v>
      </c>
      <c r="B32" s="55">
        <v>46026.644831458303</v>
      </c>
      <c r="C32" s="56" t="s">
        <v>26</v>
      </c>
      <c r="D32" s="56" t="s">
        <v>27</v>
      </c>
      <c r="E32" s="26" t="s">
        <v>21</v>
      </c>
      <c r="F32" s="26" t="s">
        <v>28</v>
      </c>
      <c r="G32" s="26" t="s">
        <v>47</v>
      </c>
      <c r="H32" s="26" t="s">
        <v>3551</v>
      </c>
      <c r="I32" s="26"/>
      <c r="J32" s="26" t="s">
        <v>14</v>
      </c>
      <c r="K32" s="26" t="s">
        <v>13</v>
      </c>
      <c r="L32" s="55">
        <v>46027.310445173614</v>
      </c>
      <c r="M32" s="26" t="s">
        <v>139</v>
      </c>
      <c r="N32" s="4"/>
    </row>
    <row r="33" spans="1:14" ht="75" customHeight="1" thickTop="1" thickBot="1">
      <c r="A33" s="34">
        <v>31</v>
      </c>
      <c r="B33" s="55">
        <v>46026.645216539298</v>
      </c>
      <c r="C33" s="56" t="s">
        <v>26</v>
      </c>
      <c r="D33" s="56" t="s">
        <v>140</v>
      </c>
      <c r="E33" s="26" t="s">
        <v>21</v>
      </c>
      <c r="F33" s="26" t="s">
        <v>42</v>
      </c>
      <c r="G33" s="26" t="s">
        <v>36</v>
      </c>
      <c r="H33" s="26" t="s">
        <v>3552</v>
      </c>
      <c r="I33" s="26"/>
      <c r="J33" s="26" t="s">
        <v>14</v>
      </c>
      <c r="K33" s="26" t="s">
        <v>13</v>
      </c>
      <c r="L33" s="55">
        <v>46027.31038461806</v>
      </c>
      <c r="M33" s="26"/>
      <c r="N33" s="4"/>
    </row>
    <row r="34" spans="1:14" ht="75" customHeight="1" thickTop="1" thickBot="1">
      <c r="A34" s="26">
        <v>32</v>
      </c>
      <c r="B34" s="55">
        <v>46027.332244907397</v>
      </c>
      <c r="C34" s="56" t="s">
        <v>26</v>
      </c>
      <c r="D34" s="56" t="s">
        <v>57</v>
      </c>
      <c r="E34" s="26" t="s">
        <v>21</v>
      </c>
      <c r="F34" s="26" t="s">
        <v>31</v>
      </c>
      <c r="G34" s="26" t="s">
        <v>25</v>
      </c>
      <c r="H34" s="26" t="s">
        <v>3553</v>
      </c>
      <c r="I34" s="26"/>
      <c r="J34" s="26" t="s">
        <v>14</v>
      </c>
      <c r="K34" s="26" t="s">
        <v>13</v>
      </c>
      <c r="L34" s="55">
        <v>46027.358189560182</v>
      </c>
      <c r="M34" s="26"/>
      <c r="N34" s="4"/>
    </row>
    <row r="35" spans="1:14" ht="75" customHeight="1" thickTop="1" thickBot="1">
      <c r="A35" s="34">
        <v>33</v>
      </c>
      <c r="B35" s="55">
        <v>46027.342416458298</v>
      </c>
      <c r="C35" s="56" t="s">
        <v>26</v>
      </c>
      <c r="D35" s="56" t="s">
        <v>49</v>
      </c>
      <c r="E35" s="26" t="s">
        <v>22</v>
      </c>
      <c r="F35" s="26" t="s">
        <v>141</v>
      </c>
      <c r="G35" s="26" t="s">
        <v>25</v>
      </c>
      <c r="H35" s="26" t="s">
        <v>3554</v>
      </c>
      <c r="I35" s="26"/>
      <c r="J35" s="26" t="s">
        <v>12</v>
      </c>
      <c r="K35" s="26" t="s">
        <v>13</v>
      </c>
      <c r="L35" s="55">
        <v>46027.342607129627</v>
      </c>
      <c r="M35" s="26"/>
      <c r="N35" s="4"/>
    </row>
    <row r="36" spans="1:14" ht="75" customHeight="1" thickTop="1" thickBot="1">
      <c r="A36" s="26">
        <v>34</v>
      </c>
      <c r="B36" s="55">
        <v>46027.541654444402</v>
      </c>
      <c r="C36" s="56" t="s">
        <v>26</v>
      </c>
      <c r="D36" s="56" t="s">
        <v>49</v>
      </c>
      <c r="E36" s="26" t="s">
        <v>22</v>
      </c>
      <c r="F36" s="26" t="s">
        <v>42</v>
      </c>
      <c r="G36" s="26" t="s">
        <v>56</v>
      </c>
      <c r="H36" s="26" t="s">
        <v>3555</v>
      </c>
      <c r="I36" s="26"/>
      <c r="J36" s="26" t="s">
        <v>16</v>
      </c>
      <c r="K36" s="26" t="s">
        <v>13</v>
      </c>
      <c r="L36" s="55">
        <v>46027.541819641207</v>
      </c>
      <c r="M36" s="26"/>
      <c r="N36" s="4"/>
    </row>
    <row r="37" spans="1:14" ht="75" customHeight="1" thickTop="1" thickBot="1">
      <c r="A37" s="34">
        <v>35</v>
      </c>
      <c r="B37" s="55">
        <v>46027.551065902699</v>
      </c>
      <c r="C37" s="56" t="s">
        <v>26</v>
      </c>
      <c r="D37" s="56" t="s">
        <v>142</v>
      </c>
      <c r="E37" s="26" t="s">
        <v>21</v>
      </c>
      <c r="F37" s="26" t="s">
        <v>42</v>
      </c>
      <c r="G37" s="26" t="s">
        <v>45</v>
      </c>
      <c r="H37" s="26" t="s">
        <v>3556</v>
      </c>
      <c r="I37" s="26"/>
      <c r="J37" s="26" t="s">
        <v>16</v>
      </c>
      <c r="K37" s="26" t="s">
        <v>13</v>
      </c>
      <c r="L37" s="55">
        <v>46028.702327939813</v>
      </c>
      <c r="M37" s="26" t="s">
        <v>143</v>
      </c>
      <c r="N37" s="4"/>
    </row>
    <row r="38" spans="1:14" ht="75" customHeight="1" thickTop="1" thickBot="1">
      <c r="A38" s="26">
        <v>36</v>
      </c>
      <c r="B38" s="55">
        <v>46027.551868935101</v>
      </c>
      <c r="C38" s="56" t="s">
        <v>26</v>
      </c>
      <c r="D38" s="56" t="s">
        <v>144</v>
      </c>
      <c r="E38" s="26" t="s">
        <v>21</v>
      </c>
      <c r="F38" s="26" t="s">
        <v>28</v>
      </c>
      <c r="G38" s="26" t="s">
        <v>36</v>
      </c>
      <c r="H38" s="26" t="s">
        <v>3557</v>
      </c>
      <c r="I38" s="26"/>
      <c r="J38" s="26" t="s">
        <v>14</v>
      </c>
      <c r="K38" s="26" t="s">
        <v>13</v>
      </c>
      <c r="L38" s="55">
        <v>46047.410718564817</v>
      </c>
      <c r="M38" s="26"/>
      <c r="N38" s="4"/>
    </row>
    <row r="39" spans="1:14" ht="75" customHeight="1" thickTop="1" thickBot="1">
      <c r="A39" s="34">
        <v>37</v>
      </c>
      <c r="B39" s="55">
        <v>46027.558703055503</v>
      </c>
      <c r="C39" s="56" t="s">
        <v>26</v>
      </c>
      <c r="D39" s="56" t="s">
        <v>55</v>
      </c>
      <c r="E39" s="26" t="s">
        <v>21</v>
      </c>
      <c r="F39" s="26" t="s">
        <v>28</v>
      </c>
      <c r="G39" s="26" t="s">
        <v>37</v>
      </c>
      <c r="H39" s="26" t="s">
        <v>145</v>
      </c>
      <c r="I39" s="26"/>
      <c r="J39" s="26" t="s">
        <v>16</v>
      </c>
      <c r="K39" s="26" t="s">
        <v>13</v>
      </c>
      <c r="L39" s="55">
        <v>46027.571550601853</v>
      </c>
      <c r="M39" s="26"/>
      <c r="N39" s="4"/>
    </row>
    <row r="40" spans="1:14" ht="75" customHeight="1" thickTop="1" thickBot="1">
      <c r="A40" s="26">
        <v>38</v>
      </c>
      <c r="B40" s="55">
        <v>46027.559449756904</v>
      </c>
      <c r="C40" s="56" t="s">
        <v>26</v>
      </c>
      <c r="D40" s="56" t="s">
        <v>55</v>
      </c>
      <c r="E40" s="26" t="s">
        <v>21</v>
      </c>
      <c r="F40" s="26" t="s">
        <v>28</v>
      </c>
      <c r="G40" s="26" t="s">
        <v>38</v>
      </c>
      <c r="H40" s="26" t="s">
        <v>146</v>
      </c>
      <c r="I40" s="26"/>
      <c r="J40" s="26" t="s">
        <v>14</v>
      </c>
      <c r="K40" s="26" t="s">
        <v>13</v>
      </c>
      <c r="L40" s="55">
        <v>46028.438242245371</v>
      </c>
      <c r="M40" s="26" t="s">
        <v>143</v>
      </c>
      <c r="N40" s="4"/>
    </row>
    <row r="41" spans="1:14" ht="75" customHeight="1" thickTop="1" thickBot="1">
      <c r="A41" s="34">
        <v>39</v>
      </c>
      <c r="B41" s="55">
        <v>46027.599394409699</v>
      </c>
      <c r="C41" s="56" t="s">
        <v>26</v>
      </c>
      <c r="D41" s="56" t="s">
        <v>147</v>
      </c>
      <c r="E41" s="26" t="s">
        <v>21</v>
      </c>
      <c r="F41" s="26" t="s">
        <v>42</v>
      </c>
      <c r="G41" s="26" t="s">
        <v>45</v>
      </c>
      <c r="H41" s="26" t="s">
        <v>148</v>
      </c>
      <c r="I41" s="26"/>
      <c r="J41" s="26" t="s">
        <v>16</v>
      </c>
      <c r="K41" s="26" t="s">
        <v>13</v>
      </c>
      <c r="L41" s="55">
        <v>46028.702294884264</v>
      </c>
      <c r="M41" s="26" t="s">
        <v>143</v>
      </c>
      <c r="N41" s="4"/>
    </row>
    <row r="42" spans="1:14" ht="75" customHeight="1" thickTop="1" thickBot="1">
      <c r="A42" s="26">
        <v>40</v>
      </c>
      <c r="B42" s="55">
        <v>46027.600177534703</v>
      </c>
      <c r="C42" s="56" t="s">
        <v>26</v>
      </c>
      <c r="D42" s="56" t="s">
        <v>147</v>
      </c>
      <c r="E42" s="26" t="s">
        <v>21</v>
      </c>
      <c r="F42" s="26" t="s">
        <v>42</v>
      </c>
      <c r="G42" s="26" t="s">
        <v>45</v>
      </c>
      <c r="H42" s="26" t="s">
        <v>149</v>
      </c>
      <c r="I42" s="26"/>
      <c r="J42" s="26" t="s">
        <v>16</v>
      </c>
      <c r="K42" s="26" t="s">
        <v>13</v>
      </c>
      <c r="L42" s="55">
        <v>46028.645089027777</v>
      </c>
      <c r="M42" s="26"/>
      <c r="N42" s="4"/>
    </row>
    <row r="43" spans="1:14" ht="75" customHeight="1" thickTop="1" thickBot="1">
      <c r="A43" s="34">
        <v>41</v>
      </c>
      <c r="B43" s="55">
        <v>46028.420517453698</v>
      </c>
      <c r="C43" s="56" t="s">
        <v>26</v>
      </c>
      <c r="D43" s="56" t="s">
        <v>150</v>
      </c>
      <c r="E43" s="26" t="s">
        <v>21</v>
      </c>
      <c r="F43" s="26" t="s">
        <v>42</v>
      </c>
      <c r="G43" s="26" t="s">
        <v>36</v>
      </c>
      <c r="H43" s="26" t="s">
        <v>3558</v>
      </c>
      <c r="I43" s="26"/>
      <c r="J43" s="26" t="s">
        <v>14</v>
      </c>
      <c r="K43" s="26" t="s">
        <v>13</v>
      </c>
      <c r="L43" s="55">
        <v>46028.440010810184</v>
      </c>
      <c r="M43" s="26"/>
      <c r="N43" s="4"/>
    </row>
    <row r="44" spans="1:14" ht="75" customHeight="1" thickTop="1" thickBot="1">
      <c r="A44" s="26">
        <v>42</v>
      </c>
      <c r="B44" s="55">
        <v>46028.421662372602</v>
      </c>
      <c r="C44" s="56" t="s">
        <v>26</v>
      </c>
      <c r="D44" s="56" t="s">
        <v>3559</v>
      </c>
      <c r="E44" s="26" t="s">
        <v>21</v>
      </c>
      <c r="F44" s="26" t="s">
        <v>42</v>
      </c>
      <c r="G44" s="26" t="s">
        <v>38</v>
      </c>
      <c r="H44" s="26" t="s">
        <v>151</v>
      </c>
      <c r="I44" s="26"/>
      <c r="J44" s="26" t="s">
        <v>16</v>
      </c>
      <c r="K44" s="26" t="s">
        <v>13</v>
      </c>
      <c r="L44" s="55">
        <v>46028.641575196758</v>
      </c>
      <c r="M44" s="26"/>
      <c r="N44" s="4"/>
    </row>
    <row r="45" spans="1:14" ht="75" customHeight="1" thickTop="1" thickBot="1">
      <c r="A45" s="34">
        <v>43</v>
      </c>
      <c r="B45" s="55">
        <v>46028.422474606399</v>
      </c>
      <c r="C45" s="56" t="s">
        <v>26</v>
      </c>
      <c r="D45" s="56" t="s">
        <v>147</v>
      </c>
      <c r="E45" s="26" t="s">
        <v>21</v>
      </c>
      <c r="F45" s="26" t="s">
        <v>42</v>
      </c>
      <c r="G45" s="26" t="s">
        <v>25</v>
      </c>
      <c r="H45" s="26" t="s">
        <v>152</v>
      </c>
      <c r="I45" s="26" t="s">
        <v>153</v>
      </c>
      <c r="J45" s="26" t="s">
        <v>16</v>
      </c>
      <c r="K45" s="26" t="s">
        <v>13</v>
      </c>
      <c r="L45" s="55">
        <v>46028.641497314813</v>
      </c>
      <c r="M45" s="26"/>
      <c r="N45" s="4"/>
    </row>
    <row r="46" spans="1:14" ht="75" customHeight="1" thickTop="1" thickBot="1">
      <c r="A46" s="26">
        <v>44</v>
      </c>
      <c r="B46" s="55">
        <v>46028.616136064797</v>
      </c>
      <c r="C46" s="56" t="s">
        <v>26</v>
      </c>
      <c r="D46" s="56" t="s">
        <v>49</v>
      </c>
      <c r="E46" s="26" t="s">
        <v>22</v>
      </c>
      <c r="F46" s="26" t="s">
        <v>28</v>
      </c>
      <c r="G46" s="26" t="s">
        <v>47</v>
      </c>
      <c r="H46" s="26" t="s">
        <v>154</v>
      </c>
      <c r="I46" s="26"/>
      <c r="J46" s="26" t="s">
        <v>16</v>
      </c>
      <c r="K46" s="26" t="s">
        <v>13</v>
      </c>
      <c r="L46" s="55">
        <v>46028.64132033565</v>
      </c>
      <c r="M46" s="26"/>
      <c r="N46" s="4"/>
    </row>
    <row r="47" spans="1:14" ht="75" customHeight="1" thickTop="1" thickBot="1">
      <c r="A47" s="34">
        <v>45</v>
      </c>
      <c r="B47" s="55">
        <v>46028.616938425897</v>
      </c>
      <c r="C47" s="56" t="s">
        <v>26</v>
      </c>
      <c r="D47" s="56" t="s">
        <v>49</v>
      </c>
      <c r="E47" s="26" t="s">
        <v>22</v>
      </c>
      <c r="F47" s="26" t="s">
        <v>39</v>
      </c>
      <c r="G47" s="26" t="s">
        <v>43</v>
      </c>
      <c r="H47" s="26" t="s">
        <v>3560</v>
      </c>
      <c r="I47" s="26"/>
      <c r="J47" s="26" t="s">
        <v>16</v>
      </c>
      <c r="K47" s="26" t="s">
        <v>13</v>
      </c>
      <c r="L47" s="55">
        <v>46028.641149502313</v>
      </c>
      <c r="M47" s="26"/>
      <c r="N47" s="4"/>
    </row>
    <row r="48" spans="1:14" ht="75" customHeight="1" thickTop="1" thickBot="1">
      <c r="A48" s="26">
        <v>46</v>
      </c>
      <c r="B48" s="55">
        <v>46028.6176606597</v>
      </c>
      <c r="C48" s="56" t="s">
        <v>26</v>
      </c>
      <c r="D48" s="56" t="s">
        <v>49</v>
      </c>
      <c r="E48" s="26" t="s">
        <v>22</v>
      </c>
      <c r="F48" s="26" t="s">
        <v>42</v>
      </c>
      <c r="G48" s="26" t="s">
        <v>25</v>
      </c>
      <c r="H48" s="26" t="s">
        <v>3561</v>
      </c>
      <c r="I48" s="26"/>
      <c r="J48" s="26" t="s">
        <v>16</v>
      </c>
      <c r="K48" s="26" t="s">
        <v>13</v>
      </c>
      <c r="L48" s="55">
        <v>46028.642426458333</v>
      </c>
      <c r="M48" s="26"/>
      <c r="N48" s="4"/>
    </row>
    <row r="49" spans="1:14" ht="75" customHeight="1" thickTop="1" thickBot="1">
      <c r="A49" s="34">
        <v>47</v>
      </c>
      <c r="B49" s="55">
        <v>46028.619543379602</v>
      </c>
      <c r="C49" s="56" t="s">
        <v>26</v>
      </c>
      <c r="D49" s="56" t="s">
        <v>49</v>
      </c>
      <c r="E49" s="26" t="s">
        <v>22</v>
      </c>
      <c r="F49" s="26" t="s">
        <v>42</v>
      </c>
      <c r="G49" s="26" t="s">
        <v>47</v>
      </c>
      <c r="H49" s="26" t="s">
        <v>3562</v>
      </c>
      <c r="I49" s="26"/>
      <c r="J49" s="26" t="s">
        <v>16</v>
      </c>
      <c r="K49" s="26" t="s">
        <v>13</v>
      </c>
      <c r="L49" s="55">
        <v>46028.642567858798</v>
      </c>
      <c r="M49" s="26"/>
      <c r="N49" s="4"/>
    </row>
    <row r="50" spans="1:14" ht="75" customHeight="1" thickTop="1" thickBot="1">
      <c r="A50" s="26">
        <v>48</v>
      </c>
      <c r="B50" s="55">
        <v>46028.648055243</v>
      </c>
      <c r="C50" s="56" t="s">
        <v>26</v>
      </c>
      <c r="D50" s="56" t="s">
        <v>49</v>
      </c>
      <c r="E50" s="26" t="s">
        <v>22</v>
      </c>
      <c r="F50" s="26" t="s">
        <v>39</v>
      </c>
      <c r="G50" s="26" t="s">
        <v>43</v>
      </c>
      <c r="H50" s="26" t="s">
        <v>3563</v>
      </c>
      <c r="I50" s="26"/>
      <c r="J50" s="26" t="s">
        <v>16</v>
      </c>
      <c r="K50" s="26" t="s">
        <v>13</v>
      </c>
      <c r="L50" s="55">
        <v>46028.648416099539</v>
      </c>
      <c r="M50" s="26"/>
      <c r="N50" s="4"/>
    </row>
    <row r="51" spans="1:14" ht="75" customHeight="1" thickTop="1" thickBot="1">
      <c r="A51" s="34">
        <v>49</v>
      </c>
      <c r="B51" s="55">
        <v>46029.373630601804</v>
      </c>
      <c r="C51" s="56" t="s">
        <v>26</v>
      </c>
      <c r="D51" s="56" t="s">
        <v>51</v>
      </c>
      <c r="E51" s="26" t="s">
        <v>21</v>
      </c>
      <c r="F51" s="26" t="s">
        <v>39</v>
      </c>
      <c r="G51" s="26" t="s">
        <v>47</v>
      </c>
      <c r="H51" s="26" t="s">
        <v>3564</v>
      </c>
      <c r="I51" s="26"/>
      <c r="J51" s="26" t="s">
        <v>14</v>
      </c>
      <c r="K51" s="26" t="s">
        <v>13</v>
      </c>
      <c r="L51" s="55">
        <v>46029.398820046292</v>
      </c>
      <c r="M51" s="26"/>
      <c r="N51" s="4"/>
    </row>
    <row r="52" spans="1:14" ht="75" customHeight="1" thickTop="1" thickBot="1">
      <c r="A52" s="26">
        <v>50</v>
      </c>
      <c r="B52" s="55">
        <v>46029.408666064803</v>
      </c>
      <c r="C52" s="56" t="s">
        <v>26</v>
      </c>
      <c r="D52" s="56" t="s">
        <v>27</v>
      </c>
      <c r="E52" s="26" t="s">
        <v>21</v>
      </c>
      <c r="F52" s="26" t="s">
        <v>28</v>
      </c>
      <c r="G52" s="26" t="s">
        <v>47</v>
      </c>
      <c r="H52" s="26" t="s">
        <v>155</v>
      </c>
      <c r="I52" s="26"/>
      <c r="J52" s="26" t="s">
        <v>14</v>
      </c>
      <c r="K52" s="26" t="s">
        <v>13</v>
      </c>
      <c r="L52" s="55">
        <v>46032.519536111111</v>
      </c>
      <c r="M52" s="26" t="s">
        <v>156</v>
      </c>
      <c r="N52" s="4"/>
    </row>
    <row r="53" spans="1:14" ht="75" customHeight="1" thickTop="1" thickBot="1">
      <c r="A53" s="34">
        <v>51</v>
      </c>
      <c r="B53" s="55">
        <v>46029.410827754597</v>
      </c>
      <c r="C53" s="56" t="s">
        <v>26</v>
      </c>
      <c r="D53" s="56" t="s">
        <v>157</v>
      </c>
      <c r="E53" s="26" t="s">
        <v>21</v>
      </c>
      <c r="F53" s="26" t="s">
        <v>31</v>
      </c>
      <c r="G53" s="26" t="s">
        <v>25</v>
      </c>
      <c r="H53" s="26" t="s">
        <v>158</v>
      </c>
      <c r="I53" s="26"/>
      <c r="J53" s="26" t="s">
        <v>16</v>
      </c>
      <c r="K53" s="26" t="s">
        <v>13</v>
      </c>
      <c r="L53" s="55">
        <v>46029.482044027776</v>
      </c>
      <c r="M53" s="26"/>
      <c r="N53" s="4" t="s">
        <v>121</v>
      </c>
    </row>
    <row r="54" spans="1:14" ht="75" customHeight="1" thickTop="1" thickBot="1">
      <c r="A54" s="26">
        <v>52</v>
      </c>
      <c r="B54" s="55">
        <v>46029.419670335599</v>
      </c>
      <c r="C54" s="56" t="s">
        <v>26</v>
      </c>
      <c r="D54" s="56" t="s">
        <v>49</v>
      </c>
      <c r="E54" s="26" t="s">
        <v>22</v>
      </c>
      <c r="F54" s="26" t="s">
        <v>42</v>
      </c>
      <c r="G54" s="26" t="s">
        <v>40</v>
      </c>
      <c r="H54" s="26" t="s">
        <v>3565</v>
      </c>
      <c r="I54" s="26"/>
      <c r="J54" s="26" t="s">
        <v>12</v>
      </c>
      <c r="K54" s="26" t="s">
        <v>13</v>
      </c>
      <c r="L54" s="55">
        <v>46029.421661469911</v>
      </c>
      <c r="M54" s="26"/>
      <c r="N54" s="4" t="s">
        <v>121</v>
      </c>
    </row>
    <row r="55" spans="1:14" ht="75" customHeight="1" thickTop="1" thickBot="1">
      <c r="A55" s="34">
        <v>53</v>
      </c>
      <c r="B55" s="55">
        <v>46029.422504502298</v>
      </c>
      <c r="C55" s="56" t="s">
        <v>26</v>
      </c>
      <c r="D55" s="56" t="s">
        <v>49</v>
      </c>
      <c r="E55" s="26" t="s">
        <v>22</v>
      </c>
      <c r="F55" s="26" t="s">
        <v>39</v>
      </c>
      <c r="G55" s="26" t="s">
        <v>40</v>
      </c>
      <c r="H55" s="26" t="s">
        <v>3566</v>
      </c>
      <c r="I55" s="26"/>
      <c r="J55" s="26" t="s">
        <v>12</v>
      </c>
      <c r="K55" s="26" t="s">
        <v>13</v>
      </c>
      <c r="L55" s="55">
        <v>46029.432110879628</v>
      </c>
      <c r="M55" s="26"/>
      <c r="N55" s="4" t="s">
        <v>121</v>
      </c>
    </row>
    <row r="56" spans="1:14" ht="75" customHeight="1" thickTop="1" thickBot="1">
      <c r="A56" s="26">
        <v>54</v>
      </c>
      <c r="B56" s="55">
        <v>46029.423587384197</v>
      </c>
      <c r="C56" s="56" t="s">
        <v>26</v>
      </c>
      <c r="D56" s="56" t="s">
        <v>49</v>
      </c>
      <c r="E56" s="26" t="s">
        <v>22</v>
      </c>
      <c r="F56" s="26" t="s">
        <v>28</v>
      </c>
      <c r="G56" s="26" t="s">
        <v>25</v>
      </c>
      <c r="H56" s="26" t="s">
        <v>3567</v>
      </c>
      <c r="I56" s="26"/>
      <c r="J56" s="26" t="s">
        <v>12</v>
      </c>
      <c r="K56" s="26" t="s">
        <v>13</v>
      </c>
      <c r="L56" s="55">
        <v>46029.432182141201</v>
      </c>
      <c r="M56" s="26"/>
      <c r="N56" s="4" t="s">
        <v>121</v>
      </c>
    </row>
    <row r="57" spans="1:14" ht="75" customHeight="1" thickTop="1" thickBot="1">
      <c r="A57" s="34">
        <v>55</v>
      </c>
      <c r="B57" s="55">
        <v>46029.428849930497</v>
      </c>
      <c r="C57" s="56" t="s">
        <v>26</v>
      </c>
      <c r="D57" s="56" t="s">
        <v>49</v>
      </c>
      <c r="E57" s="26" t="s">
        <v>22</v>
      </c>
      <c r="F57" s="26" t="s">
        <v>141</v>
      </c>
      <c r="G57" s="26" t="s">
        <v>36</v>
      </c>
      <c r="H57" s="26" t="s">
        <v>3568</v>
      </c>
      <c r="I57" s="26"/>
      <c r="J57" s="26" t="s">
        <v>14</v>
      </c>
      <c r="K57" s="26" t="s">
        <v>13</v>
      </c>
      <c r="L57" s="55">
        <v>46029.432241886578</v>
      </c>
      <c r="M57" s="26"/>
      <c r="N57" s="4" t="s">
        <v>121</v>
      </c>
    </row>
    <row r="58" spans="1:14" ht="75" customHeight="1" thickTop="1" thickBot="1">
      <c r="A58" s="26">
        <v>56</v>
      </c>
      <c r="B58" s="55">
        <v>46029.587451261497</v>
      </c>
      <c r="C58" s="56" t="s">
        <v>26</v>
      </c>
      <c r="D58" s="56" t="s">
        <v>159</v>
      </c>
      <c r="E58" s="26" t="s">
        <v>21</v>
      </c>
      <c r="F58" s="26" t="s">
        <v>28</v>
      </c>
      <c r="G58" s="26" t="s">
        <v>25</v>
      </c>
      <c r="H58" s="26" t="s">
        <v>3569</v>
      </c>
      <c r="I58" s="26"/>
      <c r="J58" s="26" t="s">
        <v>14</v>
      </c>
      <c r="K58" s="26" t="s">
        <v>17</v>
      </c>
      <c r="L58" s="55">
        <v>46029.607136180552</v>
      </c>
      <c r="M58" s="26" t="s">
        <v>160</v>
      </c>
      <c r="N58" s="4" t="s">
        <v>121</v>
      </c>
    </row>
    <row r="59" spans="1:14" ht="75" customHeight="1" thickTop="1" thickBot="1">
      <c r="A59" s="34">
        <v>57</v>
      </c>
      <c r="B59" s="55">
        <v>46029.5904859375</v>
      </c>
      <c r="C59" s="56" t="s">
        <v>26</v>
      </c>
      <c r="D59" s="56" t="s">
        <v>51</v>
      </c>
      <c r="E59" s="26" t="s">
        <v>21</v>
      </c>
      <c r="F59" s="26" t="s">
        <v>39</v>
      </c>
      <c r="G59" s="26" t="s">
        <v>25</v>
      </c>
      <c r="H59" s="26" t="s">
        <v>161</v>
      </c>
      <c r="I59" s="26"/>
      <c r="J59" s="26" t="s">
        <v>16</v>
      </c>
      <c r="K59" s="26" t="s">
        <v>13</v>
      </c>
      <c r="L59" s="55">
        <v>46029.707158611112</v>
      </c>
      <c r="M59" s="26"/>
      <c r="N59" s="4" t="s">
        <v>121</v>
      </c>
    </row>
    <row r="60" spans="1:14" ht="75" customHeight="1" thickTop="1" thickBot="1">
      <c r="A60" s="26">
        <v>58</v>
      </c>
      <c r="B60" s="55">
        <v>46030.417294166597</v>
      </c>
      <c r="C60" s="56" t="s">
        <v>26</v>
      </c>
      <c r="D60" s="56" t="s">
        <v>57</v>
      </c>
      <c r="E60" s="26" t="s">
        <v>21</v>
      </c>
      <c r="F60" s="26" t="s">
        <v>42</v>
      </c>
      <c r="G60" s="26" t="s">
        <v>32</v>
      </c>
      <c r="H60" s="26" t="s">
        <v>162</v>
      </c>
      <c r="I60" s="26"/>
      <c r="J60" s="26" t="s">
        <v>12</v>
      </c>
      <c r="K60" s="26" t="s">
        <v>13</v>
      </c>
      <c r="L60" s="55">
        <v>46030.545517141203</v>
      </c>
      <c r="M60" s="26" t="s">
        <v>163</v>
      </c>
      <c r="N60" s="4" t="s">
        <v>121</v>
      </c>
    </row>
    <row r="61" spans="1:14" ht="75" customHeight="1" thickTop="1" thickBot="1">
      <c r="A61" s="34">
        <v>59</v>
      </c>
      <c r="B61" s="55">
        <v>46030.455859779999</v>
      </c>
      <c r="C61" s="56" t="s">
        <v>26</v>
      </c>
      <c r="D61" s="56" t="s">
        <v>50</v>
      </c>
      <c r="E61" s="26" t="s">
        <v>21</v>
      </c>
      <c r="F61" s="26" t="s">
        <v>42</v>
      </c>
      <c r="G61" s="26" t="s">
        <v>25</v>
      </c>
      <c r="H61" s="26" t="s">
        <v>164</v>
      </c>
      <c r="I61" s="26"/>
      <c r="J61" s="26" t="s">
        <v>16</v>
      </c>
      <c r="K61" s="26" t="s">
        <v>13</v>
      </c>
      <c r="L61" s="55">
        <v>46030.6025949537</v>
      </c>
      <c r="M61" s="26"/>
      <c r="N61" s="4" t="s">
        <v>121</v>
      </c>
    </row>
    <row r="62" spans="1:14" ht="75" customHeight="1" thickTop="1" thickBot="1">
      <c r="A62" s="26">
        <v>60</v>
      </c>
      <c r="B62" s="55">
        <v>46030.4566300347</v>
      </c>
      <c r="C62" s="56" t="s">
        <v>26</v>
      </c>
      <c r="D62" s="56" t="s">
        <v>165</v>
      </c>
      <c r="E62" s="26" t="s">
        <v>21</v>
      </c>
      <c r="F62" s="26" t="s">
        <v>39</v>
      </c>
      <c r="G62" s="26" t="s">
        <v>25</v>
      </c>
      <c r="H62" s="26" t="s">
        <v>166</v>
      </c>
      <c r="I62" s="26"/>
      <c r="J62" s="26" t="s">
        <v>16</v>
      </c>
      <c r="K62" s="26" t="s">
        <v>13</v>
      </c>
      <c r="L62" s="55">
        <v>46030.602635856485</v>
      </c>
      <c r="M62" s="26"/>
      <c r="N62" s="4" t="s">
        <v>121</v>
      </c>
    </row>
    <row r="63" spans="1:14" ht="75" customHeight="1" thickTop="1" thickBot="1">
      <c r="A63" s="34">
        <v>61</v>
      </c>
      <c r="B63" s="55">
        <v>46030.4594486805</v>
      </c>
      <c r="C63" s="56" t="s">
        <v>26</v>
      </c>
      <c r="D63" s="56" t="s">
        <v>50</v>
      </c>
      <c r="E63" s="26" t="s">
        <v>21</v>
      </c>
      <c r="F63" s="26" t="s">
        <v>28</v>
      </c>
      <c r="G63" s="26" t="s">
        <v>37</v>
      </c>
      <c r="H63" s="26" t="s">
        <v>167</v>
      </c>
      <c r="I63" s="26"/>
      <c r="J63" s="26" t="s">
        <v>16</v>
      </c>
      <c r="K63" s="26" t="s">
        <v>13</v>
      </c>
      <c r="L63" s="55">
        <v>46030.602661423611</v>
      </c>
      <c r="M63" s="26"/>
      <c r="N63" s="4" t="s">
        <v>121</v>
      </c>
    </row>
    <row r="64" spans="1:14" ht="75" customHeight="1" thickTop="1" thickBot="1">
      <c r="A64" s="26">
        <v>62</v>
      </c>
      <c r="B64" s="55">
        <v>46030.474591701299</v>
      </c>
      <c r="C64" s="56" t="s">
        <v>26</v>
      </c>
      <c r="D64" s="56" t="s">
        <v>49</v>
      </c>
      <c r="E64" s="26" t="s">
        <v>22</v>
      </c>
      <c r="F64" s="26" t="s">
        <v>42</v>
      </c>
      <c r="G64" s="26" t="s">
        <v>37</v>
      </c>
      <c r="H64" s="26" t="s">
        <v>3570</v>
      </c>
      <c r="I64" s="26"/>
      <c r="J64" s="26" t="s">
        <v>16</v>
      </c>
      <c r="K64" s="26" t="s">
        <v>13</v>
      </c>
      <c r="L64" s="55">
        <v>46030.478986076385</v>
      </c>
      <c r="M64" s="26" t="s">
        <v>143</v>
      </c>
      <c r="N64" s="4" t="s">
        <v>121</v>
      </c>
    </row>
    <row r="65" spans="1:14" ht="75" customHeight="1" thickTop="1" thickBot="1">
      <c r="A65" s="34">
        <v>63</v>
      </c>
      <c r="B65" s="55">
        <v>46030.475438645801</v>
      </c>
      <c r="C65" s="56" t="s">
        <v>26</v>
      </c>
      <c r="D65" s="56" t="s">
        <v>49</v>
      </c>
      <c r="E65" s="26" t="s">
        <v>22</v>
      </c>
      <c r="F65" s="26" t="s">
        <v>28</v>
      </c>
      <c r="G65" s="26" t="s">
        <v>38</v>
      </c>
      <c r="H65" s="26" t="s">
        <v>3571</v>
      </c>
      <c r="I65" s="26"/>
      <c r="J65" s="26" t="s">
        <v>16</v>
      </c>
      <c r="K65" s="26" t="s">
        <v>13</v>
      </c>
      <c r="L65" s="55">
        <v>46030.479071782407</v>
      </c>
      <c r="M65" s="26" t="s">
        <v>143</v>
      </c>
      <c r="N65" s="4" t="s">
        <v>121</v>
      </c>
    </row>
    <row r="66" spans="1:14" ht="75" customHeight="1" thickTop="1" thickBot="1">
      <c r="A66" s="26">
        <v>64</v>
      </c>
      <c r="B66" s="55">
        <v>46030.476481782403</v>
      </c>
      <c r="C66" s="56" t="s">
        <v>26</v>
      </c>
      <c r="D66" s="56" t="s">
        <v>168</v>
      </c>
      <c r="E66" s="26" t="s">
        <v>22</v>
      </c>
      <c r="F66" s="26" t="s">
        <v>28</v>
      </c>
      <c r="G66" s="26" t="s">
        <v>38</v>
      </c>
      <c r="H66" s="26" t="s">
        <v>3572</v>
      </c>
      <c r="I66" s="26"/>
      <c r="J66" s="26" t="s">
        <v>16</v>
      </c>
      <c r="K66" s="26" t="s">
        <v>13</v>
      </c>
      <c r="L66" s="55">
        <v>46030.479123553239</v>
      </c>
      <c r="M66" s="26" t="s">
        <v>143</v>
      </c>
      <c r="N66" s="4" t="s">
        <v>121</v>
      </c>
    </row>
    <row r="67" spans="1:14" ht="75" customHeight="1" thickTop="1" thickBot="1">
      <c r="A67" s="34">
        <v>65</v>
      </c>
      <c r="B67" s="55">
        <v>46030.477465196702</v>
      </c>
      <c r="C67" s="56" t="s">
        <v>26</v>
      </c>
      <c r="D67" s="56" t="s">
        <v>49</v>
      </c>
      <c r="E67" s="26" t="s">
        <v>22</v>
      </c>
      <c r="F67" s="26" t="s">
        <v>28</v>
      </c>
      <c r="G67" s="26" t="s">
        <v>38</v>
      </c>
      <c r="H67" s="26" t="s">
        <v>3573</v>
      </c>
      <c r="I67" s="26"/>
      <c r="J67" s="26" t="s">
        <v>16</v>
      </c>
      <c r="K67" s="26" t="s">
        <v>13</v>
      </c>
      <c r="L67" s="55">
        <v>46030.479238831016</v>
      </c>
      <c r="M67" s="26" t="s">
        <v>143</v>
      </c>
      <c r="N67" s="4" t="s">
        <v>121</v>
      </c>
    </row>
    <row r="68" spans="1:14" ht="75" customHeight="1" thickTop="1" thickBot="1">
      <c r="A68" s="26">
        <v>66</v>
      </c>
      <c r="B68" s="55">
        <v>46030.478753113399</v>
      </c>
      <c r="C68" s="56" t="s">
        <v>26</v>
      </c>
      <c r="D68" s="56" t="s">
        <v>49</v>
      </c>
      <c r="E68" s="26" t="s">
        <v>22</v>
      </c>
      <c r="F68" s="26" t="s">
        <v>28</v>
      </c>
      <c r="G68" s="26" t="s">
        <v>38</v>
      </c>
      <c r="H68" s="26" t="s">
        <v>3574</v>
      </c>
      <c r="I68" s="26"/>
      <c r="J68" s="26" t="s">
        <v>16</v>
      </c>
      <c r="K68" s="26" t="s">
        <v>13</v>
      </c>
      <c r="L68" s="55">
        <v>46030.479317164354</v>
      </c>
      <c r="M68" s="26" t="s">
        <v>143</v>
      </c>
      <c r="N68" s="4" t="s">
        <v>121</v>
      </c>
    </row>
    <row r="69" spans="1:14" ht="75" customHeight="1" thickTop="1" thickBot="1">
      <c r="A69" s="34">
        <v>67</v>
      </c>
      <c r="B69" s="55">
        <v>46030.585262083303</v>
      </c>
      <c r="C69" s="56" t="s">
        <v>26</v>
      </c>
      <c r="D69" s="56" t="s">
        <v>169</v>
      </c>
      <c r="E69" s="26" t="s">
        <v>21</v>
      </c>
      <c r="F69" s="26" t="s">
        <v>31</v>
      </c>
      <c r="G69" s="26" t="s">
        <v>36</v>
      </c>
      <c r="H69" s="26" t="s">
        <v>170</v>
      </c>
      <c r="I69" s="26"/>
      <c r="J69" s="26" t="s">
        <v>33</v>
      </c>
      <c r="K69" s="26" t="s">
        <v>17</v>
      </c>
      <c r="L69" s="55">
        <v>46030.658952835649</v>
      </c>
      <c r="M69" s="26"/>
      <c r="N69" s="4" t="s">
        <v>121</v>
      </c>
    </row>
    <row r="70" spans="1:14" ht="75" customHeight="1" thickTop="1" thickBot="1">
      <c r="A70" s="26">
        <v>68</v>
      </c>
      <c r="B70" s="55">
        <v>46032.400789027699</v>
      </c>
      <c r="C70" s="56" t="s">
        <v>26</v>
      </c>
      <c r="D70" s="56" t="s">
        <v>57</v>
      </c>
      <c r="E70" s="26" t="s">
        <v>21</v>
      </c>
      <c r="F70" s="26" t="s">
        <v>39</v>
      </c>
      <c r="G70" s="26" t="s">
        <v>25</v>
      </c>
      <c r="H70" s="26" t="s">
        <v>171</v>
      </c>
      <c r="I70" s="26"/>
      <c r="J70" s="26" t="s">
        <v>14</v>
      </c>
      <c r="K70" s="26" t="s">
        <v>13</v>
      </c>
      <c r="L70" s="55">
        <v>46032.487301030094</v>
      </c>
      <c r="M70" s="26"/>
      <c r="N70" s="4" t="s">
        <v>121</v>
      </c>
    </row>
    <row r="71" spans="1:14" ht="75" customHeight="1" thickTop="1" thickBot="1">
      <c r="A71" s="34">
        <v>69</v>
      </c>
      <c r="B71" s="55">
        <v>46032.476783576298</v>
      </c>
      <c r="C71" s="56" t="s">
        <v>26</v>
      </c>
      <c r="D71" s="56" t="s">
        <v>49</v>
      </c>
      <c r="E71" s="26" t="s">
        <v>22</v>
      </c>
      <c r="F71" s="26" t="s">
        <v>52</v>
      </c>
      <c r="G71" s="26" t="s">
        <v>25</v>
      </c>
      <c r="H71" s="26" t="s">
        <v>3575</v>
      </c>
      <c r="I71" s="26"/>
      <c r="J71" s="26" t="s">
        <v>12</v>
      </c>
      <c r="K71" s="26" t="s">
        <v>13</v>
      </c>
      <c r="L71" s="55">
        <v>46032.518956990738</v>
      </c>
      <c r="M71" s="26"/>
      <c r="N71" s="4" t="s">
        <v>121</v>
      </c>
    </row>
    <row r="72" spans="1:14" ht="75" customHeight="1" thickTop="1" thickBot="1">
      <c r="A72" s="26">
        <v>70</v>
      </c>
      <c r="B72" s="55">
        <v>46032.478318773101</v>
      </c>
      <c r="C72" s="56" t="s">
        <v>26</v>
      </c>
      <c r="D72" s="56" t="s">
        <v>49</v>
      </c>
      <c r="E72" s="26" t="s">
        <v>22</v>
      </c>
      <c r="F72" s="26" t="s">
        <v>28</v>
      </c>
      <c r="G72" s="26" t="s">
        <v>40</v>
      </c>
      <c r="H72" s="26" t="s">
        <v>3576</v>
      </c>
      <c r="I72" s="26"/>
      <c r="J72" s="26" t="s">
        <v>12</v>
      </c>
      <c r="K72" s="26" t="s">
        <v>13</v>
      </c>
      <c r="L72" s="55">
        <v>46032.51896833333</v>
      </c>
      <c r="M72" s="26"/>
      <c r="N72" s="4" t="s">
        <v>121</v>
      </c>
    </row>
    <row r="73" spans="1:14" ht="75" customHeight="1" thickTop="1" thickBot="1">
      <c r="A73" s="34">
        <v>71</v>
      </c>
      <c r="B73" s="55">
        <v>46032.479071654998</v>
      </c>
      <c r="C73" s="56" t="s">
        <v>26</v>
      </c>
      <c r="D73" s="56" t="s">
        <v>49</v>
      </c>
      <c r="E73" s="26" t="s">
        <v>22</v>
      </c>
      <c r="F73" s="26" t="s">
        <v>172</v>
      </c>
      <c r="G73" s="26" t="s">
        <v>43</v>
      </c>
      <c r="H73" s="26" t="s">
        <v>3577</v>
      </c>
      <c r="I73" s="26"/>
      <c r="J73" s="26" t="s">
        <v>12</v>
      </c>
      <c r="K73" s="26" t="s">
        <v>13</v>
      </c>
      <c r="L73" s="55">
        <v>46032.518976423613</v>
      </c>
      <c r="M73" s="26"/>
      <c r="N73" s="4" t="s">
        <v>121</v>
      </c>
    </row>
    <row r="74" spans="1:14" ht="75" customHeight="1" thickTop="1" thickBot="1">
      <c r="A74" s="26">
        <v>72</v>
      </c>
      <c r="B74" s="55">
        <v>46032.480978205997</v>
      </c>
      <c r="C74" s="56" t="s">
        <v>26</v>
      </c>
      <c r="D74" s="56" t="s">
        <v>49</v>
      </c>
      <c r="E74" s="26" t="s">
        <v>22</v>
      </c>
      <c r="F74" s="26" t="s">
        <v>28</v>
      </c>
      <c r="G74" s="26" t="s">
        <v>173</v>
      </c>
      <c r="H74" s="26" t="s">
        <v>3578</v>
      </c>
      <c r="I74" s="26"/>
      <c r="J74" s="26" t="s">
        <v>12</v>
      </c>
      <c r="K74" s="26" t="s">
        <v>13</v>
      </c>
      <c r="L74" s="55">
        <v>46032.519001053239</v>
      </c>
      <c r="M74" s="26"/>
      <c r="N74" s="4" t="s">
        <v>121</v>
      </c>
    </row>
    <row r="75" spans="1:14" ht="75" customHeight="1" thickTop="1" thickBot="1">
      <c r="A75" s="34">
        <v>73</v>
      </c>
      <c r="B75" s="55">
        <v>46032.487549942103</v>
      </c>
      <c r="C75" s="56" t="s">
        <v>26</v>
      </c>
      <c r="D75" s="56" t="s">
        <v>49</v>
      </c>
      <c r="E75" s="26" t="s">
        <v>22</v>
      </c>
      <c r="F75" s="26" t="s">
        <v>42</v>
      </c>
      <c r="G75" s="26" t="s">
        <v>25</v>
      </c>
      <c r="H75" s="26" t="s">
        <v>3579</v>
      </c>
      <c r="I75" s="26"/>
      <c r="J75" s="26" t="s">
        <v>16</v>
      </c>
      <c r="K75" s="26" t="s">
        <v>13</v>
      </c>
      <c r="L75" s="55">
        <v>46032.519031851851</v>
      </c>
      <c r="M75" s="26"/>
      <c r="N75" s="4" t="s">
        <v>121</v>
      </c>
    </row>
    <row r="76" spans="1:14" ht="75" customHeight="1" thickTop="1" thickBot="1">
      <c r="A76" s="26">
        <v>74</v>
      </c>
      <c r="B76" s="55">
        <v>46032.489163171304</v>
      </c>
      <c r="C76" s="56" t="s">
        <v>26</v>
      </c>
      <c r="D76" s="56" t="s">
        <v>49</v>
      </c>
      <c r="E76" s="26" t="s">
        <v>22</v>
      </c>
      <c r="F76" s="26" t="s">
        <v>42</v>
      </c>
      <c r="G76" s="26" t="s">
        <v>25</v>
      </c>
      <c r="H76" s="26" t="s">
        <v>3580</v>
      </c>
      <c r="I76" s="26"/>
      <c r="J76" s="26" t="s">
        <v>16</v>
      </c>
      <c r="K76" s="26" t="s">
        <v>13</v>
      </c>
      <c r="L76" s="55">
        <v>46032.519073472227</v>
      </c>
      <c r="M76" s="26"/>
      <c r="N76" s="4" t="s">
        <v>121</v>
      </c>
    </row>
    <row r="77" spans="1:14" ht="75" customHeight="1" thickTop="1" thickBot="1">
      <c r="A77" s="34">
        <v>75</v>
      </c>
      <c r="B77" s="55">
        <v>46032.491770694403</v>
      </c>
      <c r="C77" s="56" t="s">
        <v>26</v>
      </c>
      <c r="D77" s="56" t="s">
        <v>49</v>
      </c>
      <c r="E77" s="26" t="s">
        <v>22</v>
      </c>
      <c r="F77" s="26" t="s">
        <v>42</v>
      </c>
      <c r="G77" s="26" t="s">
        <v>40</v>
      </c>
      <c r="H77" s="26" t="s">
        <v>3581</v>
      </c>
      <c r="I77" s="26"/>
      <c r="J77" s="26" t="s">
        <v>14</v>
      </c>
      <c r="K77" s="26" t="s">
        <v>13</v>
      </c>
      <c r="L77" s="55">
        <v>46032.519084317129</v>
      </c>
      <c r="M77" s="26"/>
      <c r="N77" s="4" t="s">
        <v>121</v>
      </c>
    </row>
    <row r="78" spans="1:14" ht="75" customHeight="1" thickTop="1" thickBot="1">
      <c r="A78" s="26">
        <v>76</v>
      </c>
      <c r="B78" s="55">
        <v>46032.493884062496</v>
      </c>
      <c r="C78" s="56" t="s">
        <v>26</v>
      </c>
      <c r="D78" s="56" t="s">
        <v>49</v>
      </c>
      <c r="E78" s="26" t="s">
        <v>22</v>
      </c>
      <c r="F78" s="26" t="s">
        <v>28</v>
      </c>
      <c r="G78" s="26" t="s">
        <v>43</v>
      </c>
      <c r="H78" s="26" t="s">
        <v>3582</v>
      </c>
      <c r="I78" s="26"/>
      <c r="J78" s="26" t="s">
        <v>12</v>
      </c>
      <c r="K78" s="26" t="s">
        <v>13</v>
      </c>
      <c r="L78" s="55">
        <v>46032.519093136572</v>
      </c>
      <c r="M78" s="26"/>
      <c r="N78" s="4" t="s">
        <v>121</v>
      </c>
    </row>
    <row r="79" spans="1:14" ht="75" customHeight="1" thickTop="1" thickBot="1">
      <c r="A79" s="34">
        <v>77</v>
      </c>
      <c r="B79" s="55">
        <v>46032.665957152698</v>
      </c>
      <c r="C79" s="56" t="s">
        <v>26</v>
      </c>
      <c r="D79" s="56" t="s">
        <v>49</v>
      </c>
      <c r="E79" s="26" t="s">
        <v>22</v>
      </c>
      <c r="F79" s="26" t="s">
        <v>28</v>
      </c>
      <c r="G79" s="26" t="s">
        <v>174</v>
      </c>
      <c r="H79" s="26" t="s">
        <v>3583</v>
      </c>
      <c r="I79" s="26"/>
      <c r="J79" s="26" t="s">
        <v>12</v>
      </c>
      <c r="K79" s="26" t="s">
        <v>13</v>
      </c>
      <c r="L79" s="55">
        <v>46032.666131874998</v>
      </c>
      <c r="M79" s="26" t="s">
        <v>175</v>
      </c>
      <c r="N79" s="4" t="s">
        <v>121</v>
      </c>
    </row>
    <row r="80" spans="1:14" ht="75" customHeight="1" thickTop="1" thickBot="1">
      <c r="A80" s="26">
        <v>78</v>
      </c>
      <c r="B80" s="55">
        <v>46033.4268514699</v>
      </c>
      <c r="C80" s="56" t="s">
        <v>26</v>
      </c>
      <c r="D80" s="56" t="s">
        <v>29</v>
      </c>
      <c r="E80" s="26" t="s">
        <v>21</v>
      </c>
      <c r="F80" s="26" t="s">
        <v>31</v>
      </c>
      <c r="G80" s="26" t="s">
        <v>176</v>
      </c>
      <c r="H80" s="26" t="s">
        <v>177</v>
      </c>
      <c r="I80" s="26"/>
      <c r="J80" s="26" t="s">
        <v>14</v>
      </c>
      <c r="K80" s="26" t="s">
        <v>13</v>
      </c>
      <c r="L80" s="55">
        <v>46033.508528715276</v>
      </c>
      <c r="M80" s="26"/>
      <c r="N80" s="4" t="s">
        <v>121</v>
      </c>
    </row>
    <row r="81" spans="1:14" ht="75" customHeight="1" thickTop="1" thickBot="1">
      <c r="A81" s="34">
        <v>79</v>
      </c>
      <c r="B81" s="55">
        <v>46033.435766099501</v>
      </c>
      <c r="C81" s="56" t="s">
        <v>26</v>
      </c>
      <c r="D81" s="56" t="s">
        <v>49</v>
      </c>
      <c r="E81" s="26" t="s">
        <v>22</v>
      </c>
      <c r="F81" s="26" t="s">
        <v>42</v>
      </c>
      <c r="G81" s="26" t="s">
        <v>43</v>
      </c>
      <c r="H81" s="26" t="s">
        <v>3584</v>
      </c>
      <c r="I81" s="26"/>
      <c r="J81" s="26" t="s">
        <v>12</v>
      </c>
      <c r="K81" s="26" t="s">
        <v>13</v>
      </c>
      <c r="L81" s="55">
        <v>46033.447084247688</v>
      </c>
      <c r="M81" s="26"/>
      <c r="N81" s="4" t="s">
        <v>121</v>
      </c>
    </row>
    <row r="82" spans="1:14" ht="75" customHeight="1" thickTop="1" thickBot="1">
      <c r="A82" s="26">
        <v>80</v>
      </c>
      <c r="B82" s="55">
        <v>46033.456240358799</v>
      </c>
      <c r="C82" s="56" t="s">
        <v>26</v>
      </c>
      <c r="D82" s="56" t="s">
        <v>49</v>
      </c>
      <c r="E82" s="26" t="s">
        <v>22</v>
      </c>
      <c r="F82" s="26" t="s">
        <v>39</v>
      </c>
      <c r="G82" s="26" t="s">
        <v>178</v>
      </c>
      <c r="H82" s="26" t="s">
        <v>179</v>
      </c>
      <c r="I82" s="26"/>
      <c r="J82" s="26" t="s">
        <v>16</v>
      </c>
      <c r="K82" s="26" t="s">
        <v>13</v>
      </c>
      <c r="L82" s="55">
        <v>46033.456641087963</v>
      </c>
      <c r="M82" s="26"/>
      <c r="N82" s="4" t="s">
        <v>121</v>
      </c>
    </row>
    <row r="83" spans="1:14" ht="75" customHeight="1" thickTop="1" thickBot="1">
      <c r="A83" s="34">
        <v>81</v>
      </c>
      <c r="B83" s="55">
        <v>46033.5023618634</v>
      </c>
      <c r="C83" s="56" t="s">
        <v>26</v>
      </c>
      <c r="D83" s="56" t="s">
        <v>180</v>
      </c>
      <c r="E83" s="26" t="s">
        <v>21</v>
      </c>
      <c r="F83" s="26" t="s">
        <v>31</v>
      </c>
      <c r="G83" s="26" t="s">
        <v>25</v>
      </c>
      <c r="H83" s="26" t="s">
        <v>181</v>
      </c>
      <c r="I83" s="26" t="s">
        <v>182</v>
      </c>
      <c r="J83" s="26" t="s">
        <v>16</v>
      </c>
      <c r="K83" s="26" t="s">
        <v>13</v>
      </c>
      <c r="L83" s="55">
        <v>46033.518535324074</v>
      </c>
      <c r="M83" s="26"/>
      <c r="N83" s="4" t="s">
        <v>121</v>
      </c>
    </row>
    <row r="84" spans="1:14" ht="75" customHeight="1" thickTop="1" thickBot="1">
      <c r="A84" s="26">
        <v>82</v>
      </c>
      <c r="B84" s="55">
        <v>46033.562162106398</v>
      </c>
      <c r="C84" s="56" t="s">
        <v>26</v>
      </c>
      <c r="D84" s="56" t="s">
        <v>183</v>
      </c>
      <c r="E84" s="26" t="s">
        <v>22</v>
      </c>
      <c r="F84" s="26" t="s">
        <v>28</v>
      </c>
      <c r="G84" s="26" t="s">
        <v>25</v>
      </c>
      <c r="H84" s="26" t="s">
        <v>3585</v>
      </c>
      <c r="I84" s="26"/>
      <c r="J84" s="26" t="s">
        <v>16</v>
      </c>
      <c r="K84" s="26" t="s">
        <v>13</v>
      </c>
      <c r="L84" s="55">
        <v>46033.566286053239</v>
      </c>
      <c r="M84" s="26"/>
      <c r="N84" s="4" t="s">
        <v>121</v>
      </c>
    </row>
    <row r="85" spans="1:14" ht="75" customHeight="1" thickTop="1" thickBot="1">
      <c r="A85" s="34">
        <v>83</v>
      </c>
      <c r="B85" s="55">
        <v>46034.295539803199</v>
      </c>
      <c r="C85" s="56" t="s">
        <v>26</v>
      </c>
      <c r="D85" s="56" t="s">
        <v>49</v>
      </c>
      <c r="E85" s="26" t="s">
        <v>22</v>
      </c>
      <c r="F85" s="26" t="s">
        <v>28</v>
      </c>
      <c r="G85" s="26" t="s">
        <v>43</v>
      </c>
      <c r="H85" s="26" t="s">
        <v>3586</v>
      </c>
      <c r="I85" s="26"/>
      <c r="J85" s="26" t="s">
        <v>12</v>
      </c>
      <c r="K85" s="26" t="s">
        <v>13</v>
      </c>
      <c r="L85" s="55">
        <v>46034.297358136573</v>
      </c>
      <c r="M85" s="26"/>
      <c r="N85" s="4" t="s">
        <v>121</v>
      </c>
    </row>
    <row r="86" spans="1:14" ht="75" customHeight="1" thickTop="1" thickBot="1">
      <c r="A86" s="26">
        <v>84</v>
      </c>
      <c r="B86" s="55">
        <v>46034.296464282401</v>
      </c>
      <c r="C86" s="56" t="s">
        <v>26</v>
      </c>
      <c r="D86" s="56" t="s">
        <v>49</v>
      </c>
      <c r="E86" s="26" t="s">
        <v>22</v>
      </c>
      <c r="F86" s="26" t="s">
        <v>31</v>
      </c>
      <c r="G86" s="26" t="s">
        <v>43</v>
      </c>
      <c r="H86" s="26" t="s">
        <v>3587</v>
      </c>
      <c r="I86" s="26"/>
      <c r="J86" s="26" t="s">
        <v>12</v>
      </c>
      <c r="K86" s="26" t="s">
        <v>13</v>
      </c>
      <c r="L86" s="55">
        <v>46034.297400011579</v>
      </c>
      <c r="M86" s="26"/>
      <c r="N86" s="4" t="s">
        <v>121</v>
      </c>
    </row>
    <row r="87" spans="1:14" ht="75" customHeight="1" thickTop="1" thickBot="1">
      <c r="A87" s="34">
        <v>85</v>
      </c>
      <c r="B87" s="55">
        <v>46034.3272646064</v>
      </c>
      <c r="C87" s="56" t="s">
        <v>26</v>
      </c>
      <c r="D87" s="56" t="s">
        <v>49</v>
      </c>
      <c r="E87" s="26" t="s">
        <v>22</v>
      </c>
      <c r="F87" s="26" t="s">
        <v>184</v>
      </c>
      <c r="G87" s="26" t="s">
        <v>46</v>
      </c>
      <c r="H87" s="26" t="s">
        <v>3588</v>
      </c>
      <c r="I87" s="26"/>
      <c r="J87" s="26" t="s">
        <v>16</v>
      </c>
      <c r="K87" s="26" t="s">
        <v>13</v>
      </c>
      <c r="L87" s="55">
        <v>46034.328291087964</v>
      </c>
      <c r="M87" s="26"/>
      <c r="N87" s="4" t="s">
        <v>121</v>
      </c>
    </row>
    <row r="88" spans="1:14" ht="75" customHeight="1" thickTop="1" thickBot="1">
      <c r="A88" s="26">
        <v>86</v>
      </c>
      <c r="B88" s="55">
        <v>46034.328145081003</v>
      </c>
      <c r="C88" s="56" t="s">
        <v>26</v>
      </c>
      <c r="D88" s="56" t="s">
        <v>49</v>
      </c>
      <c r="E88" s="26" t="s">
        <v>22</v>
      </c>
      <c r="F88" s="26" t="s">
        <v>42</v>
      </c>
      <c r="G88" s="26" t="s">
        <v>25</v>
      </c>
      <c r="H88" s="26" t="s">
        <v>3589</v>
      </c>
      <c r="I88" s="26"/>
      <c r="J88" s="26" t="s">
        <v>16</v>
      </c>
      <c r="K88" s="26" t="s">
        <v>13</v>
      </c>
      <c r="L88" s="55">
        <v>46034.328368645831</v>
      </c>
      <c r="M88" s="26"/>
      <c r="N88" s="4" t="s">
        <v>121</v>
      </c>
    </row>
    <row r="89" spans="1:14" ht="75" customHeight="1" thickTop="1" thickBot="1">
      <c r="A89" s="34">
        <v>87</v>
      </c>
      <c r="B89" s="55">
        <v>46034.331170613397</v>
      </c>
      <c r="C89" s="56" t="s">
        <v>26</v>
      </c>
      <c r="D89" s="56" t="s">
        <v>49</v>
      </c>
      <c r="E89" s="26" t="s">
        <v>22</v>
      </c>
      <c r="F89" s="26" t="s">
        <v>31</v>
      </c>
      <c r="G89" s="26" t="s">
        <v>37</v>
      </c>
      <c r="H89" s="26" t="s">
        <v>3590</v>
      </c>
      <c r="I89" s="26"/>
      <c r="J89" s="26" t="s">
        <v>14</v>
      </c>
      <c r="K89" s="26" t="s">
        <v>13</v>
      </c>
      <c r="L89" s="55">
        <v>46034.331307314817</v>
      </c>
      <c r="M89" s="26"/>
      <c r="N89" s="4" t="s">
        <v>121</v>
      </c>
    </row>
    <row r="90" spans="1:14" ht="75" customHeight="1" thickTop="1" thickBot="1">
      <c r="A90" s="26">
        <v>88</v>
      </c>
      <c r="B90" s="55">
        <v>46034.335811099503</v>
      </c>
      <c r="C90" s="56" t="s">
        <v>26</v>
      </c>
      <c r="D90" s="56" t="s">
        <v>49</v>
      </c>
      <c r="E90" s="26" t="s">
        <v>22</v>
      </c>
      <c r="F90" s="26" t="s">
        <v>39</v>
      </c>
      <c r="G90" s="26" t="s">
        <v>25</v>
      </c>
      <c r="H90" s="26" t="s">
        <v>3591</v>
      </c>
      <c r="I90" s="26"/>
      <c r="J90" s="26" t="s">
        <v>14</v>
      </c>
      <c r="K90" s="26" t="s">
        <v>13</v>
      </c>
      <c r="L90" s="55">
        <v>46034.336002303244</v>
      </c>
      <c r="M90" s="26"/>
      <c r="N90" s="4" t="s">
        <v>121</v>
      </c>
    </row>
    <row r="91" spans="1:14" ht="75" customHeight="1" thickTop="1" thickBot="1">
      <c r="A91" s="34">
        <v>89</v>
      </c>
      <c r="B91" s="55">
        <v>46034.342104456002</v>
      </c>
      <c r="C91" s="56" t="s">
        <v>26</v>
      </c>
      <c r="D91" s="56" t="s">
        <v>27</v>
      </c>
      <c r="E91" s="26" t="s">
        <v>21</v>
      </c>
      <c r="F91" s="26" t="s">
        <v>28</v>
      </c>
      <c r="G91" s="26" t="s">
        <v>36</v>
      </c>
      <c r="H91" s="26" t="s">
        <v>3592</v>
      </c>
      <c r="I91" s="26"/>
      <c r="J91" s="26" t="s">
        <v>14</v>
      </c>
      <c r="K91" s="26" t="s">
        <v>13</v>
      </c>
      <c r="L91" s="55">
        <v>46034.787126238429</v>
      </c>
      <c r="M91" s="26" t="s">
        <v>185</v>
      </c>
      <c r="N91" s="4" t="s">
        <v>121</v>
      </c>
    </row>
    <row r="92" spans="1:14" ht="75" customHeight="1" thickTop="1" thickBot="1">
      <c r="A92" s="26">
        <v>90</v>
      </c>
      <c r="B92" s="55">
        <v>46034.342753020799</v>
      </c>
      <c r="C92" s="56" t="s">
        <v>26</v>
      </c>
      <c r="D92" s="56" t="s">
        <v>61</v>
      </c>
      <c r="E92" s="26" t="s">
        <v>21</v>
      </c>
      <c r="F92" s="26" t="s">
        <v>28</v>
      </c>
      <c r="G92" s="26" t="s">
        <v>32</v>
      </c>
      <c r="H92" s="26" t="s">
        <v>3593</v>
      </c>
      <c r="I92" s="26"/>
      <c r="J92" s="26" t="s">
        <v>14</v>
      </c>
      <c r="K92" s="26" t="s">
        <v>13</v>
      </c>
      <c r="L92" s="55">
        <v>46034.5269162037</v>
      </c>
      <c r="M92" s="26" t="s">
        <v>186</v>
      </c>
      <c r="N92" s="4" t="s">
        <v>121</v>
      </c>
    </row>
    <row r="93" spans="1:14" ht="75" customHeight="1" thickTop="1" thickBot="1">
      <c r="A93" s="34">
        <v>91</v>
      </c>
      <c r="B93" s="55">
        <v>46034.350127048601</v>
      </c>
      <c r="C93" s="56" t="s">
        <v>26</v>
      </c>
      <c r="D93" s="56" t="s">
        <v>57</v>
      </c>
      <c r="E93" s="26" t="s">
        <v>21</v>
      </c>
      <c r="F93" s="26" t="s">
        <v>31</v>
      </c>
      <c r="G93" s="26" t="s">
        <v>25</v>
      </c>
      <c r="H93" s="26" t="s">
        <v>187</v>
      </c>
      <c r="I93" s="26"/>
      <c r="J93" s="26" t="s">
        <v>16</v>
      </c>
      <c r="K93" s="26" t="s">
        <v>13</v>
      </c>
      <c r="L93" s="55">
        <v>46034.371110798616</v>
      </c>
      <c r="M93" s="26"/>
      <c r="N93" s="4" t="s">
        <v>121</v>
      </c>
    </row>
    <row r="94" spans="1:14" ht="75" customHeight="1" thickTop="1" thickBot="1">
      <c r="A94" s="26">
        <v>92</v>
      </c>
      <c r="B94" s="55">
        <v>46034.363457442101</v>
      </c>
      <c r="C94" s="56" t="s">
        <v>26</v>
      </c>
      <c r="D94" s="56" t="s">
        <v>57</v>
      </c>
      <c r="E94" s="26" t="s">
        <v>21</v>
      </c>
      <c r="F94" s="26" t="s">
        <v>188</v>
      </c>
      <c r="G94" s="26" t="s">
        <v>56</v>
      </c>
      <c r="H94" s="26" t="s">
        <v>189</v>
      </c>
      <c r="I94" s="26"/>
      <c r="J94" s="26" t="s">
        <v>16</v>
      </c>
      <c r="K94" s="26" t="s">
        <v>13</v>
      </c>
      <c r="L94" s="55">
        <v>46034.457433495365</v>
      </c>
      <c r="M94" s="26"/>
      <c r="N94" s="4" t="s">
        <v>121</v>
      </c>
    </row>
    <row r="95" spans="1:14" ht="75" customHeight="1" thickTop="1" thickBot="1">
      <c r="A95" s="34">
        <v>93</v>
      </c>
      <c r="B95" s="55">
        <v>46034.398198090203</v>
      </c>
      <c r="C95" s="56" t="s">
        <v>26</v>
      </c>
      <c r="D95" s="56" t="s">
        <v>49</v>
      </c>
      <c r="E95" s="26" t="s">
        <v>22</v>
      </c>
      <c r="F95" s="26" t="s">
        <v>31</v>
      </c>
      <c r="G95" s="26" t="s">
        <v>36</v>
      </c>
      <c r="H95" s="26" t="s">
        <v>190</v>
      </c>
      <c r="I95" s="26"/>
      <c r="J95" s="26" t="s">
        <v>16</v>
      </c>
      <c r="K95" s="26" t="s">
        <v>13</v>
      </c>
      <c r="L95" s="55">
        <v>46034.398367442132</v>
      </c>
      <c r="M95" s="26"/>
      <c r="N95" s="4" t="s">
        <v>121</v>
      </c>
    </row>
    <row r="96" spans="1:14" ht="75" customHeight="1" thickTop="1" thickBot="1">
      <c r="A96" s="26">
        <v>94</v>
      </c>
      <c r="B96" s="55">
        <v>46034.555864953698</v>
      </c>
      <c r="C96" s="56" t="s">
        <v>26</v>
      </c>
      <c r="D96" s="56" t="s">
        <v>191</v>
      </c>
      <c r="E96" s="26" t="s">
        <v>22</v>
      </c>
      <c r="F96" s="26" t="s">
        <v>28</v>
      </c>
      <c r="G96" s="26" t="s">
        <v>36</v>
      </c>
      <c r="H96" s="26" t="s">
        <v>3594</v>
      </c>
      <c r="I96" s="26"/>
      <c r="J96" s="26" t="s">
        <v>16</v>
      </c>
      <c r="K96" s="26" t="s">
        <v>13</v>
      </c>
      <c r="L96" s="55">
        <v>46034.556119039349</v>
      </c>
      <c r="M96" s="26"/>
      <c r="N96" s="4" t="s">
        <v>121</v>
      </c>
    </row>
    <row r="97" spans="1:14" ht="75" customHeight="1" thickTop="1" thickBot="1">
      <c r="A97" s="34">
        <v>95</v>
      </c>
      <c r="B97" s="55">
        <v>46034.5578935995</v>
      </c>
      <c r="C97" s="56" t="s">
        <v>26</v>
      </c>
      <c r="D97" s="56" t="s">
        <v>191</v>
      </c>
      <c r="E97" s="26" t="s">
        <v>22</v>
      </c>
      <c r="F97" s="26" t="s">
        <v>28</v>
      </c>
      <c r="G97" s="26" t="s">
        <v>25</v>
      </c>
      <c r="H97" s="26" t="s">
        <v>3595</v>
      </c>
      <c r="I97" s="26"/>
      <c r="J97" s="26" t="s">
        <v>16</v>
      </c>
      <c r="K97" s="26" t="s">
        <v>13</v>
      </c>
      <c r="L97" s="55">
        <v>46034.558130648147</v>
      </c>
      <c r="M97" s="26"/>
      <c r="N97" s="4" t="s">
        <v>121</v>
      </c>
    </row>
    <row r="98" spans="1:14" ht="75" customHeight="1" thickTop="1" thickBot="1">
      <c r="A98" s="26">
        <v>96</v>
      </c>
      <c r="B98" s="55">
        <v>46035.404089872602</v>
      </c>
      <c r="C98" s="56" t="s">
        <v>26</v>
      </c>
      <c r="D98" s="56" t="s">
        <v>192</v>
      </c>
      <c r="E98" s="26" t="s">
        <v>21</v>
      </c>
      <c r="F98" s="26" t="s">
        <v>42</v>
      </c>
      <c r="G98" s="26" t="s">
        <v>193</v>
      </c>
      <c r="H98" s="26" t="s">
        <v>194</v>
      </c>
      <c r="I98" s="26"/>
      <c r="J98" s="26" t="s">
        <v>16</v>
      </c>
      <c r="K98" s="26" t="s">
        <v>13</v>
      </c>
      <c r="L98" s="55">
        <v>46035.446036956018</v>
      </c>
      <c r="M98" s="26"/>
      <c r="N98" s="4" t="s">
        <v>121</v>
      </c>
    </row>
    <row r="99" spans="1:14" ht="75" customHeight="1" thickTop="1" thickBot="1">
      <c r="A99" s="34">
        <v>97</v>
      </c>
      <c r="B99" s="55">
        <v>46035.5315082175</v>
      </c>
      <c r="C99" s="56" t="s">
        <v>26</v>
      </c>
      <c r="D99" s="56" t="s">
        <v>57</v>
      </c>
      <c r="E99" s="26" t="s">
        <v>21</v>
      </c>
      <c r="F99" s="26" t="s">
        <v>31</v>
      </c>
      <c r="G99" s="26" t="s">
        <v>32</v>
      </c>
      <c r="H99" s="26" t="s">
        <v>195</v>
      </c>
      <c r="I99" s="26"/>
      <c r="J99" s="26" t="s">
        <v>16</v>
      </c>
      <c r="K99" s="26" t="s">
        <v>13</v>
      </c>
      <c r="L99" s="55">
        <v>46035.586611909719</v>
      </c>
      <c r="M99" s="26"/>
      <c r="N99" s="4" t="s">
        <v>121</v>
      </c>
    </row>
    <row r="100" spans="1:14" ht="75" customHeight="1" thickTop="1" thickBot="1">
      <c r="A100" s="26">
        <v>98</v>
      </c>
      <c r="B100" s="55">
        <v>46035.602212256897</v>
      </c>
      <c r="C100" s="56" t="s">
        <v>26</v>
      </c>
      <c r="D100" s="56" t="s">
        <v>49</v>
      </c>
      <c r="E100" s="26" t="s">
        <v>22</v>
      </c>
      <c r="F100" s="26" t="s">
        <v>31</v>
      </c>
      <c r="G100" s="26" t="s">
        <v>36</v>
      </c>
      <c r="H100" s="26" t="s">
        <v>3596</v>
      </c>
      <c r="I100" s="26"/>
      <c r="J100" s="26" t="s">
        <v>16</v>
      </c>
      <c r="K100" s="26" t="s">
        <v>13</v>
      </c>
      <c r="L100" s="55">
        <v>46035.602724282406</v>
      </c>
      <c r="M100" s="26"/>
      <c r="N100" s="4" t="s">
        <v>121</v>
      </c>
    </row>
    <row r="101" spans="1:14" ht="75" customHeight="1" thickTop="1" thickBot="1">
      <c r="A101" s="34">
        <v>99</v>
      </c>
      <c r="B101" s="55">
        <v>46035.604200381902</v>
      </c>
      <c r="C101" s="56" t="s">
        <v>26</v>
      </c>
      <c r="D101" s="56" t="s">
        <v>49</v>
      </c>
      <c r="E101" s="26" t="s">
        <v>22</v>
      </c>
      <c r="F101" s="26" t="s">
        <v>31</v>
      </c>
      <c r="G101" s="26" t="s">
        <v>196</v>
      </c>
      <c r="H101" s="26" t="s">
        <v>3597</v>
      </c>
      <c r="I101" s="26"/>
      <c r="J101" s="26" t="s">
        <v>16</v>
      </c>
      <c r="K101" s="26" t="s">
        <v>13</v>
      </c>
      <c r="L101" s="55">
        <v>46035.604361504629</v>
      </c>
      <c r="M101" s="26"/>
      <c r="N101" s="4" t="s">
        <v>121</v>
      </c>
    </row>
    <row r="102" spans="1:14" ht="75" customHeight="1" thickTop="1" thickBot="1">
      <c r="A102" s="26">
        <v>100</v>
      </c>
      <c r="B102" s="55">
        <v>46035.605601226802</v>
      </c>
      <c r="C102" s="56" t="s">
        <v>26</v>
      </c>
      <c r="D102" s="56" t="s">
        <v>49</v>
      </c>
      <c r="E102" s="26" t="s">
        <v>22</v>
      </c>
      <c r="F102" s="26" t="s">
        <v>28</v>
      </c>
      <c r="G102" s="26" t="s">
        <v>40</v>
      </c>
      <c r="H102" s="26" t="s">
        <v>3598</v>
      </c>
      <c r="I102" s="26"/>
      <c r="J102" s="26" t="s">
        <v>14</v>
      </c>
      <c r="K102" s="26" t="s">
        <v>13</v>
      </c>
      <c r="L102" s="55">
        <v>46035.608891122683</v>
      </c>
      <c r="M102" s="26"/>
      <c r="N102" s="4" t="s">
        <v>121</v>
      </c>
    </row>
    <row r="103" spans="1:14" ht="75" customHeight="1" thickTop="1" thickBot="1">
      <c r="A103" s="34">
        <v>101</v>
      </c>
      <c r="B103" s="55">
        <v>46035.608733634203</v>
      </c>
      <c r="C103" s="56" t="s">
        <v>26</v>
      </c>
      <c r="D103" s="56" t="s">
        <v>49</v>
      </c>
      <c r="E103" s="26" t="s">
        <v>22</v>
      </c>
      <c r="F103" s="26" t="s">
        <v>28</v>
      </c>
      <c r="G103" s="26" t="s">
        <v>36</v>
      </c>
      <c r="H103" s="26" t="s">
        <v>3599</v>
      </c>
      <c r="I103" s="26"/>
      <c r="J103" s="26" t="s">
        <v>12</v>
      </c>
      <c r="K103" s="26" t="s">
        <v>13</v>
      </c>
      <c r="L103" s="55">
        <v>46035.608942777777</v>
      </c>
      <c r="M103" s="26"/>
      <c r="N103" s="4" t="s">
        <v>121</v>
      </c>
    </row>
    <row r="104" spans="1:14" ht="75" customHeight="1" thickTop="1" thickBot="1">
      <c r="A104" s="26">
        <v>102</v>
      </c>
      <c r="B104" s="55">
        <v>46035.6135116203</v>
      </c>
      <c r="C104" s="56" t="s">
        <v>26</v>
      </c>
      <c r="D104" s="56" t="s">
        <v>49</v>
      </c>
      <c r="E104" s="26" t="s">
        <v>22</v>
      </c>
      <c r="F104" s="26" t="s">
        <v>28</v>
      </c>
      <c r="G104" s="26" t="s">
        <v>36</v>
      </c>
      <c r="H104" s="26" t="s">
        <v>3600</v>
      </c>
      <c r="I104" s="26"/>
      <c r="J104" s="26" t="s">
        <v>14</v>
      </c>
      <c r="K104" s="26" t="s">
        <v>13</v>
      </c>
      <c r="L104" s="55">
        <v>46035.615098032409</v>
      </c>
      <c r="M104" s="26"/>
      <c r="N104" s="4" t="s">
        <v>121</v>
      </c>
    </row>
    <row r="105" spans="1:14" ht="75" customHeight="1" thickTop="1" thickBot="1">
      <c r="A105" s="34">
        <v>103</v>
      </c>
      <c r="B105" s="55">
        <v>46035.614956666599</v>
      </c>
      <c r="C105" s="56" t="s">
        <v>26</v>
      </c>
      <c r="D105" s="56" t="s">
        <v>49</v>
      </c>
      <c r="E105" s="26" t="s">
        <v>22</v>
      </c>
      <c r="F105" s="26" t="s">
        <v>28</v>
      </c>
      <c r="G105" s="26" t="s">
        <v>40</v>
      </c>
      <c r="H105" s="26" t="s">
        <v>3601</v>
      </c>
      <c r="I105" s="26"/>
      <c r="J105" s="26" t="s">
        <v>14</v>
      </c>
      <c r="K105" s="26" t="s">
        <v>13</v>
      </c>
      <c r="L105" s="55">
        <v>46035.615119814815</v>
      </c>
      <c r="M105" s="26"/>
      <c r="N105" s="4" t="s">
        <v>121</v>
      </c>
    </row>
    <row r="106" spans="1:14" ht="75" customHeight="1" thickTop="1" thickBot="1">
      <c r="A106" s="26">
        <v>104</v>
      </c>
      <c r="B106" s="55">
        <v>46036.4749643865</v>
      </c>
      <c r="C106" s="56" t="s">
        <v>26</v>
      </c>
      <c r="D106" s="56" t="s">
        <v>49</v>
      </c>
      <c r="E106" s="26" t="s">
        <v>22</v>
      </c>
      <c r="F106" s="26" t="s">
        <v>42</v>
      </c>
      <c r="G106" s="26" t="s">
        <v>47</v>
      </c>
      <c r="H106" s="26" t="s">
        <v>3602</v>
      </c>
      <c r="I106" s="26"/>
      <c r="J106" s="26" t="s">
        <v>14</v>
      </c>
      <c r="K106" s="26" t="s">
        <v>13</v>
      </c>
      <c r="L106" s="55">
        <v>46036.475879768521</v>
      </c>
      <c r="M106" s="26"/>
      <c r="N106" s="4" t="s">
        <v>121</v>
      </c>
    </row>
    <row r="107" spans="1:14" ht="75" customHeight="1" thickTop="1" thickBot="1">
      <c r="A107" s="34">
        <v>105</v>
      </c>
      <c r="B107" s="55">
        <v>46036.475733310101</v>
      </c>
      <c r="C107" s="56" t="s">
        <v>26</v>
      </c>
      <c r="D107" s="56" t="s">
        <v>49</v>
      </c>
      <c r="E107" s="26" t="s">
        <v>22</v>
      </c>
      <c r="F107" s="26" t="s">
        <v>31</v>
      </c>
      <c r="G107" s="26" t="s">
        <v>25</v>
      </c>
      <c r="H107" s="26" t="s">
        <v>3603</v>
      </c>
      <c r="I107" s="26"/>
      <c r="J107" s="26" t="s">
        <v>12</v>
      </c>
      <c r="K107" s="26" t="s">
        <v>13</v>
      </c>
      <c r="L107" s="55">
        <v>46036.475921851852</v>
      </c>
      <c r="M107" s="26"/>
      <c r="N107" s="4" t="s">
        <v>121</v>
      </c>
    </row>
    <row r="108" spans="1:14" ht="75" customHeight="1" thickTop="1" thickBot="1">
      <c r="A108" s="26">
        <v>106</v>
      </c>
      <c r="B108" s="55">
        <v>46036.4774700462</v>
      </c>
      <c r="C108" s="56" t="s">
        <v>26</v>
      </c>
      <c r="D108" s="56" t="s">
        <v>49</v>
      </c>
      <c r="E108" s="26" t="s">
        <v>22</v>
      </c>
      <c r="F108" s="26" t="s">
        <v>197</v>
      </c>
      <c r="G108" s="26" t="s">
        <v>198</v>
      </c>
      <c r="H108" s="26" t="s">
        <v>199</v>
      </c>
      <c r="I108" s="26"/>
      <c r="J108" s="26" t="s">
        <v>12</v>
      </c>
      <c r="K108" s="26" t="s">
        <v>13</v>
      </c>
      <c r="L108" s="55">
        <v>46036.47765346065</v>
      </c>
      <c r="M108" s="26"/>
      <c r="N108" s="4" t="s">
        <v>121</v>
      </c>
    </row>
    <row r="109" spans="1:14" ht="75" customHeight="1" thickTop="1" thickBot="1">
      <c r="A109" s="34">
        <v>107</v>
      </c>
      <c r="B109" s="55">
        <v>46036.478453992997</v>
      </c>
      <c r="C109" s="56" t="s">
        <v>26</v>
      </c>
      <c r="D109" s="56" t="s">
        <v>49</v>
      </c>
      <c r="E109" s="26" t="s">
        <v>22</v>
      </c>
      <c r="F109" s="26" t="s">
        <v>42</v>
      </c>
      <c r="G109" s="26" t="s">
        <v>37</v>
      </c>
      <c r="H109" s="26" t="s">
        <v>3604</v>
      </c>
      <c r="I109" s="26"/>
      <c r="J109" s="26" t="s">
        <v>16</v>
      </c>
      <c r="K109" s="26" t="s">
        <v>13</v>
      </c>
      <c r="L109" s="55">
        <v>46036.479135787042</v>
      </c>
      <c r="M109" s="26"/>
      <c r="N109" s="4" t="s">
        <v>121</v>
      </c>
    </row>
    <row r="110" spans="1:14" ht="75" customHeight="1" thickTop="1" thickBot="1">
      <c r="A110" s="26">
        <v>108</v>
      </c>
      <c r="B110" s="55">
        <v>46036.478944652699</v>
      </c>
      <c r="C110" s="56" t="s">
        <v>26</v>
      </c>
      <c r="D110" s="56" t="s">
        <v>49</v>
      </c>
      <c r="E110" s="26" t="s">
        <v>22</v>
      </c>
      <c r="F110" s="26" t="s">
        <v>42</v>
      </c>
      <c r="G110" s="26" t="s">
        <v>37</v>
      </c>
      <c r="H110" s="26" t="s">
        <v>3605</v>
      </c>
      <c r="I110" s="26"/>
      <c r="J110" s="26" t="s">
        <v>16</v>
      </c>
      <c r="K110" s="26" t="s">
        <v>13</v>
      </c>
      <c r="L110" s="55">
        <v>46036.479205266209</v>
      </c>
      <c r="M110" s="26"/>
      <c r="N110" s="4" t="s">
        <v>121</v>
      </c>
    </row>
    <row r="111" spans="1:14" ht="75" customHeight="1" thickTop="1" thickBot="1">
      <c r="A111" s="34">
        <v>109</v>
      </c>
      <c r="B111" s="55">
        <v>46036.479681041601</v>
      </c>
      <c r="C111" s="56" t="s">
        <v>26</v>
      </c>
      <c r="D111" s="56" t="s">
        <v>49</v>
      </c>
      <c r="E111" s="26" t="s">
        <v>22</v>
      </c>
      <c r="F111" s="26" t="s">
        <v>42</v>
      </c>
      <c r="G111" s="26" t="s">
        <v>47</v>
      </c>
      <c r="H111" s="26" t="s">
        <v>3606</v>
      </c>
      <c r="I111" s="26"/>
      <c r="J111" s="26" t="s">
        <v>16</v>
      </c>
      <c r="K111" s="26" t="s">
        <v>13</v>
      </c>
      <c r="L111" s="55">
        <v>46036.480018784721</v>
      </c>
      <c r="M111" s="26"/>
      <c r="N111" s="4" t="s">
        <v>121</v>
      </c>
    </row>
    <row r="112" spans="1:14" ht="75" customHeight="1" thickTop="1" thickBot="1">
      <c r="A112" s="26">
        <v>110</v>
      </c>
      <c r="B112" s="55">
        <v>46037.437108773098</v>
      </c>
      <c r="C112" s="56" t="s">
        <v>26</v>
      </c>
      <c r="D112" s="56" t="s">
        <v>49</v>
      </c>
      <c r="E112" s="26" t="s">
        <v>200</v>
      </c>
      <c r="F112" s="26" t="s">
        <v>53</v>
      </c>
      <c r="G112" s="26" t="s">
        <v>25</v>
      </c>
      <c r="H112" s="26" t="s">
        <v>3607</v>
      </c>
      <c r="I112" s="26"/>
      <c r="J112" s="26" t="s">
        <v>16</v>
      </c>
      <c r="K112" s="26" t="s">
        <v>13</v>
      </c>
      <c r="L112" s="55">
        <v>46037.593393831019</v>
      </c>
      <c r="M112" s="26"/>
      <c r="N112" s="4" t="s">
        <v>121</v>
      </c>
    </row>
    <row r="113" spans="1:14" ht="75" customHeight="1" thickTop="1" thickBot="1">
      <c r="A113" s="34">
        <v>111</v>
      </c>
      <c r="B113" s="55">
        <v>46037.438143911997</v>
      </c>
      <c r="C113" s="56" t="s">
        <v>26</v>
      </c>
      <c r="D113" s="56" t="s">
        <v>49</v>
      </c>
      <c r="E113" s="26" t="s">
        <v>22</v>
      </c>
      <c r="F113" s="26" t="s">
        <v>31</v>
      </c>
      <c r="G113" s="26" t="s">
        <v>36</v>
      </c>
      <c r="H113" s="26" t="s">
        <v>3608</v>
      </c>
      <c r="I113" s="26"/>
      <c r="J113" s="26" t="s">
        <v>16</v>
      </c>
      <c r="K113" s="26" t="s">
        <v>13</v>
      </c>
      <c r="L113" s="55">
        <v>46037.593481296295</v>
      </c>
      <c r="M113" s="26"/>
      <c r="N113" s="4" t="s">
        <v>121</v>
      </c>
    </row>
    <row r="114" spans="1:14" ht="75" customHeight="1" thickTop="1" thickBot="1">
      <c r="A114" s="26">
        <v>112</v>
      </c>
      <c r="B114" s="55">
        <v>46037.439913414302</v>
      </c>
      <c r="C114" s="56" t="s">
        <v>26</v>
      </c>
      <c r="D114" s="56" t="s">
        <v>49</v>
      </c>
      <c r="E114" s="26" t="s">
        <v>22</v>
      </c>
      <c r="F114" s="26" t="s">
        <v>31</v>
      </c>
      <c r="G114" s="26" t="s">
        <v>36</v>
      </c>
      <c r="H114" s="26" t="s">
        <v>3609</v>
      </c>
      <c r="I114" s="26"/>
      <c r="J114" s="26" t="s">
        <v>16</v>
      </c>
      <c r="K114" s="26" t="s">
        <v>13</v>
      </c>
      <c r="L114" s="55">
        <v>46037.593579432869</v>
      </c>
      <c r="M114" s="26"/>
      <c r="N114" s="4" t="s">
        <v>121</v>
      </c>
    </row>
    <row r="115" spans="1:14" ht="75" customHeight="1" thickTop="1" thickBot="1">
      <c r="A115" s="34">
        <v>113</v>
      </c>
      <c r="B115" s="55">
        <v>46037.526195625003</v>
      </c>
      <c r="C115" s="56" t="s">
        <v>26</v>
      </c>
      <c r="D115" s="56" t="s">
        <v>191</v>
      </c>
      <c r="E115" s="26" t="s">
        <v>22</v>
      </c>
      <c r="F115" s="26" t="s">
        <v>28</v>
      </c>
      <c r="G115" s="26" t="s">
        <v>25</v>
      </c>
      <c r="H115" s="26" t="s">
        <v>201</v>
      </c>
      <c r="I115" s="26"/>
      <c r="J115" s="26" t="s">
        <v>16</v>
      </c>
      <c r="K115" s="26" t="s">
        <v>13</v>
      </c>
      <c r="L115" s="55">
        <v>46037.593895185186</v>
      </c>
      <c r="M115" s="26"/>
      <c r="N115" s="4" t="s">
        <v>121</v>
      </c>
    </row>
    <row r="116" spans="1:14" ht="75" customHeight="1" thickTop="1" thickBot="1">
      <c r="A116" s="26">
        <v>114</v>
      </c>
      <c r="B116" s="55">
        <v>46037.527189050903</v>
      </c>
      <c r="C116" s="56" t="s">
        <v>26</v>
      </c>
      <c r="D116" s="56" t="s">
        <v>49</v>
      </c>
      <c r="E116" s="26" t="s">
        <v>22</v>
      </c>
      <c r="F116" s="26" t="s">
        <v>28</v>
      </c>
      <c r="G116" s="26" t="s">
        <v>36</v>
      </c>
      <c r="H116" s="26" t="s">
        <v>202</v>
      </c>
      <c r="I116" s="26"/>
      <c r="J116" s="26" t="s">
        <v>16</v>
      </c>
      <c r="K116" s="26" t="s">
        <v>13</v>
      </c>
      <c r="L116" s="55">
        <v>46037.593722395832</v>
      </c>
      <c r="M116" s="26"/>
      <c r="N116" s="4" t="s">
        <v>121</v>
      </c>
    </row>
    <row r="117" spans="1:14" ht="75" customHeight="1" thickTop="1" thickBot="1">
      <c r="A117" s="34">
        <v>115</v>
      </c>
      <c r="B117" s="55">
        <v>46039.420778101798</v>
      </c>
      <c r="C117" s="56" t="s">
        <v>26</v>
      </c>
      <c r="D117" s="56" t="s">
        <v>49</v>
      </c>
      <c r="E117" s="26" t="s">
        <v>22</v>
      </c>
      <c r="F117" s="26" t="s">
        <v>31</v>
      </c>
      <c r="G117" s="26" t="s">
        <v>25</v>
      </c>
      <c r="H117" s="26" t="s">
        <v>3610</v>
      </c>
      <c r="I117" s="26"/>
      <c r="J117" s="26" t="s">
        <v>16</v>
      </c>
      <c r="K117" s="26" t="s">
        <v>13</v>
      </c>
      <c r="L117" s="55">
        <v>46039.427317962967</v>
      </c>
      <c r="M117" s="26" t="s">
        <v>203</v>
      </c>
      <c r="N117" s="4" t="s">
        <v>121</v>
      </c>
    </row>
    <row r="118" spans="1:14" ht="75" customHeight="1" thickTop="1" thickBot="1">
      <c r="A118" s="26">
        <v>116</v>
      </c>
      <c r="B118" s="55">
        <v>46039.422011481402</v>
      </c>
      <c r="C118" s="56" t="s">
        <v>26</v>
      </c>
      <c r="D118" s="56" t="s">
        <v>49</v>
      </c>
      <c r="E118" s="26" t="s">
        <v>22</v>
      </c>
      <c r="F118" s="26" t="s">
        <v>31</v>
      </c>
      <c r="G118" s="26" t="s">
        <v>36</v>
      </c>
      <c r="H118" s="26" t="s">
        <v>3611</v>
      </c>
      <c r="I118" s="26"/>
      <c r="J118" s="26" t="s">
        <v>16</v>
      </c>
      <c r="K118" s="26" t="s">
        <v>13</v>
      </c>
      <c r="L118" s="55">
        <v>46039.427404780094</v>
      </c>
      <c r="M118" s="26" t="s">
        <v>203</v>
      </c>
      <c r="N118" s="4" t="s">
        <v>121</v>
      </c>
    </row>
    <row r="119" spans="1:14" ht="75" customHeight="1" thickTop="1" thickBot="1">
      <c r="A119" s="34">
        <v>117</v>
      </c>
      <c r="B119" s="55">
        <v>46039.422649375003</v>
      </c>
      <c r="C119" s="56" t="s">
        <v>26</v>
      </c>
      <c r="D119" s="56" t="s">
        <v>49</v>
      </c>
      <c r="E119" s="26" t="s">
        <v>22</v>
      </c>
      <c r="F119" s="26" t="s">
        <v>31</v>
      </c>
      <c r="G119" s="26" t="s">
        <v>37</v>
      </c>
      <c r="H119" s="26" t="s">
        <v>3612</v>
      </c>
      <c r="I119" s="26"/>
      <c r="J119" s="26" t="s">
        <v>16</v>
      </c>
      <c r="K119" s="26" t="s">
        <v>13</v>
      </c>
      <c r="L119" s="55">
        <v>46039.427482291663</v>
      </c>
      <c r="M119" s="26" t="s">
        <v>203</v>
      </c>
      <c r="N119" s="4" t="s">
        <v>121</v>
      </c>
    </row>
    <row r="120" spans="1:14" ht="75" customHeight="1" thickTop="1" thickBot="1">
      <c r="A120" s="26">
        <v>118</v>
      </c>
      <c r="B120" s="55">
        <v>46039.423519236101</v>
      </c>
      <c r="C120" s="56" t="s">
        <v>26</v>
      </c>
      <c r="D120" s="56" t="s">
        <v>49</v>
      </c>
      <c r="E120" s="26" t="s">
        <v>22</v>
      </c>
      <c r="F120" s="26" t="s">
        <v>31</v>
      </c>
      <c r="G120" s="26" t="s">
        <v>47</v>
      </c>
      <c r="H120" s="26" t="s">
        <v>3613</v>
      </c>
      <c r="I120" s="26"/>
      <c r="J120" s="26" t="s">
        <v>16</v>
      </c>
      <c r="K120" s="26" t="s">
        <v>13</v>
      </c>
      <c r="L120" s="55">
        <v>46039.427607743055</v>
      </c>
      <c r="M120" s="26" t="s">
        <v>203</v>
      </c>
      <c r="N120" s="4" t="s">
        <v>121</v>
      </c>
    </row>
    <row r="121" spans="1:14" ht="75" customHeight="1" thickTop="1" thickBot="1">
      <c r="A121" s="34">
        <v>119</v>
      </c>
      <c r="B121" s="55">
        <v>46039.424145393503</v>
      </c>
      <c r="C121" s="56" t="s">
        <v>26</v>
      </c>
      <c r="D121" s="56" t="s">
        <v>49</v>
      </c>
      <c r="E121" s="26" t="s">
        <v>22</v>
      </c>
      <c r="F121" s="26" t="s">
        <v>31</v>
      </c>
      <c r="G121" s="26" t="s">
        <v>38</v>
      </c>
      <c r="H121" s="26" t="s">
        <v>3614</v>
      </c>
      <c r="I121" s="26"/>
      <c r="J121" s="26" t="s">
        <v>16</v>
      </c>
      <c r="K121" s="26" t="s">
        <v>13</v>
      </c>
      <c r="L121" s="55">
        <v>46039.427675891202</v>
      </c>
      <c r="M121" s="26" t="s">
        <v>203</v>
      </c>
      <c r="N121" s="4" t="s">
        <v>121</v>
      </c>
    </row>
    <row r="122" spans="1:14" ht="75" customHeight="1" thickTop="1" thickBot="1">
      <c r="A122" s="26">
        <v>120</v>
      </c>
      <c r="B122" s="55">
        <v>46039.4818532754</v>
      </c>
      <c r="C122" s="56" t="s">
        <v>26</v>
      </c>
      <c r="D122" s="56" t="s">
        <v>49</v>
      </c>
      <c r="E122" s="26" t="s">
        <v>22</v>
      </c>
      <c r="F122" s="26" t="s">
        <v>42</v>
      </c>
      <c r="G122" s="26" t="s">
        <v>47</v>
      </c>
      <c r="H122" s="26" t="s">
        <v>3615</v>
      </c>
      <c r="I122" s="26"/>
      <c r="J122" s="26" t="s">
        <v>16</v>
      </c>
      <c r="K122" s="26" t="s">
        <v>13</v>
      </c>
      <c r="L122" s="55">
        <v>46039.484037048613</v>
      </c>
      <c r="M122" s="26"/>
      <c r="N122" s="4" t="s">
        <v>121</v>
      </c>
    </row>
    <row r="123" spans="1:14" ht="75" customHeight="1" thickTop="1" thickBot="1">
      <c r="A123" s="34">
        <v>121</v>
      </c>
      <c r="B123" s="55">
        <v>46039.482810289301</v>
      </c>
      <c r="C123" s="56" t="s">
        <v>26</v>
      </c>
      <c r="D123" s="56" t="s">
        <v>49</v>
      </c>
      <c r="E123" s="26" t="s">
        <v>22</v>
      </c>
      <c r="F123" s="26" t="s">
        <v>42</v>
      </c>
      <c r="G123" s="26" t="s">
        <v>38</v>
      </c>
      <c r="H123" s="26" t="s">
        <v>3616</v>
      </c>
      <c r="I123" s="26"/>
      <c r="J123" s="26" t="s">
        <v>16</v>
      </c>
      <c r="K123" s="26" t="s">
        <v>13</v>
      </c>
      <c r="L123" s="55">
        <v>46039.484120000001</v>
      </c>
      <c r="M123" s="26"/>
      <c r="N123" s="4" t="s">
        <v>121</v>
      </c>
    </row>
    <row r="124" spans="1:14" ht="75" customHeight="1" thickTop="1" thickBot="1">
      <c r="A124" s="26">
        <v>122</v>
      </c>
      <c r="B124" s="55">
        <v>46039.483868391202</v>
      </c>
      <c r="C124" s="56" t="s">
        <v>26</v>
      </c>
      <c r="D124" s="56" t="s">
        <v>49</v>
      </c>
      <c r="E124" s="26" t="s">
        <v>22</v>
      </c>
      <c r="F124" s="26" t="s">
        <v>42</v>
      </c>
      <c r="G124" s="26" t="s">
        <v>38</v>
      </c>
      <c r="H124" s="26" t="s">
        <v>3617</v>
      </c>
      <c r="I124" s="26"/>
      <c r="J124" s="26" t="s">
        <v>16</v>
      </c>
      <c r="K124" s="26" t="s">
        <v>13</v>
      </c>
      <c r="L124" s="55">
        <v>46039.48418078704</v>
      </c>
      <c r="M124" s="26"/>
      <c r="N124" s="4" t="s">
        <v>121</v>
      </c>
    </row>
    <row r="125" spans="1:14" ht="75" customHeight="1" thickTop="1" thickBot="1">
      <c r="A125" s="34">
        <v>123</v>
      </c>
      <c r="B125" s="55">
        <v>46040.432299490698</v>
      </c>
      <c r="C125" s="56" t="s">
        <v>26</v>
      </c>
      <c r="D125" s="56" t="s">
        <v>49</v>
      </c>
      <c r="E125" s="26" t="s">
        <v>22</v>
      </c>
      <c r="F125" s="26" t="s">
        <v>28</v>
      </c>
      <c r="G125" s="26" t="s">
        <v>36</v>
      </c>
      <c r="H125" s="26" t="s">
        <v>3618</v>
      </c>
      <c r="I125" s="26"/>
      <c r="J125" s="26" t="s">
        <v>16</v>
      </c>
      <c r="K125" s="26" t="s">
        <v>13</v>
      </c>
      <c r="L125" s="55">
        <v>46040.439477152773</v>
      </c>
      <c r="M125" s="26"/>
      <c r="N125" s="4" t="s">
        <v>121</v>
      </c>
    </row>
    <row r="126" spans="1:14" ht="75" customHeight="1" thickTop="1" thickBot="1">
      <c r="A126" s="26">
        <v>124</v>
      </c>
      <c r="B126" s="55">
        <v>46040.435019606397</v>
      </c>
      <c r="C126" s="56" t="s">
        <v>26</v>
      </c>
      <c r="D126" s="56" t="s">
        <v>49</v>
      </c>
      <c r="E126" s="26" t="s">
        <v>22</v>
      </c>
      <c r="F126" s="26" t="s">
        <v>28</v>
      </c>
      <c r="G126" s="26" t="s">
        <v>36</v>
      </c>
      <c r="H126" s="26" t="s">
        <v>3619</v>
      </c>
      <c r="I126" s="26"/>
      <c r="J126" s="26" t="s">
        <v>16</v>
      </c>
      <c r="K126" s="26" t="s">
        <v>13</v>
      </c>
      <c r="L126" s="55">
        <v>46040.439510972225</v>
      </c>
      <c r="M126" s="26"/>
      <c r="N126" s="4" t="s">
        <v>121</v>
      </c>
    </row>
    <row r="127" spans="1:14" ht="75" customHeight="1" thickTop="1" thickBot="1">
      <c r="A127" s="34">
        <v>125</v>
      </c>
      <c r="B127" s="55">
        <v>46040.436648449002</v>
      </c>
      <c r="C127" s="56" t="s">
        <v>26</v>
      </c>
      <c r="D127" s="56" t="s">
        <v>49</v>
      </c>
      <c r="E127" s="26" t="s">
        <v>22</v>
      </c>
      <c r="F127" s="26" t="s">
        <v>28</v>
      </c>
      <c r="G127" s="26" t="s">
        <v>36</v>
      </c>
      <c r="H127" s="26" t="s">
        <v>204</v>
      </c>
      <c r="I127" s="26"/>
      <c r="J127" s="26" t="s">
        <v>16</v>
      </c>
      <c r="K127" s="26" t="s">
        <v>13</v>
      </c>
      <c r="L127" s="55">
        <v>46040.439565960653</v>
      </c>
      <c r="M127" s="26"/>
      <c r="N127" s="4" t="s">
        <v>121</v>
      </c>
    </row>
    <row r="128" spans="1:14" ht="75" customHeight="1" thickTop="1" thickBot="1">
      <c r="A128" s="26">
        <v>126</v>
      </c>
      <c r="B128" s="55">
        <v>46040.437389884202</v>
      </c>
      <c r="C128" s="56" t="s">
        <v>26</v>
      </c>
      <c r="D128" s="56" t="s">
        <v>49</v>
      </c>
      <c r="E128" s="26" t="s">
        <v>22</v>
      </c>
      <c r="F128" s="26" t="s">
        <v>28</v>
      </c>
      <c r="G128" s="26" t="s">
        <v>36</v>
      </c>
      <c r="H128" s="26" t="s">
        <v>3620</v>
      </c>
      <c r="I128" s="26"/>
      <c r="J128" s="26" t="s">
        <v>16</v>
      </c>
      <c r="K128" s="26" t="s">
        <v>13</v>
      </c>
      <c r="L128" s="55">
        <v>46040.439619641205</v>
      </c>
      <c r="M128" s="26"/>
      <c r="N128" s="4" t="s">
        <v>121</v>
      </c>
    </row>
    <row r="129" spans="1:14" ht="75" customHeight="1" thickTop="1" thickBot="1">
      <c r="A129" s="34">
        <v>127</v>
      </c>
      <c r="B129" s="55">
        <v>46040.439009305497</v>
      </c>
      <c r="C129" s="56" t="s">
        <v>26</v>
      </c>
      <c r="D129" s="56" t="s">
        <v>49</v>
      </c>
      <c r="E129" s="26" t="s">
        <v>22</v>
      </c>
      <c r="F129" s="26" t="s">
        <v>28</v>
      </c>
      <c r="G129" s="26" t="s">
        <v>36</v>
      </c>
      <c r="H129" s="26" t="s">
        <v>3621</v>
      </c>
      <c r="I129" s="26"/>
      <c r="J129" s="26" t="s">
        <v>16</v>
      </c>
      <c r="K129" s="26" t="s">
        <v>13</v>
      </c>
      <c r="L129" s="55">
        <v>46040.439678020834</v>
      </c>
      <c r="M129" s="26"/>
      <c r="N129" s="4" t="s">
        <v>121</v>
      </c>
    </row>
    <row r="130" spans="1:14" ht="75" customHeight="1" thickTop="1" thickBot="1">
      <c r="A130" s="26">
        <v>128</v>
      </c>
      <c r="B130" s="55">
        <v>46040.578176493</v>
      </c>
      <c r="C130" s="56" t="s">
        <v>26</v>
      </c>
      <c r="D130" s="56" t="s">
        <v>49</v>
      </c>
      <c r="E130" s="26" t="s">
        <v>22</v>
      </c>
      <c r="F130" s="26" t="s">
        <v>28</v>
      </c>
      <c r="G130" s="26" t="s">
        <v>41</v>
      </c>
      <c r="H130" s="26" t="s">
        <v>3622</v>
      </c>
      <c r="I130" s="26"/>
      <c r="J130" s="26" t="s">
        <v>16</v>
      </c>
      <c r="K130" s="26" t="s">
        <v>13</v>
      </c>
      <c r="L130" s="55">
        <v>46040.579807175927</v>
      </c>
      <c r="M130" s="26"/>
      <c r="N130" s="4" t="s">
        <v>121</v>
      </c>
    </row>
    <row r="131" spans="1:14" ht="75" customHeight="1" thickTop="1" thickBot="1">
      <c r="A131" s="34">
        <v>129</v>
      </c>
      <c r="B131" s="55">
        <v>46040.578938148101</v>
      </c>
      <c r="C131" s="56" t="s">
        <v>26</v>
      </c>
      <c r="D131" s="56" t="s">
        <v>49</v>
      </c>
      <c r="E131" s="26" t="s">
        <v>22</v>
      </c>
      <c r="F131" s="26" t="s">
        <v>39</v>
      </c>
      <c r="G131" s="26" t="s">
        <v>43</v>
      </c>
      <c r="H131" s="26" t="s">
        <v>3623</v>
      </c>
      <c r="I131" s="26"/>
      <c r="J131" s="26" t="s">
        <v>16</v>
      </c>
      <c r="K131" s="26" t="s">
        <v>13</v>
      </c>
      <c r="L131" s="55">
        <v>46040.579868460649</v>
      </c>
      <c r="M131" s="26"/>
      <c r="N131" s="4" t="s">
        <v>121</v>
      </c>
    </row>
    <row r="132" spans="1:14" ht="75" customHeight="1" thickTop="1" thickBot="1">
      <c r="A132" s="26">
        <v>130</v>
      </c>
      <c r="B132" s="55">
        <v>46040.579696076296</v>
      </c>
      <c r="C132" s="56" t="s">
        <v>26</v>
      </c>
      <c r="D132" s="56" t="s">
        <v>49</v>
      </c>
      <c r="E132" s="26" t="s">
        <v>22</v>
      </c>
      <c r="F132" s="26" t="s">
        <v>28</v>
      </c>
      <c r="G132" s="26" t="s">
        <v>36</v>
      </c>
      <c r="H132" s="26" t="s">
        <v>3624</v>
      </c>
      <c r="I132" s="26"/>
      <c r="J132" s="26" t="s">
        <v>16</v>
      </c>
      <c r="K132" s="26" t="s">
        <v>13</v>
      </c>
      <c r="L132" s="55">
        <v>46040.579930879627</v>
      </c>
      <c r="M132" s="26"/>
      <c r="N132" s="4" t="s">
        <v>121</v>
      </c>
    </row>
    <row r="133" spans="1:14" ht="75" customHeight="1" thickTop="1" thickBot="1">
      <c r="A133" s="34">
        <v>131</v>
      </c>
      <c r="B133" s="55">
        <v>46040.5839520023</v>
      </c>
      <c r="C133" s="56" t="s">
        <v>26</v>
      </c>
      <c r="D133" s="56" t="s">
        <v>49</v>
      </c>
      <c r="E133" s="26" t="s">
        <v>22</v>
      </c>
      <c r="F133" s="26" t="s">
        <v>39</v>
      </c>
      <c r="G133" s="26" t="s">
        <v>43</v>
      </c>
      <c r="H133" s="26" t="s">
        <v>3625</v>
      </c>
      <c r="I133" s="26"/>
      <c r="J133" s="26" t="s">
        <v>14</v>
      </c>
      <c r="K133" s="26" t="s">
        <v>13</v>
      </c>
      <c r="L133" s="55">
        <v>46040.585383391204</v>
      </c>
      <c r="M133" s="26"/>
      <c r="N133" s="4" t="s">
        <v>121</v>
      </c>
    </row>
    <row r="134" spans="1:14" ht="75" customHeight="1" thickTop="1" thickBot="1">
      <c r="A134" s="26">
        <v>132</v>
      </c>
      <c r="B134" s="55">
        <v>46041.395438310101</v>
      </c>
      <c r="C134" s="56" t="s">
        <v>26</v>
      </c>
      <c r="D134" s="56" t="s">
        <v>205</v>
      </c>
      <c r="E134" s="26" t="s">
        <v>21</v>
      </c>
      <c r="F134" s="26" t="s">
        <v>31</v>
      </c>
      <c r="G134" s="26" t="s">
        <v>25</v>
      </c>
      <c r="H134" s="26" t="s">
        <v>3626</v>
      </c>
      <c r="I134" s="26"/>
      <c r="J134" s="26" t="s">
        <v>16</v>
      </c>
      <c r="K134" s="26" t="s">
        <v>13</v>
      </c>
      <c r="L134" s="55">
        <v>46041.560709421297</v>
      </c>
      <c r="M134" s="26"/>
      <c r="N134" s="4" t="s">
        <v>121</v>
      </c>
    </row>
    <row r="135" spans="1:14" ht="75" customHeight="1" thickTop="1" thickBot="1">
      <c r="A135" s="34">
        <v>133</v>
      </c>
      <c r="B135" s="55">
        <v>46041.418989432801</v>
      </c>
      <c r="C135" s="56" t="s">
        <v>26</v>
      </c>
      <c r="D135" s="56" t="s">
        <v>49</v>
      </c>
      <c r="E135" s="26" t="s">
        <v>22</v>
      </c>
      <c r="F135" s="26" t="s">
        <v>39</v>
      </c>
      <c r="G135" s="26" t="s">
        <v>43</v>
      </c>
      <c r="H135" s="26" t="s">
        <v>3627</v>
      </c>
      <c r="I135" s="26"/>
      <c r="J135" s="26" t="s">
        <v>14</v>
      </c>
      <c r="K135" s="26" t="s">
        <v>13</v>
      </c>
      <c r="L135" s="55">
        <v>46041.420733125</v>
      </c>
      <c r="M135" s="26"/>
      <c r="N135" s="4" t="s">
        <v>121</v>
      </c>
    </row>
    <row r="136" spans="1:14" ht="75" customHeight="1" thickTop="1" thickBot="1">
      <c r="A136" s="26">
        <v>134</v>
      </c>
      <c r="B136" s="55">
        <v>46041.420393530097</v>
      </c>
      <c r="C136" s="56" t="s">
        <v>26</v>
      </c>
      <c r="D136" s="56" t="s">
        <v>49</v>
      </c>
      <c r="E136" s="26" t="s">
        <v>22</v>
      </c>
      <c r="F136" s="26" t="s">
        <v>39</v>
      </c>
      <c r="G136" s="26" t="s">
        <v>25</v>
      </c>
      <c r="H136" s="26" t="s">
        <v>3628</v>
      </c>
      <c r="I136" s="26"/>
      <c r="J136" s="26" t="s">
        <v>12</v>
      </c>
      <c r="K136" s="26" t="s">
        <v>13</v>
      </c>
      <c r="L136" s="55">
        <v>46041.420786076385</v>
      </c>
      <c r="M136" s="26"/>
      <c r="N136" s="4" t="s">
        <v>121</v>
      </c>
    </row>
    <row r="137" spans="1:14" ht="75" customHeight="1" thickTop="1" thickBot="1">
      <c r="A137" s="34">
        <v>135</v>
      </c>
      <c r="B137" s="55">
        <v>46041.426005069399</v>
      </c>
      <c r="C137" s="56" t="s">
        <v>26</v>
      </c>
      <c r="D137" s="56" t="s">
        <v>49</v>
      </c>
      <c r="E137" s="26" t="s">
        <v>22</v>
      </c>
      <c r="F137" s="26" t="s">
        <v>39</v>
      </c>
      <c r="G137" s="26" t="s">
        <v>43</v>
      </c>
      <c r="H137" s="26" t="s">
        <v>206</v>
      </c>
      <c r="I137" s="26"/>
      <c r="J137" s="26" t="s">
        <v>16</v>
      </c>
      <c r="K137" s="26" t="s">
        <v>13</v>
      </c>
      <c r="L137" s="55">
        <v>46041.427204722218</v>
      </c>
      <c r="M137" s="26"/>
      <c r="N137" s="4" t="s">
        <v>121</v>
      </c>
    </row>
    <row r="138" spans="1:14" ht="75" customHeight="1" thickTop="1" thickBot="1">
      <c r="A138" s="26">
        <v>136</v>
      </c>
      <c r="B138" s="55">
        <v>46041.427079340203</v>
      </c>
      <c r="C138" s="56" t="s">
        <v>26</v>
      </c>
      <c r="D138" s="56" t="s">
        <v>49</v>
      </c>
      <c r="E138" s="26" t="s">
        <v>22</v>
      </c>
      <c r="F138" s="26" t="s">
        <v>39</v>
      </c>
      <c r="G138" s="26" t="s">
        <v>43</v>
      </c>
      <c r="H138" s="26" t="s">
        <v>3629</v>
      </c>
      <c r="I138" s="26"/>
      <c r="J138" s="26" t="s">
        <v>16</v>
      </c>
      <c r="K138" s="26" t="s">
        <v>13</v>
      </c>
      <c r="L138" s="55">
        <v>46041.427258113428</v>
      </c>
      <c r="M138" s="26"/>
      <c r="N138" s="4" t="s">
        <v>121</v>
      </c>
    </row>
    <row r="139" spans="1:14" ht="75" customHeight="1" thickTop="1" thickBot="1">
      <c r="A139" s="34">
        <v>137</v>
      </c>
      <c r="B139" s="55">
        <v>46041.561223182798</v>
      </c>
      <c r="C139" s="56" t="s">
        <v>26</v>
      </c>
      <c r="D139" s="56" t="s">
        <v>49</v>
      </c>
      <c r="E139" s="26" t="s">
        <v>22</v>
      </c>
      <c r="F139" s="26" t="s">
        <v>39</v>
      </c>
      <c r="G139" s="26" t="s">
        <v>37</v>
      </c>
      <c r="H139" s="26" t="s">
        <v>3630</v>
      </c>
      <c r="I139" s="26"/>
      <c r="J139" s="26" t="s">
        <v>16</v>
      </c>
      <c r="K139" s="26" t="s">
        <v>13</v>
      </c>
      <c r="L139" s="55">
        <v>46041.56325334491</v>
      </c>
      <c r="M139" s="26"/>
      <c r="N139" s="4" t="s">
        <v>121</v>
      </c>
    </row>
    <row r="140" spans="1:14" ht="75" customHeight="1" thickTop="1" thickBot="1">
      <c r="A140" s="26">
        <v>138</v>
      </c>
      <c r="B140" s="55">
        <v>46041.561855196698</v>
      </c>
      <c r="C140" s="56" t="s">
        <v>26</v>
      </c>
      <c r="D140" s="56" t="s">
        <v>49</v>
      </c>
      <c r="E140" s="26" t="s">
        <v>22</v>
      </c>
      <c r="F140" s="26" t="s">
        <v>39</v>
      </c>
      <c r="G140" s="26" t="s">
        <v>37</v>
      </c>
      <c r="H140" s="26" t="s">
        <v>3631</v>
      </c>
      <c r="I140" s="26"/>
      <c r="J140" s="26" t="s">
        <v>16</v>
      </c>
      <c r="K140" s="26" t="s">
        <v>13</v>
      </c>
      <c r="L140" s="55">
        <v>46041.563312175931</v>
      </c>
      <c r="M140" s="26"/>
      <c r="N140" s="4" t="s">
        <v>121</v>
      </c>
    </row>
    <row r="141" spans="1:14" ht="75" customHeight="1" thickTop="1" thickBot="1">
      <c r="A141" s="34">
        <v>139</v>
      </c>
      <c r="B141" s="55">
        <v>46041.563051655001</v>
      </c>
      <c r="C141" s="56" t="s">
        <v>26</v>
      </c>
      <c r="D141" s="56" t="s">
        <v>49</v>
      </c>
      <c r="E141" s="26" t="s">
        <v>22</v>
      </c>
      <c r="F141" s="26" t="s">
        <v>135</v>
      </c>
      <c r="G141" s="26" t="s">
        <v>207</v>
      </c>
      <c r="H141" s="26" t="s">
        <v>3632</v>
      </c>
      <c r="I141" s="26"/>
      <c r="J141" s="26" t="s">
        <v>16</v>
      </c>
      <c r="K141" s="26" t="s">
        <v>13</v>
      </c>
      <c r="L141" s="55">
        <v>46041.563403055552</v>
      </c>
      <c r="M141" s="26"/>
      <c r="N141" s="4" t="s">
        <v>121</v>
      </c>
    </row>
    <row r="142" spans="1:14" ht="75" customHeight="1" thickTop="1" thickBot="1">
      <c r="A142" s="26">
        <v>140</v>
      </c>
      <c r="B142" s="55">
        <v>46042.4398115972</v>
      </c>
      <c r="C142" s="56" t="s">
        <v>26</v>
      </c>
      <c r="D142" s="56" t="s">
        <v>49</v>
      </c>
      <c r="E142" s="26" t="s">
        <v>22</v>
      </c>
      <c r="F142" s="26" t="s">
        <v>42</v>
      </c>
      <c r="G142" s="26" t="s">
        <v>37</v>
      </c>
      <c r="H142" s="26" t="s">
        <v>3633</v>
      </c>
      <c r="I142" s="26"/>
      <c r="J142" s="26" t="s">
        <v>14</v>
      </c>
      <c r="K142" s="26" t="s">
        <v>13</v>
      </c>
      <c r="L142" s="55">
        <v>46042.442781388891</v>
      </c>
      <c r="M142" s="26"/>
      <c r="N142" s="4" t="s">
        <v>121</v>
      </c>
    </row>
    <row r="143" spans="1:14" ht="75" customHeight="1" thickTop="1" thickBot="1">
      <c r="A143" s="34">
        <v>141</v>
      </c>
      <c r="B143" s="55">
        <v>46042.440510983797</v>
      </c>
      <c r="C143" s="56" t="s">
        <v>26</v>
      </c>
      <c r="D143" s="56" t="s">
        <v>49</v>
      </c>
      <c r="E143" s="26" t="s">
        <v>22</v>
      </c>
      <c r="F143" s="26" t="s">
        <v>28</v>
      </c>
      <c r="G143" s="26" t="s">
        <v>40</v>
      </c>
      <c r="H143" s="26" t="s">
        <v>3634</v>
      </c>
      <c r="I143" s="26"/>
      <c r="J143" s="26" t="s">
        <v>16</v>
      </c>
      <c r="K143" s="26" t="s">
        <v>13</v>
      </c>
      <c r="L143" s="55">
        <v>46042.442871585648</v>
      </c>
      <c r="M143" s="26"/>
      <c r="N143" s="4" t="s">
        <v>121</v>
      </c>
    </row>
    <row r="144" spans="1:14" ht="75" customHeight="1" thickTop="1" thickBot="1">
      <c r="A144" s="26">
        <v>142</v>
      </c>
      <c r="B144" s="55">
        <v>46042.441260034699</v>
      </c>
      <c r="C144" s="56" t="s">
        <v>26</v>
      </c>
      <c r="D144" s="56" t="s">
        <v>49</v>
      </c>
      <c r="E144" s="26" t="s">
        <v>22</v>
      </c>
      <c r="F144" s="26" t="s">
        <v>39</v>
      </c>
      <c r="G144" s="26" t="s">
        <v>43</v>
      </c>
      <c r="H144" s="26" t="s">
        <v>208</v>
      </c>
      <c r="I144" s="26"/>
      <c r="J144" s="26" t="s">
        <v>16</v>
      </c>
      <c r="K144" s="26" t="s">
        <v>13</v>
      </c>
      <c r="L144" s="55">
        <v>46042.442967152776</v>
      </c>
      <c r="M144" s="26"/>
      <c r="N144" s="4" t="s">
        <v>121</v>
      </c>
    </row>
    <row r="145" spans="1:14" ht="75" customHeight="1" thickTop="1" thickBot="1">
      <c r="A145" s="34">
        <v>143</v>
      </c>
      <c r="B145" s="55">
        <v>46042.451252314801</v>
      </c>
      <c r="C145" s="56" t="s">
        <v>26</v>
      </c>
      <c r="D145" s="56" t="s">
        <v>57</v>
      </c>
      <c r="E145" s="26" t="s">
        <v>21</v>
      </c>
      <c r="F145" s="26" t="s">
        <v>39</v>
      </c>
      <c r="G145" s="26" t="s">
        <v>25</v>
      </c>
      <c r="H145" s="26" t="s">
        <v>209</v>
      </c>
      <c r="I145" s="26"/>
      <c r="J145" s="26" t="s">
        <v>16</v>
      </c>
      <c r="K145" s="26" t="s">
        <v>13</v>
      </c>
      <c r="L145" s="55">
        <v>46042.511905162042</v>
      </c>
      <c r="M145" s="26"/>
      <c r="N145" s="4" t="s">
        <v>121</v>
      </c>
    </row>
    <row r="146" spans="1:14" ht="75" customHeight="1" thickTop="1" thickBot="1">
      <c r="A146" s="26">
        <v>144</v>
      </c>
      <c r="B146" s="55">
        <v>46042.547737627297</v>
      </c>
      <c r="C146" s="56" t="s">
        <v>26</v>
      </c>
      <c r="D146" s="56" t="s">
        <v>49</v>
      </c>
      <c r="E146" s="26" t="s">
        <v>22</v>
      </c>
      <c r="F146" s="26" t="s">
        <v>210</v>
      </c>
      <c r="G146" s="26" t="s">
        <v>25</v>
      </c>
      <c r="H146" s="26" t="s">
        <v>3635</v>
      </c>
      <c r="I146" s="26"/>
      <c r="J146" s="26" t="s">
        <v>12</v>
      </c>
      <c r="K146" s="26" t="s">
        <v>13</v>
      </c>
      <c r="L146" s="55">
        <v>46042.555194386572</v>
      </c>
      <c r="M146" s="26"/>
      <c r="N146" s="4" t="s">
        <v>122</v>
      </c>
    </row>
    <row r="147" spans="1:14" ht="75" customHeight="1" thickTop="1" thickBot="1">
      <c r="A147" s="34">
        <v>145</v>
      </c>
      <c r="B147" s="55">
        <v>46042.556708402699</v>
      </c>
      <c r="C147" s="56" t="s">
        <v>26</v>
      </c>
      <c r="D147" s="56" t="s">
        <v>49</v>
      </c>
      <c r="E147" s="26" t="s">
        <v>22</v>
      </c>
      <c r="F147" s="26" t="s">
        <v>39</v>
      </c>
      <c r="G147" s="26" t="s">
        <v>25</v>
      </c>
      <c r="H147" s="26" t="s">
        <v>3636</v>
      </c>
      <c r="I147" s="26"/>
      <c r="J147" s="26" t="s">
        <v>12</v>
      </c>
      <c r="K147" s="26" t="s">
        <v>13</v>
      </c>
      <c r="L147" s="55">
        <v>46042.55760162037</v>
      </c>
      <c r="M147" s="26"/>
      <c r="N147" s="4" t="s">
        <v>121</v>
      </c>
    </row>
    <row r="148" spans="1:14" ht="75" customHeight="1" thickTop="1" thickBot="1">
      <c r="A148" s="26">
        <v>146</v>
      </c>
      <c r="B148" s="55">
        <v>46042.558251412003</v>
      </c>
      <c r="C148" s="56" t="s">
        <v>26</v>
      </c>
      <c r="D148" s="56" t="s">
        <v>49</v>
      </c>
      <c r="E148" s="26" t="s">
        <v>22</v>
      </c>
      <c r="F148" s="26" t="s">
        <v>28</v>
      </c>
      <c r="G148" s="26" t="s">
        <v>25</v>
      </c>
      <c r="H148" s="26" t="s">
        <v>3637</v>
      </c>
      <c r="I148" s="26"/>
      <c r="J148" s="26" t="s">
        <v>16</v>
      </c>
      <c r="K148" s="26" t="s">
        <v>13</v>
      </c>
      <c r="L148" s="55">
        <v>46042.559669444439</v>
      </c>
      <c r="M148" s="26"/>
      <c r="N148" s="4" t="s">
        <v>121</v>
      </c>
    </row>
    <row r="149" spans="1:14" ht="75" customHeight="1" thickTop="1" thickBot="1">
      <c r="A149" s="34">
        <v>147</v>
      </c>
      <c r="B149" s="55">
        <v>46042.5595273379</v>
      </c>
      <c r="C149" s="56" t="s">
        <v>26</v>
      </c>
      <c r="D149" s="56" t="s">
        <v>49</v>
      </c>
      <c r="E149" s="26" t="s">
        <v>22</v>
      </c>
      <c r="F149" s="26" t="s">
        <v>39</v>
      </c>
      <c r="G149" s="26" t="s">
        <v>25</v>
      </c>
      <c r="H149" s="26" t="s">
        <v>3638</v>
      </c>
      <c r="I149" s="26"/>
      <c r="J149" s="26" t="s">
        <v>16</v>
      </c>
      <c r="K149" s="26" t="s">
        <v>13</v>
      </c>
      <c r="L149" s="55">
        <v>46042.55981313657</v>
      </c>
      <c r="M149" s="26"/>
      <c r="N149" s="4" t="s">
        <v>121</v>
      </c>
    </row>
    <row r="150" spans="1:14" ht="75" customHeight="1" thickTop="1" thickBot="1">
      <c r="A150" s="26">
        <v>148</v>
      </c>
      <c r="B150" s="55">
        <v>46043.427583356402</v>
      </c>
      <c r="C150" s="56" t="s">
        <v>26</v>
      </c>
      <c r="D150" s="56" t="s">
        <v>57</v>
      </c>
      <c r="E150" s="26" t="s">
        <v>21</v>
      </c>
      <c r="F150" s="26" t="s">
        <v>39</v>
      </c>
      <c r="G150" s="26" t="s">
        <v>56</v>
      </c>
      <c r="H150" s="26" t="s">
        <v>211</v>
      </c>
      <c r="I150" s="26"/>
      <c r="J150" s="26" t="s">
        <v>14</v>
      </c>
      <c r="K150" s="26" t="s">
        <v>13</v>
      </c>
      <c r="L150" s="55">
        <v>46047.410549814813</v>
      </c>
      <c r="M150" s="26"/>
      <c r="N150" s="4" t="s">
        <v>121</v>
      </c>
    </row>
    <row r="151" spans="1:14" ht="75" customHeight="1" thickTop="1" thickBot="1">
      <c r="A151" s="34">
        <v>149</v>
      </c>
      <c r="B151" s="55">
        <v>46043.452403553201</v>
      </c>
      <c r="C151" s="56" t="s">
        <v>26</v>
      </c>
      <c r="D151" s="56" t="s">
        <v>49</v>
      </c>
      <c r="E151" s="26" t="s">
        <v>22</v>
      </c>
      <c r="F151" s="26" t="s">
        <v>42</v>
      </c>
      <c r="G151" s="26" t="s">
        <v>25</v>
      </c>
      <c r="H151" s="26" t="s">
        <v>3639</v>
      </c>
      <c r="I151" s="26"/>
      <c r="J151" s="26" t="s">
        <v>16</v>
      </c>
      <c r="K151" s="26" t="s">
        <v>13</v>
      </c>
      <c r="L151" s="55">
        <v>46043.456711342587</v>
      </c>
      <c r="M151" s="26"/>
      <c r="N151" s="4" t="s">
        <v>121</v>
      </c>
    </row>
    <row r="152" spans="1:14" ht="75" customHeight="1" thickTop="1" thickBot="1">
      <c r="A152" s="26">
        <v>150</v>
      </c>
      <c r="B152" s="55">
        <v>46043.453216550901</v>
      </c>
      <c r="C152" s="56" t="s">
        <v>26</v>
      </c>
      <c r="D152" s="56" t="s">
        <v>49</v>
      </c>
      <c r="E152" s="26" t="s">
        <v>22</v>
      </c>
      <c r="F152" s="26" t="s">
        <v>39</v>
      </c>
      <c r="G152" s="26" t="s">
        <v>43</v>
      </c>
      <c r="H152" s="26" t="s">
        <v>212</v>
      </c>
      <c r="I152" s="26"/>
      <c r="J152" s="26" t="s">
        <v>16</v>
      </c>
      <c r="K152" s="26" t="s">
        <v>13</v>
      </c>
      <c r="L152" s="55">
        <v>46043.456576631943</v>
      </c>
      <c r="M152" s="26"/>
      <c r="N152" s="4" t="s">
        <v>121</v>
      </c>
    </row>
    <row r="153" spans="1:14" ht="75" customHeight="1" thickTop="1" thickBot="1">
      <c r="A153" s="34">
        <v>151</v>
      </c>
      <c r="B153" s="55">
        <v>46043.4549375231</v>
      </c>
      <c r="C153" s="56" t="s">
        <v>26</v>
      </c>
      <c r="D153" s="56" t="s">
        <v>49</v>
      </c>
      <c r="E153" s="26" t="s">
        <v>22</v>
      </c>
      <c r="F153" s="26" t="s">
        <v>28</v>
      </c>
      <c r="G153" s="26" t="s">
        <v>58</v>
      </c>
      <c r="H153" s="26" t="s">
        <v>3640</v>
      </c>
      <c r="I153" s="26"/>
      <c r="J153" s="26" t="s">
        <v>14</v>
      </c>
      <c r="K153" s="26" t="s">
        <v>13</v>
      </c>
      <c r="L153" s="55">
        <v>46043.456489270829</v>
      </c>
      <c r="M153" s="26"/>
      <c r="N153" s="4" t="s">
        <v>121</v>
      </c>
    </row>
    <row r="154" spans="1:14" ht="75" customHeight="1" thickTop="1" thickBot="1">
      <c r="A154" s="26">
        <v>152</v>
      </c>
      <c r="B154" s="55">
        <v>46043.4561804861</v>
      </c>
      <c r="C154" s="56" t="s">
        <v>26</v>
      </c>
      <c r="D154" s="56" t="s">
        <v>49</v>
      </c>
      <c r="E154" s="26" t="s">
        <v>22</v>
      </c>
      <c r="F154" s="26" t="s">
        <v>42</v>
      </c>
      <c r="G154" s="26" t="s">
        <v>213</v>
      </c>
      <c r="H154" s="26" t="s">
        <v>3641</v>
      </c>
      <c r="I154" s="26"/>
      <c r="J154" s="26" t="s">
        <v>12</v>
      </c>
      <c r="K154" s="26" t="s">
        <v>13</v>
      </c>
      <c r="L154" s="55">
        <v>46043.456399826391</v>
      </c>
      <c r="M154" s="26"/>
      <c r="N154" s="4"/>
    </row>
    <row r="155" spans="1:14" ht="75" customHeight="1" thickTop="1" thickBot="1">
      <c r="A155" s="34">
        <v>153</v>
      </c>
      <c r="B155" s="55">
        <v>46044.5468566782</v>
      </c>
      <c r="C155" s="56" t="s">
        <v>26</v>
      </c>
      <c r="D155" s="56" t="s">
        <v>49</v>
      </c>
      <c r="E155" s="26" t="s">
        <v>22</v>
      </c>
      <c r="F155" s="26" t="s">
        <v>39</v>
      </c>
      <c r="G155" s="26" t="s">
        <v>43</v>
      </c>
      <c r="H155" s="26" t="s">
        <v>214</v>
      </c>
      <c r="I155" s="26"/>
      <c r="J155" s="26" t="s">
        <v>16</v>
      </c>
      <c r="K155" s="26" t="s">
        <v>13</v>
      </c>
      <c r="L155" s="55">
        <v>46044.549990706015</v>
      </c>
      <c r="M155" s="26"/>
      <c r="N155" s="4"/>
    </row>
    <row r="156" spans="1:14" ht="75" customHeight="1" thickTop="1" thickBot="1">
      <c r="A156" s="26">
        <v>154</v>
      </c>
      <c r="B156" s="55">
        <v>46044.548642823996</v>
      </c>
      <c r="C156" s="56" t="s">
        <v>26</v>
      </c>
      <c r="D156" s="56" t="s">
        <v>49</v>
      </c>
      <c r="E156" s="26" t="s">
        <v>22</v>
      </c>
      <c r="F156" s="26" t="s">
        <v>42</v>
      </c>
      <c r="G156" s="26" t="s">
        <v>213</v>
      </c>
      <c r="H156" s="26" t="s">
        <v>3642</v>
      </c>
      <c r="I156" s="26"/>
      <c r="J156" s="26" t="s">
        <v>16</v>
      </c>
      <c r="K156" s="26" t="s">
        <v>13</v>
      </c>
      <c r="L156" s="55">
        <v>46044.550141631946</v>
      </c>
      <c r="M156" s="26"/>
      <c r="N156" s="4"/>
    </row>
    <row r="157" spans="1:14" ht="75" customHeight="1" thickTop="1" thickBot="1">
      <c r="A157" s="34">
        <v>155</v>
      </c>
      <c r="B157" s="55">
        <v>46044.5498676157</v>
      </c>
      <c r="C157" s="56" t="s">
        <v>26</v>
      </c>
      <c r="D157" s="56" t="s">
        <v>49</v>
      </c>
      <c r="E157" s="26" t="s">
        <v>22</v>
      </c>
      <c r="F157" s="26" t="s">
        <v>39</v>
      </c>
      <c r="G157" s="26" t="s">
        <v>43</v>
      </c>
      <c r="H157" s="26" t="s">
        <v>3643</v>
      </c>
      <c r="I157" s="26"/>
      <c r="J157" s="26" t="s">
        <v>16</v>
      </c>
      <c r="K157" s="26" t="s">
        <v>13</v>
      </c>
      <c r="L157" s="55">
        <v>46044.550067928241</v>
      </c>
      <c r="M157" s="26"/>
      <c r="N157" s="4"/>
    </row>
    <row r="158" spans="1:14" ht="75" customHeight="1" thickTop="1" thickBot="1">
      <c r="A158" s="26">
        <v>156</v>
      </c>
      <c r="B158" s="55">
        <v>46044.551399536998</v>
      </c>
      <c r="C158" s="56" t="s">
        <v>26</v>
      </c>
      <c r="D158" s="56" t="s">
        <v>49</v>
      </c>
      <c r="E158" s="26" t="s">
        <v>22</v>
      </c>
      <c r="F158" s="26" t="s">
        <v>42</v>
      </c>
      <c r="G158" s="26" t="s">
        <v>213</v>
      </c>
      <c r="H158" s="26" t="s">
        <v>3644</v>
      </c>
      <c r="I158" s="26"/>
      <c r="J158" s="26" t="s">
        <v>12</v>
      </c>
      <c r="K158" s="26" t="s">
        <v>13</v>
      </c>
      <c r="L158" s="55">
        <v>46044.551548946758</v>
      </c>
      <c r="M158" s="26"/>
      <c r="N158" s="4"/>
    </row>
    <row r="159" spans="1:14" ht="75" customHeight="1" thickTop="1" thickBot="1">
      <c r="A159" s="34">
        <v>157</v>
      </c>
      <c r="B159" s="55">
        <v>46047.555225937504</v>
      </c>
      <c r="C159" s="56" t="s">
        <v>26</v>
      </c>
      <c r="D159" s="56" t="s">
        <v>49</v>
      </c>
      <c r="E159" s="26" t="s">
        <v>22</v>
      </c>
      <c r="F159" s="26" t="s">
        <v>39</v>
      </c>
      <c r="G159" s="26" t="s">
        <v>43</v>
      </c>
      <c r="H159" s="26" t="s">
        <v>215</v>
      </c>
      <c r="I159" s="26"/>
      <c r="J159" s="26" t="s">
        <v>16</v>
      </c>
      <c r="K159" s="26" t="s">
        <v>13</v>
      </c>
      <c r="L159" s="55">
        <v>46047.560817407408</v>
      </c>
      <c r="M159" s="26"/>
      <c r="N159" s="4"/>
    </row>
    <row r="160" spans="1:14" ht="75" customHeight="1" thickTop="1" thickBot="1">
      <c r="A160" s="26">
        <v>158</v>
      </c>
      <c r="B160" s="55">
        <v>46047.556090393497</v>
      </c>
      <c r="C160" s="56" t="s">
        <v>26</v>
      </c>
      <c r="D160" s="56" t="s">
        <v>49</v>
      </c>
      <c r="E160" s="26" t="s">
        <v>22</v>
      </c>
      <c r="F160" s="26" t="s">
        <v>39</v>
      </c>
      <c r="G160" s="26" t="s">
        <v>216</v>
      </c>
      <c r="H160" s="26" t="s">
        <v>3645</v>
      </c>
      <c r="I160" s="26"/>
      <c r="J160" s="26" t="s">
        <v>16</v>
      </c>
      <c r="K160" s="26" t="s">
        <v>13</v>
      </c>
      <c r="L160" s="55">
        <v>46047.560883344908</v>
      </c>
      <c r="M160" s="26"/>
      <c r="N160" s="4"/>
    </row>
    <row r="161" spans="1:14" ht="75" customHeight="1" thickTop="1" thickBot="1">
      <c r="A161" s="34">
        <v>159</v>
      </c>
      <c r="B161" s="55">
        <v>46047.557166041603</v>
      </c>
      <c r="C161" s="56" t="s">
        <v>26</v>
      </c>
      <c r="D161" s="56" t="s">
        <v>49</v>
      </c>
      <c r="E161" s="26" t="s">
        <v>22</v>
      </c>
      <c r="F161" s="26" t="s">
        <v>31</v>
      </c>
      <c r="G161" s="26" t="s">
        <v>216</v>
      </c>
      <c r="H161" s="26" t="s">
        <v>3646</v>
      </c>
      <c r="I161" s="26"/>
      <c r="J161" s="26" t="s">
        <v>16</v>
      </c>
      <c r="K161" s="26" t="s">
        <v>13</v>
      </c>
      <c r="L161" s="55">
        <v>46047.560963865741</v>
      </c>
      <c r="M161" s="26"/>
      <c r="N161" s="4"/>
    </row>
    <row r="162" spans="1:14" ht="75" customHeight="1" thickTop="1" thickBot="1">
      <c r="A162" s="26">
        <v>160</v>
      </c>
      <c r="B162" s="55">
        <v>46047.558136481399</v>
      </c>
      <c r="C162" s="56" t="s">
        <v>26</v>
      </c>
      <c r="D162" s="56" t="s">
        <v>49</v>
      </c>
      <c r="E162" s="26" t="s">
        <v>22</v>
      </c>
      <c r="F162" s="26" t="s">
        <v>28</v>
      </c>
      <c r="G162" s="26" t="s">
        <v>216</v>
      </c>
      <c r="H162" s="26" t="s">
        <v>3647</v>
      </c>
      <c r="I162" s="26"/>
      <c r="J162" s="26" t="s">
        <v>16</v>
      </c>
      <c r="K162" s="26" t="s">
        <v>13</v>
      </c>
      <c r="L162" s="55">
        <v>46047.561030821758</v>
      </c>
      <c r="M162" s="26"/>
      <c r="N162" s="4"/>
    </row>
    <row r="163" spans="1:14" ht="75" customHeight="1" thickTop="1" thickBot="1">
      <c r="A163" s="34">
        <v>161</v>
      </c>
      <c r="B163" s="55">
        <v>46047.5589516666</v>
      </c>
      <c r="C163" s="56" t="s">
        <v>26</v>
      </c>
      <c r="D163" s="56" t="s">
        <v>49</v>
      </c>
      <c r="E163" s="26" t="s">
        <v>22</v>
      </c>
      <c r="F163" s="26" t="s">
        <v>39</v>
      </c>
      <c r="G163" s="26" t="s">
        <v>43</v>
      </c>
      <c r="H163" s="26" t="s">
        <v>3648</v>
      </c>
      <c r="I163" s="26"/>
      <c r="J163" s="26" t="s">
        <v>16</v>
      </c>
      <c r="K163" s="26" t="s">
        <v>13</v>
      </c>
      <c r="L163" s="55">
        <v>46047.561096701393</v>
      </c>
      <c r="M163" s="26"/>
      <c r="N163" s="4"/>
    </row>
    <row r="164" spans="1:14" ht="75" customHeight="1" thickTop="1" thickBot="1">
      <c r="A164" s="26">
        <v>162</v>
      </c>
      <c r="B164" s="55">
        <v>46047.560204837901</v>
      </c>
      <c r="C164" s="56" t="s">
        <v>26</v>
      </c>
      <c r="D164" s="56" t="s">
        <v>49</v>
      </c>
      <c r="E164" s="26" t="s">
        <v>22</v>
      </c>
      <c r="F164" s="26" t="s">
        <v>39</v>
      </c>
      <c r="G164" s="26" t="s">
        <v>43</v>
      </c>
      <c r="H164" s="26" t="s">
        <v>3649</v>
      </c>
      <c r="I164" s="26"/>
      <c r="J164" s="26" t="s">
        <v>16</v>
      </c>
      <c r="K164" s="26" t="s">
        <v>13</v>
      </c>
      <c r="L164" s="55">
        <v>46047.561148252316</v>
      </c>
      <c r="M164" s="26"/>
      <c r="N164" s="4"/>
    </row>
    <row r="165" spans="1:14" ht="75" customHeight="1" thickTop="1" thickBot="1">
      <c r="A165" s="34">
        <v>163</v>
      </c>
      <c r="B165" s="55">
        <v>46047.560699421199</v>
      </c>
      <c r="C165" s="56" t="s">
        <v>26</v>
      </c>
      <c r="D165" s="56" t="s">
        <v>49</v>
      </c>
      <c r="E165" s="26" t="s">
        <v>22</v>
      </c>
      <c r="F165" s="26" t="s">
        <v>39</v>
      </c>
      <c r="G165" s="26" t="s">
        <v>43</v>
      </c>
      <c r="H165" s="26" t="s">
        <v>3650</v>
      </c>
      <c r="I165" s="26"/>
      <c r="J165" s="26" t="s">
        <v>16</v>
      </c>
      <c r="K165" s="26" t="s">
        <v>13</v>
      </c>
      <c r="L165" s="55">
        <v>46047.56123146991</v>
      </c>
      <c r="M165" s="26"/>
      <c r="N165" s="4"/>
    </row>
    <row r="166" spans="1:14" ht="75" customHeight="1" thickTop="1" thickBot="1">
      <c r="A166" s="26">
        <v>164</v>
      </c>
      <c r="B166" s="55">
        <v>46047.5675658564</v>
      </c>
      <c r="C166" s="56" t="s">
        <v>26</v>
      </c>
      <c r="D166" s="56" t="s">
        <v>49</v>
      </c>
      <c r="E166" s="26" t="s">
        <v>22</v>
      </c>
      <c r="F166" s="26" t="s">
        <v>42</v>
      </c>
      <c r="G166" s="26" t="s">
        <v>213</v>
      </c>
      <c r="H166" s="26" t="s">
        <v>3651</v>
      </c>
      <c r="I166" s="26"/>
      <c r="J166" s="26" t="s">
        <v>14</v>
      </c>
      <c r="K166" s="26" t="s">
        <v>13</v>
      </c>
      <c r="L166" s="55">
        <v>46047.571513483796</v>
      </c>
      <c r="M166" s="26"/>
      <c r="N166" s="4"/>
    </row>
    <row r="167" spans="1:14" ht="75" customHeight="1" thickTop="1" thickBot="1">
      <c r="A167" s="34">
        <v>165</v>
      </c>
      <c r="B167" s="55">
        <v>46047.5687283101</v>
      </c>
      <c r="C167" s="56" t="s">
        <v>26</v>
      </c>
      <c r="D167" s="56" t="s">
        <v>49</v>
      </c>
      <c r="E167" s="26" t="s">
        <v>22</v>
      </c>
      <c r="F167" s="26" t="s">
        <v>42</v>
      </c>
      <c r="G167" s="26" t="s">
        <v>216</v>
      </c>
      <c r="H167" s="26" t="s">
        <v>3652</v>
      </c>
      <c r="I167" s="26"/>
      <c r="J167" s="26" t="s">
        <v>14</v>
      </c>
      <c r="K167" s="26" t="s">
        <v>13</v>
      </c>
      <c r="L167" s="55">
        <v>46047.571588460647</v>
      </c>
      <c r="M167" s="26"/>
      <c r="N167" s="4"/>
    </row>
    <row r="168" spans="1:14" ht="75" customHeight="1" thickTop="1" thickBot="1">
      <c r="A168" s="26">
        <v>166</v>
      </c>
      <c r="B168" s="55">
        <v>46047.571273009198</v>
      </c>
      <c r="C168" s="56" t="s">
        <v>26</v>
      </c>
      <c r="D168" s="56" t="s">
        <v>183</v>
      </c>
      <c r="E168" s="26" t="s">
        <v>22</v>
      </c>
      <c r="F168" s="26" t="s">
        <v>28</v>
      </c>
      <c r="G168" s="26" t="s">
        <v>217</v>
      </c>
      <c r="H168" s="26" t="s">
        <v>3653</v>
      </c>
      <c r="I168" s="26"/>
      <c r="J168" s="26" t="s">
        <v>12</v>
      </c>
      <c r="K168" s="26" t="s">
        <v>13</v>
      </c>
      <c r="L168" s="55">
        <v>46047.571919942129</v>
      </c>
      <c r="M168" s="26"/>
      <c r="N168" s="4"/>
    </row>
    <row r="169" spans="1:14" ht="75" customHeight="1" thickTop="1" thickBot="1">
      <c r="A169" s="34">
        <v>167</v>
      </c>
      <c r="B169" s="55">
        <v>46047.572642129599</v>
      </c>
      <c r="C169" s="56" t="s">
        <v>26</v>
      </c>
      <c r="D169" s="56" t="s">
        <v>49</v>
      </c>
      <c r="E169" s="26" t="s">
        <v>22</v>
      </c>
      <c r="F169" s="26" t="s">
        <v>39</v>
      </c>
      <c r="G169" s="26" t="s">
        <v>25</v>
      </c>
      <c r="H169" s="26" t="s">
        <v>3654</v>
      </c>
      <c r="I169" s="26"/>
      <c r="J169" s="26" t="s">
        <v>12</v>
      </c>
      <c r="K169" s="26" t="s">
        <v>13</v>
      </c>
      <c r="L169" s="55">
        <v>46047.57285679398</v>
      </c>
      <c r="M169" s="26"/>
      <c r="N169" s="4"/>
    </row>
    <row r="170" spans="1:14" ht="75" customHeight="1" thickTop="1" thickBot="1">
      <c r="A170" s="26">
        <v>168</v>
      </c>
      <c r="B170" s="55">
        <v>46047.576906955997</v>
      </c>
      <c r="C170" s="56" t="s">
        <v>26</v>
      </c>
      <c r="D170" s="56" t="s">
        <v>49</v>
      </c>
      <c r="E170" s="26" t="s">
        <v>22</v>
      </c>
      <c r="F170" s="26" t="s">
        <v>42</v>
      </c>
      <c r="G170" s="26" t="s">
        <v>37</v>
      </c>
      <c r="H170" s="26" t="s">
        <v>3655</v>
      </c>
      <c r="I170" s="26"/>
      <c r="J170" s="26" t="s">
        <v>14</v>
      </c>
      <c r="K170" s="26" t="s">
        <v>13</v>
      </c>
      <c r="L170" s="55">
        <v>46047.57720936343</v>
      </c>
      <c r="M170" s="26"/>
      <c r="N170" s="4"/>
    </row>
    <row r="171" spans="1:14" ht="75" customHeight="1" thickTop="1" thickBot="1">
      <c r="A171" s="34">
        <v>169</v>
      </c>
      <c r="B171" s="55">
        <v>46047.590508298599</v>
      </c>
      <c r="C171" s="56" t="s">
        <v>26</v>
      </c>
      <c r="D171" s="56" t="s">
        <v>49</v>
      </c>
      <c r="E171" s="26" t="s">
        <v>22</v>
      </c>
      <c r="F171" s="26" t="s">
        <v>31</v>
      </c>
      <c r="G171" s="26" t="s">
        <v>25</v>
      </c>
      <c r="H171" s="26" t="s">
        <v>3656</v>
      </c>
      <c r="I171" s="26"/>
      <c r="J171" s="26" t="s">
        <v>16</v>
      </c>
      <c r="K171" s="26" t="s">
        <v>13</v>
      </c>
      <c r="L171" s="55">
        <v>46047.603691192126</v>
      </c>
      <c r="M171" s="26"/>
      <c r="N171" s="4"/>
    </row>
    <row r="172" spans="1:14" ht="75" customHeight="1" thickTop="1" thickBot="1">
      <c r="A172" s="26">
        <v>170</v>
      </c>
      <c r="B172" s="55">
        <v>46048.430114953699</v>
      </c>
      <c r="C172" s="56" t="s">
        <v>26</v>
      </c>
      <c r="D172" s="56" t="s">
        <v>49</v>
      </c>
      <c r="E172" s="26" t="s">
        <v>22</v>
      </c>
      <c r="F172" s="26" t="s">
        <v>39</v>
      </c>
      <c r="G172" s="26" t="s">
        <v>43</v>
      </c>
      <c r="H172" s="26" t="s">
        <v>3657</v>
      </c>
      <c r="I172" s="26"/>
      <c r="J172" s="26" t="s">
        <v>16</v>
      </c>
      <c r="K172" s="26" t="s">
        <v>13</v>
      </c>
      <c r="L172" s="55">
        <v>46048.433374155094</v>
      </c>
      <c r="M172" s="26"/>
      <c r="N172" s="4"/>
    </row>
    <row r="173" spans="1:14" ht="75" customHeight="1" thickTop="1" thickBot="1">
      <c r="A173" s="34">
        <v>171</v>
      </c>
      <c r="B173" s="55">
        <v>46048.433194456004</v>
      </c>
      <c r="C173" s="56" t="s">
        <v>26</v>
      </c>
      <c r="D173" s="56" t="s">
        <v>49</v>
      </c>
      <c r="E173" s="26" t="s">
        <v>22</v>
      </c>
      <c r="F173" s="26" t="s">
        <v>28</v>
      </c>
      <c r="G173" s="26" t="s">
        <v>25</v>
      </c>
      <c r="H173" s="26" t="s">
        <v>3658</v>
      </c>
      <c r="I173" s="26"/>
      <c r="J173" s="26" t="s">
        <v>12</v>
      </c>
      <c r="K173" s="26" t="s">
        <v>13</v>
      </c>
      <c r="L173" s="55">
        <v>46048.433437337968</v>
      </c>
      <c r="M173" s="26"/>
      <c r="N173" s="4"/>
    </row>
    <row r="174" spans="1:14" ht="75" customHeight="1" thickTop="1" thickBot="1">
      <c r="A174" s="26">
        <v>172</v>
      </c>
      <c r="B174" s="55">
        <v>46048.4346405092</v>
      </c>
      <c r="C174" s="56" t="s">
        <v>26</v>
      </c>
      <c r="D174" s="56" t="s">
        <v>49</v>
      </c>
      <c r="E174" s="26" t="s">
        <v>22</v>
      </c>
      <c r="F174" s="26" t="s">
        <v>28</v>
      </c>
      <c r="G174" s="26" t="s">
        <v>25</v>
      </c>
      <c r="H174" s="26" t="s">
        <v>218</v>
      </c>
      <c r="I174" s="26"/>
      <c r="J174" s="26" t="s">
        <v>14</v>
      </c>
      <c r="K174" s="26" t="s">
        <v>13</v>
      </c>
      <c r="L174" s="55">
        <v>46048.434812060186</v>
      </c>
      <c r="M174" s="26"/>
      <c r="N174" s="4"/>
    </row>
    <row r="175" spans="1:14" ht="75" customHeight="1" thickTop="1" thickBot="1">
      <c r="A175" s="34">
        <v>173</v>
      </c>
      <c r="B175" s="55">
        <v>46048.436062094901</v>
      </c>
      <c r="C175" s="56" t="s">
        <v>26</v>
      </c>
      <c r="D175" s="56" t="s">
        <v>49</v>
      </c>
      <c r="E175" s="26" t="s">
        <v>22</v>
      </c>
      <c r="F175" s="26" t="s">
        <v>39</v>
      </c>
      <c r="G175" s="26" t="s">
        <v>25</v>
      </c>
      <c r="H175" s="26" t="s">
        <v>3659</v>
      </c>
      <c r="I175" s="26"/>
      <c r="J175" s="26" t="s">
        <v>14</v>
      </c>
      <c r="K175" s="26" t="s">
        <v>13</v>
      </c>
      <c r="L175" s="55">
        <v>46048.443022106483</v>
      </c>
      <c r="M175" s="26"/>
      <c r="N175" s="4"/>
    </row>
    <row r="176" spans="1:14" ht="75" customHeight="1" thickTop="1" thickBot="1">
      <c r="A176" s="26">
        <v>174</v>
      </c>
      <c r="B176" s="55">
        <v>46048.530523240697</v>
      </c>
      <c r="C176" s="56" t="s">
        <v>26</v>
      </c>
      <c r="D176" s="56" t="s">
        <v>49</v>
      </c>
      <c r="E176" s="26" t="s">
        <v>22</v>
      </c>
      <c r="F176" s="26" t="s">
        <v>39</v>
      </c>
      <c r="G176" s="26" t="s">
        <v>43</v>
      </c>
      <c r="H176" s="26" t="s">
        <v>3660</v>
      </c>
      <c r="I176" s="26"/>
      <c r="J176" s="26" t="s">
        <v>16</v>
      </c>
      <c r="K176" s="26" t="s">
        <v>13</v>
      </c>
      <c r="L176" s="55">
        <v>46048.53208128472</v>
      </c>
      <c r="M176" s="26"/>
      <c r="N176" s="4"/>
    </row>
    <row r="177" spans="1:14" ht="75" customHeight="1" thickTop="1" thickBot="1">
      <c r="A177" s="34">
        <v>175</v>
      </c>
      <c r="B177" s="55">
        <v>46048.530993506902</v>
      </c>
      <c r="C177" s="56" t="s">
        <v>26</v>
      </c>
      <c r="D177" s="56" t="s">
        <v>49</v>
      </c>
      <c r="E177" s="26" t="s">
        <v>22</v>
      </c>
      <c r="F177" s="26" t="s">
        <v>42</v>
      </c>
      <c r="G177" s="26" t="s">
        <v>37</v>
      </c>
      <c r="H177" s="26" t="s">
        <v>3661</v>
      </c>
      <c r="I177" s="26"/>
      <c r="J177" s="26" t="s">
        <v>16</v>
      </c>
      <c r="K177" s="26" t="s">
        <v>13</v>
      </c>
      <c r="L177" s="55">
        <v>46048.532140902782</v>
      </c>
      <c r="M177" s="26"/>
      <c r="N177" s="4"/>
    </row>
    <row r="178" spans="1:14" ht="75" customHeight="1" thickTop="1" thickBot="1">
      <c r="A178" s="26">
        <v>176</v>
      </c>
      <c r="B178" s="55">
        <v>46048.531533171299</v>
      </c>
      <c r="C178" s="56" t="s">
        <v>26</v>
      </c>
      <c r="D178" s="56" t="s">
        <v>180</v>
      </c>
      <c r="E178" s="26" t="s">
        <v>21</v>
      </c>
      <c r="F178" s="26" t="s">
        <v>42</v>
      </c>
      <c r="G178" s="26" t="s">
        <v>43</v>
      </c>
      <c r="H178" s="26" t="s">
        <v>219</v>
      </c>
      <c r="I178" s="26"/>
      <c r="J178" s="26" t="s">
        <v>16</v>
      </c>
      <c r="K178" s="26" t="s">
        <v>13</v>
      </c>
      <c r="L178" s="55">
        <v>46048.672317430552</v>
      </c>
      <c r="M178" s="26"/>
      <c r="N178" s="4"/>
    </row>
    <row r="179" spans="1:14" ht="75" customHeight="1" thickTop="1" thickBot="1">
      <c r="A179" s="34">
        <v>177</v>
      </c>
      <c r="B179" s="55">
        <v>46048.532209641198</v>
      </c>
      <c r="C179" s="56" t="s">
        <v>26</v>
      </c>
      <c r="D179" s="56" t="s">
        <v>49</v>
      </c>
      <c r="E179" s="26" t="s">
        <v>22</v>
      </c>
      <c r="F179" s="26" t="s">
        <v>39</v>
      </c>
      <c r="G179" s="26" t="s">
        <v>40</v>
      </c>
      <c r="H179" s="26" t="s">
        <v>3662</v>
      </c>
      <c r="I179" s="26"/>
      <c r="J179" s="26" t="s">
        <v>12</v>
      </c>
      <c r="K179" s="26" t="s">
        <v>13</v>
      </c>
      <c r="L179" s="55">
        <v>46048.574566331023</v>
      </c>
      <c r="M179" s="26"/>
      <c r="N179" s="4" t="s">
        <v>121</v>
      </c>
    </row>
    <row r="180" spans="1:14" ht="75" customHeight="1" thickTop="1" thickBot="1">
      <c r="A180" s="26">
        <v>178</v>
      </c>
      <c r="B180" s="55">
        <v>46048.579206435097</v>
      </c>
      <c r="C180" s="56" t="s">
        <v>26</v>
      </c>
      <c r="D180" s="56" t="s">
        <v>180</v>
      </c>
      <c r="E180" s="26" t="s">
        <v>21</v>
      </c>
      <c r="F180" s="26" t="s">
        <v>28</v>
      </c>
      <c r="G180" s="26" t="s">
        <v>25</v>
      </c>
      <c r="H180" s="26" t="s">
        <v>220</v>
      </c>
      <c r="I180" s="26"/>
      <c r="J180" s="26" t="s">
        <v>14</v>
      </c>
      <c r="K180" s="26" t="s">
        <v>13</v>
      </c>
      <c r="L180" s="55">
        <v>46049.350555104167</v>
      </c>
      <c r="M180" s="26"/>
      <c r="N180" s="4" t="s">
        <v>123</v>
      </c>
    </row>
    <row r="181" spans="1:14" ht="75" customHeight="1" thickTop="1" thickBot="1">
      <c r="A181" s="34">
        <v>179</v>
      </c>
      <c r="B181" s="55">
        <v>46049.427143367997</v>
      </c>
      <c r="C181" s="56" t="s">
        <v>26</v>
      </c>
      <c r="D181" s="56" t="s">
        <v>221</v>
      </c>
      <c r="E181" s="26" t="s">
        <v>21</v>
      </c>
      <c r="F181" s="26" t="s">
        <v>222</v>
      </c>
      <c r="G181" s="26" t="s">
        <v>223</v>
      </c>
      <c r="H181" s="26" t="s">
        <v>224</v>
      </c>
      <c r="I181" s="26"/>
      <c r="J181" s="26" t="s">
        <v>16</v>
      </c>
      <c r="K181" s="26" t="s">
        <v>13</v>
      </c>
      <c r="L181" s="55">
        <v>46049.430588009258</v>
      </c>
      <c r="M181" s="26"/>
      <c r="N181" s="4" t="s">
        <v>121</v>
      </c>
    </row>
    <row r="182" spans="1:14" ht="75" customHeight="1" thickTop="1" thickBot="1">
      <c r="A182" s="26">
        <v>180</v>
      </c>
      <c r="B182" s="55">
        <v>46049.4414590046</v>
      </c>
      <c r="C182" s="56" t="s">
        <v>26</v>
      </c>
      <c r="D182" s="56" t="s">
        <v>49</v>
      </c>
      <c r="E182" s="26" t="s">
        <v>22</v>
      </c>
      <c r="F182" s="26" t="s">
        <v>39</v>
      </c>
      <c r="G182" s="26" t="s">
        <v>43</v>
      </c>
      <c r="H182" s="26" t="s">
        <v>225</v>
      </c>
      <c r="I182" s="26"/>
      <c r="J182" s="26" t="s">
        <v>16</v>
      </c>
      <c r="K182" s="26" t="s">
        <v>13</v>
      </c>
      <c r="L182" s="55">
        <v>46049.448597094903</v>
      </c>
      <c r="M182" s="26"/>
      <c r="N182" s="4" t="s">
        <v>121</v>
      </c>
    </row>
    <row r="183" spans="1:14" ht="75" customHeight="1" thickTop="1" thickBot="1">
      <c r="A183" s="34">
        <v>181</v>
      </c>
      <c r="B183" s="55">
        <v>46049.442601504597</v>
      </c>
      <c r="C183" s="56" t="s">
        <v>26</v>
      </c>
      <c r="D183" s="56" t="s">
        <v>49</v>
      </c>
      <c r="E183" s="26" t="s">
        <v>22</v>
      </c>
      <c r="F183" s="26" t="s">
        <v>42</v>
      </c>
      <c r="G183" s="26" t="s">
        <v>226</v>
      </c>
      <c r="H183" s="26" t="s">
        <v>226</v>
      </c>
      <c r="I183" s="26"/>
      <c r="J183" s="26" t="s">
        <v>16</v>
      </c>
      <c r="K183" s="26" t="s">
        <v>13</v>
      </c>
      <c r="L183" s="55">
        <v>46049.448726423609</v>
      </c>
      <c r="M183" s="26"/>
      <c r="N183" s="4" t="s">
        <v>121</v>
      </c>
    </row>
    <row r="184" spans="1:14" ht="75" customHeight="1" thickTop="1" thickBot="1">
      <c r="A184" s="26">
        <v>182</v>
      </c>
      <c r="B184" s="55">
        <v>46049.443404803198</v>
      </c>
      <c r="C184" s="56" t="s">
        <v>26</v>
      </c>
      <c r="D184" s="56" t="s">
        <v>49</v>
      </c>
      <c r="E184" s="26" t="s">
        <v>22</v>
      </c>
      <c r="F184" s="26" t="s">
        <v>42</v>
      </c>
      <c r="G184" s="26" t="s">
        <v>43</v>
      </c>
      <c r="H184" s="26" t="s">
        <v>227</v>
      </c>
      <c r="I184" s="26"/>
      <c r="J184" s="26" t="s">
        <v>16</v>
      </c>
      <c r="K184" s="26" t="s">
        <v>13</v>
      </c>
      <c r="L184" s="55">
        <v>46049.448764328699</v>
      </c>
      <c r="M184" s="26"/>
      <c r="N184" s="4" t="s">
        <v>121</v>
      </c>
    </row>
    <row r="185" spans="1:14" ht="75" customHeight="1" thickTop="1" thickBot="1">
      <c r="A185" s="34">
        <v>183</v>
      </c>
      <c r="B185" s="55">
        <v>46049.445814988401</v>
      </c>
      <c r="C185" s="56" t="s">
        <v>26</v>
      </c>
      <c r="D185" s="56" t="s">
        <v>49</v>
      </c>
      <c r="E185" s="26" t="s">
        <v>22</v>
      </c>
      <c r="F185" s="26" t="s">
        <v>39</v>
      </c>
      <c r="G185" s="26" t="s">
        <v>40</v>
      </c>
      <c r="H185" s="26" t="s">
        <v>3663</v>
      </c>
      <c r="I185" s="26"/>
      <c r="J185" s="26" t="s">
        <v>12</v>
      </c>
      <c r="K185" s="26" t="s">
        <v>13</v>
      </c>
      <c r="L185" s="55">
        <v>46049.448849247681</v>
      </c>
      <c r="M185" s="26"/>
      <c r="N185" s="4" t="s">
        <v>121</v>
      </c>
    </row>
    <row r="186" spans="1:14" ht="75" customHeight="1" thickTop="1" thickBot="1">
      <c r="A186" s="26">
        <v>184</v>
      </c>
      <c r="B186" s="55">
        <v>46049.447207037003</v>
      </c>
      <c r="C186" s="56" t="s">
        <v>26</v>
      </c>
      <c r="D186" s="56" t="s">
        <v>49</v>
      </c>
      <c r="E186" s="26" t="s">
        <v>22</v>
      </c>
      <c r="F186" s="26" t="s">
        <v>39</v>
      </c>
      <c r="G186" s="26" t="s">
        <v>40</v>
      </c>
      <c r="H186" s="26" t="s">
        <v>3664</v>
      </c>
      <c r="I186" s="26"/>
      <c r="J186" s="26" t="s">
        <v>12</v>
      </c>
      <c r="K186" s="26" t="s">
        <v>13</v>
      </c>
      <c r="L186" s="55">
        <v>46049.448890324071</v>
      </c>
      <c r="M186" s="26"/>
      <c r="N186" s="4" t="s">
        <v>121</v>
      </c>
    </row>
    <row r="187" spans="1:14" ht="75" customHeight="1" thickTop="1" thickBot="1">
      <c r="A187" s="34">
        <v>185</v>
      </c>
      <c r="B187" s="55">
        <v>46049.492645057799</v>
      </c>
      <c r="C187" s="56" t="s">
        <v>26</v>
      </c>
      <c r="D187" s="56" t="s">
        <v>49</v>
      </c>
      <c r="E187" s="26" t="s">
        <v>22</v>
      </c>
      <c r="F187" s="26" t="s">
        <v>39</v>
      </c>
      <c r="G187" s="26" t="s">
        <v>43</v>
      </c>
      <c r="H187" s="26" t="s">
        <v>3665</v>
      </c>
      <c r="I187" s="26"/>
      <c r="J187" s="26" t="s">
        <v>16</v>
      </c>
      <c r="K187" s="26" t="s">
        <v>13</v>
      </c>
      <c r="L187" s="55">
        <v>46049.49411792824</v>
      </c>
      <c r="M187" s="26"/>
      <c r="N187" s="4" t="s">
        <v>121</v>
      </c>
    </row>
    <row r="188" spans="1:14" ht="75" customHeight="1" thickTop="1" thickBot="1">
      <c r="A188" s="26">
        <v>186</v>
      </c>
      <c r="B188" s="55">
        <v>46049.493968275397</v>
      </c>
      <c r="C188" s="56" t="s">
        <v>26</v>
      </c>
      <c r="D188" s="56" t="s">
        <v>49</v>
      </c>
      <c r="E188" s="26" t="s">
        <v>22</v>
      </c>
      <c r="F188" s="26" t="s">
        <v>31</v>
      </c>
      <c r="G188" s="26" t="s">
        <v>228</v>
      </c>
      <c r="H188" s="26" t="s">
        <v>229</v>
      </c>
      <c r="I188" s="26"/>
      <c r="J188" s="26" t="s">
        <v>16</v>
      </c>
      <c r="K188" s="26" t="s">
        <v>13</v>
      </c>
      <c r="L188" s="55">
        <v>46049.494200312503</v>
      </c>
      <c r="M188" s="26"/>
      <c r="N188" s="4" t="s">
        <v>121</v>
      </c>
    </row>
    <row r="189" spans="1:14" ht="75" customHeight="1" thickTop="1" thickBot="1">
      <c r="A189" s="34">
        <v>187</v>
      </c>
      <c r="B189" s="55">
        <v>46049.574140798599</v>
      </c>
      <c r="C189" s="56" t="s">
        <v>26</v>
      </c>
      <c r="D189" s="56" t="s">
        <v>180</v>
      </c>
      <c r="E189" s="26" t="s">
        <v>21</v>
      </c>
      <c r="F189" s="26" t="s">
        <v>230</v>
      </c>
      <c r="G189" s="26" t="s">
        <v>230</v>
      </c>
      <c r="H189" s="26" t="s">
        <v>231</v>
      </c>
      <c r="I189" s="26"/>
      <c r="J189" s="26" t="s">
        <v>12</v>
      </c>
      <c r="K189" s="26" t="s">
        <v>13</v>
      </c>
      <c r="L189" s="55">
        <v>46049.668918946758</v>
      </c>
      <c r="M189" s="26"/>
      <c r="N189" s="4" t="s">
        <v>124</v>
      </c>
    </row>
    <row r="190" spans="1:14" ht="75" customHeight="1" thickTop="1" thickBot="1">
      <c r="A190" s="26">
        <v>188</v>
      </c>
      <c r="B190" s="55">
        <v>46050.463735231402</v>
      </c>
      <c r="C190" s="56" t="s">
        <v>26</v>
      </c>
      <c r="D190" s="56" t="s">
        <v>49</v>
      </c>
      <c r="E190" s="26" t="s">
        <v>22</v>
      </c>
      <c r="F190" s="26" t="s">
        <v>42</v>
      </c>
      <c r="G190" s="26" t="s">
        <v>213</v>
      </c>
      <c r="H190" s="26" t="s">
        <v>232</v>
      </c>
      <c r="I190" s="26"/>
      <c r="J190" s="26" t="s">
        <v>12</v>
      </c>
      <c r="K190" s="26" t="s">
        <v>13</v>
      </c>
      <c r="L190" s="55">
        <v>46050.465886770835</v>
      </c>
      <c r="M190" s="26"/>
      <c r="N190" s="4" t="s">
        <v>121</v>
      </c>
    </row>
    <row r="191" spans="1:14" ht="75" customHeight="1" thickTop="1" thickBot="1">
      <c r="A191" s="34">
        <v>189</v>
      </c>
      <c r="B191" s="55">
        <v>46050.464469803199</v>
      </c>
      <c r="C191" s="56" t="s">
        <v>26</v>
      </c>
      <c r="D191" s="56" t="s">
        <v>49</v>
      </c>
      <c r="E191" s="26" t="s">
        <v>22</v>
      </c>
      <c r="F191" s="26" t="s">
        <v>42</v>
      </c>
      <c r="G191" s="26" t="s">
        <v>40</v>
      </c>
      <c r="H191" s="26" t="s">
        <v>3666</v>
      </c>
      <c r="I191" s="26"/>
      <c r="J191" s="26" t="s">
        <v>12</v>
      </c>
      <c r="K191" s="26" t="s">
        <v>13</v>
      </c>
      <c r="L191" s="55">
        <v>46050.465943634263</v>
      </c>
      <c r="M191" s="26"/>
      <c r="N191" s="4" t="s">
        <v>121</v>
      </c>
    </row>
    <row r="192" spans="1:14" ht="75" customHeight="1" thickTop="1" thickBot="1">
      <c r="A192" s="26">
        <v>190</v>
      </c>
      <c r="B192" s="55">
        <v>46050.4666427314</v>
      </c>
      <c r="C192" s="56" t="s">
        <v>26</v>
      </c>
      <c r="D192" s="56" t="s">
        <v>49</v>
      </c>
      <c r="E192" s="26" t="s">
        <v>22</v>
      </c>
      <c r="F192" s="26" t="s">
        <v>39</v>
      </c>
      <c r="G192" s="26" t="s">
        <v>43</v>
      </c>
      <c r="H192" s="26" t="s">
        <v>233</v>
      </c>
      <c r="I192" s="26"/>
      <c r="J192" s="26" t="s">
        <v>16</v>
      </c>
      <c r="K192" s="26" t="s">
        <v>13</v>
      </c>
      <c r="L192" s="55">
        <v>46050.466844780094</v>
      </c>
      <c r="M192" s="26"/>
      <c r="N192" s="4" t="s">
        <v>121</v>
      </c>
    </row>
    <row r="193" spans="1:14" ht="75" customHeight="1" thickTop="1" thickBot="1">
      <c r="A193" s="34">
        <v>191</v>
      </c>
      <c r="B193" s="55">
        <v>46050.468925150402</v>
      </c>
      <c r="C193" s="56" t="s">
        <v>26</v>
      </c>
      <c r="D193" s="56" t="s">
        <v>49</v>
      </c>
      <c r="E193" s="26" t="s">
        <v>22</v>
      </c>
      <c r="F193" s="26" t="s">
        <v>28</v>
      </c>
      <c r="G193" s="26" t="s">
        <v>40</v>
      </c>
      <c r="H193" s="26" t="s">
        <v>3667</v>
      </c>
      <c r="I193" s="26"/>
      <c r="J193" s="26" t="s">
        <v>14</v>
      </c>
      <c r="K193" s="26" t="s">
        <v>13</v>
      </c>
      <c r="L193" s="55">
        <v>46050.469572812501</v>
      </c>
      <c r="M193" s="26"/>
      <c r="N193" s="4" t="s">
        <v>121</v>
      </c>
    </row>
    <row r="194" spans="1:14" ht="75" customHeight="1" thickTop="1" thickBot="1">
      <c r="A194" s="26">
        <v>192</v>
      </c>
      <c r="B194" s="55">
        <v>46050.501865914302</v>
      </c>
      <c r="C194" s="56" t="s">
        <v>26</v>
      </c>
      <c r="D194" s="56" t="s">
        <v>49</v>
      </c>
      <c r="E194" s="26" t="s">
        <v>22</v>
      </c>
      <c r="F194" s="26" t="s">
        <v>28</v>
      </c>
      <c r="G194" s="26" t="s">
        <v>58</v>
      </c>
      <c r="H194" s="26" t="s">
        <v>3668</v>
      </c>
      <c r="I194" s="26"/>
      <c r="J194" s="26" t="s">
        <v>16</v>
      </c>
      <c r="K194" s="26" t="s">
        <v>13</v>
      </c>
      <c r="L194" s="55">
        <v>46050.505339328709</v>
      </c>
      <c r="M194" s="26"/>
      <c r="N194" s="4" t="s">
        <v>121</v>
      </c>
    </row>
    <row r="195" spans="1:14" ht="75" customHeight="1" thickTop="1" thickBot="1">
      <c r="A195" s="34">
        <v>193</v>
      </c>
      <c r="B195" s="55">
        <v>46050.503754409699</v>
      </c>
      <c r="C195" s="56" t="s">
        <v>26</v>
      </c>
      <c r="D195" s="56" t="s">
        <v>49</v>
      </c>
      <c r="E195" s="26" t="s">
        <v>22</v>
      </c>
      <c r="F195" s="26" t="s">
        <v>42</v>
      </c>
      <c r="G195" s="26" t="s">
        <v>56</v>
      </c>
      <c r="H195" s="26" t="s">
        <v>3669</v>
      </c>
      <c r="I195" s="26"/>
      <c r="J195" s="26" t="s">
        <v>16</v>
      </c>
      <c r="K195" s="26" t="s">
        <v>13</v>
      </c>
      <c r="L195" s="55">
        <v>46050.505393564817</v>
      </c>
      <c r="M195" s="26"/>
      <c r="N195" s="4" t="s">
        <v>121</v>
      </c>
    </row>
    <row r="196" spans="1:14" ht="75" customHeight="1" thickTop="1" thickBot="1">
      <c r="A196" s="26">
        <v>194</v>
      </c>
      <c r="B196" s="55">
        <v>46050.504998414297</v>
      </c>
      <c r="C196" s="56" t="s">
        <v>26</v>
      </c>
      <c r="D196" s="56" t="s">
        <v>49</v>
      </c>
      <c r="E196" s="26" t="s">
        <v>22</v>
      </c>
      <c r="F196" s="26" t="s">
        <v>39</v>
      </c>
      <c r="G196" s="26" t="s">
        <v>43</v>
      </c>
      <c r="H196" s="26" t="s">
        <v>3670</v>
      </c>
      <c r="I196" s="26"/>
      <c r="J196" s="26" t="s">
        <v>16</v>
      </c>
      <c r="K196" s="26" t="s">
        <v>13</v>
      </c>
      <c r="L196" s="55">
        <v>46050.505474560181</v>
      </c>
      <c r="M196" s="26"/>
      <c r="N196" s="4" t="s">
        <v>121</v>
      </c>
    </row>
    <row r="197" spans="1:14" ht="75" customHeight="1" thickTop="1" thickBot="1">
      <c r="A197" s="34">
        <v>195</v>
      </c>
      <c r="B197" s="55">
        <v>46050.515145474499</v>
      </c>
      <c r="C197" s="56" t="s">
        <v>26</v>
      </c>
      <c r="D197" s="56" t="s">
        <v>49</v>
      </c>
      <c r="E197" s="26" t="s">
        <v>22</v>
      </c>
      <c r="F197" s="26" t="s">
        <v>234</v>
      </c>
      <c r="G197" s="26" t="s">
        <v>197</v>
      </c>
      <c r="H197" s="26" t="s">
        <v>3671</v>
      </c>
      <c r="I197" s="26"/>
      <c r="J197" s="26" t="s">
        <v>12</v>
      </c>
      <c r="K197" s="26" t="s">
        <v>13</v>
      </c>
      <c r="L197" s="55">
        <v>46050.515375219911</v>
      </c>
      <c r="M197" s="26"/>
      <c r="N197" s="4" t="s">
        <v>121</v>
      </c>
    </row>
    <row r="198" spans="1:14" ht="75" customHeight="1" thickTop="1" thickBot="1">
      <c r="A198" s="26">
        <v>196</v>
      </c>
      <c r="B198" s="55">
        <v>46050.537986319403</v>
      </c>
      <c r="C198" s="56" t="s">
        <v>26</v>
      </c>
      <c r="D198" s="56" t="s">
        <v>49</v>
      </c>
      <c r="E198" s="26" t="s">
        <v>22</v>
      </c>
      <c r="F198" s="26" t="s">
        <v>42</v>
      </c>
      <c r="G198" s="26" t="s">
        <v>56</v>
      </c>
      <c r="H198" s="26" t="s">
        <v>235</v>
      </c>
      <c r="I198" s="26"/>
      <c r="J198" s="26" t="s">
        <v>12</v>
      </c>
      <c r="K198" s="26" t="s">
        <v>13</v>
      </c>
      <c r="L198" s="55">
        <v>46050.538173414352</v>
      </c>
      <c r="M198" s="26"/>
      <c r="N198" s="4" t="s">
        <v>121</v>
      </c>
    </row>
    <row r="199" spans="1:14" ht="75" customHeight="1" thickTop="1" thickBot="1">
      <c r="A199" s="34">
        <v>197</v>
      </c>
      <c r="B199" s="55">
        <v>46050.548305520802</v>
      </c>
      <c r="C199" s="56" t="s">
        <v>26</v>
      </c>
      <c r="D199" s="56" t="s">
        <v>49</v>
      </c>
      <c r="E199" s="26" t="s">
        <v>22</v>
      </c>
      <c r="F199" s="26" t="s">
        <v>236</v>
      </c>
      <c r="G199" s="26" t="s">
        <v>213</v>
      </c>
      <c r="H199" s="26" t="s">
        <v>3672</v>
      </c>
      <c r="I199" s="26"/>
      <c r="J199" s="26" t="s">
        <v>16</v>
      </c>
      <c r="K199" s="26" t="s">
        <v>13</v>
      </c>
      <c r="L199" s="55">
        <v>46050.548484907413</v>
      </c>
      <c r="M199" s="26"/>
      <c r="N199" s="4" t="s">
        <v>121</v>
      </c>
    </row>
    <row r="200" spans="1:14" ht="75" customHeight="1" thickTop="1" thickBot="1">
      <c r="A200" s="26">
        <v>198</v>
      </c>
      <c r="B200" s="55">
        <v>46051.299088761501</v>
      </c>
      <c r="C200" s="56" t="s">
        <v>26</v>
      </c>
      <c r="D200" s="56" t="s">
        <v>49</v>
      </c>
      <c r="E200" s="26" t="s">
        <v>22</v>
      </c>
      <c r="F200" s="26" t="s">
        <v>28</v>
      </c>
      <c r="G200" s="26" t="s">
        <v>40</v>
      </c>
      <c r="H200" s="26" t="s">
        <v>237</v>
      </c>
      <c r="I200" s="26"/>
      <c r="J200" s="26" t="s">
        <v>12</v>
      </c>
      <c r="K200" s="26" t="s">
        <v>13</v>
      </c>
      <c r="L200" s="55">
        <v>46051.30422604167</v>
      </c>
      <c r="M200" s="26"/>
      <c r="N200" s="4" t="s">
        <v>121</v>
      </c>
    </row>
    <row r="201" spans="1:14" ht="75" customHeight="1" thickTop="1" thickBot="1">
      <c r="A201" s="34">
        <v>199</v>
      </c>
      <c r="B201" s="55">
        <v>46051.299916157397</v>
      </c>
      <c r="C201" s="56" t="s">
        <v>26</v>
      </c>
      <c r="D201" s="56" t="s">
        <v>49</v>
      </c>
      <c r="E201" s="26" t="s">
        <v>22</v>
      </c>
      <c r="F201" s="26" t="s">
        <v>28</v>
      </c>
      <c r="G201" s="26" t="s">
        <v>40</v>
      </c>
      <c r="H201" s="26" t="s">
        <v>3673</v>
      </c>
      <c r="I201" s="26"/>
      <c r="J201" s="26" t="s">
        <v>12</v>
      </c>
      <c r="K201" s="26" t="s">
        <v>13</v>
      </c>
      <c r="L201" s="55">
        <v>46051.304277326388</v>
      </c>
      <c r="M201" s="26"/>
      <c r="N201" s="4" t="s">
        <v>121</v>
      </c>
    </row>
    <row r="202" spans="1:14" ht="75" customHeight="1" thickTop="1" thickBot="1">
      <c r="A202" s="26">
        <v>200</v>
      </c>
      <c r="B202" s="55">
        <v>46051.300871817097</v>
      </c>
      <c r="C202" s="56" t="s">
        <v>26</v>
      </c>
      <c r="D202" s="56" t="s">
        <v>49</v>
      </c>
      <c r="E202" s="26" t="s">
        <v>22</v>
      </c>
      <c r="F202" s="26" t="s">
        <v>39</v>
      </c>
      <c r="G202" s="26" t="s">
        <v>40</v>
      </c>
      <c r="H202" s="26" t="s">
        <v>3674</v>
      </c>
      <c r="I202" s="26"/>
      <c r="J202" s="26" t="s">
        <v>12</v>
      </c>
      <c r="K202" s="26" t="s">
        <v>13</v>
      </c>
      <c r="L202" s="55">
        <v>46051.304377291672</v>
      </c>
      <c r="M202" s="26"/>
      <c r="N202" s="4" t="s">
        <v>125</v>
      </c>
    </row>
    <row r="203" spans="1:14" ht="75" customHeight="1" thickTop="1" thickBot="1">
      <c r="A203" s="34">
        <v>201</v>
      </c>
      <c r="B203" s="55">
        <v>46051.302162060099</v>
      </c>
      <c r="C203" s="56" t="s">
        <v>26</v>
      </c>
      <c r="D203" s="56" t="s">
        <v>49</v>
      </c>
      <c r="E203" s="26" t="s">
        <v>22</v>
      </c>
      <c r="F203" s="26" t="s">
        <v>28</v>
      </c>
      <c r="G203" s="26" t="s">
        <v>47</v>
      </c>
      <c r="H203" s="26" t="s">
        <v>3675</v>
      </c>
      <c r="I203" s="26"/>
      <c r="J203" s="26" t="s">
        <v>16</v>
      </c>
      <c r="K203" s="26" t="s">
        <v>13</v>
      </c>
      <c r="L203" s="55">
        <v>46051.304443541667</v>
      </c>
      <c r="M203" s="26"/>
      <c r="N203" s="4" t="s">
        <v>125</v>
      </c>
    </row>
    <row r="204" spans="1:14" ht="75" customHeight="1" thickTop="1" thickBot="1">
      <c r="A204" s="26">
        <v>202</v>
      </c>
      <c r="B204" s="55">
        <v>46051.3027764699</v>
      </c>
      <c r="C204" s="56" t="s">
        <v>26</v>
      </c>
      <c r="D204" s="56" t="s">
        <v>49</v>
      </c>
      <c r="E204" s="26" t="s">
        <v>22</v>
      </c>
      <c r="F204" s="26" t="s">
        <v>28</v>
      </c>
      <c r="G204" s="26" t="s">
        <v>38</v>
      </c>
      <c r="H204" s="26" t="s">
        <v>3676</v>
      </c>
      <c r="I204" s="26"/>
      <c r="J204" s="26" t="s">
        <v>16</v>
      </c>
      <c r="K204" s="26" t="s">
        <v>13</v>
      </c>
      <c r="L204" s="55">
        <v>46051.304544074075</v>
      </c>
      <c r="M204" s="26"/>
      <c r="N204" s="4" t="s">
        <v>126</v>
      </c>
    </row>
    <row r="205" spans="1:14" ht="75" customHeight="1" thickTop="1" thickBot="1">
      <c r="A205" s="34">
        <v>203</v>
      </c>
      <c r="B205" s="55">
        <v>46051.303444062498</v>
      </c>
      <c r="C205" s="56" t="s">
        <v>26</v>
      </c>
      <c r="D205" s="56" t="s">
        <v>49</v>
      </c>
      <c r="E205" s="26" t="s">
        <v>22</v>
      </c>
      <c r="F205" s="26" t="s">
        <v>28</v>
      </c>
      <c r="G205" s="26" t="s">
        <v>38</v>
      </c>
      <c r="H205" s="26" t="s">
        <v>238</v>
      </c>
      <c r="I205" s="26"/>
      <c r="J205" s="26" t="s">
        <v>16</v>
      </c>
      <c r="K205" s="26" t="s">
        <v>13</v>
      </c>
      <c r="L205" s="55">
        <v>46051.304604548612</v>
      </c>
      <c r="M205" s="26"/>
      <c r="N205" s="4" t="s">
        <v>125</v>
      </c>
    </row>
    <row r="206" spans="1:14" ht="75" customHeight="1" thickTop="1" thickBot="1">
      <c r="A206" s="26">
        <v>204</v>
      </c>
      <c r="B206" s="55">
        <v>46051.3040707291</v>
      </c>
      <c r="C206" s="56" t="s">
        <v>26</v>
      </c>
      <c r="D206" s="56" t="s">
        <v>49</v>
      </c>
      <c r="E206" s="26" t="s">
        <v>22</v>
      </c>
      <c r="F206" s="26" t="s">
        <v>28</v>
      </c>
      <c r="G206" s="26" t="s">
        <v>25</v>
      </c>
      <c r="H206" s="26" t="s">
        <v>3677</v>
      </c>
      <c r="I206" s="26"/>
      <c r="J206" s="26" t="s">
        <v>16</v>
      </c>
      <c r="K206" s="26" t="s">
        <v>13</v>
      </c>
      <c r="L206" s="55">
        <v>46051.304671458332</v>
      </c>
      <c r="M206" s="26"/>
      <c r="N206" s="4" t="s">
        <v>121</v>
      </c>
    </row>
    <row r="207" spans="1:14" ht="75" customHeight="1" thickTop="1" thickBot="1">
      <c r="A207" s="34">
        <v>205</v>
      </c>
      <c r="B207" s="55">
        <v>46051.312373252302</v>
      </c>
      <c r="C207" s="56" t="s">
        <v>26</v>
      </c>
      <c r="D207" s="56" t="s">
        <v>49</v>
      </c>
      <c r="E207" s="26" t="s">
        <v>22</v>
      </c>
      <c r="F207" s="26" t="s">
        <v>42</v>
      </c>
      <c r="G207" s="26" t="s">
        <v>25</v>
      </c>
      <c r="H207" s="26" t="s">
        <v>3678</v>
      </c>
      <c r="I207" s="26"/>
      <c r="J207" s="26" t="s">
        <v>14</v>
      </c>
      <c r="K207" s="26" t="s">
        <v>13</v>
      </c>
      <c r="L207" s="55">
        <v>46051.312737893517</v>
      </c>
      <c r="M207" s="26"/>
      <c r="N207" s="4" t="s">
        <v>121</v>
      </c>
    </row>
    <row r="208" spans="1:14" ht="75" customHeight="1" thickTop="1" thickBot="1">
      <c r="A208" s="26">
        <v>206</v>
      </c>
      <c r="B208" s="55">
        <v>46051.380802418898</v>
      </c>
      <c r="C208" s="56" t="s">
        <v>26</v>
      </c>
      <c r="D208" s="56" t="s">
        <v>180</v>
      </c>
      <c r="E208" s="26" t="s">
        <v>21</v>
      </c>
      <c r="F208" s="26" t="s">
        <v>28</v>
      </c>
      <c r="G208" s="26" t="s">
        <v>239</v>
      </c>
      <c r="H208" s="26" t="s">
        <v>240</v>
      </c>
      <c r="I208" s="26"/>
      <c r="J208" s="26" t="s">
        <v>16</v>
      </c>
      <c r="K208" s="26" t="s">
        <v>13</v>
      </c>
      <c r="L208" s="55">
        <v>46051.522176851853</v>
      </c>
      <c r="M208" s="26"/>
      <c r="N208" s="4" t="s">
        <v>121</v>
      </c>
    </row>
    <row r="209" spans="1:14" ht="75" customHeight="1" thickTop="1" thickBot="1">
      <c r="A209" s="34">
        <v>207</v>
      </c>
      <c r="B209" s="55">
        <v>46051.383661365697</v>
      </c>
      <c r="C209" s="56" t="s">
        <v>26</v>
      </c>
      <c r="D209" s="56" t="s">
        <v>241</v>
      </c>
      <c r="E209" s="26" t="s">
        <v>21</v>
      </c>
      <c r="F209" s="26" t="s">
        <v>39</v>
      </c>
      <c r="G209" s="26" t="s">
        <v>242</v>
      </c>
      <c r="H209" s="26" t="s">
        <v>243</v>
      </c>
      <c r="I209" s="26"/>
      <c r="J209" s="26" t="s">
        <v>16</v>
      </c>
      <c r="K209" s="26" t="s">
        <v>13</v>
      </c>
      <c r="L209" s="55">
        <v>46051.387409363422</v>
      </c>
      <c r="M209" s="26"/>
      <c r="N209" s="4" t="s">
        <v>121</v>
      </c>
    </row>
    <row r="210" spans="1:14" ht="75" customHeight="1" thickTop="1" thickBot="1">
      <c r="A210" s="26">
        <v>208</v>
      </c>
      <c r="B210" s="55">
        <v>46051.488200590204</v>
      </c>
      <c r="C210" s="56" t="s">
        <v>26</v>
      </c>
      <c r="D210" s="56" t="s">
        <v>244</v>
      </c>
      <c r="E210" s="26" t="s">
        <v>21</v>
      </c>
      <c r="F210" s="26" t="s">
        <v>31</v>
      </c>
      <c r="G210" s="26" t="s">
        <v>245</v>
      </c>
      <c r="H210" s="26" t="s">
        <v>246</v>
      </c>
      <c r="I210" s="26"/>
      <c r="J210" s="26" t="s">
        <v>16</v>
      </c>
      <c r="K210" s="26" t="s">
        <v>13</v>
      </c>
      <c r="L210" s="55">
        <v>46053.484244050924</v>
      </c>
      <c r="M210" s="26"/>
      <c r="N210" s="4" t="s">
        <v>121</v>
      </c>
    </row>
    <row r="211" spans="1:14" ht="75" customHeight="1" thickTop="1" thickBot="1">
      <c r="A211" s="34">
        <v>209</v>
      </c>
      <c r="B211" s="55">
        <v>46051.503618946699</v>
      </c>
      <c r="C211" s="56" t="s">
        <v>26</v>
      </c>
      <c r="D211" s="56" t="s">
        <v>49</v>
      </c>
      <c r="E211" s="26" t="s">
        <v>22</v>
      </c>
      <c r="F211" s="26" t="s">
        <v>31</v>
      </c>
      <c r="G211" s="26" t="s">
        <v>43</v>
      </c>
      <c r="H211" s="26" t="s">
        <v>3679</v>
      </c>
      <c r="I211" s="26"/>
      <c r="J211" s="26" t="s">
        <v>12</v>
      </c>
      <c r="K211" s="26" t="s">
        <v>13</v>
      </c>
      <c r="L211" s="55">
        <v>46051.504037604165</v>
      </c>
      <c r="M211" s="26"/>
      <c r="N211" s="4" t="s">
        <v>121</v>
      </c>
    </row>
    <row r="212" spans="1:14" ht="75" customHeight="1" thickTop="1" thickBot="1">
      <c r="A212" s="26">
        <v>210</v>
      </c>
      <c r="B212" s="55">
        <v>46053.4145904861</v>
      </c>
      <c r="C212" s="56" t="s">
        <v>26</v>
      </c>
      <c r="D212" s="56" t="s">
        <v>49</v>
      </c>
      <c r="E212" s="26" t="s">
        <v>22</v>
      </c>
      <c r="F212" s="26" t="s">
        <v>39</v>
      </c>
      <c r="G212" s="26" t="s">
        <v>43</v>
      </c>
      <c r="H212" s="26" t="s">
        <v>3680</v>
      </c>
      <c r="I212" s="26"/>
      <c r="J212" s="26" t="s">
        <v>14</v>
      </c>
      <c r="K212" s="26" t="s">
        <v>13</v>
      </c>
      <c r="L212" s="55">
        <v>46053.429623252319</v>
      </c>
      <c r="M212" s="26"/>
      <c r="N212" s="4" t="s">
        <v>127</v>
      </c>
    </row>
    <row r="213" spans="1:14" ht="75" customHeight="1" thickTop="1" thickBot="1">
      <c r="A213" s="34">
        <v>211</v>
      </c>
      <c r="B213" s="55">
        <v>46053.416002395803</v>
      </c>
      <c r="C213" s="56" t="s">
        <v>26</v>
      </c>
      <c r="D213" s="56" t="s">
        <v>49</v>
      </c>
      <c r="E213" s="26" t="s">
        <v>22</v>
      </c>
      <c r="F213" s="26" t="s">
        <v>28</v>
      </c>
      <c r="G213" s="26" t="s">
        <v>216</v>
      </c>
      <c r="H213" s="26" t="s">
        <v>3681</v>
      </c>
      <c r="I213" s="26"/>
      <c r="J213" s="26" t="s">
        <v>12</v>
      </c>
      <c r="K213" s="26" t="s">
        <v>13</v>
      </c>
      <c r="L213" s="55">
        <v>46053.429765300927</v>
      </c>
      <c r="M213" s="26"/>
      <c r="N213" s="4" t="s">
        <v>121</v>
      </c>
    </row>
    <row r="214" spans="1:14" ht="75" customHeight="1" thickTop="1" thickBot="1">
      <c r="A214" s="26">
        <v>212</v>
      </c>
      <c r="B214" s="55">
        <v>46053.417104571701</v>
      </c>
      <c r="C214" s="56" t="s">
        <v>26</v>
      </c>
      <c r="D214" s="56" t="s">
        <v>49</v>
      </c>
      <c r="E214" s="26" t="s">
        <v>22</v>
      </c>
      <c r="F214" s="26" t="s">
        <v>197</v>
      </c>
      <c r="G214" s="26" t="s">
        <v>40</v>
      </c>
      <c r="H214" s="26" t="s">
        <v>3682</v>
      </c>
      <c r="I214" s="26"/>
      <c r="J214" s="26" t="s">
        <v>12</v>
      </c>
      <c r="K214" s="26" t="s">
        <v>13</v>
      </c>
      <c r="L214" s="55">
        <v>46053.429847222222</v>
      </c>
      <c r="M214" s="26"/>
      <c r="N214" s="4" t="s">
        <v>121</v>
      </c>
    </row>
    <row r="215" spans="1:14" ht="75" customHeight="1" thickTop="1" thickBot="1">
      <c r="A215" s="34">
        <v>213</v>
      </c>
      <c r="B215" s="55">
        <v>46053.418259988401</v>
      </c>
      <c r="C215" s="56" t="s">
        <v>26</v>
      </c>
      <c r="D215" s="56" t="s">
        <v>49</v>
      </c>
      <c r="E215" s="26" t="s">
        <v>22</v>
      </c>
      <c r="F215" s="26" t="s">
        <v>31</v>
      </c>
      <c r="G215" s="26" t="s">
        <v>40</v>
      </c>
      <c r="H215" s="26" t="s">
        <v>3683</v>
      </c>
      <c r="I215" s="26"/>
      <c r="J215" s="26" t="s">
        <v>12</v>
      </c>
      <c r="K215" s="26" t="s">
        <v>13</v>
      </c>
      <c r="L215" s="55">
        <v>46053.429936643515</v>
      </c>
      <c r="M215" s="26"/>
      <c r="N215" s="4" t="s">
        <v>121</v>
      </c>
    </row>
    <row r="216" spans="1:14" ht="75" customHeight="1" thickTop="1" thickBot="1">
      <c r="A216" s="26">
        <v>214</v>
      </c>
      <c r="B216" s="55">
        <v>46053.419006782402</v>
      </c>
      <c r="C216" s="56" t="s">
        <v>26</v>
      </c>
      <c r="D216" s="56" t="s">
        <v>49</v>
      </c>
      <c r="E216" s="26" t="s">
        <v>22</v>
      </c>
      <c r="F216" s="26" t="s">
        <v>42</v>
      </c>
      <c r="G216" s="26" t="s">
        <v>45</v>
      </c>
      <c r="H216" s="26" t="s">
        <v>3684</v>
      </c>
      <c r="I216" s="26"/>
      <c r="J216" s="26" t="s">
        <v>16</v>
      </c>
      <c r="K216" s="26" t="s">
        <v>13</v>
      </c>
      <c r="L216" s="55">
        <v>46053.430050960647</v>
      </c>
      <c r="M216" s="26"/>
      <c r="N216" s="4" t="s">
        <v>121</v>
      </c>
    </row>
    <row r="217" spans="1:14" ht="75" customHeight="1" thickTop="1" thickBot="1">
      <c r="A217" s="34">
        <v>215</v>
      </c>
      <c r="B217" s="55">
        <v>46053.419677222199</v>
      </c>
      <c r="C217" s="56" t="s">
        <v>26</v>
      </c>
      <c r="D217" s="56" t="s">
        <v>49</v>
      </c>
      <c r="E217" s="26" t="s">
        <v>22</v>
      </c>
      <c r="F217" s="26" t="s">
        <v>28</v>
      </c>
      <c r="G217" s="26" t="s">
        <v>43</v>
      </c>
      <c r="H217" s="26" t="s">
        <v>3685</v>
      </c>
      <c r="I217" s="26"/>
      <c r="J217" s="26" t="s">
        <v>16</v>
      </c>
      <c r="K217" s="26" t="s">
        <v>13</v>
      </c>
      <c r="L217" s="55">
        <v>46053.43010834491</v>
      </c>
      <c r="M217" s="26"/>
      <c r="N217" s="4" t="s">
        <v>121</v>
      </c>
    </row>
    <row r="218" spans="1:14" ht="75" customHeight="1" thickTop="1" thickBot="1">
      <c r="A218" s="26">
        <v>216</v>
      </c>
      <c r="B218" s="55">
        <v>46053.420580590202</v>
      </c>
      <c r="C218" s="56" t="s">
        <v>26</v>
      </c>
      <c r="D218" s="56" t="s">
        <v>49</v>
      </c>
      <c r="E218" s="26" t="s">
        <v>22</v>
      </c>
      <c r="F218" s="26" t="s">
        <v>42</v>
      </c>
      <c r="G218" s="26" t="s">
        <v>47</v>
      </c>
      <c r="H218" s="26" t="s">
        <v>3686</v>
      </c>
      <c r="I218" s="26"/>
      <c r="J218" s="26" t="s">
        <v>16</v>
      </c>
      <c r="K218" s="26" t="s">
        <v>13</v>
      </c>
      <c r="L218" s="55">
        <v>46053.430159074072</v>
      </c>
      <c r="M218" s="26"/>
      <c r="N218" s="4" t="s">
        <v>121</v>
      </c>
    </row>
    <row r="219" spans="1:14" ht="75" customHeight="1" thickTop="1" thickBot="1">
      <c r="A219" s="34">
        <v>217</v>
      </c>
      <c r="B219" s="55">
        <v>46053.422044178202</v>
      </c>
      <c r="C219" s="56" t="s">
        <v>26</v>
      </c>
      <c r="D219" s="56" t="s">
        <v>49</v>
      </c>
      <c r="E219" s="26" t="s">
        <v>22</v>
      </c>
      <c r="F219" s="26" t="s">
        <v>42</v>
      </c>
      <c r="G219" s="26" t="s">
        <v>36</v>
      </c>
      <c r="H219" s="26" t="s">
        <v>3687</v>
      </c>
      <c r="I219" s="26"/>
      <c r="J219" s="26" t="s">
        <v>16</v>
      </c>
      <c r="K219" s="26" t="s">
        <v>13</v>
      </c>
      <c r="L219" s="55">
        <v>46053.430252488426</v>
      </c>
      <c r="M219" s="26"/>
      <c r="N219" s="4" t="s">
        <v>121</v>
      </c>
    </row>
    <row r="220" spans="1:14" ht="75" customHeight="1" thickTop="1" thickBot="1">
      <c r="A220" s="26">
        <v>218</v>
      </c>
      <c r="B220" s="55">
        <v>46053.423074131897</v>
      </c>
      <c r="C220" s="56" t="s">
        <v>26</v>
      </c>
      <c r="D220" s="56" t="s">
        <v>49</v>
      </c>
      <c r="E220" s="26" t="s">
        <v>22</v>
      </c>
      <c r="F220" s="26" t="s">
        <v>42</v>
      </c>
      <c r="G220" s="26" t="s">
        <v>36</v>
      </c>
      <c r="H220" s="26" t="s">
        <v>3688</v>
      </c>
      <c r="I220" s="26"/>
      <c r="J220" s="26" t="s">
        <v>16</v>
      </c>
      <c r="K220" s="26" t="s">
        <v>13</v>
      </c>
      <c r="L220" s="55">
        <v>46053.430319988431</v>
      </c>
      <c r="M220" s="26"/>
      <c r="N220" s="4" t="s">
        <v>121</v>
      </c>
    </row>
    <row r="221" spans="1:14" ht="75" customHeight="1" thickTop="1" thickBot="1">
      <c r="A221" s="34">
        <v>219</v>
      </c>
      <c r="B221" s="55">
        <v>46053.570773993</v>
      </c>
      <c r="C221" s="56" t="s">
        <v>26</v>
      </c>
      <c r="D221" s="56" t="s">
        <v>49</v>
      </c>
      <c r="E221" s="26" t="s">
        <v>22</v>
      </c>
      <c r="F221" s="26" t="s">
        <v>28</v>
      </c>
      <c r="G221" s="26" t="s">
        <v>36</v>
      </c>
      <c r="H221" s="26" t="s">
        <v>3689</v>
      </c>
      <c r="I221" s="26"/>
      <c r="J221" s="26" t="s">
        <v>12</v>
      </c>
      <c r="K221" s="26" t="s">
        <v>13</v>
      </c>
      <c r="L221" s="55">
        <v>46053.583335636577</v>
      </c>
      <c r="M221" s="26"/>
      <c r="N221" s="4" t="s">
        <v>121</v>
      </c>
    </row>
    <row r="222" spans="1:14" ht="75" customHeight="1" thickTop="1" thickBot="1">
      <c r="A222" s="26">
        <v>220</v>
      </c>
      <c r="B222" s="55">
        <v>46053.571895798603</v>
      </c>
      <c r="C222" s="56" t="s">
        <v>26</v>
      </c>
      <c r="D222" s="56" t="s">
        <v>49</v>
      </c>
      <c r="E222" s="26" t="s">
        <v>22</v>
      </c>
      <c r="F222" s="26" t="s">
        <v>42</v>
      </c>
      <c r="G222" s="26" t="s">
        <v>37</v>
      </c>
      <c r="H222" s="26" t="s">
        <v>3690</v>
      </c>
      <c r="I222" s="26"/>
      <c r="J222" s="26" t="s">
        <v>12</v>
      </c>
      <c r="K222" s="26" t="s">
        <v>13</v>
      </c>
      <c r="L222" s="55">
        <v>46053.583378854164</v>
      </c>
      <c r="M222" s="26"/>
      <c r="N222" s="4" t="s">
        <v>121</v>
      </c>
    </row>
    <row r="223" spans="1:14" ht="75" customHeight="1" thickTop="1" thickBot="1">
      <c r="A223" s="34">
        <v>221</v>
      </c>
      <c r="B223" s="55">
        <v>46054.418211365701</v>
      </c>
      <c r="C223" s="56" t="s">
        <v>26</v>
      </c>
      <c r="D223" s="56" t="s">
        <v>49</v>
      </c>
      <c r="E223" s="26" t="s">
        <v>22</v>
      </c>
      <c r="F223" s="26" t="s">
        <v>39</v>
      </c>
      <c r="G223" s="26" t="s">
        <v>25</v>
      </c>
      <c r="H223" s="26" t="s">
        <v>3691</v>
      </c>
      <c r="I223" s="26"/>
      <c r="J223" s="26" t="s">
        <v>16</v>
      </c>
      <c r="K223" s="26" t="s">
        <v>13</v>
      </c>
      <c r="L223" s="55">
        <v>46054.42419351852</v>
      </c>
      <c r="M223" s="26"/>
      <c r="N223" s="4" t="s">
        <v>121</v>
      </c>
    </row>
    <row r="224" spans="1:14" ht="75" customHeight="1" thickTop="1" thickBot="1">
      <c r="A224" s="26">
        <v>222</v>
      </c>
      <c r="B224" s="55">
        <v>46054.418946284699</v>
      </c>
      <c r="C224" s="56" t="s">
        <v>26</v>
      </c>
      <c r="D224" s="56" t="s">
        <v>49</v>
      </c>
      <c r="E224" s="26" t="s">
        <v>22</v>
      </c>
      <c r="F224" s="26" t="s">
        <v>39</v>
      </c>
      <c r="G224" s="26" t="s">
        <v>43</v>
      </c>
      <c r="H224" s="26" t="s">
        <v>3692</v>
      </c>
      <c r="I224" s="26"/>
      <c r="J224" s="26" t="s">
        <v>16</v>
      </c>
      <c r="K224" s="26" t="s">
        <v>13</v>
      </c>
      <c r="L224" s="55">
        <v>46054.424270590272</v>
      </c>
      <c r="M224" s="26"/>
      <c r="N224" s="4" t="s">
        <v>121</v>
      </c>
    </row>
    <row r="225" spans="1:14" ht="75" customHeight="1" thickTop="1" thickBot="1">
      <c r="A225" s="34">
        <v>223</v>
      </c>
      <c r="B225" s="55">
        <v>46054.419662719898</v>
      </c>
      <c r="C225" s="56" t="s">
        <v>26</v>
      </c>
      <c r="D225" s="56" t="s">
        <v>49</v>
      </c>
      <c r="E225" s="26" t="s">
        <v>22</v>
      </c>
      <c r="F225" s="26" t="s">
        <v>39</v>
      </c>
      <c r="G225" s="26" t="s">
        <v>25</v>
      </c>
      <c r="H225" s="26" t="s">
        <v>3693</v>
      </c>
      <c r="I225" s="26"/>
      <c r="J225" s="26" t="s">
        <v>16</v>
      </c>
      <c r="K225" s="26" t="s">
        <v>13</v>
      </c>
      <c r="L225" s="55">
        <v>46054.424496828702</v>
      </c>
      <c r="M225" s="26"/>
      <c r="N225" s="4" t="s">
        <v>121</v>
      </c>
    </row>
    <row r="226" spans="1:14" ht="75" customHeight="1" thickTop="1" thickBot="1">
      <c r="A226" s="26">
        <v>224</v>
      </c>
      <c r="B226" s="55">
        <v>46054.420378090203</v>
      </c>
      <c r="C226" s="56" t="s">
        <v>26</v>
      </c>
      <c r="D226" s="56" t="s">
        <v>49</v>
      </c>
      <c r="E226" s="26" t="s">
        <v>22</v>
      </c>
      <c r="F226" s="26" t="s">
        <v>39</v>
      </c>
      <c r="G226" s="26" t="s">
        <v>37</v>
      </c>
      <c r="H226" s="26" t="s">
        <v>247</v>
      </c>
      <c r="I226" s="26"/>
      <c r="J226" s="26" t="s">
        <v>16</v>
      </c>
      <c r="K226" s="26" t="s">
        <v>13</v>
      </c>
      <c r="L226" s="55">
        <v>46054.424739652779</v>
      </c>
      <c r="M226" s="26"/>
      <c r="N226" s="4" t="s">
        <v>121</v>
      </c>
    </row>
    <row r="227" spans="1:14" ht="75" customHeight="1" thickTop="1" thickBot="1">
      <c r="A227" s="34">
        <v>225</v>
      </c>
      <c r="B227" s="55">
        <v>46054.421077048602</v>
      </c>
      <c r="C227" s="56" t="s">
        <v>26</v>
      </c>
      <c r="D227" s="56" t="s">
        <v>49</v>
      </c>
      <c r="E227" s="26" t="s">
        <v>22</v>
      </c>
      <c r="F227" s="26" t="s">
        <v>39</v>
      </c>
      <c r="G227" s="26" t="s">
        <v>25</v>
      </c>
      <c r="H227" s="26" t="s">
        <v>3694</v>
      </c>
      <c r="I227" s="26"/>
      <c r="J227" s="26" t="s">
        <v>16</v>
      </c>
      <c r="K227" s="26" t="s">
        <v>13</v>
      </c>
      <c r="L227" s="55">
        <v>46054.424962696758</v>
      </c>
      <c r="M227" s="26"/>
      <c r="N227" s="4" t="s">
        <v>121</v>
      </c>
    </row>
    <row r="228" spans="1:14" ht="75" customHeight="1" thickTop="1" thickBot="1">
      <c r="A228" s="26">
        <v>226</v>
      </c>
      <c r="B228" s="55">
        <v>46054.421670844902</v>
      </c>
      <c r="C228" s="56" t="s">
        <v>26</v>
      </c>
      <c r="D228" s="56" t="s">
        <v>49</v>
      </c>
      <c r="E228" s="26" t="s">
        <v>22</v>
      </c>
      <c r="F228" s="26" t="s">
        <v>39</v>
      </c>
      <c r="G228" s="26" t="s">
        <v>25</v>
      </c>
      <c r="H228" s="26" t="s">
        <v>3695</v>
      </c>
      <c r="I228" s="26"/>
      <c r="J228" s="26" t="s">
        <v>16</v>
      </c>
      <c r="K228" s="26" t="s">
        <v>13</v>
      </c>
      <c r="L228" s="55">
        <v>46054.425034664353</v>
      </c>
      <c r="M228" s="26"/>
      <c r="N228" s="4" t="s">
        <v>121</v>
      </c>
    </row>
    <row r="229" spans="1:14" ht="75" customHeight="1" thickTop="1" thickBot="1">
      <c r="A229" s="34">
        <v>227</v>
      </c>
      <c r="B229" s="55">
        <v>46054.427164722198</v>
      </c>
      <c r="C229" s="56" t="s">
        <v>26</v>
      </c>
      <c r="D229" s="56" t="s">
        <v>49</v>
      </c>
      <c r="E229" s="26" t="s">
        <v>22</v>
      </c>
      <c r="F229" s="26" t="s">
        <v>39</v>
      </c>
      <c r="G229" s="26" t="s">
        <v>40</v>
      </c>
      <c r="H229" s="26" t="s">
        <v>3696</v>
      </c>
      <c r="I229" s="26"/>
      <c r="J229" s="26" t="s">
        <v>14</v>
      </c>
      <c r="K229" s="26" t="s">
        <v>13</v>
      </c>
      <c r="L229" s="55">
        <v>46054.429597025461</v>
      </c>
      <c r="M229" s="26"/>
      <c r="N229" s="4" t="s">
        <v>121</v>
      </c>
    </row>
    <row r="230" spans="1:14" ht="75" customHeight="1" thickTop="1" thickBot="1">
      <c r="A230" s="26">
        <v>228</v>
      </c>
      <c r="B230" s="55">
        <v>46054.619416064801</v>
      </c>
      <c r="C230" s="56" t="s">
        <v>26</v>
      </c>
      <c r="D230" s="56" t="s">
        <v>49</v>
      </c>
      <c r="E230" s="26" t="s">
        <v>22</v>
      </c>
      <c r="F230" s="26" t="s">
        <v>39</v>
      </c>
      <c r="G230" s="26" t="s">
        <v>43</v>
      </c>
      <c r="H230" s="26" t="s">
        <v>248</v>
      </c>
      <c r="I230" s="26"/>
      <c r="J230" s="26" t="s">
        <v>14</v>
      </c>
      <c r="K230" s="26" t="s">
        <v>13</v>
      </c>
      <c r="L230" s="55">
        <v>46054.62192153935</v>
      </c>
      <c r="M230" s="26"/>
      <c r="N230" s="4" t="s">
        <v>121</v>
      </c>
    </row>
    <row r="231" spans="1:14" ht="75" customHeight="1" thickTop="1" thickBot="1">
      <c r="A231" s="34">
        <v>229</v>
      </c>
      <c r="B231" s="55">
        <v>46054.620182951301</v>
      </c>
      <c r="C231" s="56" t="s">
        <v>26</v>
      </c>
      <c r="D231" s="56" t="s">
        <v>49</v>
      </c>
      <c r="E231" s="26" t="s">
        <v>22</v>
      </c>
      <c r="F231" s="26" t="s">
        <v>28</v>
      </c>
      <c r="G231" s="26" t="s">
        <v>37</v>
      </c>
      <c r="H231" s="26" t="s">
        <v>3697</v>
      </c>
      <c r="I231" s="26"/>
      <c r="J231" s="26" t="s">
        <v>12</v>
      </c>
      <c r="K231" s="26" t="s">
        <v>13</v>
      </c>
      <c r="L231" s="55">
        <v>46054.622026967598</v>
      </c>
      <c r="M231" s="26"/>
      <c r="N231" s="4" t="s">
        <v>121</v>
      </c>
    </row>
    <row r="232" spans="1:14" ht="75" customHeight="1" thickTop="1" thickBot="1">
      <c r="A232" s="26">
        <v>230</v>
      </c>
      <c r="B232" s="55">
        <v>46054.621402615703</v>
      </c>
      <c r="C232" s="56" t="s">
        <v>26</v>
      </c>
      <c r="D232" s="56" t="s">
        <v>49</v>
      </c>
      <c r="E232" s="26" t="s">
        <v>22</v>
      </c>
      <c r="F232" s="26" t="s">
        <v>39</v>
      </c>
      <c r="G232" s="26" t="s">
        <v>43</v>
      </c>
      <c r="H232" s="26" t="s">
        <v>3698</v>
      </c>
      <c r="I232" s="26"/>
      <c r="J232" s="26" t="s">
        <v>16</v>
      </c>
      <c r="K232" s="26" t="s">
        <v>13</v>
      </c>
      <c r="L232" s="55">
        <v>46054.622097395833</v>
      </c>
      <c r="M232" s="26"/>
      <c r="N232" s="4" t="s">
        <v>128</v>
      </c>
    </row>
    <row r="233" spans="1:14" ht="75" customHeight="1" thickTop="1" thickBot="1">
      <c r="A233" s="34">
        <v>231</v>
      </c>
      <c r="B233" s="55">
        <v>46055.428226446696</v>
      </c>
      <c r="C233" s="56" t="s">
        <v>26</v>
      </c>
      <c r="D233" s="56" t="s">
        <v>49</v>
      </c>
      <c r="E233" s="26" t="s">
        <v>22</v>
      </c>
      <c r="F233" s="26" t="s">
        <v>39</v>
      </c>
      <c r="G233" s="26" t="s">
        <v>43</v>
      </c>
      <c r="H233" s="26" t="s">
        <v>264</v>
      </c>
      <c r="I233" s="26"/>
      <c r="J233" s="26" t="s">
        <v>16</v>
      </c>
      <c r="K233" s="26" t="s">
        <v>13</v>
      </c>
      <c r="L233" s="55">
        <v>46055.4302708912</v>
      </c>
      <c r="M233" s="26"/>
      <c r="N233" s="4" t="s">
        <v>121</v>
      </c>
    </row>
    <row r="234" spans="1:14" ht="75" customHeight="1" thickTop="1" thickBot="1">
      <c r="A234" s="26">
        <v>232</v>
      </c>
      <c r="B234" s="55">
        <v>46055.429050185099</v>
      </c>
      <c r="C234" s="56" t="s">
        <v>26</v>
      </c>
      <c r="D234" s="56" t="s">
        <v>49</v>
      </c>
      <c r="E234" s="26" t="s">
        <v>22</v>
      </c>
      <c r="F234" s="26" t="s">
        <v>39</v>
      </c>
      <c r="G234" s="26" t="s">
        <v>43</v>
      </c>
      <c r="H234" s="26" t="s">
        <v>265</v>
      </c>
      <c r="I234" s="26"/>
      <c r="J234" s="26" t="s">
        <v>16</v>
      </c>
      <c r="K234" s="26" t="s">
        <v>13</v>
      </c>
      <c r="L234" s="55">
        <v>46055.430342245367</v>
      </c>
      <c r="M234" s="26"/>
      <c r="N234" s="4" t="s">
        <v>121</v>
      </c>
    </row>
    <row r="235" spans="1:14" ht="75" customHeight="1" thickTop="1" thickBot="1">
      <c r="A235" s="34">
        <v>233</v>
      </c>
      <c r="B235" s="55">
        <v>46055.431011111097</v>
      </c>
      <c r="C235" s="56" t="s">
        <v>26</v>
      </c>
      <c r="D235" s="56" t="s">
        <v>49</v>
      </c>
      <c r="E235" s="26" t="s">
        <v>22</v>
      </c>
      <c r="F235" s="26" t="s">
        <v>197</v>
      </c>
      <c r="G235" s="26" t="s">
        <v>216</v>
      </c>
      <c r="H235" s="26" t="s">
        <v>3699</v>
      </c>
      <c r="I235" s="26"/>
      <c r="J235" s="26" t="s">
        <v>12</v>
      </c>
      <c r="K235" s="26" t="s">
        <v>13</v>
      </c>
      <c r="L235" s="55">
        <v>46055.490375289352</v>
      </c>
      <c r="M235" s="26"/>
      <c r="N235" s="4" t="s">
        <v>121</v>
      </c>
    </row>
    <row r="236" spans="1:14" ht="75" customHeight="1" thickTop="1" thickBot="1">
      <c r="A236" s="26">
        <v>234</v>
      </c>
      <c r="B236" s="55">
        <v>46055.494728877296</v>
      </c>
      <c r="C236" s="56" t="s">
        <v>26</v>
      </c>
      <c r="D236" s="56" t="s">
        <v>266</v>
      </c>
      <c r="E236" s="26" t="s">
        <v>21</v>
      </c>
      <c r="F236" s="26" t="s">
        <v>39</v>
      </c>
      <c r="G236" s="26" t="s">
        <v>267</v>
      </c>
      <c r="H236" s="26" t="s">
        <v>3700</v>
      </c>
      <c r="I236" s="26"/>
      <c r="J236" s="26" t="s">
        <v>16</v>
      </c>
      <c r="K236" s="26" t="s">
        <v>13</v>
      </c>
      <c r="L236" s="55">
        <v>46055.514509560184</v>
      </c>
      <c r="M236" s="26"/>
      <c r="N236" s="4" t="s">
        <v>121</v>
      </c>
    </row>
    <row r="237" spans="1:14" ht="75" customHeight="1" thickTop="1" thickBot="1">
      <c r="A237" s="34">
        <v>235</v>
      </c>
      <c r="B237" s="55">
        <v>46055.5442702199</v>
      </c>
      <c r="C237" s="56" t="s">
        <v>26</v>
      </c>
      <c r="D237" s="56" t="s">
        <v>49</v>
      </c>
      <c r="E237" s="26" t="s">
        <v>22</v>
      </c>
      <c r="F237" s="26" t="s">
        <v>28</v>
      </c>
      <c r="G237" s="26" t="s">
        <v>25</v>
      </c>
      <c r="H237" s="26" t="s">
        <v>3701</v>
      </c>
      <c r="I237" s="26"/>
      <c r="J237" s="26" t="s">
        <v>12</v>
      </c>
      <c r="K237" s="26" t="s">
        <v>13</v>
      </c>
      <c r="L237" s="55">
        <v>46055.544514814814</v>
      </c>
      <c r="M237" s="26"/>
      <c r="N237" s="4" t="s">
        <v>121</v>
      </c>
    </row>
    <row r="238" spans="1:14" ht="75" customHeight="1" thickTop="1" thickBot="1">
      <c r="A238" s="26">
        <v>236</v>
      </c>
      <c r="B238" s="55">
        <v>46055.592569398097</v>
      </c>
      <c r="C238" s="56" t="s">
        <v>26</v>
      </c>
      <c r="D238" s="56" t="s">
        <v>49</v>
      </c>
      <c r="E238" s="26" t="s">
        <v>22</v>
      </c>
      <c r="F238" s="26" t="s">
        <v>39</v>
      </c>
      <c r="G238" s="26" t="s">
        <v>43</v>
      </c>
      <c r="H238" s="26" t="s">
        <v>3702</v>
      </c>
      <c r="I238" s="26"/>
      <c r="J238" s="26" t="s">
        <v>14</v>
      </c>
      <c r="K238" s="26" t="s">
        <v>13</v>
      </c>
      <c r="L238" s="55">
        <v>46055.592725416667</v>
      </c>
      <c r="M238" s="26"/>
      <c r="N238" s="4" t="s">
        <v>121</v>
      </c>
    </row>
    <row r="239" spans="1:14" ht="75" customHeight="1" thickTop="1" thickBot="1">
      <c r="A239" s="34">
        <v>237</v>
      </c>
      <c r="B239" s="55">
        <v>46056.433235289303</v>
      </c>
      <c r="C239" s="56" t="s">
        <v>26</v>
      </c>
      <c r="D239" s="56" t="s">
        <v>49</v>
      </c>
      <c r="E239" s="26" t="s">
        <v>22</v>
      </c>
      <c r="F239" s="26" t="s">
        <v>39</v>
      </c>
      <c r="G239" s="26" t="s">
        <v>43</v>
      </c>
      <c r="H239" s="26" t="s">
        <v>268</v>
      </c>
      <c r="I239" s="26"/>
      <c r="J239" s="26" t="s">
        <v>16</v>
      </c>
      <c r="K239" s="26" t="s">
        <v>13</v>
      </c>
      <c r="L239" s="55">
        <v>46056.480988483796</v>
      </c>
      <c r="M239" s="26"/>
      <c r="N239" s="4" t="s">
        <v>121</v>
      </c>
    </row>
    <row r="240" spans="1:14" ht="75" customHeight="1" thickTop="1" thickBot="1">
      <c r="A240" s="26">
        <v>238</v>
      </c>
      <c r="B240" s="55">
        <v>46056.434185370301</v>
      </c>
      <c r="C240" s="56" t="s">
        <v>26</v>
      </c>
      <c r="D240" s="56" t="s">
        <v>49</v>
      </c>
      <c r="E240" s="26" t="s">
        <v>22</v>
      </c>
      <c r="F240" s="26" t="s">
        <v>39</v>
      </c>
      <c r="G240" s="26" t="s">
        <v>43</v>
      </c>
      <c r="H240" s="26" t="s">
        <v>269</v>
      </c>
      <c r="I240" s="26"/>
      <c r="J240" s="26" t="s">
        <v>16</v>
      </c>
      <c r="K240" s="26" t="s">
        <v>13</v>
      </c>
      <c r="L240" s="55">
        <v>46056.481051574076</v>
      </c>
      <c r="M240" s="26"/>
      <c r="N240" s="4" t="s">
        <v>121</v>
      </c>
    </row>
    <row r="241" spans="1:14" ht="75" customHeight="1" thickTop="1" thickBot="1">
      <c r="A241" s="34">
        <v>239</v>
      </c>
      <c r="B241" s="55">
        <v>46056.435643217497</v>
      </c>
      <c r="C241" s="56" t="s">
        <v>26</v>
      </c>
      <c r="D241" s="56" t="s">
        <v>49</v>
      </c>
      <c r="E241" s="26" t="s">
        <v>22</v>
      </c>
      <c r="F241" s="26" t="s">
        <v>28</v>
      </c>
      <c r="G241" s="26" t="s">
        <v>216</v>
      </c>
      <c r="H241" s="26" t="s">
        <v>3703</v>
      </c>
      <c r="I241" s="26"/>
      <c r="J241" s="26" t="s">
        <v>12</v>
      </c>
      <c r="K241" s="26" t="s">
        <v>13</v>
      </c>
      <c r="L241" s="55">
        <v>46056.481140578704</v>
      </c>
      <c r="M241" s="26"/>
      <c r="N241" s="4"/>
    </row>
    <row r="242" spans="1:14" ht="75" customHeight="1" thickTop="1" thickBot="1">
      <c r="A242" s="26">
        <v>240</v>
      </c>
      <c r="B242" s="55">
        <v>46056.531550810098</v>
      </c>
      <c r="C242" s="56" t="s">
        <v>26</v>
      </c>
      <c r="D242" s="56" t="s">
        <v>57</v>
      </c>
      <c r="E242" s="26" t="s">
        <v>21</v>
      </c>
      <c r="F242" s="26" t="s">
        <v>39</v>
      </c>
      <c r="G242" s="26" t="s">
        <v>37</v>
      </c>
      <c r="H242" s="26" t="s">
        <v>306</v>
      </c>
      <c r="I242" s="26"/>
      <c r="J242" s="26" t="s">
        <v>14</v>
      </c>
      <c r="K242" s="26" t="s">
        <v>13</v>
      </c>
      <c r="L242" s="55">
        <v>46056.627905243055</v>
      </c>
      <c r="M242" s="26" t="s">
        <v>143</v>
      </c>
      <c r="N242" s="4"/>
    </row>
    <row r="243" spans="1:14" ht="75" customHeight="1" thickTop="1" thickBot="1">
      <c r="A243" s="34">
        <v>241</v>
      </c>
      <c r="B243" s="55">
        <v>46056.577701226801</v>
      </c>
      <c r="C243" s="56" t="s">
        <v>26</v>
      </c>
      <c r="D243" s="56" t="s">
        <v>191</v>
      </c>
      <c r="E243" s="26" t="s">
        <v>22</v>
      </c>
      <c r="F243" s="26" t="s">
        <v>39</v>
      </c>
      <c r="G243" s="26" t="s">
        <v>43</v>
      </c>
      <c r="H243" s="26" t="s">
        <v>270</v>
      </c>
      <c r="I243" s="26"/>
      <c r="J243" s="26" t="s">
        <v>16</v>
      </c>
      <c r="K243" s="26" t="s">
        <v>13</v>
      </c>
      <c r="L243" s="55">
        <v>46056.579894374998</v>
      </c>
      <c r="M243" s="26"/>
      <c r="N243" s="4"/>
    </row>
    <row r="244" spans="1:14" ht="75" customHeight="1" thickTop="1" thickBot="1">
      <c r="A244" s="26">
        <v>242</v>
      </c>
      <c r="B244" s="55">
        <v>46056.578613923601</v>
      </c>
      <c r="C244" s="56" t="s">
        <v>26</v>
      </c>
      <c r="D244" s="56" t="s">
        <v>191</v>
      </c>
      <c r="E244" s="26" t="s">
        <v>22</v>
      </c>
      <c r="F244" s="26" t="s">
        <v>39</v>
      </c>
      <c r="G244" s="26" t="s">
        <v>43</v>
      </c>
      <c r="H244" s="26" t="s">
        <v>271</v>
      </c>
      <c r="I244" s="26"/>
      <c r="J244" s="26" t="s">
        <v>16</v>
      </c>
      <c r="K244" s="26" t="s">
        <v>13</v>
      </c>
      <c r="L244" s="55">
        <v>46056.579977662041</v>
      </c>
      <c r="M244" s="26"/>
      <c r="N244" s="4"/>
    </row>
    <row r="245" spans="1:14" ht="75" customHeight="1" thickTop="1" thickBot="1">
      <c r="A245" s="34">
        <v>243</v>
      </c>
      <c r="B245" s="55">
        <v>46057.447394444403</v>
      </c>
      <c r="C245" s="56" t="s">
        <v>26</v>
      </c>
      <c r="D245" s="56" t="s">
        <v>49</v>
      </c>
      <c r="E245" s="26" t="s">
        <v>22</v>
      </c>
      <c r="F245" s="26" t="s">
        <v>28</v>
      </c>
      <c r="G245" s="26" t="s">
        <v>38</v>
      </c>
      <c r="H245" s="26" t="s">
        <v>3704</v>
      </c>
      <c r="I245" s="26"/>
      <c r="J245" s="26" t="s">
        <v>14</v>
      </c>
      <c r="K245" s="26" t="s">
        <v>13</v>
      </c>
      <c r="L245" s="55">
        <v>46057.495073599537</v>
      </c>
      <c r="M245" s="26"/>
      <c r="N245" s="4"/>
    </row>
    <row r="246" spans="1:14" ht="75" customHeight="1" thickTop="1" thickBot="1">
      <c r="A246" s="26">
        <v>244</v>
      </c>
      <c r="B246" s="55">
        <v>46057.448247233799</v>
      </c>
      <c r="C246" s="56" t="s">
        <v>26</v>
      </c>
      <c r="D246" s="56" t="s">
        <v>49</v>
      </c>
      <c r="E246" s="26" t="s">
        <v>22</v>
      </c>
      <c r="F246" s="26" t="s">
        <v>42</v>
      </c>
      <c r="G246" s="26" t="s">
        <v>40</v>
      </c>
      <c r="H246" s="26" t="s">
        <v>3705</v>
      </c>
      <c r="I246" s="26"/>
      <c r="J246" s="26" t="s">
        <v>12</v>
      </c>
      <c r="K246" s="26" t="s">
        <v>13</v>
      </c>
      <c r="L246" s="55">
        <v>46057.495098472224</v>
      </c>
      <c r="M246" s="26"/>
      <c r="N246" s="4"/>
    </row>
    <row r="247" spans="1:14" ht="75" customHeight="1" thickTop="1" thickBot="1">
      <c r="A247" s="34">
        <v>245</v>
      </c>
      <c r="B247" s="55">
        <v>46057.620499386503</v>
      </c>
      <c r="C247" s="56" t="s">
        <v>26</v>
      </c>
      <c r="D247" s="56" t="s">
        <v>49</v>
      </c>
      <c r="E247" s="26" t="s">
        <v>22</v>
      </c>
      <c r="F247" s="26" t="s">
        <v>39</v>
      </c>
      <c r="G247" s="26" t="s">
        <v>43</v>
      </c>
      <c r="H247" s="26" t="s">
        <v>3706</v>
      </c>
      <c r="I247" s="26"/>
      <c r="J247" s="26" t="s">
        <v>16</v>
      </c>
      <c r="K247" s="26" t="s">
        <v>13</v>
      </c>
      <c r="L247" s="55">
        <v>46057.621262060187</v>
      </c>
      <c r="M247" s="26"/>
      <c r="N247" s="4"/>
    </row>
    <row r="248" spans="1:14" ht="75" customHeight="1" thickTop="1" thickBot="1">
      <c r="A248" s="26">
        <v>246</v>
      </c>
      <c r="B248" s="55">
        <v>46057.621105428203</v>
      </c>
      <c r="C248" s="56" t="s">
        <v>26</v>
      </c>
      <c r="D248" s="56" t="s">
        <v>49</v>
      </c>
      <c r="E248" s="26" t="s">
        <v>22</v>
      </c>
      <c r="F248" s="26" t="s">
        <v>39</v>
      </c>
      <c r="G248" s="26" t="s">
        <v>43</v>
      </c>
      <c r="H248" s="26" t="s">
        <v>272</v>
      </c>
      <c r="I248" s="26"/>
      <c r="J248" s="26" t="s">
        <v>16</v>
      </c>
      <c r="K248" s="26" t="s">
        <v>13</v>
      </c>
      <c r="L248" s="55">
        <v>46057.621333206014</v>
      </c>
      <c r="M248" s="26"/>
      <c r="N248" s="4"/>
    </row>
    <row r="249" spans="1:14" ht="75" customHeight="1" thickTop="1" thickBot="1">
      <c r="A249" s="34">
        <v>247</v>
      </c>
      <c r="B249" s="55">
        <v>46058.374593171298</v>
      </c>
      <c r="C249" s="56" t="s">
        <v>26</v>
      </c>
      <c r="D249" s="56" t="s">
        <v>113</v>
      </c>
      <c r="E249" s="26" t="s">
        <v>22</v>
      </c>
      <c r="F249" s="26" t="s">
        <v>39</v>
      </c>
      <c r="G249" s="26" t="s">
        <v>43</v>
      </c>
      <c r="H249" s="26" t="s">
        <v>273</v>
      </c>
      <c r="I249" s="26"/>
      <c r="J249" s="26" t="s">
        <v>16</v>
      </c>
      <c r="K249" s="26" t="s">
        <v>13</v>
      </c>
      <c r="L249" s="55">
        <v>46058.374835046299</v>
      </c>
      <c r="M249" s="26"/>
      <c r="N249" s="4"/>
    </row>
    <row r="250" spans="1:14" ht="75" customHeight="1" thickTop="1" thickBot="1">
      <c r="A250" s="26">
        <v>248</v>
      </c>
      <c r="B250" s="55">
        <v>46058.375409687498</v>
      </c>
      <c r="C250" s="56" t="s">
        <v>26</v>
      </c>
      <c r="D250" s="56" t="s">
        <v>113</v>
      </c>
      <c r="E250" s="26" t="s">
        <v>22</v>
      </c>
      <c r="F250" s="26" t="s">
        <v>39</v>
      </c>
      <c r="G250" s="26" t="s">
        <v>43</v>
      </c>
      <c r="H250" s="26" t="s">
        <v>274</v>
      </c>
      <c r="I250" s="26"/>
      <c r="J250" s="26" t="s">
        <v>16</v>
      </c>
      <c r="K250" s="26" t="s">
        <v>13</v>
      </c>
      <c r="L250" s="55">
        <v>46058.37896159722</v>
      </c>
      <c r="M250" s="26"/>
      <c r="N250" s="4"/>
    </row>
    <row r="251" spans="1:14" ht="75" customHeight="1" thickTop="1" thickBot="1">
      <c r="A251" s="34">
        <v>249</v>
      </c>
      <c r="B251" s="55">
        <v>46058.377588298601</v>
      </c>
      <c r="C251" s="56" t="s">
        <v>26</v>
      </c>
      <c r="D251" s="56" t="s">
        <v>115</v>
      </c>
      <c r="E251" s="26" t="s">
        <v>22</v>
      </c>
      <c r="F251" s="26" t="s">
        <v>39</v>
      </c>
      <c r="G251" s="26" t="s">
        <v>40</v>
      </c>
      <c r="H251" s="26" t="s">
        <v>307</v>
      </c>
      <c r="I251" s="26"/>
      <c r="J251" s="26" t="s">
        <v>14</v>
      </c>
      <c r="K251" s="26" t="s">
        <v>13</v>
      </c>
      <c r="L251" s="55">
        <v>46058.378980370369</v>
      </c>
      <c r="M251" s="26"/>
      <c r="N251" s="4"/>
    </row>
    <row r="252" spans="1:14" ht="75" customHeight="1" thickTop="1" thickBot="1">
      <c r="A252" s="26">
        <v>250</v>
      </c>
      <c r="B252" s="55">
        <v>46058.379809791601</v>
      </c>
      <c r="C252" s="56" t="s">
        <v>26</v>
      </c>
      <c r="D252" s="56" t="s">
        <v>34</v>
      </c>
      <c r="E252" s="26" t="s">
        <v>22</v>
      </c>
      <c r="F252" s="26" t="s">
        <v>39</v>
      </c>
      <c r="G252" s="26" t="s">
        <v>43</v>
      </c>
      <c r="H252" s="26" t="s">
        <v>249</v>
      </c>
      <c r="I252" s="26"/>
      <c r="J252" s="26" t="s">
        <v>12</v>
      </c>
      <c r="K252" s="26" t="s">
        <v>13</v>
      </c>
      <c r="L252" s="55">
        <v>46058.379498622686</v>
      </c>
      <c r="M252" s="26"/>
      <c r="N252" s="4"/>
    </row>
    <row r="253" spans="1:14" ht="75" customHeight="1" thickTop="1" thickBot="1">
      <c r="A253" s="34">
        <v>251</v>
      </c>
      <c r="B253" s="55">
        <v>46060.387287175901</v>
      </c>
      <c r="C253" s="56" t="s">
        <v>26</v>
      </c>
      <c r="D253" s="56" t="s">
        <v>57</v>
      </c>
      <c r="E253" s="26" t="s">
        <v>21</v>
      </c>
      <c r="F253" s="26" t="s">
        <v>53</v>
      </c>
      <c r="G253" s="26" t="s">
        <v>36</v>
      </c>
      <c r="H253" s="26" t="s">
        <v>308</v>
      </c>
      <c r="I253" s="26"/>
      <c r="J253" s="26" t="s">
        <v>14</v>
      </c>
      <c r="K253" s="26" t="s">
        <v>13</v>
      </c>
      <c r="L253" s="55">
        <v>46068.376067291669</v>
      </c>
      <c r="M253" s="26" t="s">
        <v>309</v>
      </c>
      <c r="N253" s="4"/>
    </row>
    <row r="254" spans="1:14" ht="75" customHeight="1" thickTop="1" thickBot="1">
      <c r="A254" s="26">
        <v>252</v>
      </c>
      <c r="B254" s="55">
        <v>46060.418477905099</v>
      </c>
      <c r="C254" s="56" t="s">
        <v>26</v>
      </c>
      <c r="D254" s="56" t="s">
        <v>250</v>
      </c>
      <c r="E254" s="26" t="s">
        <v>22</v>
      </c>
      <c r="F254" s="26" t="s">
        <v>28</v>
      </c>
      <c r="G254" s="26" t="s">
        <v>25</v>
      </c>
      <c r="H254" s="26" t="s">
        <v>251</v>
      </c>
      <c r="I254" s="26"/>
      <c r="J254" s="26" t="s">
        <v>12</v>
      </c>
      <c r="K254" s="26" t="s">
        <v>13</v>
      </c>
      <c r="L254" s="55">
        <v>46060.42572741898</v>
      </c>
      <c r="M254" s="26" t="s">
        <v>131</v>
      </c>
      <c r="N254" s="4"/>
    </row>
    <row r="255" spans="1:14" ht="75" customHeight="1" thickTop="1" thickBot="1">
      <c r="A255" s="34">
        <v>253</v>
      </c>
      <c r="B255" s="55">
        <v>46060.437495335602</v>
      </c>
      <c r="C255" s="56" t="s">
        <v>26</v>
      </c>
      <c r="D255" s="56" t="s">
        <v>114</v>
      </c>
      <c r="E255" s="26" t="s">
        <v>22</v>
      </c>
      <c r="F255" s="26" t="s">
        <v>184</v>
      </c>
      <c r="G255" s="26" t="s">
        <v>25</v>
      </c>
      <c r="H255" s="26" t="s">
        <v>3707</v>
      </c>
      <c r="I255" s="26"/>
      <c r="J255" s="26" t="s">
        <v>16</v>
      </c>
      <c r="K255" s="26" t="s">
        <v>13</v>
      </c>
      <c r="L255" s="55">
        <v>46060.440192118054</v>
      </c>
      <c r="M255" s="26"/>
      <c r="N255" s="4" t="s">
        <v>129</v>
      </c>
    </row>
    <row r="256" spans="1:14" ht="75" customHeight="1" thickTop="1" thickBot="1">
      <c r="A256" s="26">
        <v>254</v>
      </c>
      <c r="B256" s="55">
        <v>46060.439654571703</v>
      </c>
      <c r="C256" s="56" t="s">
        <v>26</v>
      </c>
      <c r="D256" s="56" t="s">
        <v>114</v>
      </c>
      <c r="E256" s="26" t="s">
        <v>22</v>
      </c>
      <c r="F256" s="26" t="s">
        <v>42</v>
      </c>
      <c r="G256" s="26" t="s">
        <v>275</v>
      </c>
      <c r="H256" s="26" t="s">
        <v>276</v>
      </c>
      <c r="I256" s="26"/>
      <c r="J256" s="26" t="s">
        <v>16</v>
      </c>
      <c r="K256" s="26" t="s">
        <v>13</v>
      </c>
      <c r="L256" s="55">
        <v>46060.440192812501</v>
      </c>
      <c r="M256" s="26"/>
      <c r="N256" s="4" t="s">
        <v>129</v>
      </c>
    </row>
    <row r="257" spans="1:14" ht="75" customHeight="1" thickTop="1" thickBot="1">
      <c r="A257" s="34">
        <v>255</v>
      </c>
      <c r="B257" s="55">
        <v>46060.440351643498</v>
      </c>
      <c r="C257" s="56" t="s">
        <v>26</v>
      </c>
      <c r="D257" s="56" t="s">
        <v>114</v>
      </c>
      <c r="E257" s="26" t="s">
        <v>22</v>
      </c>
      <c r="F257" s="26" t="s">
        <v>39</v>
      </c>
      <c r="G257" s="26" t="s">
        <v>43</v>
      </c>
      <c r="H257" s="26" t="s">
        <v>277</v>
      </c>
      <c r="I257" s="26"/>
      <c r="J257" s="26" t="s">
        <v>16</v>
      </c>
      <c r="K257" s="26" t="s">
        <v>13</v>
      </c>
      <c r="L257" s="55">
        <v>46060.440592245373</v>
      </c>
      <c r="M257" s="26"/>
      <c r="N257" s="4" t="s">
        <v>121</v>
      </c>
    </row>
    <row r="258" spans="1:14" ht="75" customHeight="1" thickTop="1" thickBot="1">
      <c r="A258" s="26">
        <v>256</v>
      </c>
      <c r="B258" s="55">
        <v>46060.441233738398</v>
      </c>
      <c r="C258" s="56" t="s">
        <v>26</v>
      </c>
      <c r="D258" s="56" t="s">
        <v>114</v>
      </c>
      <c r="E258" s="26" t="s">
        <v>22</v>
      </c>
      <c r="F258" s="26" t="s">
        <v>39</v>
      </c>
      <c r="G258" s="26" t="s">
        <v>43</v>
      </c>
      <c r="H258" s="26" t="s">
        <v>278</v>
      </c>
      <c r="I258" s="26"/>
      <c r="J258" s="26" t="s">
        <v>16</v>
      </c>
      <c r="K258" s="26" t="s">
        <v>13</v>
      </c>
      <c r="L258" s="55">
        <v>46060.441474212959</v>
      </c>
      <c r="M258" s="26"/>
      <c r="N258" s="4" t="s">
        <v>121</v>
      </c>
    </row>
    <row r="259" spans="1:14" ht="75" customHeight="1" thickTop="1" thickBot="1">
      <c r="A259" s="34">
        <v>257</v>
      </c>
      <c r="B259" s="55">
        <v>46060.442857835602</v>
      </c>
      <c r="C259" s="56" t="s">
        <v>26</v>
      </c>
      <c r="D259" s="56" t="s">
        <v>114</v>
      </c>
      <c r="E259" s="26" t="s">
        <v>22</v>
      </c>
      <c r="F259" s="26" t="s">
        <v>31</v>
      </c>
      <c r="G259" s="26" t="s">
        <v>25</v>
      </c>
      <c r="H259" s="26" t="s">
        <v>3708</v>
      </c>
      <c r="I259" s="26"/>
      <c r="J259" s="26" t="s">
        <v>16</v>
      </c>
      <c r="K259" s="26" t="s">
        <v>13</v>
      </c>
      <c r="L259" s="55">
        <v>46060.450306585648</v>
      </c>
      <c r="M259" s="26"/>
      <c r="N259" s="4" t="s">
        <v>121</v>
      </c>
    </row>
    <row r="260" spans="1:14" ht="75" customHeight="1" thickTop="1" thickBot="1">
      <c r="A260" s="26">
        <v>258</v>
      </c>
      <c r="B260" s="55">
        <v>46060.512308113401</v>
      </c>
      <c r="C260" s="56" t="s">
        <v>26</v>
      </c>
      <c r="D260" s="56" t="s">
        <v>114</v>
      </c>
      <c r="E260" s="26" t="s">
        <v>22</v>
      </c>
      <c r="F260" s="26" t="s">
        <v>42</v>
      </c>
      <c r="G260" s="26" t="s">
        <v>37</v>
      </c>
      <c r="H260" s="26" t="s">
        <v>3709</v>
      </c>
      <c r="I260" s="26"/>
      <c r="J260" s="26" t="s">
        <v>16</v>
      </c>
      <c r="K260" s="26" t="s">
        <v>13</v>
      </c>
      <c r="L260" s="55">
        <v>46060.512525879632</v>
      </c>
      <c r="M260" s="26"/>
      <c r="N260" s="4" t="s">
        <v>121</v>
      </c>
    </row>
    <row r="261" spans="1:14" ht="75" customHeight="1" thickTop="1" thickBot="1">
      <c r="A261" s="34">
        <v>259</v>
      </c>
      <c r="B261" s="55">
        <v>46061.469812187497</v>
      </c>
      <c r="C261" s="56" t="s">
        <v>26</v>
      </c>
      <c r="D261" s="56" t="s">
        <v>49</v>
      </c>
      <c r="E261" s="26" t="s">
        <v>22</v>
      </c>
      <c r="F261" s="26" t="s">
        <v>28</v>
      </c>
      <c r="G261" s="26" t="s">
        <v>36</v>
      </c>
      <c r="H261" s="26" t="s">
        <v>3710</v>
      </c>
      <c r="I261" s="26"/>
      <c r="J261" s="26" t="s">
        <v>14</v>
      </c>
      <c r="K261" s="26" t="s">
        <v>13</v>
      </c>
      <c r="L261" s="55">
        <v>46061.471971701394</v>
      </c>
      <c r="M261" s="26"/>
      <c r="N261" s="4" t="s">
        <v>121</v>
      </c>
    </row>
    <row r="262" spans="1:14" ht="75" customHeight="1" thickTop="1" thickBot="1">
      <c r="A262" s="26">
        <v>260</v>
      </c>
      <c r="B262" s="55">
        <v>46061.617906273103</v>
      </c>
      <c r="C262" s="56" t="s">
        <v>26</v>
      </c>
      <c r="D262" s="56" t="s">
        <v>49</v>
      </c>
      <c r="E262" s="26" t="s">
        <v>22</v>
      </c>
      <c r="F262" s="26" t="s">
        <v>39</v>
      </c>
      <c r="G262" s="26" t="s">
        <v>56</v>
      </c>
      <c r="H262" s="26" t="s">
        <v>3711</v>
      </c>
      <c r="I262" s="26"/>
      <c r="J262" s="26" t="s">
        <v>12</v>
      </c>
      <c r="K262" s="26" t="s">
        <v>13</v>
      </c>
      <c r="L262" s="55">
        <v>46061.618305474534</v>
      </c>
      <c r="M262" s="26"/>
      <c r="N262" s="4" t="s">
        <v>121</v>
      </c>
    </row>
    <row r="263" spans="1:14" ht="75" customHeight="1" thickTop="1" thickBot="1">
      <c r="A263" s="34">
        <v>261</v>
      </c>
      <c r="B263" s="55">
        <v>46061.703786828701</v>
      </c>
      <c r="C263" s="56" t="s">
        <v>26</v>
      </c>
      <c r="D263" s="56" t="s">
        <v>49</v>
      </c>
      <c r="E263" s="26" t="s">
        <v>22</v>
      </c>
      <c r="F263" s="26" t="s">
        <v>42</v>
      </c>
      <c r="G263" s="26" t="s">
        <v>25</v>
      </c>
      <c r="H263" s="26" t="s">
        <v>3712</v>
      </c>
      <c r="I263" s="26"/>
      <c r="J263" s="26" t="s">
        <v>12</v>
      </c>
      <c r="K263" s="26" t="s">
        <v>13</v>
      </c>
      <c r="L263" s="55">
        <v>46061.704104212964</v>
      </c>
      <c r="M263" s="26"/>
      <c r="N263" s="4" t="s">
        <v>121</v>
      </c>
    </row>
    <row r="264" spans="1:14" ht="75" customHeight="1" thickTop="1" thickBot="1">
      <c r="A264" s="26">
        <v>262</v>
      </c>
      <c r="B264" s="55">
        <v>46062.611305983701</v>
      </c>
      <c r="C264" s="56" t="s">
        <v>26</v>
      </c>
      <c r="D264" s="56" t="s">
        <v>49</v>
      </c>
      <c r="E264" s="26" t="s">
        <v>22</v>
      </c>
      <c r="F264" s="26" t="s">
        <v>39</v>
      </c>
      <c r="G264" s="26" t="s">
        <v>43</v>
      </c>
      <c r="H264" s="26" t="s">
        <v>3713</v>
      </c>
      <c r="I264" s="26"/>
      <c r="J264" s="26" t="s">
        <v>16</v>
      </c>
      <c r="K264" s="26" t="s">
        <v>13</v>
      </c>
      <c r="L264" s="55">
        <v>46062.614088784721</v>
      </c>
      <c r="M264" s="26"/>
      <c r="N264" s="4" t="s">
        <v>121</v>
      </c>
    </row>
    <row r="265" spans="1:14" ht="75" customHeight="1" thickTop="1" thickBot="1">
      <c r="A265" s="34">
        <v>263</v>
      </c>
      <c r="B265" s="55">
        <v>46062.612042696703</v>
      </c>
      <c r="C265" s="56" t="s">
        <v>26</v>
      </c>
      <c r="D265" s="56" t="s">
        <v>49</v>
      </c>
      <c r="E265" s="26" t="s">
        <v>22</v>
      </c>
      <c r="F265" s="26" t="s">
        <v>28</v>
      </c>
      <c r="G265" s="26" t="s">
        <v>38</v>
      </c>
      <c r="H265" s="26" t="s">
        <v>3714</v>
      </c>
      <c r="I265" s="26"/>
      <c r="J265" s="26" t="s">
        <v>16</v>
      </c>
      <c r="K265" s="26" t="s">
        <v>13</v>
      </c>
      <c r="L265" s="55">
        <v>46062.614158703705</v>
      </c>
      <c r="M265" s="26"/>
      <c r="N265" s="4" t="s">
        <v>121</v>
      </c>
    </row>
    <row r="266" spans="1:14" ht="75" customHeight="1" thickTop="1" thickBot="1">
      <c r="A266" s="26">
        <v>264</v>
      </c>
      <c r="B266" s="55">
        <v>46062.612609236101</v>
      </c>
      <c r="C266" s="56" t="s">
        <v>26</v>
      </c>
      <c r="D266" s="56" t="s">
        <v>49</v>
      </c>
      <c r="E266" s="26" t="s">
        <v>22</v>
      </c>
      <c r="F266" s="26" t="s">
        <v>31</v>
      </c>
      <c r="G266" s="26" t="s">
        <v>38</v>
      </c>
      <c r="H266" s="26" t="s">
        <v>3715</v>
      </c>
      <c r="I266" s="26"/>
      <c r="J266" s="26" t="s">
        <v>16</v>
      </c>
      <c r="K266" s="26" t="s">
        <v>13</v>
      </c>
      <c r="L266" s="55">
        <v>46062.614217118055</v>
      </c>
      <c r="M266" s="26"/>
      <c r="N266" s="4" t="s">
        <v>121</v>
      </c>
    </row>
    <row r="267" spans="1:14" ht="75" customHeight="1" thickTop="1" thickBot="1">
      <c r="A267" s="34">
        <v>265</v>
      </c>
      <c r="B267" s="55">
        <v>46062.6136162615</v>
      </c>
      <c r="C267" s="56" t="s">
        <v>26</v>
      </c>
      <c r="D267" s="56" t="s">
        <v>49</v>
      </c>
      <c r="E267" s="26" t="s">
        <v>22</v>
      </c>
      <c r="F267" s="26" t="s">
        <v>31</v>
      </c>
      <c r="G267" s="26" t="s">
        <v>45</v>
      </c>
      <c r="H267" s="26" t="s">
        <v>3716</v>
      </c>
      <c r="I267" s="26"/>
      <c r="J267" s="26" t="s">
        <v>16</v>
      </c>
      <c r="K267" s="26" t="s">
        <v>13</v>
      </c>
      <c r="L267" s="55">
        <v>46062.661494212967</v>
      </c>
      <c r="M267" s="26"/>
      <c r="N267" s="4" t="s">
        <v>121</v>
      </c>
    </row>
    <row r="268" spans="1:14" ht="75" customHeight="1" thickTop="1" thickBot="1">
      <c r="A268" s="26">
        <v>266</v>
      </c>
      <c r="B268" s="55">
        <v>46063.590275891198</v>
      </c>
      <c r="C268" s="56" t="s">
        <v>26</v>
      </c>
      <c r="D268" s="56" t="s">
        <v>49</v>
      </c>
      <c r="E268" s="26" t="s">
        <v>22</v>
      </c>
      <c r="F268" s="26" t="s">
        <v>39</v>
      </c>
      <c r="G268" s="26" t="s">
        <v>43</v>
      </c>
      <c r="H268" s="26" t="s">
        <v>3713</v>
      </c>
      <c r="I268" s="26"/>
      <c r="J268" s="26" t="s">
        <v>16</v>
      </c>
      <c r="K268" s="26" t="s">
        <v>13</v>
      </c>
      <c r="L268" s="55">
        <v>46063.591412164351</v>
      </c>
      <c r="M268" s="26"/>
      <c r="N268" s="4" t="s">
        <v>121</v>
      </c>
    </row>
    <row r="269" spans="1:14" ht="75" customHeight="1" thickTop="1" thickBot="1">
      <c r="A269" s="34">
        <v>267</v>
      </c>
      <c r="B269" s="55">
        <v>46063.687274907403</v>
      </c>
      <c r="C269" s="56" t="s">
        <v>26</v>
      </c>
      <c r="D269" s="56" t="s">
        <v>49</v>
      </c>
      <c r="E269" s="26" t="s">
        <v>22</v>
      </c>
      <c r="F269" s="26" t="s">
        <v>28</v>
      </c>
      <c r="G269" s="26" t="s">
        <v>279</v>
      </c>
      <c r="H269" s="26" t="s">
        <v>3717</v>
      </c>
      <c r="I269" s="26"/>
      <c r="J269" s="26" t="s">
        <v>16</v>
      </c>
      <c r="K269" s="26" t="s">
        <v>13</v>
      </c>
      <c r="L269" s="55">
        <v>46063.689644432874</v>
      </c>
      <c r="M269" s="26"/>
      <c r="N269" s="4" t="s">
        <v>121</v>
      </c>
    </row>
    <row r="270" spans="1:14" ht="75" customHeight="1" thickTop="1" thickBot="1">
      <c r="A270" s="26">
        <v>268</v>
      </c>
      <c r="B270" s="55">
        <v>46063.689864004598</v>
      </c>
      <c r="C270" s="56" t="s">
        <v>26</v>
      </c>
      <c r="D270" s="56" t="s">
        <v>49</v>
      </c>
      <c r="E270" s="26" t="s">
        <v>22</v>
      </c>
      <c r="F270" s="26" t="s">
        <v>39</v>
      </c>
      <c r="G270" s="26" t="s">
        <v>252</v>
      </c>
      <c r="H270" s="26" t="s">
        <v>3718</v>
      </c>
      <c r="I270" s="26"/>
      <c r="J270" s="26" t="s">
        <v>12</v>
      </c>
      <c r="K270" s="26" t="s">
        <v>13</v>
      </c>
      <c r="L270" s="55">
        <v>46063.690001238429</v>
      </c>
      <c r="M270" s="26"/>
      <c r="N270" s="4" t="s">
        <v>124</v>
      </c>
    </row>
    <row r="271" spans="1:14" ht="75" customHeight="1" thickTop="1" thickBot="1">
      <c r="A271" s="34">
        <v>269</v>
      </c>
      <c r="B271" s="55">
        <v>46064.598273194402</v>
      </c>
      <c r="C271" s="56" t="s">
        <v>26</v>
      </c>
      <c r="D271" s="56" t="s">
        <v>49</v>
      </c>
      <c r="E271" s="26" t="s">
        <v>22</v>
      </c>
      <c r="F271" s="26" t="s">
        <v>31</v>
      </c>
      <c r="G271" s="26" t="s">
        <v>25</v>
      </c>
      <c r="H271" s="26" t="s">
        <v>253</v>
      </c>
      <c r="I271" s="26"/>
      <c r="J271" s="26" t="s">
        <v>12</v>
      </c>
      <c r="K271" s="26" t="s">
        <v>13</v>
      </c>
      <c r="L271" s="55">
        <v>46064.59852540509</v>
      </c>
      <c r="M271" s="26"/>
      <c r="N271" s="4" t="s">
        <v>121</v>
      </c>
    </row>
    <row r="272" spans="1:14" ht="75" customHeight="1" thickTop="1" thickBot="1">
      <c r="A272" s="26">
        <v>270</v>
      </c>
      <c r="B272" s="55">
        <v>46064.599777951298</v>
      </c>
      <c r="C272" s="56" t="s">
        <v>26</v>
      </c>
      <c r="D272" s="56" t="s">
        <v>49</v>
      </c>
      <c r="E272" s="26" t="s">
        <v>22</v>
      </c>
      <c r="F272" s="26" t="s">
        <v>28</v>
      </c>
      <c r="G272" s="26" t="s">
        <v>38</v>
      </c>
      <c r="H272" s="26" t="s">
        <v>3719</v>
      </c>
      <c r="I272" s="26"/>
      <c r="J272" s="26" t="s">
        <v>16</v>
      </c>
      <c r="K272" s="26" t="s">
        <v>13</v>
      </c>
      <c r="L272" s="55">
        <v>46064.602590821756</v>
      </c>
      <c r="M272" s="26"/>
      <c r="N272" s="4" t="s">
        <v>121</v>
      </c>
    </row>
    <row r="273" spans="1:14" ht="75" customHeight="1" thickTop="1" thickBot="1">
      <c r="A273" s="34">
        <v>271</v>
      </c>
      <c r="B273" s="55">
        <v>46064.6004871064</v>
      </c>
      <c r="C273" s="56" t="s">
        <v>26</v>
      </c>
      <c r="D273" s="56" t="s">
        <v>49</v>
      </c>
      <c r="E273" s="26" t="s">
        <v>22</v>
      </c>
      <c r="F273" s="26" t="s">
        <v>39</v>
      </c>
      <c r="G273" s="26" t="s">
        <v>36</v>
      </c>
      <c r="H273" s="26" t="s">
        <v>280</v>
      </c>
      <c r="I273" s="26"/>
      <c r="J273" s="26" t="s">
        <v>16</v>
      </c>
      <c r="K273" s="26" t="s">
        <v>13</v>
      </c>
      <c r="L273" s="55">
        <v>46064.602691539352</v>
      </c>
      <c r="M273" s="26"/>
      <c r="N273" s="4" t="s">
        <v>121</v>
      </c>
    </row>
    <row r="274" spans="1:14" ht="75" customHeight="1" thickTop="1" thickBot="1">
      <c r="A274" s="26">
        <v>272</v>
      </c>
      <c r="B274" s="55">
        <v>46064.601621006899</v>
      </c>
      <c r="C274" s="56" t="s">
        <v>26</v>
      </c>
      <c r="D274" s="56" t="s">
        <v>49</v>
      </c>
      <c r="E274" s="26" t="s">
        <v>22</v>
      </c>
      <c r="F274" s="26" t="s">
        <v>28</v>
      </c>
      <c r="G274" s="26" t="s">
        <v>47</v>
      </c>
      <c r="H274" s="26" t="s">
        <v>3720</v>
      </c>
      <c r="I274" s="26"/>
      <c r="J274" s="26" t="s">
        <v>16</v>
      </c>
      <c r="K274" s="26" t="s">
        <v>13</v>
      </c>
      <c r="L274" s="55">
        <v>46064.602751689818</v>
      </c>
      <c r="M274" s="26"/>
      <c r="N274" s="4" t="s">
        <v>121</v>
      </c>
    </row>
    <row r="275" spans="1:14" ht="75" customHeight="1" thickTop="1" thickBot="1">
      <c r="A275" s="34">
        <v>273</v>
      </c>
      <c r="B275" s="55">
        <v>46064.6024618749</v>
      </c>
      <c r="C275" s="56" t="s">
        <v>26</v>
      </c>
      <c r="D275" s="56" t="s">
        <v>49</v>
      </c>
      <c r="E275" s="26" t="s">
        <v>22</v>
      </c>
      <c r="F275" s="26" t="s">
        <v>42</v>
      </c>
      <c r="G275" s="26" t="s">
        <v>36</v>
      </c>
      <c r="H275" s="26" t="s">
        <v>281</v>
      </c>
      <c r="I275" s="26"/>
      <c r="J275" s="26" t="s">
        <v>16</v>
      </c>
      <c r="K275" s="26" t="s">
        <v>13</v>
      </c>
      <c r="L275" s="55">
        <v>46064.602815648148</v>
      </c>
      <c r="M275" s="26"/>
      <c r="N275" s="4" t="s">
        <v>121</v>
      </c>
    </row>
    <row r="276" spans="1:14" ht="75" customHeight="1" thickTop="1" thickBot="1">
      <c r="A276" s="26">
        <v>274</v>
      </c>
      <c r="B276" s="55">
        <v>46065.5920815625</v>
      </c>
      <c r="C276" s="56" t="s">
        <v>26</v>
      </c>
      <c r="D276" s="56" t="s">
        <v>49</v>
      </c>
      <c r="E276" s="26" t="s">
        <v>22</v>
      </c>
      <c r="F276" s="26" t="s">
        <v>31</v>
      </c>
      <c r="G276" s="26" t="s">
        <v>37</v>
      </c>
      <c r="H276" s="26" t="s">
        <v>254</v>
      </c>
      <c r="I276" s="26"/>
      <c r="J276" s="26" t="s">
        <v>12</v>
      </c>
      <c r="K276" s="26" t="s">
        <v>13</v>
      </c>
      <c r="L276" s="55">
        <v>46065.593708773144</v>
      </c>
      <c r="M276" s="26"/>
      <c r="N276" s="4" t="s">
        <v>121</v>
      </c>
    </row>
    <row r="277" spans="1:14" ht="75" customHeight="1" thickTop="1" thickBot="1">
      <c r="A277" s="34">
        <v>275</v>
      </c>
      <c r="B277" s="55">
        <v>46065.592880567099</v>
      </c>
      <c r="C277" s="56" t="s">
        <v>26</v>
      </c>
      <c r="D277" s="56" t="s">
        <v>49</v>
      </c>
      <c r="E277" s="26" t="s">
        <v>22</v>
      </c>
      <c r="F277" s="26" t="s">
        <v>31</v>
      </c>
      <c r="G277" s="26" t="s">
        <v>36</v>
      </c>
      <c r="H277" s="26" t="s">
        <v>3721</v>
      </c>
      <c r="I277" s="26"/>
      <c r="J277" s="26" t="s">
        <v>12</v>
      </c>
      <c r="K277" s="26" t="s">
        <v>13</v>
      </c>
      <c r="L277" s="55">
        <v>46065.593781597221</v>
      </c>
      <c r="M277" s="26"/>
      <c r="N277" s="4" t="s">
        <v>121</v>
      </c>
    </row>
    <row r="278" spans="1:14" ht="75" customHeight="1" thickTop="1" thickBot="1">
      <c r="A278" s="26">
        <v>276</v>
      </c>
      <c r="B278" s="55">
        <v>46065.594466446702</v>
      </c>
      <c r="C278" s="56" t="s">
        <v>26</v>
      </c>
      <c r="D278" s="56" t="s">
        <v>49</v>
      </c>
      <c r="E278" s="26" t="s">
        <v>22</v>
      </c>
      <c r="F278" s="26" t="s">
        <v>39</v>
      </c>
      <c r="G278" s="26" t="s">
        <v>43</v>
      </c>
      <c r="H278" s="26" t="s">
        <v>3713</v>
      </c>
      <c r="I278" s="26"/>
      <c r="J278" s="26" t="s">
        <v>16</v>
      </c>
      <c r="K278" s="26" t="s">
        <v>13</v>
      </c>
      <c r="L278" s="55">
        <v>46065.594709247685</v>
      </c>
      <c r="M278" s="26"/>
      <c r="N278" s="4" t="s">
        <v>121</v>
      </c>
    </row>
    <row r="279" spans="1:14" ht="75" customHeight="1" thickTop="1" thickBot="1">
      <c r="A279" s="34">
        <v>277</v>
      </c>
      <c r="B279" s="55">
        <v>46067.5903249884</v>
      </c>
      <c r="C279" s="56" t="s">
        <v>26</v>
      </c>
      <c r="D279" s="56" t="s">
        <v>49</v>
      </c>
      <c r="E279" s="26" t="s">
        <v>22</v>
      </c>
      <c r="F279" s="26" t="s">
        <v>39</v>
      </c>
      <c r="G279" s="26" t="s">
        <v>37</v>
      </c>
      <c r="H279" s="26" t="s">
        <v>3722</v>
      </c>
      <c r="I279" s="26"/>
      <c r="J279" s="26" t="s">
        <v>16</v>
      </c>
      <c r="K279" s="26" t="s">
        <v>13</v>
      </c>
      <c r="L279" s="55">
        <v>46067.592226307868</v>
      </c>
      <c r="M279" s="26"/>
      <c r="N279" s="4" t="s">
        <v>121</v>
      </c>
    </row>
    <row r="280" spans="1:14" ht="75" customHeight="1" thickTop="1" thickBot="1">
      <c r="A280" s="26">
        <v>278</v>
      </c>
      <c r="B280" s="55">
        <v>46067.590953171297</v>
      </c>
      <c r="C280" s="56" t="s">
        <v>26</v>
      </c>
      <c r="D280" s="56" t="s">
        <v>49</v>
      </c>
      <c r="E280" s="26" t="s">
        <v>22</v>
      </c>
      <c r="F280" s="26" t="s">
        <v>28</v>
      </c>
      <c r="G280" s="26" t="s">
        <v>37</v>
      </c>
      <c r="H280" s="26" t="s">
        <v>3723</v>
      </c>
      <c r="I280" s="26"/>
      <c r="J280" s="26" t="s">
        <v>16</v>
      </c>
      <c r="K280" s="26" t="s">
        <v>13</v>
      </c>
      <c r="L280" s="55">
        <v>46067.59227390046</v>
      </c>
      <c r="M280" s="26"/>
      <c r="N280" s="4" t="s">
        <v>121</v>
      </c>
    </row>
    <row r="281" spans="1:14" ht="75" customHeight="1" thickTop="1" thickBot="1">
      <c r="A281" s="34">
        <v>279</v>
      </c>
      <c r="B281" s="55">
        <v>46067.591450462904</v>
      </c>
      <c r="C281" s="56" t="s">
        <v>26</v>
      </c>
      <c r="D281" s="56" t="s">
        <v>49</v>
      </c>
      <c r="E281" s="26" t="s">
        <v>22</v>
      </c>
      <c r="F281" s="26" t="s">
        <v>42</v>
      </c>
      <c r="G281" s="26" t="s">
        <v>43</v>
      </c>
      <c r="H281" s="26" t="s">
        <v>3724</v>
      </c>
      <c r="I281" s="26"/>
      <c r="J281" s="26" t="s">
        <v>16</v>
      </c>
      <c r="K281" s="26" t="s">
        <v>13</v>
      </c>
      <c r="L281" s="55">
        <v>46067.592334722227</v>
      </c>
      <c r="M281" s="26"/>
      <c r="N281" s="4" t="s">
        <v>121</v>
      </c>
    </row>
    <row r="282" spans="1:14" ht="75" customHeight="1" thickTop="1" thickBot="1">
      <c r="A282" s="26">
        <v>280</v>
      </c>
      <c r="B282" s="55">
        <v>46067.592094108797</v>
      </c>
      <c r="C282" s="56" t="s">
        <v>26</v>
      </c>
      <c r="D282" s="56" t="s">
        <v>49</v>
      </c>
      <c r="E282" s="26" t="s">
        <v>22</v>
      </c>
      <c r="F282" s="26" t="s">
        <v>28</v>
      </c>
      <c r="G282" s="26" t="s">
        <v>25</v>
      </c>
      <c r="H282" s="26" t="s">
        <v>3725</v>
      </c>
      <c r="I282" s="26"/>
      <c r="J282" s="26" t="s">
        <v>16</v>
      </c>
      <c r="K282" s="26" t="s">
        <v>13</v>
      </c>
      <c r="L282" s="55">
        <v>46067.59239445602</v>
      </c>
      <c r="M282" s="26"/>
      <c r="N282" s="4" t="s">
        <v>121</v>
      </c>
    </row>
    <row r="283" spans="1:14" ht="75" customHeight="1" thickTop="1" thickBot="1">
      <c r="A283" s="34">
        <v>281</v>
      </c>
      <c r="B283" s="55">
        <v>46067.597570243001</v>
      </c>
      <c r="C283" s="56" t="s">
        <v>26</v>
      </c>
      <c r="D283" s="56" t="s">
        <v>49</v>
      </c>
      <c r="E283" s="26" t="s">
        <v>22</v>
      </c>
      <c r="F283" s="26" t="s">
        <v>28</v>
      </c>
      <c r="G283" s="26" t="s">
        <v>40</v>
      </c>
      <c r="H283" s="26" t="s">
        <v>3726</v>
      </c>
      <c r="I283" s="26"/>
      <c r="J283" s="26" t="s">
        <v>12</v>
      </c>
      <c r="K283" s="26" t="s">
        <v>13</v>
      </c>
      <c r="L283" s="55">
        <v>46067.59911628472</v>
      </c>
      <c r="M283" s="26"/>
      <c r="N283" s="4" t="s">
        <v>121</v>
      </c>
    </row>
    <row r="284" spans="1:14" ht="75" customHeight="1" thickTop="1" thickBot="1">
      <c r="A284" s="26">
        <v>282</v>
      </c>
      <c r="B284" s="55">
        <v>46067.598971921303</v>
      </c>
      <c r="C284" s="56" t="s">
        <v>26</v>
      </c>
      <c r="D284" s="56" t="s">
        <v>49</v>
      </c>
      <c r="E284" s="26" t="s">
        <v>22</v>
      </c>
      <c r="F284" s="26" t="s">
        <v>28</v>
      </c>
      <c r="G284" s="26" t="s">
        <v>255</v>
      </c>
      <c r="H284" s="26" t="s">
        <v>3727</v>
      </c>
      <c r="I284" s="26"/>
      <c r="J284" s="26" t="s">
        <v>12</v>
      </c>
      <c r="K284" s="26" t="s">
        <v>13</v>
      </c>
      <c r="L284" s="55">
        <v>46067.599170057874</v>
      </c>
      <c r="M284" s="26"/>
      <c r="N284" s="4" t="s">
        <v>121</v>
      </c>
    </row>
    <row r="285" spans="1:14" ht="75" customHeight="1" thickTop="1" thickBot="1">
      <c r="A285" s="34">
        <v>283</v>
      </c>
      <c r="B285" s="55">
        <v>46067.6003918981</v>
      </c>
      <c r="C285" s="56" t="s">
        <v>26</v>
      </c>
      <c r="D285" s="56" t="s">
        <v>49</v>
      </c>
      <c r="E285" s="26" t="s">
        <v>22</v>
      </c>
      <c r="F285" s="26" t="s">
        <v>197</v>
      </c>
      <c r="G285" s="26" t="s">
        <v>40</v>
      </c>
      <c r="H285" s="26" t="s">
        <v>3728</v>
      </c>
      <c r="I285" s="26"/>
      <c r="J285" s="26" t="s">
        <v>14</v>
      </c>
      <c r="K285" s="26" t="s">
        <v>13</v>
      </c>
      <c r="L285" s="55">
        <v>46067.600528437499</v>
      </c>
      <c r="M285" s="26"/>
      <c r="N285" s="4" t="s">
        <v>121</v>
      </c>
    </row>
    <row r="286" spans="1:14" ht="75" customHeight="1" thickTop="1" thickBot="1">
      <c r="A286" s="26">
        <v>284</v>
      </c>
      <c r="B286" s="55">
        <v>46068.367854097203</v>
      </c>
      <c r="C286" s="56" t="s">
        <v>26</v>
      </c>
      <c r="D286" s="56" t="s">
        <v>180</v>
      </c>
      <c r="E286" s="26" t="s">
        <v>21</v>
      </c>
      <c r="F286" s="26" t="s">
        <v>31</v>
      </c>
      <c r="G286" s="26" t="s">
        <v>25</v>
      </c>
      <c r="H286" s="26" t="s">
        <v>282</v>
      </c>
      <c r="I286" s="26"/>
      <c r="J286" s="26" t="s">
        <v>16</v>
      </c>
      <c r="K286" s="26" t="s">
        <v>13</v>
      </c>
      <c r="L286" s="55">
        <v>46068.474600173606</v>
      </c>
      <c r="M286" s="26"/>
      <c r="N286" s="4" t="s">
        <v>121</v>
      </c>
    </row>
    <row r="287" spans="1:14" ht="75" customHeight="1" thickTop="1" thickBot="1">
      <c r="A287" s="34">
        <v>285</v>
      </c>
      <c r="B287" s="55">
        <v>46068.446608749997</v>
      </c>
      <c r="C287" s="56" t="s">
        <v>26</v>
      </c>
      <c r="D287" s="56" t="s">
        <v>180</v>
      </c>
      <c r="E287" s="26" t="s">
        <v>21</v>
      </c>
      <c r="F287" s="26" t="s">
        <v>31</v>
      </c>
      <c r="G287" s="26" t="s">
        <v>36</v>
      </c>
      <c r="H287" s="26" t="s">
        <v>283</v>
      </c>
      <c r="I287" s="26"/>
      <c r="J287" s="26" t="s">
        <v>16</v>
      </c>
      <c r="K287" s="26" t="s">
        <v>13</v>
      </c>
      <c r="L287" s="55">
        <v>46068.474620046298</v>
      </c>
      <c r="M287" s="26"/>
      <c r="N287" s="4" t="s">
        <v>121</v>
      </c>
    </row>
    <row r="288" spans="1:14" ht="75" customHeight="1" thickTop="1" thickBot="1">
      <c r="A288" s="26">
        <v>286</v>
      </c>
      <c r="B288" s="55">
        <v>46068.515078738397</v>
      </c>
      <c r="C288" s="56" t="s">
        <v>26</v>
      </c>
      <c r="D288" s="56" t="s">
        <v>180</v>
      </c>
      <c r="E288" s="26" t="s">
        <v>21</v>
      </c>
      <c r="F288" s="26" t="s">
        <v>31</v>
      </c>
      <c r="G288" s="26" t="s">
        <v>25</v>
      </c>
      <c r="H288" s="26" t="s">
        <v>310</v>
      </c>
      <c r="I288" s="26"/>
      <c r="J288" s="26" t="s">
        <v>14</v>
      </c>
      <c r="K288" s="26" t="s">
        <v>13</v>
      </c>
      <c r="L288" s="55">
        <v>46068.687762013884</v>
      </c>
      <c r="M288" s="26"/>
      <c r="N288" s="4" t="s">
        <v>130</v>
      </c>
    </row>
    <row r="289" spans="1:14" ht="75" customHeight="1" thickTop="1" thickBot="1">
      <c r="A289" s="34">
        <v>287</v>
      </c>
      <c r="B289" s="55">
        <v>46068.517572662</v>
      </c>
      <c r="C289" s="56" t="s">
        <v>26</v>
      </c>
      <c r="D289" s="56" t="s">
        <v>180</v>
      </c>
      <c r="E289" s="26" t="s">
        <v>21</v>
      </c>
      <c r="F289" s="26" t="s">
        <v>284</v>
      </c>
      <c r="G289" s="26" t="s">
        <v>285</v>
      </c>
      <c r="H289" s="26" t="s">
        <v>286</v>
      </c>
      <c r="I289" s="26"/>
      <c r="J289" s="26" t="s">
        <v>16</v>
      </c>
      <c r="K289" s="26" t="s">
        <v>13</v>
      </c>
      <c r="L289" s="55">
        <v>46068.687796979168</v>
      </c>
      <c r="M289" s="26"/>
      <c r="N289" s="4" t="s">
        <v>130</v>
      </c>
    </row>
    <row r="290" spans="1:14" ht="75" customHeight="1" thickTop="1" thickBot="1">
      <c r="A290" s="26">
        <v>288</v>
      </c>
      <c r="B290" s="55">
        <v>46068.687035601797</v>
      </c>
      <c r="C290" s="56" t="s">
        <v>26</v>
      </c>
      <c r="D290" s="56" t="s">
        <v>49</v>
      </c>
      <c r="E290" s="26" t="s">
        <v>22</v>
      </c>
      <c r="F290" s="26" t="s">
        <v>31</v>
      </c>
      <c r="G290" s="26" t="s">
        <v>37</v>
      </c>
      <c r="H290" s="26" t="s">
        <v>3729</v>
      </c>
      <c r="I290" s="26"/>
      <c r="J290" s="26" t="s">
        <v>16</v>
      </c>
      <c r="K290" s="26" t="s">
        <v>13</v>
      </c>
      <c r="L290" s="55">
        <v>46068.689228692128</v>
      </c>
      <c r="M290" s="26"/>
      <c r="N290" s="4" t="s">
        <v>121</v>
      </c>
    </row>
    <row r="291" spans="1:14" ht="75" customHeight="1" thickTop="1" thickBot="1">
      <c r="A291" s="34">
        <v>289</v>
      </c>
      <c r="B291" s="55">
        <v>46068.6876166898</v>
      </c>
      <c r="C291" s="56" t="s">
        <v>26</v>
      </c>
      <c r="D291" s="56" t="s">
        <v>49</v>
      </c>
      <c r="E291" s="26" t="s">
        <v>22</v>
      </c>
      <c r="F291" s="26" t="s">
        <v>31</v>
      </c>
      <c r="G291" s="26" t="s">
        <v>36</v>
      </c>
      <c r="H291" s="26" t="s">
        <v>3730</v>
      </c>
      <c r="I291" s="26"/>
      <c r="J291" s="26" t="s">
        <v>16</v>
      </c>
      <c r="K291" s="26" t="s">
        <v>13</v>
      </c>
      <c r="L291" s="55">
        <v>46068.689260567131</v>
      </c>
      <c r="M291" s="26"/>
      <c r="N291" s="4" t="s">
        <v>121</v>
      </c>
    </row>
    <row r="292" spans="1:14" ht="75" customHeight="1" thickTop="1" thickBot="1">
      <c r="A292" s="26">
        <v>290</v>
      </c>
      <c r="B292" s="55">
        <v>46068.6885267939</v>
      </c>
      <c r="C292" s="56" t="s">
        <v>26</v>
      </c>
      <c r="D292" s="56" t="s">
        <v>49</v>
      </c>
      <c r="E292" s="26" t="s">
        <v>22</v>
      </c>
      <c r="F292" s="26" t="s">
        <v>197</v>
      </c>
      <c r="G292" s="26" t="s">
        <v>25</v>
      </c>
      <c r="H292" s="26" t="s">
        <v>3731</v>
      </c>
      <c r="I292" s="26"/>
      <c r="J292" s="26" t="s">
        <v>16</v>
      </c>
      <c r="K292" s="26" t="s">
        <v>13</v>
      </c>
      <c r="L292" s="55">
        <v>46068.6893187963</v>
      </c>
      <c r="M292" s="26"/>
      <c r="N292" s="4" t="s">
        <v>121</v>
      </c>
    </row>
    <row r="293" spans="1:14" ht="75" customHeight="1" thickTop="1" thickBot="1">
      <c r="A293" s="34">
        <v>291</v>
      </c>
      <c r="B293" s="55">
        <v>46068.689061793899</v>
      </c>
      <c r="C293" s="56" t="s">
        <v>26</v>
      </c>
      <c r="D293" s="56" t="s">
        <v>49</v>
      </c>
      <c r="E293" s="26" t="s">
        <v>22</v>
      </c>
      <c r="F293" s="26" t="s">
        <v>141</v>
      </c>
      <c r="G293" s="26" t="s">
        <v>40</v>
      </c>
      <c r="H293" s="26" t="s">
        <v>3732</v>
      </c>
      <c r="I293" s="26"/>
      <c r="J293" s="26" t="s">
        <v>16</v>
      </c>
      <c r="K293" s="26" t="s">
        <v>13</v>
      </c>
      <c r="L293" s="55">
        <v>46068.689377013885</v>
      </c>
      <c r="M293" s="26"/>
      <c r="N293" s="4" t="s">
        <v>121</v>
      </c>
    </row>
    <row r="294" spans="1:14" ht="75" customHeight="1" thickTop="1" thickBot="1">
      <c r="A294" s="26">
        <v>292</v>
      </c>
      <c r="B294" s="55">
        <v>46068.692117974497</v>
      </c>
      <c r="C294" s="56" t="s">
        <v>26</v>
      </c>
      <c r="D294" s="56" t="s">
        <v>49</v>
      </c>
      <c r="E294" s="26" t="s">
        <v>22</v>
      </c>
      <c r="F294" s="26" t="s">
        <v>39</v>
      </c>
      <c r="G294" s="26" t="s">
        <v>216</v>
      </c>
      <c r="H294" s="26" t="s">
        <v>287</v>
      </c>
      <c r="I294" s="26"/>
      <c r="J294" s="26" t="s">
        <v>16</v>
      </c>
      <c r="K294" s="26" t="s">
        <v>13</v>
      </c>
      <c r="L294" s="55">
        <v>46068.693740856485</v>
      </c>
      <c r="M294" s="26"/>
      <c r="N294" s="4" t="s">
        <v>121</v>
      </c>
    </row>
    <row r="295" spans="1:14" ht="75" customHeight="1" thickTop="1" thickBot="1">
      <c r="A295" s="34">
        <v>293</v>
      </c>
      <c r="B295" s="55">
        <v>46068.693046793902</v>
      </c>
      <c r="C295" s="56" t="s">
        <v>26</v>
      </c>
      <c r="D295" s="56" t="s">
        <v>49</v>
      </c>
      <c r="E295" s="26" t="s">
        <v>22</v>
      </c>
      <c r="F295" s="26" t="s">
        <v>28</v>
      </c>
      <c r="G295" s="26" t="s">
        <v>25</v>
      </c>
      <c r="H295" s="26" t="s">
        <v>288</v>
      </c>
      <c r="I295" s="26"/>
      <c r="J295" s="26" t="s">
        <v>16</v>
      </c>
      <c r="K295" s="26" t="s">
        <v>13</v>
      </c>
      <c r="L295" s="55">
        <v>46068.693790810183</v>
      </c>
      <c r="M295" s="26"/>
      <c r="N295" s="4" t="s">
        <v>121</v>
      </c>
    </row>
    <row r="296" spans="1:14" ht="75" customHeight="1" thickTop="1" thickBot="1">
      <c r="A296" s="26">
        <v>294</v>
      </c>
      <c r="B296" s="55">
        <v>46068.693604537002</v>
      </c>
      <c r="C296" s="56" t="s">
        <v>26</v>
      </c>
      <c r="D296" s="56" t="s">
        <v>49</v>
      </c>
      <c r="E296" s="26" t="s">
        <v>22</v>
      </c>
      <c r="F296" s="26" t="s">
        <v>135</v>
      </c>
      <c r="G296" s="26" t="s">
        <v>216</v>
      </c>
      <c r="H296" s="26" t="s">
        <v>289</v>
      </c>
      <c r="I296" s="26"/>
      <c r="J296" s="26" t="s">
        <v>16</v>
      </c>
      <c r="K296" s="26" t="s">
        <v>13</v>
      </c>
      <c r="L296" s="55">
        <v>46068.693834710648</v>
      </c>
      <c r="M296" s="26"/>
      <c r="N296" s="4" t="s">
        <v>121</v>
      </c>
    </row>
    <row r="297" spans="1:14" ht="75" customHeight="1" thickTop="1" thickBot="1">
      <c r="A297" s="34">
        <v>295</v>
      </c>
      <c r="B297" s="55">
        <v>46068.694844733698</v>
      </c>
      <c r="C297" s="56" t="s">
        <v>26</v>
      </c>
      <c r="D297" s="56" t="s">
        <v>49</v>
      </c>
      <c r="E297" s="26" t="s">
        <v>22</v>
      </c>
      <c r="F297" s="26" t="s">
        <v>39</v>
      </c>
      <c r="G297" s="26" t="s">
        <v>43</v>
      </c>
      <c r="H297" s="26" t="s">
        <v>256</v>
      </c>
      <c r="I297" s="26"/>
      <c r="J297" s="26" t="s">
        <v>12</v>
      </c>
      <c r="K297" s="26" t="s">
        <v>13</v>
      </c>
      <c r="L297" s="55">
        <v>46068.695181099538</v>
      </c>
      <c r="M297" s="26"/>
      <c r="N297" s="4" t="s">
        <v>121</v>
      </c>
    </row>
    <row r="298" spans="1:14" ht="75" customHeight="1" thickTop="1" thickBot="1">
      <c r="A298" s="26">
        <v>296</v>
      </c>
      <c r="B298" s="55">
        <v>46069.596474513797</v>
      </c>
      <c r="C298" s="56" t="s">
        <v>26</v>
      </c>
      <c r="D298" s="56" t="s">
        <v>49</v>
      </c>
      <c r="E298" s="26" t="s">
        <v>22</v>
      </c>
      <c r="F298" s="26" t="s">
        <v>42</v>
      </c>
      <c r="G298" s="26" t="s">
        <v>213</v>
      </c>
      <c r="H298" s="26" t="s">
        <v>3733</v>
      </c>
      <c r="I298" s="26"/>
      <c r="J298" s="26" t="s">
        <v>14</v>
      </c>
      <c r="K298" s="26" t="s">
        <v>13</v>
      </c>
      <c r="L298" s="55">
        <v>46069.598275960649</v>
      </c>
      <c r="M298" s="26"/>
      <c r="N298" s="4" t="s">
        <v>121</v>
      </c>
    </row>
    <row r="299" spans="1:14" ht="75" customHeight="1" thickTop="1" thickBot="1">
      <c r="A299" s="34">
        <v>297</v>
      </c>
      <c r="B299" s="55">
        <v>46069.597159409699</v>
      </c>
      <c r="C299" s="56" t="s">
        <v>26</v>
      </c>
      <c r="D299" s="56" t="s">
        <v>49</v>
      </c>
      <c r="E299" s="26" t="s">
        <v>22</v>
      </c>
      <c r="F299" s="26" t="s">
        <v>39</v>
      </c>
      <c r="G299" s="26" t="s">
        <v>43</v>
      </c>
      <c r="H299" s="26" t="s">
        <v>3734</v>
      </c>
      <c r="I299" s="26"/>
      <c r="J299" s="26" t="s">
        <v>14</v>
      </c>
      <c r="K299" s="26" t="s">
        <v>13</v>
      </c>
      <c r="L299" s="55">
        <v>46069.598423877316</v>
      </c>
      <c r="M299" s="26"/>
      <c r="N299" s="4" t="s">
        <v>121</v>
      </c>
    </row>
    <row r="300" spans="1:14" ht="75" customHeight="1" thickTop="1" thickBot="1">
      <c r="A300" s="26">
        <v>298</v>
      </c>
      <c r="B300" s="55">
        <v>46069.598120347197</v>
      </c>
      <c r="C300" s="56" t="s">
        <v>26</v>
      </c>
      <c r="D300" s="56" t="s">
        <v>49</v>
      </c>
      <c r="E300" s="26" t="s">
        <v>22</v>
      </c>
      <c r="F300" s="26" t="s">
        <v>39</v>
      </c>
      <c r="G300" s="26" t="s">
        <v>43</v>
      </c>
      <c r="H300" s="26" t="s">
        <v>3735</v>
      </c>
      <c r="I300" s="26"/>
      <c r="J300" s="26" t="s">
        <v>14</v>
      </c>
      <c r="K300" s="26" t="s">
        <v>13</v>
      </c>
      <c r="L300" s="55">
        <v>46069.598517465274</v>
      </c>
      <c r="M300" s="26"/>
      <c r="N300" s="4" t="s">
        <v>121</v>
      </c>
    </row>
    <row r="301" spans="1:14" ht="75" customHeight="1" thickTop="1" thickBot="1">
      <c r="A301" s="34">
        <v>299</v>
      </c>
      <c r="B301" s="55">
        <v>46069.601134768498</v>
      </c>
      <c r="C301" s="56" t="s">
        <v>26</v>
      </c>
      <c r="D301" s="56" t="s">
        <v>49</v>
      </c>
      <c r="E301" s="26" t="s">
        <v>22</v>
      </c>
      <c r="F301" s="26" t="s">
        <v>135</v>
      </c>
      <c r="G301" s="26" t="s">
        <v>40</v>
      </c>
      <c r="H301" s="26" t="s">
        <v>3736</v>
      </c>
      <c r="I301" s="26"/>
      <c r="J301" s="26" t="s">
        <v>16</v>
      </c>
      <c r="K301" s="26" t="s">
        <v>13</v>
      </c>
      <c r="L301" s="55">
        <v>46069.601282488424</v>
      </c>
      <c r="M301" s="26"/>
      <c r="N301" s="4" t="s">
        <v>121</v>
      </c>
    </row>
    <row r="302" spans="1:14" ht="75" customHeight="1" thickTop="1" thickBot="1">
      <c r="A302" s="26">
        <v>300</v>
      </c>
      <c r="B302" s="55">
        <v>46069.661779606402</v>
      </c>
      <c r="C302" s="56" t="s">
        <v>26</v>
      </c>
      <c r="D302" s="56" t="s">
        <v>49</v>
      </c>
      <c r="E302" s="26" t="s">
        <v>22</v>
      </c>
      <c r="F302" s="26" t="s">
        <v>141</v>
      </c>
      <c r="G302" s="26" t="s">
        <v>216</v>
      </c>
      <c r="H302" s="26" t="s">
        <v>3737</v>
      </c>
      <c r="I302" s="26"/>
      <c r="J302" s="26" t="s">
        <v>12</v>
      </c>
      <c r="K302" s="26" t="s">
        <v>13</v>
      </c>
      <c r="L302" s="55">
        <v>46069.662000937504</v>
      </c>
      <c r="M302" s="26"/>
      <c r="N302" s="4" t="s">
        <v>121</v>
      </c>
    </row>
    <row r="303" spans="1:14" ht="75" customHeight="1" thickTop="1" thickBot="1">
      <c r="A303" s="34">
        <v>301</v>
      </c>
      <c r="B303" s="55">
        <v>46070.544014004598</v>
      </c>
      <c r="C303" s="56" t="s">
        <v>26</v>
      </c>
      <c r="D303" s="56" t="s">
        <v>180</v>
      </c>
      <c r="E303" s="26" t="s">
        <v>21</v>
      </c>
      <c r="F303" s="26" t="s">
        <v>31</v>
      </c>
      <c r="G303" s="26" t="s">
        <v>290</v>
      </c>
      <c r="H303" s="26" t="s">
        <v>291</v>
      </c>
      <c r="I303" s="26"/>
      <c r="J303" s="26" t="s">
        <v>16</v>
      </c>
      <c r="K303" s="26" t="s">
        <v>13</v>
      </c>
      <c r="L303" s="55">
        <v>46070.632691817125</v>
      </c>
      <c r="M303" s="26"/>
      <c r="N303" s="4" t="s">
        <v>121</v>
      </c>
    </row>
    <row r="304" spans="1:14" ht="75" customHeight="1" thickTop="1" thickBot="1">
      <c r="A304" s="26">
        <v>302</v>
      </c>
      <c r="B304" s="55">
        <v>46071.544475381903</v>
      </c>
      <c r="C304" s="56" t="s">
        <v>26</v>
      </c>
      <c r="D304" s="56" t="s">
        <v>180</v>
      </c>
      <c r="E304" s="26" t="s">
        <v>21</v>
      </c>
      <c r="F304" s="26" t="s">
        <v>42</v>
      </c>
      <c r="G304" s="26" t="s">
        <v>292</v>
      </c>
      <c r="H304" s="26" t="s">
        <v>3738</v>
      </c>
      <c r="I304" s="26"/>
      <c r="J304" s="26" t="s">
        <v>16</v>
      </c>
      <c r="K304" s="26" t="s">
        <v>13</v>
      </c>
      <c r="L304" s="55">
        <v>46071.572870567128</v>
      </c>
      <c r="M304" s="26"/>
      <c r="N304" s="4" t="s">
        <v>121</v>
      </c>
    </row>
    <row r="305" spans="1:14" ht="75" customHeight="1" thickTop="1" thickBot="1">
      <c r="A305" s="34">
        <v>303</v>
      </c>
      <c r="B305" s="55">
        <v>46072.530582245301</v>
      </c>
      <c r="C305" s="56" t="s">
        <v>26</v>
      </c>
      <c r="D305" s="56" t="s">
        <v>180</v>
      </c>
      <c r="E305" s="26" t="s">
        <v>21</v>
      </c>
      <c r="F305" s="26" t="s">
        <v>31</v>
      </c>
      <c r="G305" s="26" t="s">
        <v>36</v>
      </c>
      <c r="H305" s="26" t="s">
        <v>3739</v>
      </c>
      <c r="I305" s="26"/>
      <c r="J305" s="26" t="s">
        <v>16</v>
      </c>
      <c r="K305" s="26" t="s">
        <v>17</v>
      </c>
      <c r="L305" s="55">
        <v>46074.430034074074</v>
      </c>
      <c r="M305" s="26"/>
      <c r="N305" s="4" t="s">
        <v>121</v>
      </c>
    </row>
    <row r="306" spans="1:14" ht="75" customHeight="1" thickTop="1" thickBot="1">
      <c r="A306" s="26">
        <v>304</v>
      </c>
      <c r="B306" s="55">
        <v>46072.532549826297</v>
      </c>
      <c r="C306" s="56" t="s">
        <v>26</v>
      </c>
      <c r="D306" s="56" t="s">
        <v>180</v>
      </c>
      <c r="E306" s="26" t="s">
        <v>21</v>
      </c>
      <c r="F306" s="26" t="s">
        <v>28</v>
      </c>
      <c r="G306" s="26" t="s">
        <v>36</v>
      </c>
      <c r="H306" s="26" t="s">
        <v>311</v>
      </c>
      <c r="I306" s="26"/>
      <c r="J306" s="26" t="s">
        <v>14</v>
      </c>
      <c r="K306" s="26" t="s">
        <v>13</v>
      </c>
      <c r="L306" s="55">
        <v>46074.419527129634</v>
      </c>
      <c r="M306" s="26"/>
      <c r="N306" s="4" t="s">
        <v>121</v>
      </c>
    </row>
    <row r="307" spans="1:14" ht="75" customHeight="1" thickTop="1" thickBot="1">
      <c r="A307" s="34">
        <v>305</v>
      </c>
      <c r="B307" s="55">
        <v>46072.534146134203</v>
      </c>
      <c r="C307" s="56" t="s">
        <v>26</v>
      </c>
      <c r="D307" s="56" t="s">
        <v>293</v>
      </c>
      <c r="E307" s="26" t="s">
        <v>21</v>
      </c>
      <c r="F307" s="26" t="s">
        <v>28</v>
      </c>
      <c r="G307" s="26" t="s">
        <v>47</v>
      </c>
      <c r="H307" s="26" t="s">
        <v>294</v>
      </c>
      <c r="I307" s="26"/>
      <c r="J307" s="26" t="s">
        <v>16</v>
      </c>
      <c r="K307" s="26" t="s">
        <v>13</v>
      </c>
      <c r="L307" s="55">
        <v>46074.4194599537</v>
      </c>
      <c r="M307" s="26" t="s">
        <v>295</v>
      </c>
      <c r="N307" s="4" t="s">
        <v>121</v>
      </c>
    </row>
    <row r="308" spans="1:14" ht="75" customHeight="1" thickTop="1" thickBot="1">
      <c r="A308" s="26">
        <v>306</v>
      </c>
      <c r="B308" s="55">
        <v>46074.3928771875</v>
      </c>
      <c r="C308" s="56" t="s">
        <v>26</v>
      </c>
      <c r="D308" s="56" t="s">
        <v>57</v>
      </c>
      <c r="E308" s="26" t="s">
        <v>21</v>
      </c>
      <c r="F308" s="26" t="s">
        <v>31</v>
      </c>
      <c r="G308" s="26" t="s">
        <v>37</v>
      </c>
      <c r="H308" s="26" t="s">
        <v>296</v>
      </c>
      <c r="I308" s="26"/>
      <c r="J308" s="26" t="s">
        <v>16</v>
      </c>
      <c r="K308" s="26" t="s">
        <v>13</v>
      </c>
      <c r="L308" s="55">
        <v>46076.4250540625</v>
      </c>
      <c r="M308" s="26"/>
      <c r="N308" s="4" t="s">
        <v>121</v>
      </c>
    </row>
    <row r="309" spans="1:14" ht="75" customHeight="1" thickTop="1" thickBot="1">
      <c r="A309" s="34">
        <v>307</v>
      </c>
      <c r="B309" s="55">
        <v>46074.394502337898</v>
      </c>
      <c r="C309" s="56" t="s">
        <v>26</v>
      </c>
      <c r="D309" s="56" t="s">
        <v>57</v>
      </c>
      <c r="E309" s="26" t="s">
        <v>21</v>
      </c>
      <c r="F309" s="26" t="s">
        <v>28</v>
      </c>
      <c r="G309" s="26" t="s">
        <v>297</v>
      </c>
      <c r="H309" s="26" t="s">
        <v>298</v>
      </c>
      <c r="I309" s="26"/>
      <c r="J309" s="26" t="s">
        <v>16</v>
      </c>
      <c r="K309" s="26" t="s">
        <v>13</v>
      </c>
      <c r="L309" s="55">
        <v>46074.419483032412</v>
      </c>
      <c r="M309" s="26"/>
      <c r="N309" s="4" t="s">
        <v>121</v>
      </c>
    </row>
    <row r="310" spans="1:14" ht="75" customHeight="1" thickTop="1" thickBot="1">
      <c r="A310" s="26">
        <v>308</v>
      </c>
      <c r="B310" s="55">
        <v>46074.5688457754</v>
      </c>
      <c r="C310" s="56" t="s">
        <v>26</v>
      </c>
      <c r="D310" s="56" t="s">
        <v>49</v>
      </c>
      <c r="E310" s="26" t="s">
        <v>22</v>
      </c>
      <c r="F310" s="26" t="s">
        <v>42</v>
      </c>
      <c r="G310" s="26" t="s">
        <v>43</v>
      </c>
      <c r="H310" s="26" t="s">
        <v>3740</v>
      </c>
      <c r="I310" s="26"/>
      <c r="J310" s="26" t="s">
        <v>16</v>
      </c>
      <c r="K310" s="26" t="s">
        <v>13</v>
      </c>
      <c r="L310" s="55">
        <v>46074.569628067125</v>
      </c>
      <c r="M310" s="26"/>
      <c r="N310" s="4" t="s">
        <v>121</v>
      </c>
    </row>
    <row r="311" spans="1:14" ht="75" customHeight="1" thickTop="1" thickBot="1">
      <c r="A311" s="34">
        <v>309</v>
      </c>
      <c r="B311" s="55">
        <v>46074.5695260301</v>
      </c>
      <c r="C311" s="56" t="s">
        <v>26</v>
      </c>
      <c r="D311" s="56" t="s">
        <v>49</v>
      </c>
      <c r="E311" s="26" t="s">
        <v>22</v>
      </c>
      <c r="F311" s="26" t="s">
        <v>28</v>
      </c>
      <c r="G311" s="26" t="s">
        <v>37</v>
      </c>
      <c r="H311" s="26" t="s">
        <v>3740</v>
      </c>
      <c r="I311" s="26"/>
      <c r="J311" s="26" t="s">
        <v>16</v>
      </c>
      <c r="K311" s="26" t="s">
        <v>13</v>
      </c>
      <c r="L311" s="55">
        <v>46074.569687048614</v>
      </c>
      <c r="M311" s="26"/>
      <c r="N311" s="4" t="s">
        <v>121</v>
      </c>
    </row>
    <row r="312" spans="1:14" ht="75" customHeight="1" thickTop="1" thickBot="1">
      <c r="A312" s="26">
        <v>310</v>
      </c>
      <c r="B312" s="55">
        <v>46074.5708759837</v>
      </c>
      <c r="C312" s="56" t="s">
        <v>26</v>
      </c>
      <c r="D312" s="56" t="s">
        <v>49</v>
      </c>
      <c r="E312" s="26" t="s">
        <v>22</v>
      </c>
      <c r="F312" s="26" t="s">
        <v>39</v>
      </c>
      <c r="G312" s="26" t="s">
        <v>56</v>
      </c>
      <c r="H312" s="26" t="s">
        <v>299</v>
      </c>
      <c r="I312" s="26"/>
      <c r="J312" s="26" t="s">
        <v>16</v>
      </c>
      <c r="K312" s="26" t="s">
        <v>13</v>
      </c>
      <c r="L312" s="55">
        <v>46074.571003020828</v>
      </c>
      <c r="M312" s="26"/>
      <c r="N312" s="4" t="s">
        <v>121</v>
      </c>
    </row>
    <row r="313" spans="1:14" ht="75" customHeight="1" thickTop="1" thickBot="1">
      <c r="A313" s="34">
        <v>311</v>
      </c>
      <c r="B313" s="55">
        <v>46074.576182615703</v>
      </c>
      <c r="C313" s="56" t="s">
        <v>26</v>
      </c>
      <c r="D313" s="56" t="s">
        <v>49</v>
      </c>
      <c r="E313" s="26" t="s">
        <v>22</v>
      </c>
      <c r="F313" s="26" t="s">
        <v>28</v>
      </c>
      <c r="G313" s="26" t="s">
        <v>36</v>
      </c>
      <c r="H313" s="26" t="s">
        <v>257</v>
      </c>
      <c r="I313" s="26"/>
      <c r="J313" s="26" t="s">
        <v>12</v>
      </c>
      <c r="K313" s="26" t="s">
        <v>13</v>
      </c>
      <c r="L313" s="55">
        <v>46074.579043969905</v>
      </c>
      <c r="M313" s="26"/>
      <c r="N313" s="4" t="s">
        <v>121</v>
      </c>
    </row>
    <row r="314" spans="1:14" ht="75" customHeight="1" thickTop="1" thickBot="1">
      <c r="A314" s="26">
        <v>312</v>
      </c>
      <c r="B314" s="55">
        <v>46074.577011562498</v>
      </c>
      <c r="C314" s="56" t="s">
        <v>26</v>
      </c>
      <c r="D314" s="56" t="s">
        <v>49</v>
      </c>
      <c r="E314" s="26" t="s">
        <v>22</v>
      </c>
      <c r="F314" s="26" t="s">
        <v>28</v>
      </c>
      <c r="G314" s="26" t="s">
        <v>213</v>
      </c>
      <c r="H314" s="26" t="s">
        <v>258</v>
      </c>
      <c r="I314" s="26"/>
      <c r="J314" s="26" t="s">
        <v>12</v>
      </c>
      <c r="K314" s="26" t="s">
        <v>13</v>
      </c>
      <c r="L314" s="55">
        <v>46074.579088946761</v>
      </c>
      <c r="M314" s="26"/>
      <c r="N314" s="4" t="s">
        <v>121</v>
      </c>
    </row>
    <row r="315" spans="1:14" ht="75" customHeight="1" thickTop="1" thickBot="1">
      <c r="A315" s="34">
        <v>313</v>
      </c>
      <c r="B315" s="55">
        <v>46074.579827198999</v>
      </c>
      <c r="C315" s="56" t="s">
        <v>26</v>
      </c>
      <c r="D315" s="56" t="s">
        <v>49</v>
      </c>
      <c r="E315" s="26" t="s">
        <v>22</v>
      </c>
      <c r="F315" s="26" t="s">
        <v>39</v>
      </c>
      <c r="G315" s="26" t="s">
        <v>25</v>
      </c>
      <c r="H315" s="26" t="s">
        <v>3741</v>
      </c>
      <c r="I315" s="26"/>
      <c r="J315" s="26" t="s">
        <v>12</v>
      </c>
      <c r="K315" s="26" t="s">
        <v>13</v>
      </c>
      <c r="L315" s="55">
        <v>46074.580832951389</v>
      </c>
      <c r="M315" s="26"/>
      <c r="N315" s="4" t="s">
        <v>121</v>
      </c>
    </row>
    <row r="316" spans="1:14" ht="75" customHeight="1" thickTop="1" thickBot="1">
      <c r="A316" s="26">
        <v>314</v>
      </c>
      <c r="B316" s="55">
        <v>46074.580686817098</v>
      </c>
      <c r="C316" s="56" t="s">
        <v>26</v>
      </c>
      <c r="D316" s="56" t="s">
        <v>49</v>
      </c>
      <c r="E316" s="26" t="s">
        <v>22</v>
      </c>
      <c r="F316" s="26" t="s">
        <v>28</v>
      </c>
      <c r="G316" s="26" t="s">
        <v>213</v>
      </c>
      <c r="H316" s="26" t="s">
        <v>259</v>
      </c>
      <c r="I316" s="26"/>
      <c r="J316" s="26" t="s">
        <v>12</v>
      </c>
      <c r="K316" s="26" t="s">
        <v>13</v>
      </c>
      <c r="L316" s="55">
        <v>46074.580932812503</v>
      </c>
      <c r="M316" s="26"/>
      <c r="N316" s="4" t="s">
        <v>121</v>
      </c>
    </row>
    <row r="317" spans="1:14" ht="75" customHeight="1" thickTop="1" thickBot="1">
      <c r="A317" s="34">
        <v>315</v>
      </c>
      <c r="B317" s="55">
        <v>46075.399797835598</v>
      </c>
      <c r="C317" s="56" t="s">
        <v>26</v>
      </c>
      <c r="D317" s="56" t="s">
        <v>180</v>
      </c>
      <c r="E317" s="26" t="s">
        <v>21</v>
      </c>
      <c r="F317" s="26" t="s">
        <v>42</v>
      </c>
      <c r="G317" s="26" t="s">
        <v>300</v>
      </c>
      <c r="H317" s="26" t="s">
        <v>301</v>
      </c>
      <c r="I317" s="26"/>
      <c r="J317" s="26" t="s">
        <v>16</v>
      </c>
      <c r="K317" s="26" t="s">
        <v>13</v>
      </c>
      <c r="L317" s="55">
        <v>46075.421862384261</v>
      </c>
      <c r="M317" s="26"/>
      <c r="N317" s="4" t="s">
        <v>121</v>
      </c>
    </row>
    <row r="318" spans="1:14" ht="75" customHeight="1" thickTop="1" thickBot="1">
      <c r="A318" s="26">
        <v>316</v>
      </c>
      <c r="B318" s="55">
        <v>46076.420079965203</v>
      </c>
      <c r="C318" s="56" t="s">
        <v>26</v>
      </c>
      <c r="D318" s="56" t="s">
        <v>49</v>
      </c>
      <c r="E318" s="26" t="s">
        <v>22</v>
      </c>
      <c r="F318" s="26" t="s">
        <v>28</v>
      </c>
      <c r="G318" s="26" t="s">
        <v>40</v>
      </c>
      <c r="H318" s="26" t="s">
        <v>3742</v>
      </c>
      <c r="I318" s="26"/>
      <c r="J318" s="26" t="s">
        <v>14</v>
      </c>
      <c r="K318" s="26" t="s">
        <v>13</v>
      </c>
      <c r="L318" s="55">
        <v>46076.420999490743</v>
      </c>
      <c r="M318" s="26"/>
      <c r="N318" s="4" t="s">
        <v>121</v>
      </c>
    </row>
    <row r="319" spans="1:14" ht="75" customHeight="1" thickTop="1" thickBot="1">
      <c r="A319" s="34">
        <v>317</v>
      </c>
      <c r="B319" s="55">
        <v>46076.422036134201</v>
      </c>
      <c r="C319" s="56" t="s">
        <v>26</v>
      </c>
      <c r="D319" s="56" t="s">
        <v>49</v>
      </c>
      <c r="E319" s="26" t="s">
        <v>22</v>
      </c>
      <c r="F319" s="26" t="s">
        <v>28</v>
      </c>
      <c r="G319" s="26" t="s">
        <v>40</v>
      </c>
      <c r="H319" s="26" t="s">
        <v>3743</v>
      </c>
      <c r="I319" s="26"/>
      <c r="J319" s="26" t="s">
        <v>12</v>
      </c>
      <c r="K319" s="26" t="s">
        <v>13</v>
      </c>
      <c r="L319" s="55">
        <v>46076.42241564815</v>
      </c>
      <c r="M319" s="26"/>
      <c r="N319" s="4" t="s">
        <v>121</v>
      </c>
    </row>
    <row r="320" spans="1:14" ht="75" customHeight="1" thickTop="1" thickBot="1">
      <c r="A320" s="26">
        <v>318</v>
      </c>
      <c r="B320" s="55">
        <v>46076.423091921199</v>
      </c>
      <c r="C320" s="56" t="s">
        <v>26</v>
      </c>
      <c r="D320" s="56" t="s">
        <v>49</v>
      </c>
      <c r="E320" s="26" t="s">
        <v>22</v>
      </c>
      <c r="F320" s="26" t="s">
        <v>39</v>
      </c>
      <c r="G320" s="26" t="s">
        <v>25</v>
      </c>
      <c r="H320" s="26" t="s">
        <v>302</v>
      </c>
      <c r="I320" s="26"/>
      <c r="J320" s="26" t="s">
        <v>16</v>
      </c>
      <c r="K320" s="26" t="s">
        <v>13</v>
      </c>
      <c r="L320" s="55">
        <v>46076.426021898151</v>
      </c>
      <c r="M320" s="26"/>
      <c r="N320" s="4" t="s">
        <v>121</v>
      </c>
    </row>
    <row r="321" spans="1:14" ht="75" customHeight="1" thickTop="1" thickBot="1">
      <c r="A321" s="34">
        <v>319</v>
      </c>
      <c r="B321" s="55">
        <v>46076.426814444399</v>
      </c>
      <c r="C321" s="56" t="s">
        <v>26</v>
      </c>
      <c r="D321" s="56" t="s">
        <v>49</v>
      </c>
      <c r="E321" s="26" t="s">
        <v>22</v>
      </c>
      <c r="F321" s="26" t="s">
        <v>39</v>
      </c>
      <c r="G321" s="26" t="s">
        <v>37</v>
      </c>
      <c r="H321" s="26" t="s">
        <v>303</v>
      </c>
      <c r="I321" s="26"/>
      <c r="J321" s="26" t="s">
        <v>16</v>
      </c>
      <c r="K321" s="26" t="s">
        <v>13</v>
      </c>
      <c r="L321" s="55">
        <v>46076.427168344904</v>
      </c>
      <c r="M321" s="26"/>
      <c r="N321" s="4" t="s">
        <v>121</v>
      </c>
    </row>
    <row r="322" spans="1:14" s="25" customFormat="1" ht="75" customHeight="1" thickTop="1" thickBot="1">
      <c r="A322" s="26">
        <v>320</v>
      </c>
      <c r="B322" s="55">
        <v>46077.546679988402</v>
      </c>
      <c r="C322" s="56" t="s">
        <v>26</v>
      </c>
      <c r="D322" s="56" t="s">
        <v>49</v>
      </c>
      <c r="E322" s="26" t="s">
        <v>22</v>
      </c>
      <c r="F322" s="26" t="s">
        <v>31</v>
      </c>
      <c r="G322" s="26" t="s">
        <v>40</v>
      </c>
      <c r="H322" s="26" t="s">
        <v>3744</v>
      </c>
      <c r="I322" s="26"/>
      <c r="J322" s="26" t="s">
        <v>14</v>
      </c>
      <c r="K322" s="26" t="s">
        <v>13</v>
      </c>
      <c r="L322" s="55">
        <v>46077.548961701388</v>
      </c>
      <c r="M322" s="26"/>
      <c r="N322" s="4"/>
    </row>
    <row r="323" spans="1:14" ht="75" customHeight="1" thickTop="1" thickBot="1">
      <c r="A323" s="34">
        <v>321</v>
      </c>
      <c r="B323" s="55">
        <v>46077.550137627302</v>
      </c>
      <c r="C323" s="56" t="s">
        <v>26</v>
      </c>
      <c r="D323" s="56" t="s">
        <v>49</v>
      </c>
      <c r="E323" s="26" t="s">
        <v>22</v>
      </c>
      <c r="F323" s="26" t="s">
        <v>31</v>
      </c>
      <c r="G323" s="26" t="s">
        <v>47</v>
      </c>
      <c r="H323" s="26" t="s">
        <v>3745</v>
      </c>
      <c r="I323" s="26"/>
      <c r="J323" s="26" t="s">
        <v>16</v>
      </c>
      <c r="K323" s="26" t="s">
        <v>13</v>
      </c>
      <c r="L323" s="55">
        <v>46077.553012777775</v>
      </c>
      <c r="M323" s="26"/>
      <c r="N323" s="29"/>
    </row>
    <row r="324" spans="1:14" ht="75" customHeight="1" thickTop="1" thickBot="1">
      <c r="A324" s="26">
        <v>322</v>
      </c>
      <c r="B324" s="55">
        <v>46077.550695462902</v>
      </c>
      <c r="C324" s="56" t="s">
        <v>26</v>
      </c>
      <c r="D324" s="56" t="s">
        <v>49</v>
      </c>
      <c r="E324" s="26" t="s">
        <v>22</v>
      </c>
      <c r="F324" s="26" t="s">
        <v>28</v>
      </c>
      <c r="G324" s="26" t="s">
        <v>38</v>
      </c>
      <c r="H324" s="26" t="s">
        <v>3746</v>
      </c>
      <c r="I324" s="26"/>
      <c r="J324" s="26" t="s">
        <v>16</v>
      </c>
      <c r="K324" s="26" t="s">
        <v>13</v>
      </c>
      <c r="L324" s="55">
        <v>46077.552667673612</v>
      </c>
      <c r="M324" s="26"/>
      <c r="N324" s="29"/>
    </row>
    <row r="325" spans="1:14" ht="75" customHeight="1" thickTop="1" thickBot="1">
      <c r="A325" s="34">
        <v>323</v>
      </c>
      <c r="B325" s="55">
        <v>46077.551232129597</v>
      </c>
      <c r="C325" s="56" t="s">
        <v>26</v>
      </c>
      <c r="D325" s="56" t="s">
        <v>49</v>
      </c>
      <c r="E325" s="26" t="s">
        <v>22</v>
      </c>
      <c r="F325" s="26" t="s">
        <v>28</v>
      </c>
      <c r="G325" s="26" t="s">
        <v>37</v>
      </c>
      <c r="H325" s="26" t="s">
        <v>3747</v>
      </c>
      <c r="I325" s="26"/>
      <c r="J325" s="26" t="s">
        <v>16</v>
      </c>
      <c r="K325" s="26" t="s">
        <v>13</v>
      </c>
      <c r="L325" s="55">
        <v>46077.552742928237</v>
      </c>
      <c r="M325" s="26"/>
      <c r="N325" s="29"/>
    </row>
    <row r="326" spans="1:14" ht="75" customHeight="1" thickTop="1" thickBot="1">
      <c r="A326" s="26">
        <v>324</v>
      </c>
      <c r="B326" s="55">
        <v>46077.552297731403</v>
      </c>
      <c r="C326" s="56" t="s">
        <v>26</v>
      </c>
      <c r="D326" s="56" t="s">
        <v>49</v>
      </c>
      <c r="E326" s="26" t="s">
        <v>22</v>
      </c>
      <c r="F326" s="26" t="s">
        <v>42</v>
      </c>
      <c r="G326" s="26" t="s">
        <v>37</v>
      </c>
      <c r="H326" s="26" t="s">
        <v>3748</v>
      </c>
      <c r="I326" s="26"/>
      <c r="J326" s="26" t="s">
        <v>16</v>
      </c>
      <c r="K326" s="26" t="s">
        <v>13</v>
      </c>
      <c r="L326" s="55">
        <v>46077.552817083335</v>
      </c>
      <c r="M326" s="26"/>
      <c r="N326" s="29"/>
    </row>
    <row r="327" spans="1:14" ht="75" customHeight="1" thickTop="1" thickBot="1">
      <c r="A327" s="34">
        <v>325</v>
      </c>
      <c r="B327" s="55">
        <v>46077.554016608803</v>
      </c>
      <c r="C327" s="56" t="s">
        <v>26</v>
      </c>
      <c r="D327" s="56" t="s">
        <v>49</v>
      </c>
      <c r="E327" s="26" t="s">
        <v>22</v>
      </c>
      <c r="F327" s="26" t="s">
        <v>42</v>
      </c>
      <c r="G327" s="26" t="s">
        <v>25</v>
      </c>
      <c r="H327" s="26" t="s">
        <v>3749</v>
      </c>
      <c r="I327" s="26"/>
      <c r="J327" s="26" t="s">
        <v>12</v>
      </c>
      <c r="K327" s="26" t="s">
        <v>13</v>
      </c>
      <c r="L327" s="55">
        <v>46077.55541108796</v>
      </c>
      <c r="M327" s="26"/>
      <c r="N327" s="29"/>
    </row>
    <row r="328" spans="1:14" ht="75" customHeight="1" thickTop="1" thickBot="1">
      <c r="A328" s="26">
        <v>326</v>
      </c>
      <c r="B328" s="55">
        <v>46077.555295659702</v>
      </c>
      <c r="C328" s="56" t="s">
        <v>26</v>
      </c>
      <c r="D328" s="56" t="s">
        <v>49</v>
      </c>
      <c r="E328" s="26" t="s">
        <v>22</v>
      </c>
      <c r="F328" s="26" t="s">
        <v>260</v>
      </c>
      <c r="G328" s="26" t="s">
        <v>25</v>
      </c>
      <c r="H328" s="26" t="s">
        <v>261</v>
      </c>
      <c r="I328" s="26"/>
      <c r="J328" s="26" t="s">
        <v>12</v>
      </c>
      <c r="K328" s="26" t="s">
        <v>13</v>
      </c>
      <c r="L328" s="55">
        <v>46077.555507534722</v>
      </c>
      <c r="M328" s="26"/>
      <c r="N328" s="29"/>
    </row>
    <row r="329" spans="1:14" ht="75" customHeight="1" thickTop="1" thickBot="1">
      <c r="A329" s="34">
        <v>327</v>
      </c>
      <c r="B329" s="55">
        <v>46078.344354282402</v>
      </c>
      <c r="C329" s="56" t="s">
        <v>26</v>
      </c>
      <c r="D329" s="56" t="s">
        <v>304</v>
      </c>
      <c r="E329" s="26" t="s">
        <v>21</v>
      </c>
      <c r="F329" s="26" t="s">
        <v>28</v>
      </c>
      <c r="G329" s="26" t="s">
        <v>37</v>
      </c>
      <c r="H329" s="26" t="s">
        <v>305</v>
      </c>
      <c r="I329" s="26"/>
      <c r="J329" s="26" t="s">
        <v>16</v>
      </c>
      <c r="K329" s="26" t="s">
        <v>13</v>
      </c>
      <c r="L329" s="55">
        <v>46078.388761018519</v>
      </c>
      <c r="M329" s="26"/>
      <c r="N329" s="29"/>
    </row>
    <row r="330" spans="1:14" ht="75" customHeight="1" thickTop="1" thickBot="1">
      <c r="A330" s="26">
        <v>328</v>
      </c>
      <c r="B330" s="55">
        <v>46078.5456496759</v>
      </c>
      <c r="C330" s="56" t="s">
        <v>26</v>
      </c>
      <c r="D330" s="56" t="s">
        <v>49</v>
      </c>
      <c r="E330" s="26" t="s">
        <v>22</v>
      </c>
      <c r="F330" s="26" t="s">
        <v>39</v>
      </c>
      <c r="G330" s="26" t="s">
        <v>43</v>
      </c>
      <c r="H330" s="26" t="s">
        <v>3750</v>
      </c>
      <c r="I330" s="26"/>
      <c r="J330" s="26" t="s">
        <v>16</v>
      </c>
      <c r="K330" s="26" t="s">
        <v>13</v>
      </c>
      <c r="L330" s="55">
        <v>46078.546043969909</v>
      </c>
      <c r="M330" s="26"/>
      <c r="N330" s="29"/>
    </row>
    <row r="331" spans="1:14" ht="75" customHeight="1" thickTop="1" thickBot="1">
      <c r="A331" s="34">
        <v>329</v>
      </c>
      <c r="B331" s="55">
        <v>46079.385984432804</v>
      </c>
      <c r="C331" s="56" t="s">
        <v>26</v>
      </c>
      <c r="D331" s="56" t="s">
        <v>57</v>
      </c>
      <c r="E331" s="26" t="s">
        <v>21</v>
      </c>
      <c r="F331" s="26" t="s">
        <v>39</v>
      </c>
      <c r="G331" s="26" t="s">
        <v>56</v>
      </c>
      <c r="H331" s="26" t="s">
        <v>312</v>
      </c>
      <c r="I331" s="26"/>
      <c r="J331" s="26" t="s">
        <v>14</v>
      </c>
      <c r="K331" s="26" t="s">
        <v>13</v>
      </c>
      <c r="L331" s="55">
        <v>46079.426732025458</v>
      </c>
      <c r="M331" s="26"/>
      <c r="N331" s="29"/>
    </row>
    <row r="332" spans="1:14" ht="75" customHeight="1" thickTop="1" thickBot="1">
      <c r="A332" s="26">
        <v>330</v>
      </c>
      <c r="B332" s="55">
        <v>46079.475096145798</v>
      </c>
      <c r="C332" s="56" t="s">
        <v>26</v>
      </c>
      <c r="D332" s="56" t="s">
        <v>49</v>
      </c>
      <c r="E332" s="26" t="s">
        <v>22</v>
      </c>
      <c r="F332" s="26" t="s">
        <v>42</v>
      </c>
      <c r="G332" s="26" t="s">
        <v>25</v>
      </c>
      <c r="H332" s="26" t="s">
        <v>262</v>
      </c>
      <c r="I332" s="26"/>
      <c r="J332" s="26" t="s">
        <v>12</v>
      </c>
      <c r="K332" s="26" t="s">
        <v>13</v>
      </c>
      <c r="L332" s="55">
        <v>46079.475300995371</v>
      </c>
      <c r="M332" s="26"/>
      <c r="N332" s="29"/>
    </row>
    <row r="333" spans="1:14" ht="75" customHeight="1" thickTop="1" thickBot="1">
      <c r="A333" s="34">
        <v>331</v>
      </c>
      <c r="B333" s="55">
        <v>46079.476237175899</v>
      </c>
      <c r="C333" s="56" t="s">
        <v>26</v>
      </c>
      <c r="D333" s="56" t="s">
        <v>49</v>
      </c>
      <c r="E333" s="26" t="s">
        <v>22</v>
      </c>
      <c r="F333" s="26" t="s">
        <v>28</v>
      </c>
      <c r="G333" s="26" t="s">
        <v>36</v>
      </c>
      <c r="H333" s="26" t="s">
        <v>3751</v>
      </c>
      <c r="I333" s="26"/>
      <c r="J333" s="26" t="s">
        <v>16</v>
      </c>
      <c r="K333" s="26" t="s">
        <v>13</v>
      </c>
      <c r="L333" s="55">
        <v>46079.479260798616</v>
      </c>
      <c r="M333" s="26"/>
      <c r="N333" s="29"/>
    </row>
    <row r="334" spans="1:14" ht="75" customHeight="1" thickTop="1" thickBot="1">
      <c r="A334" s="26">
        <v>332</v>
      </c>
      <c r="B334" s="55">
        <v>46079.476830497602</v>
      </c>
      <c r="C334" s="56" t="s">
        <v>26</v>
      </c>
      <c r="D334" s="56" t="s">
        <v>49</v>
      </c>
      <c r="E334" s="26" t="s">
        <v>22</v>
      </c>
      <c r="F334" s="26" t="s">
        <v>28</v>
      </c>
      <c r="G334" s="26" t="s">
        <v>36</v>
      </c>
      <c r="H334" s="26" t="s">
        <v>3752</v>
      </c>
      <c r="I334" s="26"/>
      <c r="J334" s="26" t="s">
        <v>16</v>
      </c>
      <c r="K334" s="26" t="s">
        <v>13</v>
      </c>
      <c r="L334" s="55">
        <v>46079.479311585645</v>
      </c>
      <c r="M334" s="26"/>
      <c r="N334" s="29"/>
    </row>
    <row r="335" spans="1:14" ht="75" customHeight="1" thickTop="1" thickBot="1">
      <c r="A335" s="34">
        <v>333</v>
      </c>
      <c r="B335" s="55">
        <v>46079.477420011499</v>
      </c>
      <c r="C335" s="56" t="s">
        <v>26</v>
      </c>
      <c r="D335" s="56" t="s">
        <v>49</v>
      </c>
      <c r="E335" s="26" t="s">
        <v>22</v>
      </c>
      <c r="F335" s="26" t="s">
        <v>28</v>
      </c>
      <c r="G335" s="26" t="s">
        <v>36</v>
      </c>
      <c r="H335" s="26" t="s">
        <v>3753</v>
      </c>
      <c r="I335" s="26"/>
      <c r="J335" s="26" t="s">
        <v>16</v>
      </c>
      <c r="K335" s="26" t="s">
        <v>13</v>
      </c>
      <c r="L335" s="55">
        <v>46079.479358541663</v>
      </c>
      <c r="M335" s="26"/>
      <c r="N335" s="29"/>
    </row>
    <row r="336" spans="1:14" ht="75" customHeight="1" thickTop="1" thickBot="1">
      <c r="A336" s="26">
        <v>334</v>
      </c>
      <c r="B336" s="55">
        <v>46079.478061736103</v>
      </c>
      <c r="C336" s="56" t="s">
        <v>26</v>
      </c>
      <c r="D336" s="56" t="s">
        <v>49</v>
      </c>
      <c r="E336" s="26" t="s">
        <v>22</v>
      </c>
      <c r="F336" s="26" t="s">
        <v>28</v>
      </c>
      <c r="G336" s="26" t="s">
        <v>36</v>
      </c>
      <c r="H336" s="26" t="s">
        <v>3754</v>
      </c>
      <c r="I336" s="26"/>
      <c r="J336" s="26" t="s">
        <v>16</v>
      </c>
      <c r="K336" s="26" t="s">
        <v>13</v>
      </c>
      <c r="L336" s="55">
        <v>46079.479418078699</v>
      </c>
      <c r="M336" s="26"/>
      <c r="N336" s="29"/>
    </row>
    <row r="337" spans="1:14" ht="75" customHeight="1" thickTop="1" thickBot="1">
      <c r="A337" s="34">
        <v>335</v>
      </c>
      <c r="B337" s="55">
        <v>46079.478601435098</v>
      </c>
      <c r="C337" s="56" t="s">
        <v>26</v>
      </c>
      <c r="D337" s="56" t="s">
        <v>49</v>
      </c>
      <c r="E337" s="26" t="s">
        <v>22</v>
      </c>
      <c r="F337" s="26" t="s">
        <v>28</v>
      </c>
      <c r="G337" s="26" t="s">
        <v>36</v>
      </c>
      <c r="H337" s="26" t="s">
        <v>3755</v>
      </c>
      <c r="I337" s="26"/>
      <c r="J337" s="26" t="s">
        <v>16</v>
      </c>
      <c r="K337" s="26" t="s">
        <v>13</v>
      </c>
      <c r="L337" s="55">
        <v>46079.47948804398</v>
      </c>
      <c r="M337" s="26"/>
      <c r="N337" s="29"/>
    </row>
    <row r="338" spans="1:14" ht="75" customHeight="1" thickTop="1" thickBot="1">
      <c r="A338" s="26">
        <v>336</v>
      </c>
      <c r="B338" s="55">
        <v>46079.479059641199</v>
      </c>
      <c r="C338" s="56" t="s">
        <v>26</v>
      </c>
      <c r="D338" s="56" t="s">
        <v>49</v>
      </c>
      <c r="E338" s="26" t="s">
        <v>22</v>
      </c>
      <c r="F338" s="26" t="s">
        <v>28</v>
      </c>
      <c r="G338" s="26" t="s">
        <v>36</v>
      </c>
      <c r="H338" s="26" t="s">
        <v>3756</v>
      </c>
      <c r="I338" s="26"/>
      <c r="J338" s="26" t="s">
        <v>16</v>
      </c>
      <c r="K338" s="26" t="s">
        <v>13</v>
      </c>
      <c r="L338" s="55">
        <v>46079.479541759254</v>
      </c>
      <c r="M338" s="26"/>
      <c r="N338" s="29"/>
    </row>
    <row r="339" spans="1:14" ht="75" customHeight="1" thickTop="1" thickBot="1">
      <c r="A339" s="34">
        <v>337</v>
      </c>
      <c r="B339" s="55">
        <v>46081.567728067101</v>
      </c>
      <c r="C339" s="56" t="s">
        <v>26</v>
      </c>
      <c r="D339" s="56" t="s">
        <v>49</v>
      </c>
      <c r="E339" s="26" t="s">
        <v>22</v>
      </c>
      <c r="F339" s="26" t="s">
        <v>39</v>
      </c>
      <c r="G339" s="26" t="s">
        <v>25</v>
      </c>
      <c r="H339" s="26" t="s">
        <v>263</v>
      </c>
      <c r="I339" s="26"/>
      <c r="J339" s="26" t="s">
        <v>12</v>
      </c>
      <c r="K339" s="26" t="s">
        <v>13</v>
      </c>
      <c r="L339" s="55">
        <v>46081.57258493056</v>
      </c>
      <c r="M339" s="26"/>
      <c r="N339" s="29"/>
    </row>
    <row r="340" spans="1:14" ht="75" customHeight="1" thickTop="1" thickBot="1">
      <c r="A340" s="26">
        <v>338</v>
      </c>
      <c r="B340" s="55">
        <v>46081.572290891199</v>
      </c>
      <c r="C340" s="56" t="s">
        <v>26</v>
      </c>
      <c r="D340" s="56" t="s">
        <v>49</v>
      </c>
      <c r="E340" s="26" t="s">
        <v>22</v>
      </c>
      <c r="F340" s="26" t="s">
        <v>28</v>
      </c>
      <c r="G340" s="26" t="s">
        <v>38</v>
      </c>
      <c r="H340" s="26" t="s">
        <v>3757</v>
      </c>
      <c r="I340" s="26"/>
      <c r="J340" s="26" t="s">
        <v>16</v>
      </c>
      <c r="K340" s="26" t="s">
        <v>13</v>
      </c>
      <c r="L340" s="55">
        <v>46081.577168541669</v>
      </c>
      <c r="M340" s="26"/>
      <c r="N340" s="29"/>
    </row>
    <row r="341" spans="1:14" ht="75" customHeight="1" thickTop="1" thickBot="1">
      <c r="A341" s="34">
        <v>339</v>
      </c>
      <c r="B341" s="55">
        <v>46081.574598831001</v>
      </c>
      <c r="C341" s="56" t="s">
        <v>26</v>
      </c>
      <c r="D341" s="56" t="s">
        <v>49</v>
      </c>
      <c r="E341" s="26" t="s">
        <v>22</v>
      </c>
      <c r="F341" s="26" t="s">
        <v>28</v>
      </c>
      <c r="G341" s="26" t="s">
        <v>38</v>
      </c>
      <c r="H341" s="26" t="s">
        <v>3758</v>
      </c>
      <c r="I341" s="26"/>
      <c r="J341" s="26" t="s">
        <v>16</v>
      </c>
      <c r="K341" s="26" t="s">
        <v>13</v>
      </c>
      <c r="L341" s="55">
        <v>46081.577258958336</v>
      </c>
      <c r="M341" s="26"/>
      <c r="N341" s="29"/>
    </row>
    <row r="342" spans="1:14" ht="75" customHeight="1" thickTop="1" thickBot="1">
      <c r="A342" s="26">
        <v>340</v>
      </c>
      <c r="B342" s="55">
        <v>46081.5770233449</v>
      </c>
      <c r="C342" s="56" t="s">
        <v>26</v>
      </c>
      <c r="D342" s="56" t="s">
        <v>49</v>
      </c>
      <c r="E342" s="26" t="s">
        <v>22</v>
      </c>
      <c r="F342" s="26" t="s">
        <v>39</v>
      </c>
      <c r="G342" s="26" t="s">
        <v>47</v>
      </c>
      <c r="H342" s="26" t="s">
        <v>3759</v>
      </c>
      <c r="I342" s="26"/>
      <c r="J342" s="26" t="s">
        <v>16</v>
      </c>
      <c r="K342" s="26" t="s">
        <v>13</v>
      </c>
      <c r="L342" s="55">
        <v>46081.577359432871</v>
      </c>
      <c r="M342" s="26"/>
      <c r="N342" s="29"/>
    </row>
    <row r="343" spans="1:14" ht="75" customHeight="1" thickTop="1" thickBot="1">
      <c r="A343" s="34">
        <v>341</v>
      </c>
      <c r="B343" s="55">
        <v>46081.5961519907</v>
      </c>
      <c r="C343" s="56" t="s">
        <v>26</v>
      </c>
      <c r="D343" s="56" t="s">
        <v>49</v>
      </c>
      <c r="E343" s="26" t="s">
        <v>22</v>
      </c>
      <c r="F343" s="26" t="s">
        <v>39</v>
      </c>
      <c r="G343" s="26" t="s">
        <v>25</v>
      </c>
      <c r="H343" s="26" t="s">
        <v>3760</v>
      </c>
      <c r="I343" s="26"/>
      <c r="J343" s="26" t="s">
        <v>14</v>
      </c>
      <c r="K343" s="26" t="s">
        <v>13</v>
      </c>
      <c r="L343" s="55">
        <v>46081.596655682872</v>
      </c>
      <c r="M343" s="26"/>
      <c r="N343" s="29"/>
    </row>
    <row r="344" spans="1:14" ht="75" customHeight="1" thickTop="1" thickBot="1">
      <c r="A344" s="26">
        <v>342</v>
      </c>
      <c r="B344" s="55">
        <v>46082.375910092502</v>
      </c>
      <c r="C344" s="56" t="s">
        <v>26</v>
      </c>
      <c r="D344" s="56" t="s">
        <v>180</v>
      </c>
      <c r="E344" s="26" t="s">
        <v>21</v>
      </c>
      <c r="F344" s="26" t="s">
        <v>28</v>
      </c>
      <c r="G344" s="26" t="s">
        <v>25</v>
      </c>
      <c r="H344" s="26" t="s">
        <v>329</v>
      </c>
      <c r="I344" s="26"/>
      <c r="J344" s="26" t="s">
        <v>16</v>
      </c>
      <c r="K344" s="26" t="s">
        <v>13</v>
      </c>
      <c r="L344" s="55">
        <v>46082.385714606484</v>
      </c>
      <c r="M344" s="26"/>
      <c r="N344" s="29"/>
    </row>
    <row r="345" spans="1:14" ht="75" customHeight="1" thickTop="1" thickBot="1">
      <c r="A345" s="34">
        <v>343</v>
      </c>
      <c r="B345" s="55">
        <v>46082.562381944401</v>
      </c>
      <c r="C345" s="56" t="s">
        <v>26</v>
      </c>
      <c r="D345" s="56" t="s">
        <v>180</v>
      </c>
      <c r="E345" s="26" t="s">
        <v>21</v>
      </c>
      <c r="F345" s="26" t="s">
        <v>42</v>
      </c>
      <c r="G345" s="26" t="s">
        <v>37</v>
      </c>
      <c r="H345" s="26" t="s">
        <v>330</v>
      </c>
      <c r="I345" s="26"/>
      <c r="J345" s="26" t="s">
        <v>16</v>
      </c>
      <c r="K345" s="26" t="s">
        <v>13</v>
      </c>
      <c r="L345" s="55">
        <v>46082.619282673608</v>
      </c>
      <c r="M345" s="26"/>
      <c r="N345" s="29"/>
    </row>
    <row r="346" spans="1:14" ht="75" customHeight="1" thickTop="1" thickBot="1">
      <c r="A346" s="26">
        <v>344</v>
      </c>
      <c r="B346" s="55">
        <v>46082.565976284699</v>
      </c>
      <c r="C346" s="56" t="s">
        <v>26</v>
      </c>
      <c r="D346" s="56" t="s">
        <v>49</v>
      </c>
      <c r="E346" s="26" t="s">
        <v>22</v>
      </c>
      <c r="F346" s="26" t="s">
        <v>31</v>
      </c>
      <c r="G346" s="26" t="s">
        <v>25</v>
      </c>
      <c r="H346" s="26" t="s">
        <v>3761</v>
      </c>
      <c r="I346" s="26"/>
      <c r="J346" s="26" t="s">
        <v>16</v>
      </c>
      <c r="K346" s="26" t="s">
        <v>13</v>
      </c>
      <c r="L346" s="55">
        <v>46082.571036932874</v>
      </c>
      <c r="M346" s="26"/>
      <c r="N346" s="29"/>
    </row>
    <row r="347" spans="1:14" ht="75" customHeight="1" thickTop="1" thickBot="1">
      <c r="A347" s="34">
        <v>345</v>
      </c>
      <c r="B347" s="55">
        <v>46082.568752881903</v>
      </c>
      <c r="C347" s="56" t="s">
        <v>26</v>
      </c>
      <c r="D347" s="56" t="s">
        <v>49</v>
      </c>
      <c r="E347" s="26" t="s">
        <v>22</v>
      </c>
      <c r="F347" s="26" t="s">
        <v>31</v>
      </c>
      <c r="G347" s="26" t="s">
        <v>216</v>
      </c>
      <c r="H347" s="26" t="s">
        <v>331</v>
      </c>
      <c r="I347" s="26"/>
      <c r="J347" s="26" t="s">
        <v>16</v>
      </c>
      <c r="K347" s="26" t="s">
        <v>13</v>
      </c>
      <c r="L347" s="55">
        <v>46082.571076365741</v>
      </c>
      <c r="M347" s="26"/>
      <c r="N347" s="29"/>
    </row>
    <row r="348" spans="1:14" ht="75" customHeight="1" thickTop="1" thickBot="1">
      <c r="A348" s="26">
        <v>346</v>
      </c>
      <c r="B348" s="55">
        <v>46082.570484942102</v>
      </c>
      <c r="C348" s="56" t="s">
        <v>26</v>
      </c>
      <c r="D348" s="56" t="s">
        <v>49</v>
      </c>
      <c r="E348" s="26" t="s">
        <v>22</v>
      </c>
      <c r="F348" s="26" t="s">
        <v>31</v>
      </c>
      <c r="G348" s="26" t="s">
        <v>45</v>
      </c>
      <c r="H348" s="26" t="s">
        <v>3762</v>
      </c>
      <c r="I348" s="26"/>
      <c r="J348" s="26" t="s">
        <v>16</v>
      </c>
      <c r="K348" s="26" t="s">
        <v>13</v>
      </c>
      <c r="L348" s="55">
        <v>46082.571151481483</v>
      </c>
      <c r="M348" s="26"/>
      <c r="N348" s="29"/>
    </row>
    <row r="349" spans="1:14" ht="75" customHeight="1" thickTop="1" thickBot="1">
      <c r="A349" s="34">
        <v>347</v>
      </c>
      <c r="B349" s="55">
        <v>46082.577027951302</v>
      </c>
      <c r="C349" s="56" t="s">
        <v>26</v>
      </c>
      <c r="D349" s="56" t="s">
        <v>49</v>
      </c>
      <c r="E349" s="26" t="s">
        <v>22</v>
      </c>
      <c r="F349" s="26" t="s">
        <v>31</v>
      </c>
      <c r="G349" s="26" t="s">
        <v>37</v>
      </c>
      <c r="H349" s="26" t="s">
        <v>314</v>
      </c>
      <c r="I349" s="26"/>
      <c r="J349" s="26" t="s">
        <v>12</v>
      </c>
      <c r="K349" s="26" t="s">
        <v>13</v>
      </c>
      <c r="L349" s="55">
        <v>46082.577246724541</v>
      </c>
      <c r="M349" s="26"/>
      <c r="N349" s="29"/>
    </row>
    <row r="350" spans="1:14" ht="75" customHeight="1" thickTop="1" thickBot="1">
      <c r="A350" s="26">
        <v>348</v>
      </c>
      <c r="B350" s="55">
        <v>46083.548717418897</v>
      </c>
      <c r="C350" s="56" t="s">
        <v>26</v>
      </c>
      <c r="D350" s="56" t="s">
        <v>49</v>
      </c>
      <c r="E350" s="26" t="s">
        <v>22</v>
      </c>
      <c r="F350" s="26" t="s">
        <v>42</v>
      </c>
      <c r="G350" s="26" t="s">
        <v>25</v>
      </c>
      <c r="H350" s="26" t="s">
        <v>315</v>
      </c>
      <c r="I350" s="26"/>
      <c r="J350" s="26" t="s">
        <v>12</v>
      </c>
      <c r="K350" s="26" t="s">
        <v>13</v>
      </c>
      <c r="L350" s="55">
        <v>46083.552336956018</v>
      </c>
      <c r="M350" s="26"/>
      <c r="N350" s="29"/>
    </row>
    <row r="351" spans="1:14" ht="75" customHeight="1" thickTop="1" thickBot="1">
      <c r="A351" s="34">
        <v>349</v>
      </c>
      <c r="B351" s="55">
        <v>46083.550002719901</v>
      </c>
      <c r="C351" s="56" t="s">
        <v>26</v>
      </c>
      <c r="D351" s="56" t="s">
        <v>49</v>
      </c>
      <c r="E351" s="26" t="s">
        <v>22</v>
      </c>
      <c r="F351" s="26" t="s">
        <v>42</v>
      </c>
      <c r="G351" s="26" t="s">
        <v>25</v>
      </c>
      <c r="H351" s="26" t="s">
        <v>386</v>
      </c>
      <c r="I351" s="26"/>
      <c r="J351" s="26" t="s">
        <v>14</v>
      </c>
      <c r="K351" s="26" t="s">
        <v>13</v>
      </c>
      <c r="L351" s="55">
        <v>46083.552392129626</v>
      </c>
      <c r="M351" s="26"/>
      <c r="N351" s="29"/>
    </row>
    <row r="352" spans="1:14" ht="75" customHeight="1" thickTop="1" thickBot="1">
      <c r="A352" s="26">
        <v>350</v>
      </c>
      <c r="B352" s="55">
        <v>46083.551138703697</v>
      </c>
      <c r="C352" s="56" t="s">
        <v>26</v>
      </c>
      <c r="D352" s="56" t="s">
        <v>49</v>
      </c>
      <c r="E352" s="26" t="s">
        <v>22</v>
      </c>
      <c r="F352" s="26" t="s">
        <v>31</v>
      </c>
      <c r="G352" s="26" t="s">
        <v>25</v>
      </c>
      <c r="H352" s="26" t="s">
        <v>332</v>
      </c>
      <c r="I352" s="26"/>
      <c r="J352" s="26" t="s">
        <v>16</v>
      </c>
      <c r="K352" s="26" t="s">
        <v>13</v>
      </c>
      <c r="L352" s="55">
        <v>46083.552457453705</v>
      </c>
      <c r="M352" s="26"/>
      <c r="N352" s="29"/>
    </row>
    <row r="353" spans="1:14" ht="75" customHeight="1" thickTop="1" thickBot="1">
      <c r="A353" s="34">
        <v>351</v>
      </c>
      <c r="B353" s="55">
        <v>46083.552039189803</v>
      </c>
      <c r="C353" s="56" t="s">
        <v>26</v>
      </c>
      <c r="D353" s="56" t="s">
        <v>49</v>
      </c>
      <c r="E353" s="26" t="s">
        <v>22</v>
      </c>
      <c r="F353" s="26" t="s">
        <v>42</v>
      </c>
      <c r="G353" s="26" t="s">
        <v>36</v>
      </c>
      <c r="H353" s="26" t="s">
        <v>333</v>
      </c>
      <c r="I353" s="26"/>
      <c r="J353" s="26" t="s">
        <v>16</v>
      </c>
      <c r="K353" s="26" t="s">
        <v>13</v>
      </c>
      <c r="L353" s="55">
        <v>46083.552532696762</v>
      </c>
      <c r="M353" s="26"/>
      <c r="N353" s="29"/>
    </row>
    <row r="354" spans="1:14" ht="75" customHeight="1" thickTop="1" thickBot="1">
      <c r="A354" s="26">
        <v>352</v>
      </c>
      <c r="B354" s="55">
        <v>46084.433099502297</v>
      </c>
      <c r="C354" s="56" t="s">
        <v>26</v>
      </c>
      <c r="D354" s="56" t="s">
        <v>180</v>
      </c>
      <c r="E354" s="26" t="s">
        <v>21</v>
      </c>
      <c r="F354" s="26" t="s">
        <v>28</v>
      </c>
      <c r="G354" s="26" t="s">
        <v>25</v>
      </c>
      <c r="H354" s="26" t="s">
        <v>334</v>
      </c>
      <c r="I354" s="26"/>
      <c r="J354" s="26" t="s">
        <v>16</v>
      </c>
      <c r="K354" s="26" t="s">
        <v>13</v>
      </c>
      <c r="L354" s="55">
        <v>46084.477781875001</v>
      </c>
      <c r="M354" s="26"/>
      <c r="N354" s="29"/>
    </row>
    <row r="355" spans="1:14" ht="75" customHeight="1" thickTop="1" thickBot="1">
      <c r="A355" s="34">
        <v>353</v>
      </c>
      <c r="B355" s="55">
        <v>46084.625150636501</v>
      </c>
      <c r="C355" s="56" t="s">
        <v>26</v>
      </c>
      <c r="D355" s="56" t="s">
        <v>49</v>
      </c>
      <c r="E355" s="26" t="s">
        <v>22</v>
      </c>
      <c r="F355" s="26" t="s">
        <v>39</v>
      </c>
      <c r="G355" s="26" t="s">
        <v>43</v>
      </c>
      <c r="H355" s="26" t="s">
        <v>3763</v>
      </c>
      <c r="I355" s="26"/>
      <c r="J355" s="26" t="s">
        <v>16</v>
      </c>
      <c r="K355" s="26" t="s">
        <v>13</v>
      </c>
      <c r="L355" s="55">
        <v>46084.628066226855</v>
      </c>
      <c r="M355" s="26"/>
      <c r="N355" s="29"/>
    </row>
    <row r="356" spans="1:14" ht="75" customHeight="1" thickTop="1" thickBot="1">
      <c r="A356" s="26">
        <v>354</v>
      </c>
      <c r="B356" s="55">
        <v>46084.625876342499</v>
      </c>
      <c r="C356" s="56" t="s">
        <v>26</v>
      </c>
      <c r="D356" s="56" t="s">
        <v>49</v>
      </c>
      <c r="E356" s="26" t="s">
        <v>22</v>
      </c>
      <c r="F356" s="26" t="s">
        <v>28</v>
      </c>
      <c r="G356" s="26" t="s">
        <v>45</v>
      </c>
      <c r="H356" s="26" t="s">
        <v>3764</v>
      </c>
      <c r="I356" s="26"/>
      <c r="J356" s="26" t="s">
        <v>16</v>
      </c>
      <c r="K356" s="26" t="s">
        <v>13</v>
      </c>
      <c r="L356" s="55">
        <v>46084.628181249995</v>
      </c>
      <c r="M356" s="26"/>
      <c r="N356" s="29"/>
    </row>
    <row r="357" spans="1:14" ht="75" customHeight="1" thickTop="1" thickBot="1">
      <c r="A357" s="34">
        <v>355</v>
      </c>
      <c r="B357" s="55">
        <v>46084.626589965199</v>
      </c>
      <c r="C357" s="56" t="s">
        <v>26</v>
      </c>
      <c r="D357" s="56" t="s">
        <v>49</v>
      </c>
      <c r="E357" s="26" t="s">
        <v>22</v>
      </c>
      <c r="F357" s="26" t="s">
        <v>28</v>
      </c>
      <c r="G357" s="26" t="s">
        <v>216</v>
      </c>
      <c r="H357" s="26" t="s">
        <v>3765</v>
      </c>
      <c r="I357" s="26"/>
      <c r="J357" s="26" t="s">
        <v>16</v>
      </c>
      <c r="K357" s="26" t="s">
        <v>13</v>
      </c>
      <c r="L357" s="55">
        <v>46084.628270532412</v>
      </c>
      <c r="M357" s="26"/>
      <c r="N357" s="29"/>
    </row>
    <row r="358" spans="1:14" ht="75" customHeight="1" thickTop="1" thickBot="1">
      <c r="A358" s="26">
        <v>356</v>
      </c>
      <c r="B358" s="55">
        <v>46084.627097326302</v>
      </c>
      <c r="C358" s="56" t="s">
        <v>26</v>
      </c>
      <c r="D358" s="56" t="s">
        <v>49</v>
      </c>
      <c r="E358" s="26" t="s">
        <v>22</v>
      </c>
      <c r="F358" s="26" t="s">
        <v>28</v>
      </c>
      <c r="G358" s="26" t="s">
        <v>216</v>
      </c>
      <c r="H358" s="26" t="s">
        <v>3766</v>
      </c>
      <c r="I358" s="26"/>
      <c r="J358" s="26" t="s">
        <v>16</v>
      </c>
      <c r="K358" s="26" t="s">
        <v>13</v>
      </c>
      <c r="L358" s="55">
        <v>46084.628326770835</v>
      </c>
      <c r="M358" s="26"/>
      <c r="N358" s="29"/>
    </row>
    <row r="359" spans="1:14" ht="75" customHeight="1" thickTop="1" thickBot="1">
      <c r="A359" s="34">
        <v>357</v>
      </c>
      <c r="B359" s="55">
        <v>46084.627704583298</v>
      </c>
      <c r="C359" s="56" t="s">
        <v>26</v>
      </c>
      <c r="D359" s="56" t="s">
        <v>49</v>
      </c>
      <c r="E359" s="26" t="s">
        <v>22</v>
      </c>
      <c r="F359" s="26" t="s">
        <v>28</v>
      </c>
      <c r="G359" s="26" t="s">
        <v>37</v>
      </c>
      <c r="H359" s="26" t="s">
        <v>3767</v>
      </c>
      <c r="I359" s="26"/>
      <c r="J359" s="26" t="s">
        <v>16</v>
      </c>
      <c r="K359" s="26" t="s">
        <v>13</v>
      </c>
      <c r="L359" s="55">
        <v>46084.62846709491</v>
      </c>
      <c r="M359" s="26"/>
    </row>
    <row r="360" spans="1:14" ht="75" customHeight="1" thickTop="1" thickBot="1">
      <c r="A360" s="26">
        <v>358</v>
      </c>
      <c r="B360" s="55">
        <v>46085.3527225578</v>
      </c>
      <c r="C360" s="56" t="s">
        <v>26</v>
      </c>
      <c r="D360" s="56" t="s">
        <v>57</v>
      </c>
      <c r="E360" s="26" t="s">
        <v>21</v>
      </c>
      <c r="F360" s="26" t="s">
        <v>39</v>
      </c>
      <c r="G360" s="26" t="s">
        <v>43</v>
      </c>
      <c r="H360" s="26" t="s">
        <v>387</v>
      </c>
      <c r="I360" s="26"/>
      <c r="J360" s="26" t="s">
        <v>14</v>
      </c>
      <c r="K360" s="26" t="s">
        <v>13</v>
      </c>
      <c r="L360" s="55">
        <v>46089.305614976853</v>
      </c>
      <c r="M360" s="26"/>
    </row>
    <row r="361" spans="1:14" ht="75" customHeight="1" thickTop="1" thickBot="1">
      <c r="A361" s="34">
        <v>359</v>
      </c>
      <c r="B361" s="55">
        <v>46085.354975150403</v>
      </c>
      <c r="C361" s="56" t="s">
        <v>26</v>
      </c>
      <c r="D361" s="56" t="s">
        <v>57</v>
      </c>
      <c r="E361" s="26" t="s">
        <v>21</v>
      </c>
      <c r="F361" s="26" t="s">
        <v>54</v>
      </c>
      <c r="G361" s="26" t="s">
        <v>44</v>
      </c>
      <c r="H361" s="26" t="s">
        <v>3768</v>
      </c>
      <c r="I361" s="26"/>
      <c r="J361" s="26" t="s">
        <v>16</v>
      </c>
      <c r="K361" s="26" t="s">
        <v>17</v>
      </c>
      <c r="L361" s="55">
        <v>46085.382697349538</v>
      </c>
      <c r="M361" s="26"/>
    </row>
    <row r="362" spans="1:14" ht="75" customHeight="1" thickTop="1" thickBot="1">
      <c r="A362" s="26">
        <v>360</v>
      </c>
      <c r="B362" s="55">
        <v>46085.426608541602</v>
      </c>
      <c r="C362" s="56" t="s">
        <v>26</v>
      </c>
      <c r="D362" s="56" t="s">
        <v>57</v>
      </c>
      <c r="E362" s="26" t="s">
        <v>21</v>
      </c>
      <c r="F362" s="26" t="s">
        <v>28</v>
      </c>
      <c r="G362" s="26" t="s">
        <v>36</v>
      </c>
      <c r="H362" s="26" t="s">
        <v>335</v>
      </c>
      <c r="I362" s="26"/>
      <c r="J362" s="26" t="s">
        <v>16</v>
      </c>
      <c r="K362" s="26" t="s">
        <v>13</v>
      </c>
      <c r="L362" s="55">
        <v>46085.543329155094</v>
      </c>
      <c r="M362" s="26"/>
    </row>
    <row r="363" spans="1:14" ht="75" customHeight="1" thickTop="1" thickBot="1">
      <c r="A363" s="34">
        <v>361</v>
      </c>
      <c r="B363" s="55">
        <v>46085.431435833299</v>
      </c>
      <c r="C363" s="56" t="s">
        <v>26</v>
      </c>
      <c r="D363" s="56" t="s">
        <v>57</v>
      </c>
      <c r="E363" s="26" t="s">
        <v>21</v>
      </c>
      <c r="F363" s="26" t="s">
        <v>28</v>
      </c>
      <c r="G363" s="26" t="s">
        <v>37</v>
      </c>
      <c r="H363" s="26" t="s">
        <v>336</v>
      </c>
      <c r="I363" s="26"/>
      <c r="J363" s="26" t="s">
        <v>16</v>
      </c>
      <c r="K363" s="26" t="s">
        <v>13</v>
      </c>
      <c r="L363" s="55">
        <v>46085.464440868054</v>
      </c>
      <c r="M363" s="26"/>
    </row>
    <row r="364" spans="1:14" ht="75" customHeight="1" thickTop="1" thickBot="1">
      <c r="A364" s="26">
        <v>362</v>
      </c>
      <c r="B364" s="55">
        <v>46085.552097372602</v>
      </c>
      <c r="C364" s="56" t="s">
        <v>26</v>
      </c>
      <c r="D364" s="56" t="s">
        <v>49</v>
      </c>
      <c r="E364" s="26" t="s">
        <v>22</v>
      </c>
      <c r="F364" s="26" t="s">
        <v>42</v>
      </c>
      <c r="G364" s="26" t="s">
        <v>337</v>
      </c>
      <c r="H364" s="26" t="s">
        <v>3769</v>
      </c>
      <c r="I364" s="26"/>
      <c r="J364" s="26" t="s">
        <v>16</v>
      </c>
      <c r="K364" s="26" t="s">
        <v>13</v>
      </c>
      <c r="L364" s="55">
        <v>46085.555897719911</v>
      </c>
      <c r="M364" s="26"/>
    </row>
    <row r="365" spans="1:14" ht="75" customHeight="1" thickTop="1" thickBot="1">
      <c r="A365" s="34">
        <v>363</v>
      </c>
      <c r="B365" s="55">
        <v>46085.553098391203</v>
      </c>
      <c r="C365" s="56" t="s">
        <v>26</v>
      </c>
      <c r="D365" s="56" t="s">
        <v>49</v>
      </c>
      <c r="E365" s="26" t="s">
        <v>22</v>
      </c>
      <c r="F365" s="26" t="s">
        <v>42</v>
      </c>
      <c r="G365" s="26" t="s">
        <v>337</v>
      </c>
      <c r="H365" s="26" t="s">
        <v>3770</v>
      </c>
      <c r="I365" s="26"/>
      <c r="J365" s="26" t="s">
        <v>16</v>
      </c>
      <c r="K365" s="26" t="s">
        <v>13</v>
      </c>
      <c r="L365" s="55">
        <v>46085.555917488426</v>
      </c>
      <c r="M365" s="26"/>
    </row>
    <row r="366" spans="1:14" ht="75" customHeight="1" thickTop="1" thickBot="1">
      <c r="A366" s="26">
        <v>364</v>
      </c>
      <c r="B366" s="55">
        <v>46085.554148217503</v>
      </c>
      <c r="C366" s="56" t="s">
        <v>26</v>
      </c>
      <c r="D366" s="56" t="s">
        <v>49</v>
      </c>
      <c r="E366" s="26" t="s">
        <v>22</v>
      </c>
      <c r="F366" s="26" t="s">
        <v>31</v>
      </c>
      <c r="G366" s="26" t="s">
        <v>43</v>
      </c>
      <c r="H366" s="26" t="s">
        <v>3771</v>
      </c>
      <c r="I366" s="26"/>
      <c r="J366" s="26" t="s">
        <v>16</v>
      </c>
      <c r="K366" s="26" t="s">
        <v>13</v>
      </c>
      <c r="L366" s="55">
        <v>46085.556014259259</v>
      </c>
      <c r="M366" s="26"/>
    </row>
    <row r="367" spans="1:14" ht="75" customHeight="1" thickTop="1" thickBot="1">
      <c r="A367" s="34">
        <v>365</v>
      </c>
      <c r="B367" s="55">
        <v>46085.555090925896</v>
      </c>
      <c r="C367" s="56" t="s">
        <v>26</v>
      </c>
      <c r="D367" s="56" t="s">
        <v>49</v>
      </c>
      <c r="E367" s="26" t="s">
        <v>22</v>
      </c>
      <c r="F367" s="26" t="s">
        <v>28</v>
      </c>
      <c r="G367" s="26" t="s">
        <v>37</v>
      </c>
      <c r="H367" s="26" t="s">
        <v>3772</v>
      </c>
      <c r="I367" s="26"/>
      <c r="J367" s="26" t="s">
        <v>16</v>
      </c>
      <c r="K367" s="26" t="s">
        <v>13</v>
      </c>
      <c r="L367" s="55">
        <v>46085.556047453705</v>
      </c>
      <c r="M367" s="26"/>
    </row>
    <row r="368" spans="1:14" ht="75" customHeight="1" thickTop="1" thickBot="1">
      <c r="A368" s="26">
        <v>366</v>
      </c>
      <c r="B368" s="55">
        <v>46085.555719120297</v>
      </c>
      <c r="C368" s="56" t="s">
        <v>26</v>
      </c>
      <c r="D368" s="56" t="s">
        <v>49</v>
      </c>
      <c r="E368" s="26" t="s">
        <v>22</v>
      </c>
      <c r="F368" s="26" t="s">
        <v>28</v>
      </c>
      <c r="G368" s="26" t="s">
        <v>37</v>
      </c>
      <c r="H368" s="26" t="s">
        <v>3773</v>
      </c>
      <c r="I368" s="26"/>
      <c r="J368" s="26" t="s">
        <v>16</v>
      </c>
      <c r="K368" s="26" t="s">
        <v>13</v>
      </c>
      <c r="L368" s="55">
        <v>46085.556123055554</v>
      </c>
      <c r="M368" s="26"/>
    </row>
    <row r="369" spans="1:13" ht="75" customHeight="1" thickTop="1" thickBot="1">
      <c r="A369" s="34">
        <v>367</v>
      </c>
      <c r="B369" s="55">
        <v>46086.301478761503</v>
      </c>
      <c r="C369" s="56" t="s">
        <v>26</v>
      </c>
      <c r="D369" s="56" t="s">
        <v>49</v>
      </c>
      <c r="E369" s="26" t="s">
        <v>22</v>
      </c>
      <c r="F369" s="26" t="s">
        <v>31</v>
      </c>
      <c r="G369" s="26" t="s">
        <v>47</v>
      </c>
      <c r="H369" s="26" t="s">
        <v>3774</v>
      </c>
      <c r="I369" s="26"/>
      <c r="J369" s="26" t="s">
        <v>12</v>
      </c>
      <c r="K369" s="26" t="s">
        <v>13</v>
      </c>
      <c r="L369" s="55">
        <v>46086.305614409721</v>
      </c>
      <c r="M369" s="26"/>
    </row>
    <row r="370" spans="1:13" ht="75" customHeight="1" thickTop="1" thickBot="1">
      <c r="A370" s="26">
        <v>368</v>
      </c>
      <c r="B370" s="55">
        <v>46086.303289629599</v>
      </c>
      <c r="C370" s="56" t="s">
        <v>26</v>
      </c>
      <c r="D370" s="56" t="s">
        <v>49</v>
      </c>
      <c r="E370" s="26" t="s">
        <v>22</v>
      </c>
      <c r="F370" s="26" t="s">
        <v>31</v>
      </c>
      <c r="G370" s="26" t="s">
        <v>36</v>
      </c>
      <c r="H370" s="26" t="s">
        <v>3775</v>
      </c>
      <c r="I370" s="26"/>
      <c r="J370" s="26" t="s">
        <v>12</v>
      </c>
      <c r="K370" s="26" t="s">
        <v>13</v>
      </c>
      <c r="L370" s="55">
        <v>46086.305646643523</v>
      </c>
      <c r="M370" s="26"/>
    </row>
    <row r="371" spans="1:13" ht="75" customHeight="1" thickTop="1" thickBot="1">
      <c r="A371" s="34">
        <v>369</v>
      </c>
      <c r="B371" s="55">
        <v>46086.305303310102</v>
      </c>
      <c r="C371" s="56" t="s">
        <v>26</v>
      </c>
      <c r="D371" s="56" t="s">
        <v>49</v>
      </c>
      <c r="E371" s="26" t="s">
        <v>22</v>
      </c>
      <c r="F371" s="26" t="s">
        <v>141</v>
      </c>
      <c r="G371" s="26" t="s">
        <v>216</v>
      </c>
      <c r="H371" s="26" t="s">
        <v>3776</v>
      </c>
      <c r="I371" s="26"/>
      <c r="J371" s="26" t="s">
        <v>12</v>
      </c>
      <c r="K371" s="26" t="s">
        <v>13</v>
      </c>
      <c r="L371" s="55">
        <v>46086.305675162039</v>
      </c>
      <c r="M371" s="26"/>
    </row>
    <row r="372" spans="1:13" ht="75" customHeight="1" thickTop="1" thickBot="1">
      <c r="A372" s="26">
        <v>370</v>
      </c>
      <c r="B372" s="55">
        <v>46086.3121867476</v>
      </c>
      <c r="C372" s="56" t="s">
        <v>26</v>
      </c>
      <c r="D372" s="56" t="s">
        <v>49</v>
      </c>
      <c r="E372" s="26" t="s">
        <v>22</v>
      </c>
      <c r="F372" s="26" t="s">
        <v>28</v>
      </c>
      <c r="G372" s="26" t="s">
        <v>36</v>
      </c>
      <c r="H372" s="26" t="s">
        <v>3777</v>
      </c>
      <c r="I372" s="26"/>
      <c r="J372" s="26" t="s">
        <v>16</v>
      </c>
      <c r="K372" s="26" t="s">
        <v>13</v>
      </c>
      <c r="L372" s="55">
        <v>46086.312382511576</v>
      </c>
      <c r="M372" s="26"/>
    </row>
    <row r="373" spans="1:13" ht="75" customHeight="1" thickTop="1" thickBot="1">
      <c r="A373" s="34">
        <v>371</v>
      </c>
      <c r="B373" s="55">
        <v>46086.474751342597</v>
      </c>
      <c r="C373" s="56" t="s">
        <v>26</v>
      </c>
      <c r="D373" s="56" t="s">
        <v>57</v>
      </c>
      <c r="E373" s="26" t="s">
        <v>21</v>
      </c>
      <c r="F373" s="26" t="s">
        <v>141</v>
      </c>
      <c r="G373" s="26" t="s">
        <v>37</v>
      </c>
      <c r="H373" s="26" t="s">
        <v>338</v>
      </c>
      <c r="I373" s="26"/>
      <c r="J373" s="26" t="s">
        <v>16</v>
      </c>
      <c r="K373" s="26" t="s">
        <v>13</v>
      </c>
      <c r="L373" s="55">
        <v>46086.526882418984</v>
      </c>
      <c r="M373" s="26"/>
    </row>
    <row r="374" spans="1:13" ht="75" customHeight="1" thickTop="1" thickBot="1">
      <c r="A374" s="26">
        <v>372</v>
      </c>
      <c r="B374" s="55">
        <v>46088.499797951299</v>
      </c>
      <c r="C374" s="56" t="s">
        <v>26</v>
      </c>
      <c r="D374" s="56" t="s">
        <v>49</v>
      </c>
      <c r="E374" s="26" t="s">
        <v>22</v>
      </c>
      <c r="F374" s="26" t="s">
        <v>42</v>
      </c>
      <c r="G374" s="26" t="s">
        <v>37</v>
      </c>
      <c r="H374" s="26" t="s">
        <v>3778</v>
      </c>
      <c r="I374" s="26"/>
      <c r="J374" s="26" t="s">
        <v>12</v>
      </c>
      <c r="K374" s="26" t="s">
        <v>13</v>
      </c>
      <c r="L374" s="55">
        <v>46088.502878263884</v>
      </c>
      <c r="M374" s="26"/>
    </row>
    <row r="375" spans="1:13" ht="75" customHeight="1" thickTop="1" thickBot="1">
      <c r="A375" s="34">
        <v>373</v>
      </c>
      <c r="B375" s="55">
        <v>46088.500338379599</v>
      </c>
      <c r="C375" s="56" t="s">
        <v>26</v>
      </c>
      <c r="D375" s="56" t="s">
        <v>49</v>
      </c>
      <c r="E375" s="26" t="s">
        <v>22</v>
      </c>
      <c r="F375" s="26" t="s">
        <v>42</v>
      </c>
      <c r="G375" s="26" t="s">
        <v>37</v>
      </c>
      <c r="H375" s="26" t="s">
        <v>316</v>
      </c>
      <c r="I375" s="26"/>
      <c r="J375" s="26" t="s">
        <v>12</v>
      </c>
      <c r="K375" s="26" t="s">
        <v>13</v>
      </c>
      <c r="L375" s="55">
        <v>46088.502937870369</v>
      </c>
      <c r="M375" s="26"/>
    </row>
    <row r="376" spans="1:13" ht="75" customHeight="1" thickTop="1" thickBot="1">
      <c r="A376" s="26">
        <v>374</v>
      </c>
      <c r="B376" s="55">
        <v>46088.501320208299</v>
      </c>
      <c r="C376" s="56" t="s">
        <v>26</v>
      </c>
      <c r="D376" s="56" t="s">
        <v>49</v>
      </c>
      <c r="E376" s="26" t="s">
        <v>22</v>
      </c>
      <c r="F376" s="26" t="s">
        <v>39</v>
      </c>
      <c r="G376" s="26" t="s">
        <v>37</v>
      </c>
      <c r="H376" s="26" t="s">
        <v>3779</v>
      </c>
      <c r="I376" s="26"/>
      <c r="J376" s="26" t="s">
        <v>12</v>
      </c>
      <c r="K376" s="26" t="s">
        <v>13</v>
      </c>
      <c r="L376" s="55">
        <v>46088.503002199075</v>
      </c>
      <c r="M376" s="26"/>
    </row>
    <row r="377" spans="1:13" ht="75" customHeight="1" thickTop="1" thickBot="1">
      <c r="A377" s="34">
        <v>375</v>
      </c>
      <c r="B377" s="55">
        <v>46088.5029813078</v>
      </c>
      <c r="C377" s="56" t="s">
        <v>26</v>
      </c>
      <c r="D377" s="56" t="s">
        <v>49</v>
      </c>
      <c r="E377" s="26" t="s">
        <v>22</v>
      </c>
      <c r="F377" s="26" t="s">
        <v>28</v>
      </c>
      <c r="G377" s="26" t="s">
        <v>317</v>
      </c>
      <c r="H377" s="26" t="s">
        <v>3780</v>
      </c>
      <c r="I377" s="26"/>
      <c r="J377" s="26" t="s">
        <v>12</v>
      </c>
      <c r="K377" s="26" t="s">
        <v>13</v>
      </c>
      <c r="L377" s="55">
        <v>46088.503110405094</v>
      </c>
      <c r="M377" s="26"/>
    </row>
    <row r="378" spans="1:13" ht="75" customHeight="1" thickTop="1" thickBot="1">
      <c r="A378" s="26">
        <v>376</v>
      </c>
      <c r="B378" s="55">
        <v>46088.504674698997</v>
      </c>
      <c r="C378" s="56" t="s">
        <v>26</v>
      </c>
      <c r="D378" s="56" t="s">
        <v>49</v>
      </c>
      <c r="E378" s="26" t="s">
        <v>22</v>
      </c>
      <c r="F378" s="26" t="s">
        <v>31</v>
      </c>
      <c r="G378" s="26" t="s">
        <v>37</v>
      </c>
      <c r="H378" s="26" t="s">
        <v>339</v>
      </c>
      <c r="I378" s="26"/>
      <c r="J378" s="26" t="s">
        <v>16</v>
      </c>
      <c r="K378" s="26" t="s">
        <v>13</v>
      </c>
      <c r="L378" s="55">
        <v>46088.527546307872</v>
      </c>
      <c r="M378" s="26" t="s">
        <v>295</v>
      </c>
    </row>
    <row r="379" spans="1:13" ht="75" customHeight="1" thickTop="1" thickBot="1">
      <c r="A379" s="34">
        <v>377</v>
      </c>
      <c r="B379" s="55">
        <v>46088.505279224497</v>
      </c>
      <c r="C379" s="56" t="s">
        <v>26</v>
      </c>
      <c r="D379" s="56" t="s">
        <v>49</v>
      </c>
      <c r="E379" s="26" t="s">
        <v>22</v>
      </c>
      <c r="F379" s="26" t="s">
        <v>31</v>
      </c>
      <c r="G379" s="26" t="s">
        <v>38</v>
      </c>
      <c r="H379" s="26" t="s">
        <v>340</v>
      </c>
      <c r="I379" s="26"/>
      <c r="J379" s="26" t="s">
        <v>16</v>
      </c>
      <c r="K379" s="26" t="s">
        <v>13</v>
      </c>
      <c r="L379" s="55">
        <v>46088.510703842592</v>
      </c>
      <c r="M379" s="26"/>
    </row>
    <row r="380" spans="1:13" ht="75" customHeight="1" thickTop="1" thickBot="1">
      <c r="A380" s="26">
        <v>378</v>
      </c>
      <c r="B380" s="55">
        <v>46088.506017233798</v>
      </c>
      <c r="C380" s="56" t="s">
        <v>26</v>
      </c>
      <c r="D380" s="56" t="s">
        <v>49</v>
      </c>
      <c r="E380" s="26" t="s">
        <v>22</v>
      </c>
      <c r="F380" s="26" t="s">
        <v>42</v>
      </c>
      <c r="G380" s="26" t="s">
        <v>48</v>
      </c>
      <c r="H380" s="26" t="s">
        <v>3781</v>
      </c>
      <c r="I380" s="26"/>
      <c r="J380" s="26" t="s">
        <v>16</v>
      </c>
      <c r="K380" s="26" t="s">
        <v>13</v>
      </c>
      <c r="L380" s="55">
        <v>46088.510751516209</v>
      </c>
      <c r="M380" s="26"/>
    </row>
    <row r="381" spans="1:13" ht="75" customHeight="1" thickTop="1" thickBot="1">
      <c r="A381" s="34">
        <v>379</v>
      </c>
      <c r="B381" s="55">
        <v>46088.506670844901</v>
      </c>
      <c r="C381" s="56" t="s">
        <v>26</v>
      </c>
      <c r="D381" s="56" t="s">
        <v>49</v>
      </c>
      <c r="E381" s="26" t="s">
        <v>22</v>
      </c>
      <c r="F381" s="26" t="s">
        <v>42</v>
      </c>
      <c r="G381" s="26" t="s">
        <v>216</v>
      </c>
      <c r="H381" s="26" t="s">
        <v>3782</v>
      </c>
      <c r="I381" s="26"/>
      <c r="J381" s="26" t="s">
        <v>16</v>
      </c>
      <c r="K381" s="26" t="s">
        <v>13</v>
      </c>
      <c r="L381" s="55">
        <v>46088.510803321755</v>
      </c>
      <c r="M381" s="26"/>
    </row>
    <row r="382" spans="1:13" ht="75" customHeight="1" thickTop="1" thickBot="1">
      <c r="A382" s="26">
        <v>380</v>
      </c>
      <c r="B382" s="55">
        <v>46088.5071144213</v>
      </c>
      <c r="C382" s="56" t="s">
        <v>26</v>
      </c>
      <c r="D382" s="56" t="s">
        <v>49</v>
      </c>
      <c r="E382" s="26" t="s">
        <v>22</v>
      </c>
      <c r="F382" s="26" t="s">
        <v>31</v>
      </c>
      <c r="G382" s="26" t="s">
        <v>37</v>
      </c>
      <c r="H382" s="26" t="s">
        <v>3783</v>
      </c>
      <c r="I382" s="26"/>
      <c r="J382" s="26" t="s">
        <v>16</v>
      </c>
      <c r="K382" s="26" t="s">
        <v>13</v>
      </c>
      <c r="L382" s="55">
        <v>46088.510912233796</v>
      </c>
      <c r="M382" s="26"/>
    </row>
    <row r="383" spans="1:13" ht="75" customHeight="1" thickTop="1" thickBot="1">
      <c r="A383" s="34">
        <v>381</v>
      </c>
      <c r="B383" s="55">
        <v>46088.5076326157</v>
      </c>
      <c r="C383" s="56" t="s">
        <v>26</v>
      </c>
      <c r="D383" s="56" t="s">
        <v>49</v>
      </c>
      <c r="E383" s="26" t="s">
        <v>22</v>
      </c>
      <c r="F383" s="26" t="s">
        <v>42</v>
      </c>
      <c r="G383" s="26" t="s">
        <v>47</v>
      </c>
      <c r="H383" s="26" t="s">
        <v>3784</v>
      </c>
      <c r="I383" s="26"/>
      <c r="J383" s="26" t="s">
        <v>16</v>
      </c>
      <c r="K383" s="26" t="s">
        <v>13</v>
      </c>
      <c r="L383" s="55">
        <v>46088.510965717593</v>
      </c>
      <c r="M383" s="26"/>
    </row>
    <row r="384" spans="1:13" ht="75" customHeight="1" thickTop="1" thickBot="1">
      <c r="A384" s="26">
        <v>382</v>
      </c>
      <c r="B384" s="55">
        <v>46088.508259837901</v>
      </c>
      <c r="C384" s="56" t="s">
        <v>26</v>
      </c>
      <c r="D384" s="56" t="s">
        <v>49</v>
      </c>
      <c r="E384" s="26" t="s">
        <v>22</v>
      </c>
      <c r="F384" s="26" t="s">
        <v>31</v>
      </c>
      <c r="G384" s="26" t="s">
        <v>213</v>
      </c>
      <c r="H384" s="26" t="s">
        <v>3785</v>
      </c>
      <c r="I384" s="26"/>
      <c r="J384" s="26" t="s">
        <v>16</v>
      </c>
      <c r="K384" s="26" t="s">
        <v>13</v>
      </c>
      <c r="L384" s="55">
        <v>46088.511013946758</v>
      </c>
      <c r="M384" s="26"/>
    </row>
    <row r="385" spans="1:13" ht="75" customHeight="1" thickTop="1" thickBot="1">
      <c r="A385" s="34">
        <v>383</v>
      </c>
      <c r="B385" s="55">
        <v>46088.508727036999</v>
      </c>
      <c r="C385" s="56" t="s">
        <v>26</v>
      </c>
      <c r="D385" s="56" t="s">
        <v>49</v>
      </c>
      <c r="E385" s="26" t="s">
        <v>22</v>
      </c>
      <c r="F385" s="26" t="s">
        <v>31</v>
      </c>
      <c r="G385" s="26" t="s">
        <v>38</v>
      </c>
      <c r="H385" s="26" t="s">
        <v>3786</v>
      </c>
      <c r="I385" s="26"/>
      <c r="J385" s="26" t="s">
        <v>16</v>
      </c>
      <c r="K385" s="26" t="s">
        <v>13</v>
      </c>
      <c r="L385" s="55">
        <v>46088.511062604171</v>
      </c>
      <c r="M385" s="26"/>
    </row>
    <row r="386" spans="1:13" ht="75" customHeight="1" thickTop="1" thickBot="1">
      <c r="A386" s="26">
        <v>384</v>
      </c>
      <c r="B386" s="55">
        <v>46088.509171157399</v>
      </c>
      <c r="C386" s="56" t="s">
        <v>26</v>
      </c>
      <c r="D386" s="56" t="s">
        <v>49</v>
      </c>
      <c r="E386" s="26" t="s">
        <v>22</v>
      </c>
      <c r="F386" s="26" t="s">
        <v>31</v>
      </c>
      <c r="G386" s="26" t="s">
        <v>38</v>
      </c>
      <c r="H386" s="26" t="s">
        <v>3787</v>
      </c>
      <c r="I386" s="26"/>
      <c r="J386" s="26" t="s">
        <v>16</v>
      </c>
      <c r="K386" s="26" t="s">
        <v>13</v>
      </c>
      <c r="L386" s="55">
        <v>46088.511130011575</v>
      </c>
      <c r="M386" s="26"/>
    </row>
    <row r="387" spans="1:13" ht="75" customHeight="1" thickTop="1" thickBot="1">
      <c r="A387" s="34">
        <v>385</v>
      </c>
      <c r="B387" s="55">
        <v>46088.509578738398</v>
      </c>
      <c r="C387" s="56" t="s">
        <v>26</v>
      </c>
      <c r="D387" s="56" t="s">
        <v>49</v>
      </c>
      <c r="E387" s="26" t="s">
        <v>22</v>
      </c>
      <c r="F387" s="26" t="s">
        <v>31</v>
      </c>
      <c r="G387" s="26" t="s">
        <v>47</v>
      </c>
      <c r="H387" s="26" t="s">
        <v>3788</v>
      </c>
      <c r="I387" s="26"/>
      <c r="J387" s="26" t="s">
        <v>16</v>
      </c>
      <c r="K387" s="26" t="s">
        <v>13</v>
      </c>
      <c r="L387" s="55">
        <v>46088.511189965277</v>
      </c>
      <c r="M387" s="26"/>
    </row>
    <row r="388" spans="1:13" ht="75" customHeight="1" thickTop="1" thickBot="1">
      <c r="A388" s="26">
        <v>386</v>
      </c>
      <c r="B388" s="55">
        <v>46088.510081168897</v>
      </c>
      <c r="C388" s="56" t="s">
        <v>26</v>
      </c>
      <c r="D388" s="56" t="s">
        <v>49</v>
      </c>
      <c r="E388" s="26" t="s">
        <v>22</v>
      </c>
      <c r="F388" s="26" t="s">
        <v>31</v>
      </c>
      <c r="G388" s="26" t="s">
        <v>25</v>
      </c>
      <c r="H388" s="26" t="s">
        <v>3789</v>
      </c>
      <c r="I388" s="26"/>
      <c r="J388" s="26" t="s">
        <v>16</v>
      </c>
      <c r="K388" s="26" t="s">
        <v>13</v>
      </c>
      <c r="L388" s="55">
        <v>46088.511252534721</v>
      </c>
      <c r="M388" s="26"/>
    </row>
    <row r="389" spans="1:13" ht="75" customHeight="1" thickTop="1" thickBot="1">
      <c r="A389" s="34">
        <v>387</v>
      </c>
      <c r="B389" s="55">
        <v>46088.510514155001</v>
      </c>
      <c r="C389" s="56" t="s">
        <v>26</v>
      </c>
      <c r="D389" s="56" t="s">
        <v>49</v>
      </c>
      <c r="E389" s="26" t="s">
        <v>22</v>
      </c>
      <c r="F389" s="26" t="s">
        <v>31</v>
      </c>
      <c r="G389" s="26" t="s">
        <v>47</v>
      </c>
      <c r="H389" s="26" t="s">
        <v>3790</v>
      </c>
      <c r="I389" s="26"/>
      <c r="J389" s="26" t="s">
        <v>16</v>
      </c>
      <c r="K389" s="26" t="s">
        <v>13</v>
      </c>
      <c r="L389" s="55">
        <v>46088.511313252311</v>
      </c>
      <c r="M389" s="26"/>
    </row>
    <row r="390" spans="1:13" ht="75" customHeight="1" thickTop="1" thickBot="1">
      <c r="A390" s="26">
        <v>388</v>
      </c>
      <c r="B390" s="55">
        <v>46089.6660918981</v>
      </c>
      <c r="C390" s="56" t="s">
        <v>26</v>
      </c>
      <c r="D390" s="56" t="s">
        <v>49</v>
      </c>
      <c r="E390" s="26" t="s">
        <v>22</v>
      </c>
      <c r="F390" s="26" t="s">
        <v>31</v>
      </c>
      <c r="G390" s="26" t="s">
        <v>38</v>
      </c>
      <c r="H390" s="26" t="s">
        <v>3791</v>
      </c>
      <c r="I390" s="26"/>
      <c r="J390" s="26" t="s">
        <v>12</v>
      </c>
      <c r="K390" s="26" t="s">
        <v>13</v>
      </c>
      <c r="L390" s="55">
        <v>46090.309991493057</v>
      </c>
      <c r="M390" s="26"/>
    </row>
    <row r="391" spans="1:13" ht="75" customHeight="1" thickTop="1" thickBot="1">
      <c r="A391" s="34">
        <v>389</v>
      </c>
      <c r="B391" s="55">
        <v>46090.492454675899</v>
      </c>
      <c r="C391" s="56" t="s">
        <v>26</v>
      </c>
      <c r="D391" s="56" t="s">
        <v>180</v>
      </c>
      <c r="E391" s="26" t="s">
        <v>21</v>
      </c>
      <c r="F391" s="26" t="s">
        <v>31</v>
      </c>
      <c r="G391" s="26" t="s">
        <v>388</v>
      </c>
      <c r="H391" s="26" t="s">
        <v>389</v>
      </c>
      <c r="I391" s="26"/>
      <c r="J391" s="26" t="s">
        <v>14</v>
      </c>
      <c r="K391" s="26" t="s">
        <v>13</v>
      </c>
      <c r="L391" s="55">
        <v>46091.365040555553</v>
      </c>
      <c r="M391" s="26"/>
    </row>
    <row r="392" spans="1:13" ht="75" customHeight="1" thickTop="1" thickBot="1">
      <c r="A392" s="26">
        <v>390</v>
      </c>
      <c r="B392" s="55">
        <v>46090.4958225347</v>
      </c>
      <c r="C392" s="56" t="s">
        <v>26</v>
      </c>
      <c r="D392" s="56" t="s">
        <v>180</v>
      </c>
      <c r="E392" s="26" t="s">
        <v>21</v>
      </c>
      <c r="F392" s="26" t="s">
        <v>31</v>
      </c>
      <c r="G392" s="26" t="s">
        <v>60</v>
      </c>
      <c r="H392" s="26" t="s">
        <v>3792</v>
      </c>
      <c r="I392" s="26"/>
      <c r="J392" s="26" t="s">
        <v>16</v>
      </c>
      <c r="K392" s="26" t="s">
        <v>13</v>
      </c>
      <c r="L392" s="55">
        <v>46090.543607881948</v>
      </c>
      <c r="M392" s="26"/>
    </row>
    <row r="393" spans="1:13" ht="75" customHeight="1" thickTop="1" thickBot="1">
      <c r="A393" s="34">
        <v>391</v>
      </c>
      <c r="B393" s="55">
        <v>46090.498765914301</v>
      </c>
      <c r="C393" s="56" t="s">
        <v>26</v>
      </c>
      <c r="D393" s="56" t="s">
        <v>180</v>
      </c>
      <c r="E393" s="26" t="s">
        <v>21</v>
      </c>
      <c r="F393" s="26" t="s">
        <v>42</v>
      </c>
      <c r="G393" s="26" t="s">
        <v>313</v>
      </c>
      <c r="H393" s="26" t="s">
        <v>3793</v>
      </c>
      <c r="I393" s="26"/>
      <c r="J393" s="26" t="s">
        <v>84</v>
      </c>
      <c r="K393" s="26" t="s">
        <v>13</v>
      </c>
      <c r="L393" s="55">
        <v>46091.365060659722</v>
      </c>
      <c r="M393" s="26"/>
    </row>
    <row r="394" spans="1:13" ht="75" customHeight="1" thickTop="1" thickBot="1">
      <c r="A394" s="26">
        <v>392</v>
      </c>
      <c r="B394" s="55">
        <v>46090.5271119791</v>
      </c>
      <c r="C394" s="56" t="s">
        <v>26</v>
      </c>
      <c r="D394" s="56" t="s">
        <v>241</v>
      </c>
      <c r="E394" s="26" t="s">
        <v>21</v>
      </c>
      <c r="F394" s="26" t="s">
        <v>31</v>
      </c>
      <c r="G394" s="26" t="s">
        <v>37</v>
      </c>
      <c r="H394" s="26" t="s">
        <v>341</v>
      </c>
      <c r="I394" s="26"/>
      <c r="J394" s="26" t="s">
        <v>16</v>
      </c>
      <c r="K394" s="26" t="s">
        <v>13</v>
      </c>
      <c r="L394" s="55">
        <v>46090.543535810182</v>
      </c>
      <c r="M394" s="26"/>
    </row>
    <row r="395" spans="1:13" ht="75" customHeight="1" thickTop="1" thickBot="1">
      <c r="A395" s="34">
        <v>393</v>
      </c>
      <c r="B395" s="55">
        <v>46090.664679421301</v>
      </c>
      <c r="C395" s="56" t="s">
        <v>26</v>
      </c>
      <c r="D395" s="56" t="s">
        <v>49</v>
      </c>
      <c r="E395" s="26" t="s">
        <v>22</v>
      </c>
      <c r="F395" s="26" t="s">
        <v>42</v>
      </c>
      <c r="G395" s="26" t="s">
        <v>36</v>
      </c>
      <c r="H395" s="26" t="s">
        <v>342</v>
      </c>
      <c r="I395" s="26"/>
      <c r="J395" s="26" t="s">
        <v>16</v>
      </c>
      <c r="K395" s="26" t="s">
        <v>13</v>
      </c>
      <c r="L395" s="55">
        <v>46090.668938946765</v>
      </c>
      <c r="M395" s="26"/>
    </row>
    <row r="396" spans="1:13" ht="75" customHeight="1" thickTop="1" thickBot="1">
      <c r="A396" s="26">
        <v>394</v>
      </c>
      <c r="B396" s="55">
        <v>46090.665194779998</v>
      </c>
      <c r="C396" s="56" t="s">
        <v>26</v>
      </c>
      <c r="D396" s="56" t="s">
        <v>49</v>
      </c>
      <c r="E396" s="26" t="s">
        <v>22</v>
      </c>
      <c r="F396" s="26" t="s">
        <v>28</v>
      </c>
      <c r="G396" s="26" t="s">
        <v>38</v>
      </c>
      <c r="H396" s="26" t="s">
        <v>343</v>
      </c>
      <c r="I396" s="26"/>
      <c r="J396" s="26" t="s">
        <v>16</v>
      </c>
      <c r="K396" s="26" t="s">
        <v>13</v>
      </c>
      <c r="L396" s="55">
        <v>46090.668999629634</v>
      </c>
      <c r="M396" s="26"/>
    </row>
    <row r="397" spans="1:13" ht="75" customHeight="1" thickTop="1" thickBot="1">
      <c r="A397" s="34">
        <v>395</v>
      </c>
      <c r="B397" s="55">
        <v>46090.665829155099</v>
      </c>
      <c r="C397" s="56" t="s">
        <v>26</v>
      </c>
      <c r="D397" s="56" t="s">
        <v>49</v>
      </c>
      <c r="E397" s="26" t="s">
        <v>22</v>
      </c>
      <c r="F397" s="26" t="s">
        <v>28</v>
      </c>
      <c r="G397" s="26" t="s">
        <v>36</v>
      </c>
      <c r="H397" s="26" t="s">
        <v>3794</v>
      </c>
      <c r="I397" s="26"/>
      <c r="J397" s="26" t="s">
        <v>16</v>
      </c>
      <c r="K397" s="26" t="s">
        <v>13</v>
      </c>
      <c r="L397" s="55">
        <v>46090.669066423608</v>
      </c>
      <c r="M397" s="26"/>
    </row>
    <row r="398" spans="1:13" ht="75" customHeight="1" thickTop="1" thickBot="1">
      <c r="A398" s="26">
        <v>396</v>
      </c>
      <c r="B398" s="55">
        <v>46090.666364467499</v>
      </c>
      <c r="C398" s="56" t="s">
        <v>26</v>
      </c>
      <c r="D398" s="56" t="s">
        <v>49</v>
      </c>
      <c r="E398" s="26" t="s">
        <v>22</v>
      </c>
      <c r="F398" s="26" t="s">
        <v>28</v>
      </c>
      <c r="G398" s="26" t="s">
        <v>36</v>
      </c>
      <c r="H398" s="26" t="s">
        <v>3795</v>
      </c>
      <c r="I398" s="26"/>
      <c r="J398" s="26" t="s">
        <v>16</v>
      </c>
      <c r="K398" s="26" t="s">
        <v>13</v>
      </c>
      <c r="L398" s="55">
        <v>46090.669129907408</v>
      </c>
      <c r="M398" s="26"/>
    </row>
    <row r="399" spans="1:13" ht="75" customHeight="1" thickTop="1" thickBot="1">
      <c r="A399" s="34">
        <v>397</v>
      </c>
      <c r="B399" s="55">
        <v>46090.667159351797</v>
      </c>
      <c r="C399" s="56" t="s">
        <v>26</v>
      </c>
      <c r="D399" s="56" t="s">
        <v>49</v>
      </c>
      <c r="E399" s="26" t="s">
        <v>22</v>
      </c>
      <c r="F399" s="26" t="s">
        <v>344</v>
      </c>
      <c r="G399" s="26" t="s">
        <v>213</v>
      </c>
      <c r="H399" s="26" t="s">
        <v>3796</v>
      </c>
      <c r="I399" s="26"/>
      <c r="J399" s="26" t="s">
        <v>16</v>
      </c>
      <c r="K399" s="26" t="s">
        <v>13</v>
      </c>
      <c r="L399" s="55">
        <v>46090.669188229163</v>
      </c>
      <c r="M399" s="26"/>
    </row>
    <row r="400" spans="1:13" ht="75" customHeight="1" thickTop="1" thickBot="1">
      <c r="A400" s="26">
        <v>398</v>
      </c>
      <c r="B400" s="55">
        <v>46090.667746064799</v>
      </c>
      <c r="C400" s="56" t="s">
        <v>26</v>
      </c>
      <c r="D400" s="56" t="s">
        <v>49</v>
      </c>
      <c r="E400" s="26" t="s">
        <v>22</v>
      </c>
      <c r="F400" s="26" t="s">
        <v>42</v>
      </c>
      <c r="G400" s="26" t="s">
        <v>37</v>
      </c>
      <c r="H400" s="26" t="s">
        <v>3797</v>
      </c>
      <c r="I400" s="26"/>
      <c r="J400" s="26" t="s">
        <v>16</v>
      </c>
      <c r="K400" s="26" t="s">
        <v>13</v>
      </c>
      <c r="L400" s="55">
        <v>46090.66924466435</v>
      </c>
      <c r="M400" s="26"/>
    </row>
    <row r="401" spans="1:13" ht="75" customHeight="1" thickTop="1" thickBot="1">
      <c r="A401" s="34">
        <v>399</v>
      </c>
      <c r="B401" s="55">
        <v>46090.668306458298</v>
      </c>
      <c r="C401" s="56" t="s">
        <v>26</v>
      </c>
      <c r="D401" s="56" t="s">
        <v>49</v>
      </c>
      <c r="E401" s="26" t="s">
        <v>22</v>
      </c>
      <c r="F401" s="26" t="s">
        <v>31</v>
      </c>
      <c r="G401" s="26" t="s">
        <v>47</v>
      </c>
      <c r="H401" s="26" t="s">
        <v>3798</v>
      </c>
      <c r="I401" s="26"/>
      <c r="J401" s="26" t="s">
        <v>16</v>
      </c>
      <c r="K401" s="26" t="s">
        <v>13</v>
      </c>
      <c r="L401" s="55">
        <v>46090.669312048616</v>
      </c>
      <c r="M401" s="26"/>
    </row>
    <row r="402" spans="1:13" ht="75" customHeight="1" thickTop="1" thickBot="1">
      <c r="A402" s="26">
        <v>400</v>
      </c>
      <c r="B402" s="55">
        <v>46091.381122303203</v>
      </c>
      <c r="C402" s="56" t="s">
        <v>26</v>
      </c>
      <c r="D402" s="56" t="s">
        <v>180</v>
      </c>
      <c r="E402" s="26" t="s">
        <v>21</v>
      </c>
      <c r="F402" s="26" t="s">
        <v>31</v>
      </c>
      <c r="G402" s="26" t="s">
        <v>345</v>
      </c>
      <c r="H402" s="26" t="s">
        <v>346</v>
      </c>
      <c r="I402" s="26"/>
      <c r="J402" s="26" t="s">
        <v>16</v>
      </c>
      <c r="K402" s="26" t="s">
        <v>13</v>
      </c>
      <c r="L402" s="55">
        <v>46091.400535787034</v>
      </c>
      <c r="M402" s="26"/>
    </row>
    <row r="403" spans="1:13" ht="75" customHeight="1" thickTop="1" thickBot="1">
      <c r="A403" s="34">
        <v>401</v>
      </c>
      <c r="B403" s="55">
        <v>46092.385967303198</v>
      </c>
      <c r="C403" s="56" t="s">
        <v>26</v>
      </c>
      <c r="D403" s="56" t="s">
        <v>347</v>
      </c>
      <c r="E403" s="26" t="s">
        <v>21</v>
      </c>
      <c r="F403" s="26" t="s">
        <v>28</v>
      </c>
      <c r="G403" s="26" t="s">
        <v>348</v>
      </c>
      <c r="H403" s="26" t="s">
        <v>349</v>
      </c>
      <c r="I403" s="26"/>
      <c r="J403" s="26" t="s">
        <v>16</v>
      </c>
      <c r="K403" s="26" t="s">
        <v>13</v>
      </c>
      <c r="L403" s="55">
        <v>46092.422675486116</v>
      </c>
      <c r="M403" s="26"/>
    </row>
    <row r="404" spans="1:13" ht="75" customHeight="1" thickTop="1" thickBot="1">
      <c r="A404" s="26">
        <v>402</v>
      </c>
      <c r="B404" s="55">
        <v>46092.414969768499</v>
      </c>
      <c r="C404" s="56" t="s">
        <v>26</v>
      </c>
      <c r="D404" s="56" t="s">
        <v>49</v>
      </c>
      <c r="E404" s="26" t="s">
        <v>22</v>
      </c>
      <c r="F404" s="26" t="s">
        <v>31</v>
      </c>
      <c r="G404" s="26" t="s">
        <v>47</v>
      </c>
      <c r="H404" s="26" t="s">
        <v>3799</v>
      </c>
      <c r="I404" s="26"/>
      <c r="J404" s="26" t="s">
        <v>14</v>
      </c>
      <c r="K404" s="26" t="s">
        <v>13</v>
      </c>
      <c r="L404" s="55">
        <v>46092.422289594906</v>
      </c>
      <c r="M404" s="26"/>
    </row>
    <row r="405" spans="1:13" ht="75" customHeight="1" thickTop="1" thickBot="1">
      <c r="A405" s="34">
        <v>403</v>
      </c>
      <c r="B405" s="55">
        <v>46092.415653217497</v>
      </c>
      <c r="C405" s="56" t="s">
        <v>26</v>
      </c>
      <c r="D405" s="56" t="s">
        <v>49</v>
      </c>
      <c r="E405" s="26" t="s">
        <v>22</v>
      </c>
      <c r="F405" s="26" t="s">
        <v>42</v>
      </c>
      <c r="G405" s="26" t="s">
        <v>36</v>
      </c>
      <c r="H405" s="26" t="s">
        <v>3800</v>
      </c>
      <c r="I405" s="26"/>
      <c r="J405" s="26" t="s">
        <v>14</v>
      </c>
      <c r="K405" s="26" t="s">
        <v>13</v>
      </c>
      <c r="L405" s="55">
        <v>46092.422365787032</v>
      </c>
      <c r="M405" s="26"/>
    </row>
    <row r="406" spans="1:13" ht="75" customHeight="1" thickTop="1" thickBot="1">
      <c r="A406" s="26">
        <v>404</v>
      </c>
      <c r="B406" s="55">
        <v>46092.417436782402</v>
      </c>
      <c r="C406" s="56" t="s">
        <v>26</v>
      </c>
      <c r="D406" s="56" t="s">
        <v>49</v>
      </c>
      <c r="E406" s="26" t="s">
        <v>22</v>
      </c>
      <c r="F406" s="26" t="s">
        <v>28</v>
      </c>
      <c r="G406" s="26" t="s">
        <v>216</v>
      </c>
      <c r="H406" s="26" t="s">
        <v>3801</v>
      </c>
      <c r="I406" s="26"/>
      <c r="J406" s="26" t="s">
        <v>16</v>
      </c>
      <c r="K406" s="26" t="s">
        <v>13</v>
      </c>
      <c r="L406" s="55">
        <v>46092.422450474536</v>
      </c>
      <c r="M406" s="26"/>
    </row>
    <row r="407" spans="1:13" ht="75" customHeight="1" thickTop="1" thickBot="1">
      <c r="A407" s="34">
        <v>405</v>
      </c>
      <c r="B407" s="55">
        <v>46092.418271435097</v>
      </c>
      <c r="C407" s="56" t="s">
        <v>26</v>
      </c>
      <c r="D407" s="56" t="s">
        <v>49</v>
      </c>
      <c r="E407" s="26" t="s">
        <v>22</v>
      </c>
      <c r="F407" s="26" t="s">
        <v>135</v>
      </c>
      <c r="G407" s="26" t="s">
        <v>25</v>
      </c>
      <c r="H407" s="26" t="s">
        <v>3802</v>
      </c>
      <c r="I407" s="26"/>
      <c r="J407" s="26" t="s">
        <v>16</v>
      </c>
      <c r="K407" s="26" t="s">
        <v>13</v>
      </c>
      <c r="L407" s="55">
        <v>46092.422518078703</v>
      </c>
      <c r="M407" s="26"/>
    </row>
    <row r="408" spans="1:13" ht="75" customHeight="1" thickTop="1" thickBot="1">
      <c r="A408" s="26">
        <v>406</v>
      </c>
      <c r="B408" s="55">
        <v>46092.419176759198</v>
      </c>
      <c r="C408" s="56" t="s">
        <v>26</v>
      </c>
      <c r="D408" s="56" t="s">
        <v>49</v>
      </c>
      <c r="E408" s="26" t="s">
        <v>22</v>
      </c>
      <c r="F408" s="26" t="s">
        <v>350</v>
      </c>
      <c r="G408" s="26" t="s">
        <v>37</v>
      </c>
      <c r="H408" s="26" t="s">
        <v>3803</v>
      </c>
      <c r="I408" s="26"/>
      <c r="J408" s="26" t="s">
        <v>16</v>
      </c>
      <c r="K408" s="26" t="s">
        <v>13</v>
      </c>
      <c r="L408" s="55">
        <v>46092.422585034721</v>
      </c>
      <c r="M408" s="26" t="s">
        <v>143</v>
      </c>
    </row>
    <row r="409" spans="1:13" ht="75" customHeight="1" thickTop="1" thickBot="1">
      <c r="A409" s="34">
        <v>407</v>
      </c>
      <c r="B409" s="55">
        <v>46092.424350856403</v>
      </c>
      <c r="C409" s="56" t="s">
        <v>26</v>
      </c>
      <c r="D409" s="56" t="s">
        <v>49</v>
      </c>
      <c r="E409" s="26" t="s">
        <v>22</v>
      </c>
      <c r="F409" s="26" t="s">
        <v>197</v>
      </c>
      <c r="G409" s="26" t="s">
        <v>216</v>
      </c>
      <c r="H409" s="26" t="s">
        <v>318</v>
      </c>
      <c r="I409" s="26"/>
      <c r="J409" s="26" t="s">
        <v>12</v>
      </c>
      <c r="K409" s="26" t="s">
        <v>13</v>
      </c>
      <c r="L409" s="55">
        <v>46092.428904502318</v>
      </c>
      <c r="M409" s="26"/>
    </row>
    <row r="410" spans="1:13" ht="75" customHeight="1" thickTop="1" thickBot="1">
      <c r="A410" s="26">
        <v>408</v>
      </c>
      <c r="B410" s="55">
        <v>46092.425637557797</v>
      </c>
      <c r="C410" s="56" t="s">
        <v>26</v>
      </c>
      <c r="D410" s="56" t="s">
        <v>49</v>
      </c>
      <c r="E410" s="26" t="s">
        <v>22</v>
      </c>
      <c r="F410" s="26" t="s">
        <v>28</v>
      </c>
      <c r="G410" s="26" t="s">
        <v>213</v>
      </c>
      <c r="H410" s="26" t="s">
        <v>319</v>
      </c>
      <c r="I410" s="26"/>
      <c r="J410" s="26" t="s">
        <v>12</v>
      </c>
      <c r="K410" s="26" t="s">
        <v>13</v>
      </c>
      <c r="L410" s="55">
        <v>46092.428953657407</v>
      </c>
      <c r="M410" s="26"/>
    </row>
    <row r="411" spans="1:13" ht="75" customHeight="1" thickTop="1" thickBot="1">
      <c r="A411" s="34">
        <v>409</v>
      </c>
      <c r="B411" s="55">
        <v>46092.426831354103</v>
      </c>
      <c r="C411" s="56" t="s">
        <v>26</v>
      </c>
      <c r="D411" s="56" t="s">
        <v>49</v>
      </c>
      <c r="E411" s="26" t="s">
        <v>22</v>
      </c>
      <c r="F411" s="26" t="s">
        <v>28</v>
      </c>
      <c r="G411" s="26" t="s">
        <v>25</v>
      </c>
      <c r="H411" s="26" t="s">
        <v>3804</v>
      </c>
      <c r="I411" s="26"/>
      <c r="J411" s="26" t="s">
        <v>12</v>
      </c>
      <c r="K411" s="26" t="s">
        <v>13</v>
      </c>
      <c r="L411" s="55">
        <v>46092.428992210647</v>
      </c>
      <c r="M411" s="26"/>
    </row>
    <row r="412" spans="1:13" ht="75" customHeight="1" thickTop="1" thickBot="1">
      <c r="A412" s="26">
        <v>410</v>
      </c>
      <c r="B412" s="55">
        <v>46092.428563449001</v>
      </c>
      <c r="C412" s="56" t="s">
        <v>26</v>
      </c>
      <c r="D412" s="56" t="s">
        <v>49</v>
      </c>
      <c r="E412" s="26" t="s">
        <v>22</v>
      </c>
      <c r="F412" s="26" t="s">
        <v>31</v>
      </c>
      <c r="G412" s="26" t="s">
        <v>38</v>
      </c>
      <c r="H412" s="26" t="s">
        <v>3805</v>
      </c>
      <c r="I412" s="26"/>
      <c r="J412" s="26" t="s">
        <v>12</v>
      </c>
      <c r="K412" s="26" t="s">
        <v>13</v>
      </c>
      <c r="L412" s="55">
        <v>46092.429130821758</v>
      </c>
      <c r="M412" s="26"/>
    </row>
    <row r="413" spans="1:13" ht="75" customHeight="1" thickTop="1" thickBot="1">
      <c r="A413" s="34">
        <v>411</v>
      </c>
      <c r="B413" s="55">
        <v>46093.547959247597</v>
      </c>
      <c r="C413" s="56" t="s">
        <v>26</v>
      </c>
      <c r="D413" s="56" t="s">
        <v>49</v>
      </c>
      <c r="E413" s="26" t="s">
        <v>22</v>
      </c>
      <c r="F413" s="26" t="s">
        <v>28</v>
      </c>
      <c r="G413" s="26" t="s">
        <v>351</v>
      </c>
      <c r="H413" s="26" t="s">
        <v>352</v>
      </c>
      <c r="I413" s="26"/>
      <c r="J413" s="26" t="s">
        <v>16</v>
      </c>
      <c r="K413" s="26" t="s">
        <v>13</v>
      </c>
      <c r="L413" s="55">
        <v>46093.563685937501</v>
      </c>
      <c r="M413" s="26"/>
    </row>
    <row r="414" spans="1:13" ht="75" customHeight="1" thickTop="1" thickBot="1">
      <c r="A414" s="26">
        <v>412</v>
      </c>
      <c r="B414" s="55">
        <v>46093.555149178203</v>
      </c>
      <c r="C414" s="56" t="s">
        <v>26</v>
      </c>
      <c r="D414" s="56" t="s">
        <v>49</v>
      </c>
      <c r="E414" s="26" t="s">
        <v>22</v>
      </c>
      <c r="F414" s="26" t="s">
        <v>31</v>
      </c>
      <c r="G414" s="26" t="s">
        <v>36</v>
      </c>
      <c r="H414" s="26" t="s">
        <v>353</v>
      </c>
      <c r="I414" s="26"/>
      <c r="J414" s="26" t="s">
        <v>16</v>
      </c>
      <c r="K414" s="26" t="s">
        <v>13</v>
      </c>
      <c r="L414" s="55">
        <v>46093.563733668983</v>
      </c>
      <c r="M414" s="26"/>
    </row>
    <row r="415" spans="1:13" ht="75" customHeight="1" thickTop="1" thickBot="1">
      <c r="A415" s="34">
        <v>413</v>
      </c>
      <c r="B415" s="55">
        <v>46093.556061666597</v>
      </c>
      <c r="C415" s="56" t="s">
        <v>26</v>
      </c>
      <c r="D415" s="56" t="s">
        <v>49</v>
      </c>
      <c r="E415" s="26" t="s">
        <v>22</v>
      </c>
      <c r="F415" s="26" t="s">
        <v>28</v>
      </c>
      <c r="G415" s="26" t="s">
        <v>36</v>
      </c>
      <c r="H415" s="26" t="s">
        <v>3806</v>
      </c>
      <c r="I415" s="26"/>
      <c r="J415" s="26" t="s">
        <v>16</v>
      </c>
      <c r="K415" s="26" t="s">
        <v>13</v>
      </c>
      <c r="L415" s="55">
        <v>46093.563815636575</v>
      </c>
      <c r="M415" s="26" t="s">
        <v>309</v>
      </c>
    </row>
    <row r="416" spans="1:13" ht="75" customHeight="1" thickTop="1" thickBot="1">
      <c r="A416" s="26">
        <v>414</v>
      </c>
      <c r="B416" s="55">
        <v>46093.557168287</v>
      </c>
      <c r="C416" s="56" t="s">
        <v>26</v>
      </c>
      <c r="D416" s="56" t="s">
        <v>49</v>
      </c>
      <c r="E416" s="26" t="s">
        <v>22</v>
      </c>
      <c r="F416" s="26" t="s">
        <v>31</v>
      </c>
      <c r="G416" s="26" t="s">
        <v>37</v>
      </c>
      <c r="H416" s="26" t="s">
        <v>3807</v>
      </c>
      <c r="I416" s="26"/>
      <c r="J416" s="26" t="s">
        <v>16</v>
      </c>
      <c r="K416" s="26" t="s">
        <v>13</v>
      </c>
      <c r="L416" s="55">
        <v>46093.563927523152</v>
      </c>
      <c r="M416" s="26"/>
    </row>
    <row r="417" spans="1:13" ht="75" customHeight="1" thickTop="1" thickBot="1">
      <c r="A417" s="34">
        <v>415</v>
      </c>
      <c r="B417" s="55">
        <v>46093.558435161998</v>
      </c>
      <c r="C417" s="56" t="s">
        <v>26</v>
      </c>
      <c r="D417" s="56" t="s">
        <v>49</v>
      </c>
      <c r="E417" s="26" t="s">
        <v>22</v>
      </c>
      <c r="F417" s="26" t="s">
        <v>39</v>
      </c>
      <c r="G417" s="26" t="s">
        <v>216</v>
      </c>
      <c r="H417" s="26" t="s">
        <v>354</v>
      </c>
      <c r="I417" s="26"/>
      <c r="J417" s="26" t="s">
        <v>16</v>
      </c>
      <c r="K417" s="26" t="s">
        <v>13</v>
      </c>
      <c r="L417" s="55">
        <v>46093.564006458335</v>
      </c>
      <c r="M417" s="26"/>
    </row>
    <row r="418" spans="1:13" ht="75" customHeight="1" thickTop="1" thickBot="1">
      <c r="A418" s="26">
        <v>416</v>
      </c>
      <c r="B418" s="55">
        <v>46093.559001250003</v>
      </c>
      <c r="C418" s="56" t="s">
        <v>26</v>
      </c>
      <c r="D418" s="56" t="s">
        <v>49</v>
      </c>
      <c r="E418" s="26" t="s">
        <v>22</v>
      </c>
      <c r="F418" s="26" t="s">
        <v>39</v>
      </c>
      <c r="G418" s="26" t="s">
        <v>25</v>
      </c>
      <c r="H418" s="26" t="s">
        <v>3808</v>
      </c>
      <c r="I418" s="26"/>
      <c r="J418" s="26" t="s">
        <v>16</v>
      </c>
      <c r="K418" s="26" t="s">
        <v>13</v>
      </c>
      <c r="L418" s="55">
        <v>46093.564061261575</v>
      </c>
      <c r="M418" s="26"/>
    </row>
    <row r="419" spans="1:13" ht="75" customHeight="1" thickTop="1" thickBot="1">
      <c r="A419" s="34">
        <v>417</v>
      </c>
      <c r="B419" s="55">
        <v>46093.5598881365</v>
      </c>
      <c r="C419" s="56" t="s">
        <v>26</v>
      </c>
      <c r="D419" s="56" t="s">
        <v>49</v>
      </c>
      <c r="E419" s="26" t="s">
        <v>22</v>
      </c>
      <c r="F419" s="26" t="s">
        <v>39</v>
      </c>
      <c r="G419" s="26" t="s">
        <v>37</v>
      </c>
      <c r="H419" s="26" t="s">
        <v>355</v>
      </c>
      <c r="I419" s="26"/>
      <c r="J419" s="26" t="s">
        <v>16</v>
      </c>
      <c r="K419" s="26" t="s">
        <v>13</v>
      </c>
      <c r="L419" s="55">
        <v>46093.564116180554</v>
      </c>
      <c r="M419" s="26"/>
    </row>
    <row r="420" spans="1:13" ht="75" customHeight="1" thickTop="1" thickBot="1">
      <c r="A420" s="26">
        <v>418</v>
      </c>
      <c r="B420" s="55">
        <v>46093.560801689797</v>
      </c>
      <c r="C420" s="56" t="s">
        <v>26</v>
      </c>
      <c r="D420" s="56" t="s">
        <v>49</v>
      </c>
      <c r="E420" s="26" t="s">
        <v>22</v>
      </c>
      <c r="F420" s="26" t="s">
        <v>39</v>
      </c>
      <c r="G420" s="26" t="s">
        <v>25</v>
      </c>
      <c r="H420" s="26" t="s">
        <v>3809</v>
      </c>
      <c r="I420" s="26"/>
      <c r="J420" s="26" t="s">
        <v>16</v>
      </c>
      <c r="K420" s="26" t="s">
        <v>13</v>
      </c>
      <c r="L420" s="55">
        <v>46093.564182314818</v>
      </c>
      <c r="M420" s="26"/>
    </row>
    <row r="421" spans="1:13" ht="75" customHeight="1" thickTop="1" thickBot="1">
      <c r="A421" s="34">
        <v>419</v>
      </c>
      <c r="B421" s="55">
        <v>46093.561808749997</v>
      </c>
      <c r="C421" s="56" t="s">
        <v>26</v>
      </c>
      <c r="D421" s="56" t="s">
        <v>49</v>
      </c>
      <c r="E421" s="26" t="s">
        <v>22</v>
      </c>
      <c r="F421" s="26" t="s">
        <v>31</v>
      </c>
      <c r="G421" s="26" t="s">
        <v>37</v>
      </c>
      <c r="H421" s="26" t="s">
        <v>3810</v>
      </c>
      <c r="I421" s="26"/>
      <c r="J421" s="26" t="s">
        <v>16</v>
      </c>
      <c r="K421" s="26" t="s">
        <v>13</v>
      </c>
      <c r="L421" s="55">
        <v>46093.564253240736</v>
      </c>
      <c r="M421" s="26"/>
    </row>
    <row r="422" spans="1:13" ht="75" customHeight="1" thickTop="1" thickBot="1">
      <c r="A422" s="26">
        <v>420</v>
      </c>
      <c r="B422" s="55">
        <v>46093.563354328697</v>
      </c>
      <c r="C422" s="56" t="s">
        <v>26</v>
      </c>
      <c r="D422" s="56" t="s">
        <v>49</v>
      </c>
      <c r="E422" s="26" t="s">
        <v>22</v>
      </c>
      <c r="F422" s="26" t="s">
        <v>31</v>
      </c>
      <c r="G422" s="26" t="s">
        <v>37</v>
      </c>
      <c r="H422" s="26" t="s">
        <v>356</v>
      </c>
      <c r="I422" s="26"/>
      <c r="J422" s="26" t="s">
        <v>16</v>
      </c>
      <c r="K422" s="26" t="s">
        <v>13</v>
      </c>
      <c r="L422" s="55">
        <v>46093.564311331022</v>
      </c>
      <c r="M422" s="26"/>
    </row>
    <row r="423" spans="1:13" ht="75" customHeight="1" thickTop="1" thickBot="1">
      <c r="A423" s="34">
        <v>421</v>
      </c>
      <c r="B423" s="55">
        <v>46093.566510960598</v>
      </c>
      <c r="C423" s="56" t="s">
        <v>26</v>
      </c>
      <c r="D423" s="56" t="s">
        <v>49</v>
      </c>
      <c r="E423" s="26" t="s">
        <v>22</v>
      </c>
      <c r="F423" s="26" t="s">
        <v>31</v>
      </c>
      <c r="G423" s="26" t="s">
        <v>216</v>
      </c>
      <c r="H423" s="26" t="s">
        <v>3811</v>
      </c>
      <c r="I423" s="26"/>
      <c r="J423" s="26" t="s">
        <v>12</v>
      </c>
      <c r="K423" s="26" t="s">
        <v>13</v>
      </c>
      <c r="L423" s="55">
        <v>46093.566665185186</v>
      </c>
      <c r="M423" s="26"/>
    </row>
    <row r="424" spans="1:13" ht="75" customHeight="1" thickTop="1" thickBot="1">
      <c r="A424" s="26">
        <v>422</v>
      </c>
      <c r="B424" s="55">
        <v>46095.547641342499</v>
      </c>
      <c r="C424" s="56" t="s">
        <v>26</v>
      </c>
      <c r="D424" s="56" t="s">
        <v>49</v>
      </c>
      <c r="E424" s="26" t="s">
        <v>22</v>
      </c>
      <c r="F424" s="26" t="s">
        <v>42</v>
      </c>
      <c r="G424" s="26" t="s">
        <v>25</v>
      </c>
      <c r="H424" s="26" t="s">
        <v>3812</v>
      </c>
      <c r="I424" s="26"/>
      <c r="J424" s="26" t="s">
        <v>14</v>
      </c>
      <c r="K424" s="26" t="s">
        <v>13</v>
      </c>
      <c r="L424" s="55">
        <v>46095.654438287034</v>
      </c>
      <c r="M424" s="26"/>
    </row>
    <row r="425" spans="1:13" ht="75" customHeight="1" thickTop="1" thickBot="1">
      <c r="A425" s="34">
        <v>423</v>
      </c>
      <c r="B425" s="55">
        <v>46095.548699432802</v>
      </c>
      <c r="C425" s="56" t="s">
        <v>26</v>
      </c>
      <c r="D425" s="56" t="s">
        <v>49</v>
      </c>
      <c r="E425" s="26" t="s">
        <v>22</v>
      </c>
      <c r="F425" s="26" t="s">
        <v>31</v>
      </c>
      <c r="G425" s="26" t="s">
        <v>38</v>
      </c>
      <c r="H425" s="26" t="s">
        <v>3813</v>
      </c>
      <c r="I425" s="26"/>
      <c r="J425" s="26" t="s">
        <v>14</v>
      </c>
      <c r="K425" s="26" t="s">
        <v>13</v>
      </c>
      <c r="L425" s="55">
        <v>46095.557426585648</v>
      </c>
      <c r="M425" s="26"/>
    </row>
    <row r="426" spans="1:13" ht="75" customHeight="1" thickTop="1" thickBot="1">
      <c r="A426" s="26">
        <v>424</v>
      </c>
      <c r="B426" s="55">
        <v>46095.549886006898</v>
      </c>
      <c r="C426" s="56" t="s">
        <v>26</v>
      </c>
      <c r="D426" s="56" t="s">
        <v>49</v>
      </c>
      <c r="E426" s="26" t="s">
        <v>22</v>
      </c>
      <c r="F426" s="26" t="s">
        <v>323</v>
      </c>
      <c r="G426" s="26" t="s">
        <v>213</v>
      </c>
      <c r="H426" s="26" t="s">
        <v>390</v>
      </c>
      <c r="I426" s="26"/>
      <c r="J426" s="26" t="s">
        <v>14</v>
      </c>
      <c r="K426" s="26" t="s">
        <v>13</v>
      </c>
      <c r="L426" s="55">
        <v>46095.557487534723</v>
      </c>
      <c r="M426" s="26"/>
    </row>
    <row r="427" spans="1:13" ht="75" customHeight="1" thickTop="1" thickBot="1">
      <c r="A427" s="34">
        <v>425</v>
      </c>
      <c r="B427" s="55">
        <v>46095.550924467498</v>
      </c>
      <c r="C427" s="56" t="s">
        <v>26</v>
      </c>
      <c r="D427" s="56" t="s">
        <v>49</v>
      </c>
      <c r="E427" s="26" t="s">
        <v>22</v>
      </c>
      <c r="F427" s="26" t="s">
        <v>228</v>
      </c>
      <c r="G427" s="26" t="s">
        <v>213</v>
      </c>
      <c r="H427" s="26" t="s">
        <v>3814</v>
      </c>
      <c r="I427" s="26"/>
      <c r="J427" s="26" t="s">
        <v>12</v>
      </c>
      <c r="K427" s="26" t="s">
        <v>13</v>
      </c>
      <c r="L427" s="55">
        <v>46095.557630937503</v>
      </c>
      <c r="M427" s="26"/>
    </row>
    <row r="428" spans="1:13" ht="75" customHeight="1" thickTop="1" thickBot="1">
      <c r="A428" s="26">
        <v>426</v>
      </c>
      <c r="B428" s="55">
        <v>46095.551704849502</v>
      </c>
      <c r="C428" s="56" t="s">
        <v>26</v>
      </c>
      <c r="D428" s="56" t="s">
        <v>49</v>
      </c>
      <c r="E428" s="26" t="s">
        <v>22</v>
      </c>
      <c r="F428" s="26" t="s">
        <v>320</v>
      </c>
      <c r="G428" s="26" t="s">
        <v>213</v>
      </c>
      <c r="H428" s="26" t="s">
        <v>3815</v>
      </c>
      <c r="I428" s="26"/>
      <c r="J428" s="26" t="s">
        <v>12</v>
      </c>
      <c r="K428" s="26" t="s">
        <v>13</v>
      </c>
      <c r="L428" s="55">
        <v>46095.557578032407</v>
      </c>
      <c r="M428" s="26"/>
    </row>
    <row r="429" spans="1:13" ht="75" customHeight="1" thickTop="1" thickBot="1">
      <c r="A429" s="34">
        <v>427</v>
      </c>
      <c r="B429" s="55">
        <v>46095.552511006899</v>
      </c>
      <c r="C429" s="56" t="s">
        <v>26</v>
      </c>
      <c r="D429" s="56" t="s">
        <v>49</v>
      </c>
      <c r="E429" s="26" t="s">
        <v>22</v>
      </c>
      <c r="F429" s="26" t="s">
        <v>42</v>
      </c>
      <c r="G429" s="26" t="s">
        <v>213</v>
      </c>
      <c r="H429" s="26" t="s">
        <v>3816</v>
      </c>
      <c r="I429" s="26"/>
      <c r="J429" s="26" t="s">
        <v>12</v>
      </c>
      <c r="K429" s="26" t="s">
        <v>13</v>
      </c>
      <c r="L429" s="55">
        <v>46095.557683449078</v>
      </c>
      <c r="M429" s="26"/>
    </row>
    <row r="430" spans="1:13" ht="75" customHeight="1" thickTop="1" thickBot="1">
      <c r="A430" s="26">
        <v>428</v>
      </c>
      <c r="B430" s="55">
        <v>46095.553865497597</v>
      </c>
      <c r="C430" s="56" t="s">
        <v>26</v>
      </c>
      <c r="D430" s="56" t="s">
        <v>49</v>
      </c>
      <c r="E430" s="26" t="s">
        <v>22</v>
      </c>
      <c r="F430" s="26" t="s">
        <v>42</v>
      </c>
      <c r="G430" s="26" t="s">
        <v>37</v>
      </c>
      <c r="H430" s="26" t="s">
        <v>3817</v>
      </c>
      <c r="I430" s="26"/>
      <c r="J430" s="26" t="s">
        <v>16</v>
      </c>
      <c r="K430" s="26" t="s">
        <v>13</v>
      </c>
      <c r="L430" s="55">
        <v>46095.557808900463</v>
      </c>
      <c r="M430" s="26"/>
    </row>
    <row r="431" spans="1:13" ht="75" customHeight="1" thickTop="1" thickBot="1">
      <c r="A431" s="34">
        <v>429</v>
      </c>
      <c r="B431" s="55">
        <v>46095.554379409703</v>
      </c>
      <c r="C431" s="56" t="s">
        <v>26</v>
      </c>
      <c r="D431" s="56" t="s">
        <v>49</v>
      </c>
      <c r="E431" s="26" t="s">
        <v>22</v>
      </c>
      <c r="F431" s="26" t="s">
        <v>42</v>
      </c>
      <c r="G431" s="26" t="s">
        <v>45</v>
      </c>
      <c r="H431" s="26" t="s">
        <v>3818</v>
      </c>
      <c r="I431" s="26"/>
      <c r="J431" s="26" t="s">
        <v>16</v>
      </c>
      <c r="K431" s="26" t="s">
        <v>13</v>
      </c>
      <c r="L431" s="55">
        <v>46095.557871597222</v>
      </c>
      <c r="M431" s="26"/>
    </row>
    <row r="432" spans="1:13" ht="75" customHeight="1" thickTop="1" thickBot="1">
      <c r="A432" s="26">
        <v>430</v>
      </c>
      <c r="B432" s="55">
        <v>46095.555016203703</v>
      </c>
      <c r="C432" s="56" t="s">
        <v>26</v>
      </c>
      <c r="D432" s="56" t="s">
        <v>49</v>
      </c>
      <c r="E432" s="26" t="s">
        <v>22</v>
      </c>
      <c r="F432" s="26" t="s">
        <v>42</v>
      </c>
      <c r="G432" s="26" t="s">
        <v>45</v>
      </c>
      <c r="H432" s="26" t="s">
        <v>357</v>
      </c>
      <c r="I432" s="26"/>
      <c r="J432" s="26" t="s">
        <v>16</v>
      </c>
      <c r="K432" s="26" t="s">
        <v>13</v>
      </c>
      <c r="L432" s="55">
        <v>46095.557945196764</v>
      </c>
      <c r="M432" s="26"/>
    </row>
    <row r="433" spans="1:13" ht="75" customHeight="1" thickTop="1" thickBot="1">
      <c r="A433" s="34">
        <v>431</v>
      </c>
      <c r="B433" s="55">
        <v>46095.555715185103</v>
      </c>
      <c r="C433" s="56" t="s">
        <v>26</v>
      </c>
      <c r="D433" s="56" t="s">
        <v>49</v>
      </c>
      <c r="E433" s="26" t="s">
        <v>22</v>
      </c>
      <c r="F433" s="26" t="s">
        <v>31</v>
      </c>
      <c r="G433" s="26" t="s">
        <v>47</v>
      </c>
      <c r="H433" s="26" t="s">
        <v>3819</v>
      </c>
      <c r="I433" s="26"/>
      <c r="J433" s="26" t="s">
        <v>16</v>
      </c>
      <c r="K433" s="26" t="s">
        <v>13</v>
      </c>
      <c r="L433" s="55">
        <v>46095.558026377315</v>
      </c>
      <c r="M433" s="26"/>
    </row>
    <row r="434" spans="1:13" ht="75" customHeight="1" thickTop="1" thickBot="1">
      <c r="A434" s="26">
        <v>432</v>
      </c>
      <c r="B434" s="55">
        <v>46095.556680497597</v>
      </c>
      <c r="C434" s="56" t="s">
        <v>26</v>
      </c>
      <c r="D434" s="56" t="s">
        <v>49</v>
      </c>
      <c r="E434" s="26" t="s">
        <v>22</v>
      </c>
      <c r="F434" s="26" t="s">
        <v>321</v>
      </c>
      <c r="G434" s="26" t="s">
        <v>213</v>
      </c>
      <c r="H434" s="26" t="s">
        <v>358</v>
      </c>
      <c r="I434" s="26"/>
      <c r="J434" s="26" t="s">
        <v>16</v>
      </c>
      <c r="K434" s="26" t="s">
        <v>13</v>
      </c>
      <c r="L434" s="55">
        <v>46095.558122013885</v>
      </c>
      <c r="M434" s="26"/>
    </row>
    <row r="435" spans="1:13" ht="75" customHeight="1" thickTop="1" thickBot="1">
      <c r="A435" s="34">
        <v>433</v>
      </c>
      <c r="B435" s="55">
        <v>46095.5572213657</v>
      </c>
      <c r="C435" s="56" t="s">
        <v>26</v>
      </c>
      <c r="D435" s="56" t="s">
        <v>49</v>
      </c>
      <c r="E435" s="26" t="s">
        <v>22</v>
      </c>
      <c r="F435" s="26" t="s">
        <v>42</v>
      </c>
      <c r="G435" s="26" t="s">
        <v>37</v>
      </c>
      <c r="H435" s="26" t="s">
        <v>359</v>
      </c>
      <c r="I435" s="26"/>
      <c r="J435" s="26" t="s">
        <v>16</v>
      </c>
      <c r="K435" s="26" t="s">
        <v>13</v>
      </c>
      <c r="L435" s="55">
        <v>46095.558454247686</v>
      </c>
      <c r="M435" s="26"/>
    </row>
    <row r="436" spans="1:13" ht="75" customHeight="1" thickTop="1" thickBot="1">
      <c r="A436" s="26">
        <v>434</v>
      </c>
      <c r="B436" s="55">
        <v>46096.362331365701</v>
      </c>
      <c r="C436" s="56" t="s">
        <v>26</v>
      </c>
      <c r="D436" s="56" t="s">
        <v>180</v>
      </c>
      <c r="E436" s="26" t="s">
        <v>21</v>
      </c>
      <c r="F436" s="26" t="s">
        <v>141</v>
      </c>
      <c r="G436" s="26" t="s">
        <v>360</v>
      </c>
      <c r="H436" s="26" t="s">
        <v>361</v>
      </c>
      <c r="I436" s="26"/>
      <c r="J436" s="26" t="s">
        <v>16</v>
      </c>
      <c r="K436" s="26" t="s">
        <v>13</v>
      </c>
      <c r="L436" s="55">
        <v>46096.36636320602</v>
      </c>
      <c r="M436" s="26"/>
    </row>
    <row r="437" spans="1:13" ht="75" customHeight="1" thickTop="1" thickBot="1">
      <c r="A437" s="34">
        <v>435</v>
      </c>
      <c r="B437" s="55">
        <v>46096.426141736098</v>
      </c>
      <c r="C437" s="56" t="s">
        <v>26</v>
      </c>
      <c r="D437" s="56" t="s">
        <v>180</v>
      </c>
      <c r="E437" s="26" t="s">
        <v>21</v>
      </c>
      <c r="F437" s="26" t="s">
        <v>42</v>
      </c>
      <c r="G437" s="26" t="s">
        <v>37</v>
      </c>
      <c r="H437" s="26" t="s">
        <v>362</v>
      </c>
      <c r="I437" s="26"/>
      <c r="J437" s="26" t="s">
        <v>16</v>
      </c>
      <c r="K437" s="26" t="s">
        <v>13</v>
      </c>
      <c r="L437" s="55">
        <v>46096.427961550929</v>
      </c>
      <c r="M437" s="26"/>
    </row>
    <row r="438" spans="1:13" ht="75" customHeight="1" thickTop="1" thickBot="1">
      <c r="A438" s="26">
        <v>436</v>
      </c>
      <c r="B438" s="55">
        <v>46096.4748402314</v>
      </c>
      <c r="C438" s="56" t="s">
        <v>26</v>
      </c>
      <c r="D438" s="56" t="s">
        <v>363</v>
      </c>
      <c r="E438" s="26" t="s">
        <v>21</v>
      </c>
      <c r="F438" s="26" t="s">
        <v>28</v>
      </c>
      <c r="G438" s="26" t="s">
        <v>364</v>
      </c>
      <c r="H438" s="26" t="s">
        <v>3820</v>
      </c>
      <c r="I438" s="26"/>
      <c r="J438" s="26" t="s">
        <v>16</v>
      </c>
      <c r="K438" s="26" t="s">
        <v>13</v>
      </c>
      <c r="L438" s="55">
        <v>46096.477061192127</v>
      </c>
      <c r="M438" s="26"/>
    </row>
    <row r="439" spans="1:13" ht="75" customHeight="1" thickTop="1" thickBot="1">
      <c r="A439" s="34">
        <v>437</v>
      </c>
      <c r="B439" s="55">
        <v>46096.550689085598</v>
      </c>
      <c r="C439" s="56" t="s">
        <v>26</v>
      </c>
      <c r="D439" s="56" t="s">
        <v>49</v>
      </c>
      <c r="E439" s="26" t="s">
        <v>22</v>
      </c>
      <c r="F439" s="26" t="s">
        <v>28</v>
      </c>
      <c r="G439" s="26" t="s">
        <v>36</v>
      </c>
      <c r="H439" s="26" t="s">
        <v>3821</v>
      </c>
      <c r="I439" s="26"/>
      <c r="J439" s="26" t="s">
        <v>16</v>
      </c>
      <c r="K439" s="26" t="s">
        <v>13</v>
      </c>
      <c r="L439" s="55">
        <v>46096.55089831019</v>
      </c>
      <c r="M439" s="26"/>
    </row>
    <row r="440" spans="1:13" ht="75" customHeight="1" thickTop="1" thickBot="1">
      <c r="A440" s="26">
        <v>438</v>
      </c>
      <c r="B440" s="55">
        <v>46096.552396423598</v>
      </c>
      <c r="C440" s="56" t="s">
        <v>26</v>
      </c>
      <c r="D440" s="56" t="s">
        <v>49</v>
      </c>
      <c r="E440" s="26" t="s">
        <v>22</v>
      </c>
      <c r="F440" s="26" t="s">
        <v>321</v>
      </c>
      <c r="G440" s="26" t="s">
        <v>322</v>
      </c>
      <c r="H440" s="26" t="s">
        <v>3822</v>
      </c>
      <c r="I440" s="26"/>
      <c r="J440" s="26" t="s">
        <v>12</v>
      </c>
      <c r="K440" s="26" t="s">
        <v>13</v>
      </c>
      <c r="L440" s="55">
        <v>46096.554949942132</v>
      </c>
      <c r="M440" s="26"/>
    </row>
    <row r="441" spans="1:13" ht="75" customHeight="1" thickTop="1" thickBot="1">
      <c r="A441" s="34">
        <v>439</v>
      </c>
      <c r="B441" s="55">
        <v>46096.553301736101</v>
      </c>
      <c r="C441" s="56" t="s">
        <v>26</v>
      </c>
      <c r="D441" s="56" t="s">
        <v>49</v>
      </c>
      <c r="E441" s="26" t="s">
        <v>22</v>
      </c>
      <c r="F441" s="26" t="s">
        <v>42</v>
      </c>
      <c r="G441" s="26" t="s">
        <v>37</v>
      </c>
      <c r="H441" s="26" t="s">
        <v>3823</v>
      </c>
      <c r="I441" s="26"/>
      <c r="J441" s="26" t="s">
        <v>12</v>
      </c>
      <c r="K441" s="26" t="s">
        <v>13</v>
      </c>
      <c r="L441" s="55">
        <v>46096.555022800923</v>
      </c>
      <c r="M441" s="26"/>
    </row>
    <row r="442" spans="1:13" ht="75" customHeight="1" thickTop="1" thickBot="1">
      <c r="A442" s="26">
        <v>440</v>
      </c>
      <c r="B442" s="55">
        <v>46096.554773854099</v>
      </c>
      <c r="C442" s="56" t="s">
        <v>26</v>
      </c>
      <c r="D442" s="56" t="s">
        <v>49</v>
      </c>
      <c r="E442" s="26" t="s">
        <v>22</v>
      </c>
      <c r="F442" s="26" t="s">
        <v>323</v>
      </c>
      <c r="G442" s="26" t="s">
        <v>213</v>
      </c>
      <c r="H442" s="26" t="s">
        <v>324</v>
      </c>
      <c r="I442" s="26"/>
      <c r="J442" s="26" t="s">
        <v>12</v>
      </c>
      <c r="K442" s="26" t="s">
        <v>13</v>
      </c>
      <c r="L442" s="55">
        <v>46096.555075173615</v>
      </c>
      <c r="M442" s="26"/>
    </row>
    <row r="443" spans="1:13" ht="75" customHeight="1" thickTop="1" thickBot="1">
      <c r="A443" s="34">
        <v>441</v>
      </c>
      <c r="B443" s="55">
        <v>46097.398744074002</v>
      </c>
      <c r="C443" s="56" t="s">
        <v>26</v>
      </c>
      <c r="D443" s="56" t="s">
        <v>180</v>
      </c>
      <c r="E443" s="26" t="s">
        <v>21</v>
      </c>
      <c r="F443" s="26" t="s">
        <v>28</v>
      </c>
      <c r="G443" s="26" t="s">
        <v>25</v>
      </c>
      <c r="H443" s="26" t="s">
        <v>325</v>
      </c>
      <c r="I443" s="26"/>
      <c r="J443" s="26" t="s">
        <v>12</v>
      </c>
      <c r="K443" s="26" t="s">
        <v>13</v>
      </c>
      <c r="L443" s="55">
        <v>46098.43001887732</v>
      </c>
      <c r="M443" s="26"/>
    </row>
    <row r="444" spans="1:13" ht="75" customHeight="1" thickTop="1" thickBot="1">
      <c r="A444" s="26">
        <v>442</v>
      </c>
      <c r="B444" s="55">
        <v>46097.576702673599</v>
      </c>
      <c r="C444" s="56" t="s">
        <v>26</v>
      </c>
      <c r="D444" s="56" t="s">
        <v>49</v>
      </c>
      <c r="E444" s="26" t="s">
        <v>22</v>
      </c>
      <c r="F444" s="26" t="s">
        <v>31</v>
      </c>
      <c r="G444" s="26" t="s">
        <v>38</v>
      </c>
      <c r="H444" s="26" t="s">
        <v>3824</v>
      </c>
      <c r="I444" s="26"/>
      <c r="J444" s="26" t="s">
        <v>16</v>
      </c>
      <c r="K444" s="26" t="s">
        <v>13</v>
      </c>
      <c r="L444" s="55">
        <v>46097.578638078703</v>
      </c>
      <c r="M444" s="26"/>
    </row>
    <row r="445" spans="1:13" ht="75" customHeight="1" thickTop="1" thickBot="1">
      <c r="A445" s="34">
        <v>443</v>
      </c>
      <c r="B445" s="55">
        <v>46097.577552199</v>
      </c>
      <c r="C445" s="56" t="s">
        <v>26</v>
      </c>
      <c r="D445" s="56" t="s">
        <v>49</v>
      </c>
      <c r="E445" s="26" t="s">
        <v>22</v>
      </c>
      <c r="F445" s="26" t="s">
        <v>42</v>
      </c>
      <c r="G445" s="26" t="s">
        <v>37</v>
      </c>
      <c r="H445" s="26" t="s">
        <v>3825</v>
      </c>
      <c r="I445" s="26"/>
      <c r="J445" s="26" t="s">
        <v>16</v>
      </c>
      <c r="K445" s="26" t="s">
        <v>13</v>
      </c>
      <c r="L445" s="55">
        <v>46097.578674062504</v>
      </c>
      <c r="M445" s="26"/>
    </row>
    <row r="446" spans="1:13" ht="75" customHeight="1" thickTop="1" thickBot="1">
      <c r="A446" s="26">
        <v>444</v>
      </c>
      <c r="B446" s="55">
        <v>46097.578432870301</v>
      </c>
      <c r="C446" s="56" t="s">
        <v>26</v>
      </c>
      <c r="D446" s="56" t="s">
        <v>49</v>
      </c>
      <c r="E446" s="26" t="s">
        <v>22</v>
      </c>
      <c r="F446" s="26" t="s">
        <v>39</v>
      </c>
      <c r="G446" s="26" t="s">
        <v>56</v>
      </c>
      <c r="H446" s="26" t="s">
        <v>3826</v>
      </c>
      <c r="I446" s="26"/>
      <c r="J446" s="26" t="s">
        <v>16</v>
      </c>
      <c r="K446" s="26" t="s">
        <v>13</v>
      </c>
      <c r="L446" s="55">
        <v>46097.57878181713</v>
      </c>
      <c r="M446" s="26"/>
    </row>
    <row r="447" spans="1:13" ht="75" customHeight="1" thickTop="1" thickBot="1">
      <c r="A447" s="34">
        <v>445</v>
      </c>
      <c r="B447" s="55">
        <v>46098.547686759201</v>
      </c>
      <c r="C447" s="56" t="s">
        <v>26</v>
      </c>
      <c r="D447" s="56" t="s">
        <v>49</v>
      </c>
      <c r="E447" s="26" t="s">
        <v>22</v>
      </c>
      <c r="F447" s="26" t="s">
        <v>39</v>
      </c>
      <c r="G447" s="26" t="s">
        <v>40</v>
      </c>
      <c r="H447" s="26" t="s">
        <v>3827</v>
      </c>
      <c r="I447" s="26"/>
      <c r="J447" s="26" t="s">
        <v>12</v>
      </c>
      <c r="K447" s="26" t="s">
        <v>13</v>
      </c>
      <c r="L447" s="55">
        <v>46098.548047662036</v>
      </c>
      <c r="M447" s="26"/>
    </row>
    <row r="448" spans="1:13" ht="75" customHeight="1" thickTop="1" thickBot="1">
      <c r="A448" s="26">
        <v>446</v>
      </c>
      <c r="B448" s="55">
        <v>46098.548714490702</v>
      </c>
      <c r="C448" s="56" t="s">
        <v>26</v>
      </c>
      <c r="D448" s="56" t="s">
        <v>49</v>
      </c>
      <c r="E448" s="26" t="s">
        <v>22</v>
      </c>
      <c r="F448" s="26" t="s">
        <v>28</v>
      </c>
      <c r="G448" s="26" t="s">
        <v>47</v>
      </c>
      <c r="H448" s="26" t="s">
        <v>3828</v>
      </c>
      <c r="I448" s="26"/>
      <c r="J448" s="26" t="s">
        <v>12</v>
      </c>
      <c r="K448" s="26" t="s">
        <v>13</v>
      </c>
      <c r="L448" s="55">
        <v>46098.548848194449</v>
      </c>
      <c r="M448" s="26"/>
    </row>
    <row r="449" spans="1:13" ht="75" customHeight="1" thickTop="1" thickBot="1">
      <c r="A449" s="34">
        <v>447</v>
      </c>
      <c r="B449" s="55">
        <v>46098.549782685099</v>
      </c>
      <c r="C449" s="56" t="s">
        <v>26</v>
      </c>
      <c r="D449" s="56" t="s">
        <v>49</v>
      </c>
      <c r="E449" s="26" t="s">
        <v>22</v>
      </c>
      <c r="F449" s="26" t="s">
        <v>31</v>
      </c>
      <c r="G449" s="26" t="s">
        <v>47</v>
      </c>
      <c r="H449" s="26" t="s">
        <v>3829</v>
      </c>
      <c r="I449" s="26"/>
      <c r="J449" s="26" t="s">
        <v>16</v>
      </c>
      <c r="K449" s="26" t="s">
        <v>13</v>
      </c>
      <c r="L449" s="55">
        <v>46098.557428252316</v>
      </c>
      <c r="M449" s="26"/>
    </row>
    <row r="450" spans="1:13" ht="75" customHeight="1" thickTop="1" thickBot="1">
      <c r="A450" s="26">
        <v>448</v>
      </c>
      <c r="B450" s="55">
        <v>46098.551982141202</v>
      </c>
      <c r="C450" s="56" t="s">
        <v>26</v>
      </c>
      <c r="D450" s="56" t="s">
        <v>49</v>
      </c>
      <c r="E450" s="26" t="s">
        <v>22</v>
      </c>
      <c r="F450" s="26" t="s">
        <v>31</v>
      </c>
      <c r="G450" s="26" t="s">
        <v>47</v>
      </c>
      <c r="H450" s="26" t="s">
        <v>3830</v>
      </c>
      <c r="I450" s="26"/>
      <c r="J450" s="26" t="s">
        <v>16</v>
      </c>
      <c r="K450" s="26" t="s">
        <v>13</v>
      </c>
      <c r="L450" s="55">
        <v>46098.557520787042</v>
      </c>
      <c r="M450" s="26"/>
    </row>
    <row r="451" spans="1:13" ht="75" customHeight="1" thickTop="1" thickBot="1">
      <c r="A451" s="34">
        <v>449</v>
      </c>
      <c r="B451" s="55">
        <v>46098.553395763804</v>
      </c>
      <c r="C451" s="56" t="s">
        <v>26</v>
      </c>
      <c r="D451" s="56" t="s">
        <v>49</v>
      </c>
      <c r="E451" s="26" t="s">
        <v>22</v>
      </c>
      <c r="F451" s="26" t="s">
        <v>42</v>
      </c>
      <c r="G451" s="26" t="s">
        <v>216</v>
      </c>
      <c r="H451" s="26" t="s">
        <v>3831</v>
      </c>
      <c r="I451" s="26"/>
      <c r="J451" s="26" t="s">
        <v>16</v>
      </c>
      <c r="K451" s="26" t="s">
        <v>13</v>
      </c>
      <c r="L451" s="55">
        <v>46098.55753622685</v>
      </c>
      <c r="M451" s="26"/>
    </row>
    <row r="452" spans="1:13" ht="75" customHeight="1" thickTop="1" thickBot="1">
      <c r="A452" s="26">
        <v>450</v>
      </c>
      <c r="B452" s="55">
        <v>46098.556130254598</v>
      </c>
      <c r="C452" s="56" t="s">
        <v>26</v>
      </c>
      <c r="D452" s="56" t="s">
        <v>49</v>
      </c>
      <c r="E452" s="26" t="s">
        <v>22</v>
      </c>
      <c r="F452" s="26" t="s">
        <v>28</v>
      </c>
      <c r="G452" s="26" t="s">
        <v>41</v>
      </c>
      <c r="H452" s="26" t="s">
        <v>3832</v>
      </c>
      <c r="I452" s="26"/>
      <c r="J452" s="26" t="s">
        <v>16</v>
      </c>
      <c r="K452" s="26" t="s">
        <v>13</v>
      </c>
      <c r="L452" s="55">
        <v>46098.557596678242</v>
      </c>
      <c r="M452" s="26"/>
    </row>
    <row r="453" spans="1:13" ht="75" customHeight="1" thickTop="1" thickBot="1">
      <c r="A453" s="34">
        <v>451</v>
      </c>
      <c r="B453" s="55">
        <v>46098.5567668402</v>
      </c>
      <c r="C453" s="56" t="s">
        <v>26</v>
      </c>
      <c r="D453" s="56" t="s">
        <v>49</v>
      </c>
      <c r="E453" s="26" t="s">
        <v>22</v>
      </c>
      <c r="F453" s="26" t="s">
        <v>28</v>
      </c>
      <c r="G453" s="26" t="s">
        <v>38</v>
      </c>
      <c r="H453" s="26" t="s">
        <v>365</v>
      </c>
      <c r="I453" s="26"/>
      <c r="J453" s="26" t="s">
        <v>16</v>
      </c>
      <c r="K453" s="26" t="s">
        <v>13</v>
      </c>
      <c r="L453" s="55">
        <v>46098.557661412036</v>
      </c>
      <c r="M453" s="26"/>
    </row>
    <row r="454" spans="1:13" ht="75" customHeight="1" thickTop="1" thickBot="1">
      <c r="A454" s="26">
        <v>452</v>
      </c>
      <c r="B454" s="55">
        <v>46098.557208692102</v>
      </c>
      <c r="C454" s="56" t="s">
        <v>26</v>
      </c>
      <c r="D454" s="56" t="s">
        <v>49</v>
      </c>
      <c r="E454" s="26" t="s">
        <v>22</v>
      </c>
      <c r="F454" s="26" t="s">
        <v>31</v>
      </c>
      <c r="G454" s="26" t="s">
        <v>37</v>
      </c>
      <c r="H454" s="26" t="s">
        <v>3833</v>
      </c>
      <c r="I454" s="26"/>
      <c r="J454" s="26" t="s">
        <v>16</v>
      </c>
      <c r="K454" s="26" t="s">
        <v>13</v>
      </c>
      <c r="L454" s="55">
        <v>46098.557773356486</v>
      </c>
      <c r="M454" s="26"/>
    </row>
    <row r="455" spans="1:13" ht="75" customHeight="1" thickTop="1" thickBot="1">
      <c r="A455" s="34">
        <v>453</v>
      </c>
      <c r="B455" s="55">
        <v>46099.511419710601</v>
      </c>
      <c r="C455" s="56" t="s">
        <v>26</v>
      </c>
      <c r="D455" s="56" t="s">
        <v>180</v>
      </c>
      <c r="E455" s="26" t="s">
        <v>21</v>
      </c>
      <c r="F455" s="26" t="s">
        <v>39</v>
      </c>
      <c r="G455" s="26" t="s">
        <v>391</v>
      </c>
      <c r="H455" s="26" t="s">
        <v>392</v>
      </c>
      <c r="I455" s="26"/>
      <c r="J455" s="26" t="s">
        <v>14</v>
      </c>
      <c r="K455" s="26" t="s">
        <v>13</v>
      </c>
      <c r="L455" s="55">
        <v>46099.592692523147</v>
      </c>
      <c r="M455" s="26"/>
    </row>
    <row r="456" spans="1:13" ht="75" customHeight="1" thickTop="1" thickBot="1">
      <c r="A456" s="26">
        <v>454</v>
      </c>
      <c r="B456" s="55">
        <v>46099.593135740703</v>
      </c>
      <c r="C456" s="56" t="s">
        <v>26</v>
      </c>
      <c r="D456" s="56" t="s">
        <v>49</v>
      </c>
      <c r="E456" s="26" t="s">
        <v>22</v>
      </c>
      <c r="F456" s="26" t="s">
        <v>28</v>
      </c>
      <c r="G456" s="26" t="s">
        <v>36</v>
      </c>
      <c r="H456" s="26" t="s">
        <v>3834</v>
      </c>
      <c r="I456" s="26"/>
      <c r="J456" s="26" t="s">
        <v>14</v>
      </c>
      <c r="K456" s="26" t="s">
        <v>13</v>
      </c>
      <c r="L456" s="55">
        <v>46099.597079780091</v>
      </c>
      <c r="M456" s="26"/>
    </row>
    <row r="457" spans="1:13" ht="75" customHeight="1" thickTop="1" thickBot="1">
      <c r="A457" s="34">
        <v>455</v>
      </c>
      <c r="B457" s="55">
        <v>46099.594900404998</v>
      </c>
      <c r="C457" s="56" t="s">
        <v>26</v>
      </c>
      <c r="D457" s="56" t="s">
        <v>49</v>
      </c>
      <c r="E457" s="26" t="s">
        <v>22</v>
      </c>
      <c r="F457" s="26" t="s">
        <v>42</v>
      </c>
      <c r="G457" s="26" t="s">
        <v>37</v>
      </c>
      <c r="H457" s="26" t="s">
        <v>3835</v>
      </c>
      <c r="I457" s="26"/>
      <c r="J457" s="26" t="s">
        <v>12</v>
      </c>
      <c r="K457" s="26" t="s">
        <v>13</v>
      </c>
      <c r="L457" s="55">
        <v>46099.597101562496</v>
      </c>
      <c r="M457" s="26"/>
    </row>
    <row r="458" spans="1:13" ht="75" customHeight="1" thickTop="1" thickBot="1">
      <c r="A458" s="26">
        <v>456</v>
      </c>
      <c r="B458" s="55">
        <v>46099.596863564802</v>
      </c>
      <c r="C458" s="56" t="s">
        <v>26</v>
      </c>
      <c r="D458" s="56" t="s">
        <v>49</v>
      </c>
      <c r="E458" s="26" t="s">
        <v>22</v>
      </c>
      <c r="F458" s="26" t="s">
        <v>42</v>
      </c>
      <c r="G458" s="26" t="s">
        <v>37</v>
      </c>
      <c r="H458" s="26" t="s">
        <v>3836</v>
      </c>
      <c r="I458" s="26"/>
      <c r="J458" s="26" t="s">
        <v>12</v>
      </c>
      <c r="K458" s="26" t="s">
        <v>13</v>
      </c>
      <c r="L458" s="55">
        <v>46099.597139895835</v>
      </c>
      <c r="M458" s="26"/>
    </row>
    <row r="459" spans="1:13" ht="75" customHeight="1" thickTop="1" thickBot="1">
      <c r="A459" s="34">
        <v>457</v>
      </c>
      <c r="B459" s="55">
        <v>46099.598133287</v>
      </c>
      <c r="C459" s="56" t="s">
        <v>26</v>
      </c>
      <c r="D459" s="56" t="s">
        <v>49</v>
      </c>
      <c r="E459" s="26" t="s">
        <v>22</v>
      </c>
      <c r="F459" s="26" t="s">
        <v>42</v>
      </c>
      <c r="G459" s="26" t="s">
        <v>43</v>
      </c>
      <c r="H459" s="26" t="s">
        <v>3837</v>
      </c>
      <c r="I459" s="26"/>
      <c r="J459" s="26" t="s">
        <v>16</v>
      </c>
      <c r="K459" s="26" t="s">
        <v>13</v>
      </c>
      <c r="L459" s="55">
        <v>46099.606507893521</v>
      </c>
      <c r="M459" s="26"/>
    </row>
    <row r="460" spans="1:13" ht="75" customHeight="1" thickTop="1" thickBot="1">
      <c r="A460" s="26">
        <v>458</v>
      </c>
      <c r="B460" s="55">
        <v>46099.598749143501</v>
      </c>
      <c r="C460" s="56" t="s">
        <v>26</v>
      </c>
      <c r="D460" s="56" t="s">
        <v>49</v>
      </c>
      <c r="E460" s="26" t="s">
        <v>22</v>
      </c>
      <c r="F460" s="26" t="s">
        <v>42</v>
      </c>
      <c r="G460" s="26" t="s">
        <v>47</v>
      </c>
      <c r="H460" s="26" t="s">
        <v>366</v>
      </c>
      <c r="I460" s="26"/>
      <c r="J460" s="26" t="s">
        <v>16</v>
      </c>
      <c r="K460" s="26" t="s">
        <v>13</v>
      </c>
      <c r="L460" s="55">
        <v>46099.606447418977</v>
      </c>
      <c r="M460" s="26"/>
    </row>
    <row r="461" spans="1:13" ht="75" customHeight="1" thickTop="1" thickBot="1">
      <c r="A461" s="34">
        <v>459</v>
      </c>
      <c r="B461" s="55">
        <v>46099.599484965198</v>
      </c>
      <c r="C461" s="56" t="s">
        <v>26</v>
      </c>
      <c r="D461" s="56" t="s">
        <v>49</v>
      </c>
      <c r="E461" s="26" t="s">
        <v>22</v>
      </c>
      <c r="F461" s="26" t="s">
        <v>39</v>
      </c>
      <c r="G461" s="26" t="s">
        <v>43</v>
      </c>
      <c r="H461" s="26" t="s">
        <v>367</v>
      </c>
      <c r="I461" s="26"/>
      <c r="J461" s="26" t="s">
        <v>16</v>
      </c>
      <c r="K461" s="26" t="s">
        <v>13</v>
      </c>
      <c r="L461" s="55">
        <v>46099.606403784725</v>
      </c>
      <c r="M461" s="26"/>
    </row>
    <row r="462" spans="1:13" ht="75" customHeight="1" thickTop="1" thickBot="1">
      <c r="A462" s="26">
        <v>460</v>
      </c>
      <c r="B462" s="55">
        <v>46099.600089085601</v>
      </c>
      <c r="C462" s="56" t="s">
        <v>26</v>
      </c>
      <c r="D462" s="56" t="s">
        <v>49</v>
      </c>
      <c r="E462" s="26" t="s">
        <v>22</v>
      </c>
      <c r="F462" s="26" t="s">
        <v>39</v>
      </c>
      <c r="G462" s="26" t="s">
        <v>37</v>
      </c>
      <c r="H462" s="26" t="s">
        <v>368</v>
      </c>
      <c r="I462" s="26"/>
      <c r="J462" s="26" t="s">
        <v>16</v>
      </c>
      <c r="K462" s="26" t="s">
        <v>13</v>
      </c>
      <c r="L462" s="55">
        <v>46099.606325324072</v>
      </c>
      <c r="M462" s="26"/>
    </row>
    <row r="463" spans="1:13" ht="75" customHeight="1" thickTop="1" thickBot="1">
      <c r="A463" s="34">
        <v>461</v>
      </c>
      <c r="B463" s="55">
        <v>46099.601009942096</v>
      </c>
      <c r="C463" s="56" t="s">
        <v>26</v>
      </c>
      <c r="D463" s="56" t="s">
        <v>49</v>
      </c>
      <c r="E463" s="26" t="s">
        <v>22</v>
      </c>
      <c r="F463" s="26" t="s">
        <v>28</v>
      </c>
      <c r="G463" s="26" t="s">
        <v>37</v>
      </c>
      <c r="H463" s="26" t="s">
        <v>3838</v>
      </c>
      <c r="I463" s="26"/>
      <c r="J463" s="26" t="s">
        <v>16</v>
      </c>
      <c r="K463" s="26" t="s">
        <v>13</v>
      </c>
      <c r="L463" s="55">
        <v>46099.606273379628</v>
      </c>
      <c r="M463" s="26"/>
    </row>
    <row r="464" spans="1:13" ht="75" customHeight="1" thickTop="1" thickBot="1">
      <c r="A464" s="26">
        <v>462</v>
      </c>
      <c r="B464" s="55">
        <v>46099.601591006904</v>
      </c>
      <c r="C464" s="56" t="s">
        <v>26</v>
      </c>
      <c r="D464" s="56" t="s">
        <v>49</v>
      </c>
      <c r="E464" s="26" t="s">
        <v>22</v>
      </c>
      <c r="F464" s="26" t="s">
        <v>28</v>
      </c>
      <c r="G464" s="26" t="s">
        <v>37</v>
      </c>
      <c r="H464" s="26" t="s">
        <v>3839</v>
      </c>
      <c r="I464" s="26"/>
      <c r="J464" s="26" t="s">
        <v>16</v>
      </c>
      <c r="K464" s="26" t="s">
        <v>13</v>
      </c>
      <c r="L464" s="55">
        <v>46099.606215381944</v>
      </c>
      <c r="M464" s="26"/>
    </row>
    <row r="465" spans="1:13" ht="75" customHeight="1" thickTop="1" thickBot="1">
      <c r="A465" s="34">
        <v>463</v>
      </c>
      <c r="B465" s="55">
        <v>46099.602155960602</v>
      </c>
      <c r="C465" s="56" t="s">
        <v>26</v>
      </c>
      <c r="D465" s="56" t="s">
        <v>49</v>
      </c>
      <c r="E465" s="26" t="s">
        <v>22</v>
      </c>
      <c r="F465" s="26" t="s">
        <v>28</v>
      </c>
      <c r="G465" s="26" t="s">
        <v>38</v>
      </c>
      <c r="H465" s="26" t="s">
        <v>3840</v>
      </c>
      <c r="I465" s="26"/>
      <c r="J465" s="26" t="s">
        <v>16</v>
      </c>
      <c r="K465" s="26" t="s">
        <v>13</v>
      </c>
      <c r="L465" s="55">
        <v>46099.606140173608</v>
      </c>
      <c r="M465" s="26"/>
    </row>
    <row r="466" spans="1:13" ht="75" customHeight="1" thickTop="1" thickBot="1">
      <c r="A466" s="26">
        <v>464</v>
      </c>
      <c r="B466" s="55">
        <v>46099.602773946703</v>
      </c>
      <c r="C466" s="56" t="s">
        <v>26</v>
      </c>
      <c r="D466" s="56" t="s">
        <v>49</v>
      </c>
      <c r="E466" s="26" t="s">
        <v>22</v>
      </c>
      <c r="F466" s="26" t="s">
        <v>28</v>
      </c>
      <c r="G466" s="26" t="s">
        <v>216</v>
      </c>
      <c r="H466" s="26" t="s">
        <v>3841</v>
      </c>
      <c r="I466" s="26"/>
      <c r="J466" s="26" t="s">
        <v>16</v>
      </c>
      <c r="K466" s="26" t="s">
        <v>13</v>
      </c>
      <c r="L466" s="55">
        <v>46099.606066284723</v>
      </c>
      <c r="M466" s="26"/>
    </row>
    <row r="467" spans="1:13" ht="75" customHeight="1" thickTop="1" thickBot="1">
      <c r="A467" s="34">
        <v>465</v>
      </c>
      <c r="B467" s="55">
        <v>46099.603509629596</v>
      </c>
      <c r="C467" s="56" t="s">
        <v>26</v>
      </c>
      <c r="D467" s="56" t="s">
        <v>49</v>
      </c>
      <c r="E467" s="26" t="s">
        <v>22</v>
      </c>
      <c r="F467" s="26" t="s">
        <v>28</v>
      </c>
      <c r="G467" s="26" t="s">
        <v>38</v>
      </c>
      <c r="H467" s="26" t="s">
        <v>3842</v>
      </c>
      <c r="I467" s="26"/>
      <c r="J467" s="26" t="s">
        <v>16</v>
      </c>
      <c r="K467" s="26" t="s">
        <v>13</v>
      </c>
      <c r="L467" s="55">
        <v>46099.605997499995</v>
      </c>
      <c r="M467" s="26"/>
    </row>
    <row r="468" spans="1:13" ht="75" customHeight="1" thickTop="1" thickBot="1">
      <c r="A468" s="26">
        <v>466</v>
      </c>
      <c r="B468" s="55">
        <v>46099.604113923597</v>
      </c>
      <c r="C468" s="56" t="s">
        <v>26</v>
      </c>
      <c r="D468" s="56" t="s">
        <v>49</v>
      </c>
      <c r="E468" s="26" t="s">
        <v>22</v>
      </c>
      <c r="F468" s="26" t="s">
        <v>28</v>
      </c>
      <c r="G468" s="26" t="s">
        <v>38</v>
      </c>
      <c r="H468" s="26" t="s">
        <v>3843</v>
      </c>
      <c r="I468" s="26"/>
      <c r="J468" s="26" t="s">
        <v>16</v>
      </c>
      <c r="K468" s="26" t="s">
        <v>13</v>
      </c>
      <c r="L468" s="55">
        <v>46099.605859340278</v>
      </c>
      <c r="M468" s="26"/>
    </row>
    <row r="469" spans="1:13" ht="75" customHeight="1" thickTop="1" thickBot="1">
      <c r="A469" s="34">
        <v>467</v>
      </c>
      <c r="B469" s="55">
        <v>46099.604750208302</v>
      </c>
      <c r="C469" s="56" t="s">
        <v>26</v>
      </c>
      <c r="D469" s="56" t="s">
        <v>49</v>
      </c>
      <c r="E469" s="26" t="s">
        <v>22</v>
      </c>
      <c r="F469" s="26" t="s">
        <v>28</v>
      </c>
      <c r="G469" s="26" t="s">
        <v>369</v>
      </c>
      <c r="H469" s="26" t="s">
        <v>3844</v>
      </c>
      <c r="I469" s="26"/>
      <c r="J469" s="26" t="s">
        <v>16</v>
      </c>
      <c r="K469" s="26" t="s">
        <v>13</v>
      </c>
      <c r="L469" s="55">
        <v>46099.605797627315</v>
      </c>
      <c r="M469" s="26"/>
    </row>
    <row r="470" spans="1:13" ht="75" customHeight="1" thickTop="1" thickBot="1">
      <c r="A470" s="26">
        <v>468</v>
      </c>
      <c r="B470" s="55">
        <v>46099.605154618002</v>
      </c>
      <c r="C470" s="56" t="s">
        <v>26</v>
      </c>
      <c r="D470" s="56" t="s">
        <v>49</v>
      </c>
      <c r="E470" s="26" t="s">
        <v>22</v>
      </c>
      <c r="F470" s="26" t="s">
        <v>31</v>
      </c>
      <c r="G470" s="26" t="s">
        <v>37</v>
      </c>
      <c r="H470" s="26" t="s">
        <v>3833</v>
      </c>
      <c r="I470" s="26"/>
      <c r="J470" s="26" t="s">
        <v>16</v>
      </c>
      <c r="K470" s="26" t="s">
        <v>13</v>
      </c>
      <c r="L470" s="55">
        <v>46099.60571123843</v>
      </c>
      <c r="M470" s="26"/>
    </row>
    <row r="471" spans="1:13" ht="75" customHeight="1" thickTop="1" thickBot="1">
      <c r="A471" s="34">
        <v>469</v>
      </c>
      <c r="B471" s="55">
        <v>46100.503958923597</v>
      </c>
      <c r="C471" s="56" t="s">
        <v>26</v>
      </c>
      <c r="D471" s="56" t="s">
        <v>49</v>
      </c>
      <c r="E471" s="26" t="s">
        <v>22</v>
      </c>
      <c r="F471" s="26" t="s">
        <v>42</v>
      </c>
      <c r="G471" s="26" t="s">
        <v>216</v>
      </c>
      <c r="H471" s="26" t="s">
        <v>3845</v>
      </c>
      <c r="I471" s="26"/>
      <c r="J471" s="26" t="s">
        <v>16</v>
      </c>
      <c r="K471" s="26" t="s">
        <v>13</v>
      </c>
      <c r="L471" s="55">
        <v>46100.50821299768</v>
      </c>
      <c r="M471" s="26"/>
    </row>
    <row r="472" spans="1:13" ht="75" customHeight="1" thickTop="1" thickBot="1">
      <c r="A472" s="26">
        <v>470</v>
      </c>
      <c r="B472" s="55">
        <v>46100.505231458301</v>
      </c>
      <c r="C472" s="56" t="s">
        <v>26</v>
      </c>
      <c r="D472" s="56" t="s">
        <v>49</v>
      </c>
      <c r="E472" s="26" t="s">
        <v>22</v>
      </c>
      <c r="F472" s="26" t="s">
        <v>28</v>
      </c>
      <c r="G472" s="26" t="s">
        <v>38</v>
      </c>
      <c r="H472" s="26" t="s">
        <v>3846</v>
      </c>
      <c r="I472" s="26"/>
      <c r="J472" s="26" t="s">
        <v>16</v>
      </c>
      <c r="K472" s="26" t="s">
        <v>13</v>
      </c>
      <c r="L472" s="55">
        <v>46100.508265879631</v>
      </c>
      <c r="M472" s="26"/>
    </row>
    <row r="473" spans="1:13" ht="75" customHeight="1" thickTop="1" thickBot="1">
      <c r="A473" s="34">
        <v>471</v>
      </c>
      <c r="B473" s="55">
        <v>46100.505806620298</v>
      </c>
      <c r="C473" s="56" t="s">
        <v>26</v>
      </c>
      <c r="D473" s="56" t="s">
        <v>49</v>
      </c>
      <c r="E473" s="26" t="s">
        <v>22</v>
      </c>
      <c r="F473" s="26" t="s">
        <v>39</v>
      </c>
      <c r="G473" s="26" t="s">
        <v>216</v>
      </c>
      <c r="H473" s="26" t="s">
        <v>3847</v>
      </c>
      <c r="I473" s="26"/>
      <c r="J473" s="26" t="s">
        <v>16</v>
      </c>
      <c r="K473" s="26" t="s">
        <v>13</v>
      </c>
      <c r="L473" s="55">
        <v>46100.508311886573</v>
      </c>
      <c r="M473" s="26"/>
    </row>
    <row r="474" spans="1:13" ht="75" customHeight="1" thickTop="1" thickBot="1">
      <c r="A474" s="26">
        <v>472</v>
      </c>
      <c r="B474" s="55">
        <v>46100.5063938194</v>
      </c>
      <c r="C474" s="56" t="s">
        <v>26</v>
      </c>
      <c r="D474" s="56" t="s">
        <v>49</v>
      </c>
      <c r="E474" s="26" t="s">
        <v>22</v>
      </c>
      <c r="F474" s="26" t="s">
        <v>42</v>
      </c>
      <c r="G474" s="26" t="s">
        <v>38</v>
      </c>
      <c r="H474" s="26" t="s">
        <v>3848</v>
      </c>
      <c r="I474" s="26"/>
      <c r="J474" s="26" t="s">
        <v>16</v>
      </c>
      <c r="K474" s="26" t="s">
        <v>13</v>
      </c>
      <c r="L474" s="55">
        <v>46100.508366168986</v>
      </c>
      <c r="M474" s="26"/>
    </row>
    <row r="475" spans="1:13" ht="75" customHeight="1" thickTop="1" thickBot="1">
      <c r="A475" s="34">
        <v>473</v>
      </c>
      <c r="B475" s="55">
        <v>46100.506880995301</v>
      </c>
      <c r="C475" s="56" t="s">
        <v>26</v>
      </c>
      <c r="D475" s="56" t="s">
        <v>49</v>
      </c>
      <c r="E475" s="26" t="s">
        <v>22</v>
      </c>
      <c r="F475" s="26" t="s">
        <v>42</v>
      </c>
      <c r="G475" s="26" t="s">
        <v>36</v>
      </c>
      <c r="H475" s="26" t="s">
        <v>3849</v>
      </c>
      <c r="I475" s="26"/>
      <c r="J475" s="26" t="s">
        <v>16</v>
      </c>
      <c r="K475" s="26" t="s">
        <v>13</v>
      </c>
      <c r="L475" s="55">
        <v>46100.508427083332</v>
      </c>
      <c r="M475" s="26"/>
    </row>
    <row r="476" spans="1:13" ht="75" customHeight="1" thickTop="1" thickBot="1">
      <c r="A476" s="26">
        <v>474</v>
      </c>
      <c r="B476" s="55">
        <v>46100.507657939801</v>
      </c>
      <c r="C476" s="56" t="s">
        <v>26</v>
      </c>
      <c r="D476" s="56" t="s">
        <v>49</v>
      </c>
      <c r="E476" s="26" t="s">
        <v>22</v>
      </c>
      <c r="F476" s="26" t="s">
        <v>42</v>
      </c>
      <c r="G476" s="26" t="s">
        <v>36</v>
      </c>
      <c r="H476" s="26" t="s">
        <v>3850</v>
      </c>
      <c r="I476" s="26"/>
      <c r="J476" s="26" t="s">
        <v>16</v>
      </c>
      <c r="K476" s="26" t="s">
        <v>13</v>
      </c>
      <c r="L476" s="55">
        <v>46100.508501493052</v>
      </c>
      <c r="M476" s="26"/>
    </row>
    <row r="477" spans="1:13" ht="75" customHeight="1" thickTop="1" thickBot="1">
      <c r="A477" s="34">
        <v>475</v>
      </c>
      <c r="B477" s="55">
        <v>46104.701114918898</v>
      </c>
      <c r="C477" s="56" t="s">
        <v>26</v>
      </c>
      <c r="D477" s="56" t="s">
        <v>49</v>
      </c>
      <c r="E477" s="26" t="s">
        <v>22</v>
      </c>
      <c r="F477" s="26" t="s">
        <v>42</v>
      </c>
      <c r="G477" s="26" t="s">
        <v>36</v>
      </c>
      <c r="H477" s="26" t="s">
        <v>3851</v>
      </c>
      <c r="I477" s="26"/>
      <c r="J477" s="26" t="s">
        <v>12</v>
      </c>
      <c r="K477" s="26" t="s">
        <v>13</v>
      </c>
      <c r="L477" s="55">
        <v>46104.703587569442</v>
      </c>
      <c r="M477" s="26"/>
    </row>
    <row r="478" spans="1:13" ht="75" customHeight="1" thickTop="1" thickBot="1">
      <c r="A478" s="26">
        <v>476</v>
      </c>
      <c r="B478" s="55">
        <v>46104.701755729096</v>
      </c>
      <c r="C478" s="56" t="s">
        <v>26</v>
      </c>
      <c r="D478" s="56" t="s">
        <v>49</v>
      </c>
      <c r="E478" s="26" t="s">
        <v>22</v>
      </c>
      <c r="F478" s="26" t="s">
        <v>31</v>
      </c>
      <c r="G478" s="26" t="s">
        <v>25</v>
      </c>
      <c r="H478" s="26" t="s">
        <v>3852</v>
      </c>
      <c r="I478" s="26"/>
      <c r="J478" s="26" t="s">
        <v>16</v>
      </c>
      <c r="K478" s="26" t="s">
        <v>13</v>
      </c>
      <c r="L478" s="55">
        <v>46104.703727673608</v>
      </c>
      <c r="M478" s="26"/>
    </row>
    <row r="479" spans="1:13" ht="75" customHeight="1" thickTop="1" thickBot="1">
      <c r="A479" s="34">
        <v>477</v>
      </c>
      <c r="B479" s="55">
        <v>46104.7024380324</v>
      </c>
      <c r="C479" s="56" t="s">
        <v>26</v>
      </c>
      <c r="D479" s="56" t="s">
        <v>49</v>
      </c>
      <c r="E479" s="26" t="s">
        <v>22</v>
      </c>
      <c r="F479" s="26" t="s">
        <v>31</v>
      </c>
      <c r="G479" s="26" t="s">
        <v>38</v>
      </c>
      <c r="H479" s="26" t="s">
        <v>3853</v>
      </c>
      <c r="I479" s="26"/>
      <c r="J479" s="26" t="s">
        <v>16</v>
      </c>
      <c r="K479" s="26" t="s">
        <v>13</v>
      </c>
      <c r="L479" s="55">
        <v>46104.703806446763</v>
      </c>
      <c r="M479" s="26"/>
    </row>
    <row r="480" spans="1:13" ht="75" customHeight="1" thickTop="1" thickBot="1">
      <c r="A480" s="26">
        <v>478</v>
      </c>
      <c r="B480" s="55">
        <v>46104.703104062399</v>
      </c>
      <c r="C480" s="56" t="s">
        <v>26</v>
      </c>
      <c r="D480" s="56" t="s">
        <v>49</v>
      </c>
      <c r="E480" s="26" t="s">
        <v>22</v>
      </c>
      <c r="F480" s="26" t="s">
        <v>31</v>
      </c>
      <c r="G480" s="26" t="s">
        <v>38</v>
      </c>
      <c r="H480" s="26" t="s">
        <v>3854</v>
      </c>
      <c r="I480" s="26"/>
      <c r="J480" s="26" t="s">
        <v>16</v>
      </c>
      <c r="K480" s="26" t="s">
        <v>13</v>
      </c>
      <c r="L480" s="55">
        <v>46104.703884490737</v>
      </c>
      <c r="M480" s="26"/>
    </row>
    <row r="481" spans="1:13" ht="75" customHeight="1" thickTop="1" thickBot="1">
      <c r="A481" s="34">
        <v>479</v>
      </c>
      <c r="B481" s="55">
        <v>46106.579315833304</v>
      </c>
      <c r="C481" s="56" t="s">
        <v>26</v>
      </c>
      <c r="D481" s="56" t="s">
        <v>49</v>
      </c>
      <c r="E481" s="26" t="s">
        <v>22</v>
      </c>
      <c r="F481" s="26" t="s">
        <v>28</v>
      </c>
      <c r="G481" s="26" t="s">
        <v>47</v>
      </c>
      <c r="H481" s="26" t="s">
        <v>3855</v>
      </c>
      <c r="I481" s="26"/>
      <c r="J481" s="26" t="s">
        <v>16</v>
      </c>
      <c r="K481" s="26" t="s">
        <v>13</v>
      </c>
      <c r="L481" s="55">
        <v>46106.597469930552</v>
      </c>
      <c r="M481" s="26"/>
    </row>
    <row r="482" spans="1:13" ht="75" customHeight="1" thickTop="1" thickBot="1">
      <c r="A482" s="26">
        <v>480</v>
      </c>
      <c r="B482" s="55">
        <v>46106.580812002299</v>
      </c>
      <c r="C482" s="56" t="s">
        <v>26</v>
      </c>
      <c r="D482" s="56" t="s">
        <v>49</v>
      </c>
      <c r="E482" s="26" t="s">
        <v>22</v>
      </c>
      <c r="F482" s="26" t="s">
        <v>39</v>
      </c>
      <c r="G482" s="26" t="s">
        <v>25</v>
      </c>
      <c r="H482" s="26" t="s">
        <v>3856</v>
      </c>
      <c r="I482" s="26"/>
      <c r="J482" s="26" t="s">
        <v>16</v>
      </c>
      <c r="K482" s="26" t="s">
        <v>13</v>
      </c>
      <c r="L482" s="55">
        <v>46106.597543379627</v>
      </c>
      <c r="M482" s="26"/>
    </row>
    <row r="483" spans="1:13" ht="75" customHeight="1" thickTop="1" thickBot="1">
      <c r="A483" s="34">
        <v>481</v>
      </c>
      <c r="B483" s="55">
        <v>46106.582374756901</v>
      </c>
      <c r="C483" s="56" t="s">
        <v>26</v>
      </c>
      <c r="D483" s="56" t="s">
        <v>49</v>
      </c>
      <c r="E483" s="26" t="s">
        <v>22</v>
      </c>
      <c r="F483" s="26" t="s">
        <v>28</v>
      </c>
      <c r="G483" s="26" t="s">
        <v>48</v>
      </c>
      <c r="H483" s="26" t="s">
        <v>3857</v>
      </c>
      <c r="I483" s="26"/>
      <c r="J483" s="26" t="s">
        <v>16</v>
      </c>
      <c r="K483" s="26" t="s">
        <v>13</v>
      </c>
      <c r="L483" s="55">
        <v>46106.597608518518</v>
      </c>
      <c r="M483" s="26"/>
    </row>
    <row r="484" spans="1:13" ht="75" customHeight="1" thickTop="1" thickBot="1">
      <c r="A484" s="26">
        <v>482</v>
      </c>
      <c r="B484" s="55">
        <v>46106.586285613397</v>
      </c>
      <c r="C484" s="56" t="s">
        <v>26</v>
      </c>
      <c r="D484" s="56" t="s">
        <v>49</v>
      </c>
      <c r="E484" s="26" t="s">
        <v>22</v>
      </c>
      <c r="F484" s="26" t="s">
        <v>28</v>
      </c>
      <c r="G484" s="26" t="s">
        <v>44</v>
      </c>
      <c r="H484" s="26" t="s">
        <v>3858</v>
      </c>
      <c r="I484" s="26"/>
      <c r="J484" s="26" t="s">
        <v>16</v>
      </c>
      <c r="K484" s="26" t="s">
        <v>13</v>
      </c>
      <c r="L484" s="55">
        <v>46106.59767545139</v>
      </c>
      <c r="M484" s="26"/>
    </row>
    <row r="485" spans="1:13" ht="75" customHeight="1" thickTop="1" thickBot="1">
      <c r="A485" s="34">
        <v>483</v>
      </c>
      <c r="B485" s="55">
        <v>46106.587684432801</v>
      </c>
      <c r="C485" s="56" t="s">
        <v>26</v>
      </c>
      <c r="D485" s="56" t="s">
        <v>49</v>
      </c>
      <c r="E485" s="26" t="s">
        <v>22</v>
      </c>
      <c r="F485" s="26" t="s">
        <v>39</v>
      </c>
      <c r="G485" s="26" t="s">
        <v>25</v>
      </c>
      <c r="H485" s="26" t="s">
        <v>3859</v>
      </c>
      <c r="I485" s="26"/>
      <c r="J485" s="26" t="s">
        <v>16</v>
      </c>
      <c r="K485" s="26" t="s">
        <v>13</v>
      </c>
      <c r="L485" s="55">
        <v>46106.597734756942</v>
      </c>
      <c r="M485" s="26"/>
    </row>
    <row r="486" spans="1:13" ht="75" customHeight="1" thickTop="1" thickBot="1">
      <c r="A486" s="26">
        <v>484</v>
      </c>
      <c r="B486" s="55">
        <v>46106.588319536997</v>
      </c>
      <c r="C486" s="56" t="s">
        <v>26</v>
      </c>
      <c r="D486" s="56" t="s">
        <v>49</v>
      </c>
      <c r="E486" s="26" t="s">
        <v>22</v>
      </c>
      <c r="F486" s="26" t="s">
        <v>31</v>
      </c>
      <c r="G486" s="26" t="s">
        <v>47</v>
      </c>
      <c r="H486" s="26" t="s">
        <v>3860</v>
      </c>
      <c r="I486" s="26"/>
      <c r="J486" s="26" t="s">
        <v>16</v>
      </c>
      <c r="K486" s="26" t="s">
        <v>13</v>
      </c>
      <c r="L486" s="55">
        <v>46106.597823229167</v>
      </c>
      <c r="M486" s="26"/>
    </row>
    <row r="487" spans="1:13" ht="75" customHeight="1" thickTop="1" thickBot="1">
      <c r="A487" s="34">
        <v>485</v>
      </c>
      <c r="B487" s="55">
        <v>46106.589261365698</v>
      </c>
      <c r="C487" s="56" t="s">
        <v>26</v>
      </c>
      <c r="D487" s="56" t="s">
        <v>49</v>
      </c>
      <c r="E487" s="26" t="s">
        <v>22</v>
      </c>
      <c r="F487" s="26" t="s">
        <v>28</v>
      </c>
      <c r="G487" s="26" t="s">
        <v>216</v>
      </c>
      <c r="H487" s="26" t="s">
        <v>370</v>
      </c>
      <c r="I487" s="26"/>
      <c r="J487" s="26" t="s">
        <v>16</v>
      </c>
      <c r="K487" s="26" t="s">
        <v>13</v>
      </c>
      <c r="L487" s="55">
        <v>46106.597869259262</v>
      </c>
      <c r="M487" s="26"/>
    </row>
    <row r="488" spans="1:13" ht="75" customHeight="1" thickTop="1" thickBot="1">
      <c r="A488" s="26">
        <v>486</v>
      </c>
      <c r="B488" s="55">
        <v>46106.590173055498</v>
      </c>
      <c r="C488" s="56" t="s">
        <v>26</v>
      </c>
      <c r="D488" s="56" t="s">
        <v>49</v>
      </c>
      <c r="E488" s="26" t="s">
        <v>22</v>
      </c>
      <c r="F488" s="26" t="s">
        <v>28</v>
      </c>
      <c r="G488" s="26" t="s">
        <v>216</v>
      </c>
      <c r="H488" s="26" t="s">
        <v>3861</v>
      </c>
      <c r="I488" s="26"/>
      <c r="J488" s="26" t="s">
        <v>16</v>
      </c>
      <c r="K488" s="26" t="s">
        <v>13</v>
      </c>
      <c r="L488" s="55">
        <v>46106.598001296297</v>
      </c>
      <c r="M488" s="26"/>
    </row>
    <row r="489" spans="1:13" ht="75" customHeight="1" thickTop="1" thickBot="1">
      <c r="A489" s="34">
        <v>487</v>
      </c>
      <c r="B489" s="55">
        <v>46106.590751157397</v>
      </c>
      <c r="C489" s="56" t="s">
        <v>26</v>
      </c>
      <c r="D489" s="56" t="s">
        <v>49</v>
      </c>
      <c r="E489" s="26" t="s">
        <v>22</v>
      </c>
      <c r="F489" s="26" t="s">
        <v>28</v>
      </c>
      <c r="G489" s="26" t="s">
        <v>38</v>
      </c>
      <c r="H489" s="26" t="s">
        <v>371</v>
      </c>
      <c r="I489" s="26"/>
      <c r="J489" s="26" t="s">
        <v>16</v>
      </c>
      <c r="K489" s="26" t="s">
        <v>13</v>
      </c>
      <c r="L489" s="55">
        <v>46106.598077581017</v>
      </c>
      <c r="M489" s="26"/>
    </row>
    <row r="490" spans="1:13" ht="75" customHeight="1" thickTop="1" thickBot="1">
      <c r="A490" s="26">
        <v>488</v>
      </c>
      <c r="B490" s="55">
        <v>46106.591366469896</v>
      </c>
      <c r="C490" s="56" t="s">
        <v>26</v>
      </c>
      <c r="D490" s="56" t="s">
        <v>49</v>
      </c>
      <c r="E490" s="26" t="s">
        <v>22</v>
      </c>
      <c r="F490" s="26" t="s">
        <v>31</v>
      </c>
      <c r="G490" s="26" t="s">
        <v>36</v>
      </c>
      <c r="H490" s="26" t="s">
        <v>372</v>
      </c>
      <c r="I490" s="26"/>
      <c r="J490" s="26" t="s">
        <v>16</v>
      </c>
      <c r="K490" s="26" t="s">
        <v>13</v>
      </c>
      <c r="L490" s="55">
        <v>46106.598156655091</v>
      </c>
      <c r="M490" s="26"/>
    </row>
    <row r="491" spans="1:13" ht="75" customHeight="1" thickTop="1" thickBot="1">
      <c r="A491" s="34">
        <v>489</v>
      </c>
      <c r="B491" s="55">
        <v>46106.592211840201</v>
      </c>
      <c r="C491" s="56" t="s">
        <v>26</v>
      </c>
      <c r="D491" s="56" t="s">
        <v>49</v>
      </c>
      <c r="E491" s="26" t="s">
        <v>22</v>
      </c>
      <c r="F491" s="26" t="s">
        <v>31</v>
      </c>
      <c r="G491" s="26" t="s">
        <v>36</v>
      </c>
      <c r="H491" s="26" t="s">
        <v>373</v>
      </c>
      <c r="I491" s="26"/>
      <c r="J491" s="26" t="s">
        <v>16</v>
      </c>
      <c r="K491" s="26" t="s">
        <v>13</v>
      </c>
      <c r="L491" s="55">
        <v>46106.598202280089</v>
      </c>
      <c r="M491" s="26"/>
    </row>
    <row r="492" spans="1:13" ht="75" customHeight="1" thickTop="1" thickBot="1">
      <c r="A492" s="26">
        <v>490</v>
      </c>
      <c r="B492" s="55">
        <v>46106.592829212903</v>
      </c>
      <c r="C492" s="56" t="s">
        <v>26</v>
      </c>
      <c r="D492" s="56" t="s">
        <v>49</v>
      </c>
      <c r="E492" s="26" t="s">
        <v>22</v>
      </c>
      <c r="F492" s="26" t="s">
        <v>31</v>
      </c>
      <c r="G492" s="26" t="s">
        <v>38</v>
      </c>
      <c r="H492" s="26" t="s">
        <v>374</v>
      </c>
      <c r="I492" s="26"/>
      <c r="J492" s="26" t="s">
        <v>16</v>
      </c>
      <c r="K492" s="26" t="s">
        <v>13</v>
      </c>
      <c r="L492" s="55">
        <v>46106.598286203705</v>
      </c>
      <c r="M492" s="26"/>
    </row>
    <row r="493" spans="1:13" ht="75" customHeight="1" thickTop="1" thickBot="1">
      <c r="A493" s="34">
        <v>491</v>
      </c>
      <c r="B493" s="55">
        <v>46106.594271018497</v>
      </c>
      <c r="C493" s="56" t="s">
        <v>26</v>
      </c>
      <c r="D493" s="56" t="s">
        <v>49</v>
      </c>
      <c r="E493" s="26" t="s">
        <v>22</v>
      </c>
      <c r="F493" s="26" t="s">
        <v>42</v>
      </c>
      <c r="G493" s="26" t="s">
        <v>38</v>
      </c>
      <c r="H493" s="26" t="s">
        <v>375</v>
      </c>
      <c r="I493" s="26"/>
      <c r="J493" s="26" t="s">
        <v>16</v>
      </c>
      <c r="K493" s="26" t="s">
        <v>13</v>
      </c>
      <c r="L493" s="55">
        <v>46106.598375462963</v>
      </c>
      <c r="M493" s="26"/>
    </row>
    <row r="494" spans="1:13" ht="75" customHeight="1" thickTop="1" thickBot="1">
      <c r="A494" s="26">
        <v>492</v>
      </c>
      <c r="B494" s="55">
        <v>46106.594887500003</v>
      </c>
      <c r="C494" s="56" t="s">
        <v>26</v>
      </c>
      <c r="D494" s="56" t="s">
        <v>49</v>
      </c>
      <c r="E494" s="26" t="s">
        <v>22</v>
      </c>
      <c r="F494" s="26" t="s">
        <v>42</v>
      </c>
      <c r="G494" s="26" t="s">
        <v>38</v>
      </c>
      <c r="H494" s="26" t="s">
        <v>3862</v>
      </c>
      <c r="I494" s="26"/>
      <c r="J494" s="26" t="s">
        <v>16</v>
      </c>
      <c r="K494" s="26" t="s">
        <v>13</v>
      </c>
      <c r="L494" s="55">
        <v>46106.598448402779</v>
      </c>
      <c r="M494" s="26"/>
    </row>
    <row r="495" spans="1:13" ht="75" customHeight="1" thickTop="1" thickBot="1">
      <c r="A495" s="34">
        <v>493</v>
      </c>
      <c r="B495" s="55">
        <v>46106.595537800902</v>
      </c>
      <c r="C495" s="56" t="s">
        <v>26</v>
      </c>
      <c r="D495" s="56" t="s">
        <v>49</v>
      </c>
      <c r="E495" s="26" t="s">
        <v>22</v>
      </c>
      <c r="F495" s="26" t="s">
        <v>42</v>
      </c>
      <c r="G495" s="26" t="s">
        <v>216</v>
      </c>
      <c r="H495" s="26" t="s">
        <v>376</v>
      </c>
      <c r="I495" s="26"/>
      <c r="J495" s="26" t="s">
        <v>16</v>
      </c>
      <c r="K495" s="26" t="s">
        <v>13</v>
      </c>
      <c r="L495" s="55">
        <v>46106.598540416671</v>
      </c>
      <c r="M495" s="26"/>
    </row>
    <row r="496" spans="1:13" ht="75" customHeight="1" thickTop="1" thickBot="1">
      <c r="A496" s="26">
        <v>494</v>
      </c>
      <c r="B496" s="55">
        <v>46106.596129039302</v>
      </c>
      <c r="C496" s="56" t="s">
        <v>26</v>
      </c>
      <c r="D496" s="56" t="s">
        <v>49</v>
      </c>
      <c r="E496" s="26" t="s">
        <v>22</v>
      </c>
      <c r="F496" s="26" t="s">
        <v>42</v>
      </c>
      <c r="G496" s="26" t="s">
        <v>216</v>
      </c>
      <c r="H496" s="26" t="s">
        <v>3863</v>
      </c>
      <c r="I496" s="26"/>
      <c r="J496" s="26" t="s">
        <v>16</v>
      </c>
      <c r="K496" s="26" t="s">
        <v>13</v>
      </c>
      <c r="L496" s="55">
        <v>46106.598629328699</v>
      </c>
      <c r="M496" s="26"/>
    </row>
    <row r="497" spans="1:13" ht="75" customHeight="1" thickTop="1" thickBot="1">
      <c r="A497" s="34">
        <v>495</v>
      </c>
      <c r="B497" s="55">
        <v>46106.596982199</v>
      </c>
      <c r="C497" s="56" t="s">
        <v>26</v>
      </c>
      <c r="D497" s="56" t="s">
        <v>49</v>
      </c>
      <c r="E497" s="26" t="s">
        <v>22</v>
      </c>
      <c r="F497" s="26" t="s">
        <v>42</v>
      </c>
      <c r="G497" s="26" t="s">
        <v>36</v>
      </c>
      <c r="H497" s="26" t="s">
        <v>3864</v>
      </c>
      <c r="I497" s="26"/>
      <c r="J497" s="26" t="s">
        <v>16</v>
      </c>
      <c r="K497" s="26" t="s">
        <v>13</v>
      </c>
      <c r="L497" s="55">
        <v>46106.598689733801</v>
      </c>
      <c r="M497" s="26"/>
    </row>
    <row r="498" spans="1:13" ht="75" customHeight="1" thickTop="1" thickBot="1">
      <c r="A498" s="26">
        <v>496</v>
      </c>
      <c r="B498" s="55">
        <v>46106.603467094901</v>
      </c>
      <c r="C498" s="56" t="s">
        <v>26</v>
      </c>
      <c r="D498" s="56" t="s">
        <v>49</v>
      </c>
      <c r="E498" s="26" t="s">
        <v>22</v>
      </c>
      <c r="F498" s="26" t="s">
        <v>39</v>
      </c>
      <c r="G498" s="26" t="s">
        <v>25</v>
      </c>
      <c r="H498" s="26" t="s">
        <v>3865</v>
      </c>
      <c r="I498" s="26"/>
      <c r="J498" s="26" t="s">
        <v>12</v>
      </c>
      <c r="K498" s="26" t="s">
        <v>13</v>
      </c>
      <c r="L498" s="55">
        <v>46106.60463350694</v>
      </c>
      <c r="M498" s="26"/>
    </row>
    <row r="499" spans="1:13" ht="75" customHeight="1" thickTop="1" thickBot="1">
      <c r="A499" s="34">
        <v>497</v>
      </c>
      <c r="B499" s="55">
        <v>46106.604479120302</v>
      </c>
      <c r="C499" s="56" t="s">
        <v>26</v>
      </c>
      <c r="D499" s="56" t="s">
        <v>49</v>
      </c>
      <c r="E499" s="26" t="s">
        <v>22</v>
      </c>
      <c r="F499" s="26" t="s">
        <v>39</v>
      </c>
      <c r="G499" s="26" t="s">
        <v>25</v>
      </c>
      <c r="H499" s="26" t="s">
        <v>3866</v>
      </c>
      <c r="I499" s="26"/>
      <c r="J499" s="26" t="s">
        <v>12</v>
      </c>
      <c r="K499" s="26" t="s">
        <v>13</v>
      </c>
      <c r="L499" s="55">
        <v>46106.604806469906</v>
      </c>
      <c r="M499" s="26"/>
    </row>
    <row r="500" spans="1:13" ht="75" customHeight="1" thickTop="1" thickBot="1">
      <c r="A500" s="26">
        <v>498</v>
      </c>
      <c r="B500" s="55">
        <v>46106.606236550899</v>
      </c>
      <c r="C500" s="56" t="s">
        <v>26</v>
      </c>
      <c r="D500" s="56" t="s">
        <v>49</v>
      </c>
      <c r="E500" s="26" t="s">
        <v>22</v>
      </c>
      <c r="F500" s="26" t="s">
        <v>42</v>
      </c>
      <c r="G500" s="26" t="s">
        <v>36</v>
      </c>
      <c r="H500" s="26" t="s">
        <v>3867</v>
      </c>
      <c r="I500" s="26"/>
      <c r="J500" s="26" t="s">
        <v>14</v>
      </c>
      <c r="K500" s="26" t="s">
        <v>13</v>
      </c>
      <c r="L500" s="55">
        <v>46106.606513553241</v>
      </c>
      <c r="M500" s="26"/>
    </row>
    <row r="501" spans="1:13" ht="75" customHeight="1" thickTop="1" thickBot="1">
      <c r="A501" s="34">
        <v>499</v>
      </c>
      <c r="B501" s="55">
        <v>46107.497477685101</v>
      </c>
      <c r="C501" s="56" t="s">
        <v>26</v>
      </c>
      <c r="D501" s="56" t="s">
        <v>49</v>
      </c>
      <c r="E501" s="26" t="s">
        <v>22</v>
      </c>
      <c r="F501" s="26" t="s">
        <v>42</v>
      </c>
      <c r="G501" s="26" t="s">
        <v>25</v>
      </c>
      <c r="H501" s="26" t="s">
        <v>3868</v>
      </c>
      <c r="I501" s="26"/>
      <c r="J501" s="26" t="s">
        <v>16</v>
      </c>
      <c r="K501" s="26" t="s">
        <v>13</v>
      </c>
      <c r="L501" s="55">
        <v>46107.507054027781</v>
      </c>
      <c r="M501" s="26"/>
    </row>
    <row r="502" spans="1:13" ht="75" customHeight="1" thickTop="1" thickBot="1">
      <c r="A502" s="26">
        <v>500</v>
      </c>
      <c r="B502" s="55">
        <v>46107.498021330997</v>
      </c>
      <c r="C502" s="56" t="s">
        <v>26</v>
      </c>
      <c r="D502" s="56" t="s">
        <v>49</v>
      </c>
      <c r="E502" s="26" t="s">
        <v>22</v>
      </c>
      <c r="F502" s="26" t="s">
        <v>42</v>
      </c>
      <c r="G502" s="26" t="s">
        <v>36</v>
      </c>
      <c r="H502" s="26" t="s">
        <v>3869</v>
      </c>
      <c r="I502" s="26"/>
      <c r="J502" s="26" t="s">
        <v>16</v>
      </c>
      <c r="K502" s="26" t="s">
        <v>13</v>
      </c>
      <c r="L502" s="55">
        <v>46107.506977152778</v>
      </c>
      <c r="M502" s="26"/>
    </row>
    <row r="503" spans="1:13" ht="75" customHeight="1" thickTop="1" thickBot="1">
      <c r="A503" s="34">
        <v>501</v>
      </c>
      <c r="B503" s="55">
        <v>46107.498900069397</v>
      </c>
      <c r="C503" s="56" t="s">
        <v>26</v>
      </c>
      <c r="D503" s="56" t="s">
        <v>49</v>
      </c>
      <c r="E503" s="26" t="s">
        <v>22</v>
      </c>
      <c r="F503" s="26" t="s">
        <v>42</v>
      </c>
      <c r="G503" s="26" t="s">
        <v>36</v>
      </c>
      <c r="H503" s="26" t="s">
        <v>3870</v>
      </c>
      <c r="I503" s="26"/>
      <c r="J503" s="26" t="s">
        <v>16</v>
      </c>
      <c r="K503" s="26" t="s">
        <v>13</v>
      </c>
      <c r="L503" s="55">
        <v>46107.506893981481</v>
      </c>
      <c r="M503" s="26"/>
    </row>
    <row r="504" spans="1:13" ht="75" customHeight="1" thickTop="1" thickBot="1">
      <c r="A504" s="26">
        <v>502</v>
      </c>
      <c r="B504" s="55">
        <v>46107.499375729101</v>
      </c>
      <c r="C504" s="56" t="s">
        <v>26</v>
      </c>
      <c r="D504" s="56" t="s">
        <v>49</v>
      </c>
      <c r="E504" s="26" t="s">
        <v>22</v>
      </c>
      <c r="F504" s="26" t="s">
        <v>42</v>
      </c>
      <c r="G504" s="26" t="s">
        <v>36</v>
      </c>
      <c r="H504" s="26" t="s">
        <v>3871</v>
      </c>
      <c r="I504" s="26"/>
      <c r="J504" s="26" t="s">
        <v>16</v>
      </c>
      <c r="K504" s="26" t="s">
        <v>13</v>
      </c>
      <c r="L504" s="55">
        <v>46107.506820821756</v>
      </c>
      <c r="M504" s="26"/>
    </row>
    <row r="505" spans="1:13" ht="75" customHeight="1" thickTop="1" thickBot="1">
      <c r="A505" s="34">
        <v>503</v>
      </c>
      <c r="B505" s="55">
        <v>46107.500223240699</v>
      </c>
      <c r="C505" s="56" t="s">
        <v>26</v>
      </c>
      <c r="D505" s="56" t="s">
        <v>49</v>
      </c>
      <c r="E505" s="26" t="s">
        <v>22</v>
      </c>
      <c r="F505" s="26" t="s">
        <v>31</v>
      </c>
      <c r="G505" s="26" t="s">
        <v>47</v>
      </c>
      <c r="H505" s="26" t="s">
        <v>3872</v>
      </c>
      <c r="I505" s="26"/>
      <c r="J505" s="26" t="s">
        <v>16</v>
      </c>
      <c r="K505" s="26" t="s">
        <v>13</v>
      </c>
      <c r="L505" s="55">
        <v>46107.506729131943</v>
      </c>
      <c r="M505" s="26"/>
    </row>
    <row r="506" spans="1:13" ht="75" customHeight="1" thickTop="1" thickBot="1">
      <c r="A506" s="26">
        <v>504</v>
      </c>
      <c r="B506" s="55">
        <v>46107.500787893499</v>
      </c>
      <c r="C506" s="56" t="s">
        <v>26</v>
      </c>
      <c r="D506" s="56" t="s">
        <v>49</v>
      </c>
      <c r="E506" s="26" t="s">
        <v>22</v>
      </c>
      <c r="F506" s="26" t="s">
        <v>31</v>
      </c>
      <c r="G506" s="26" t="s">
        <v>36</v>
      </c>
      <c r="H506" s="26" t="s">
        <v>3873</v>
      </c>
      <c r="I506" s="26"/>
      <c r="J506" s="26" t="s">
        <v>16</v>
      </c>
      <c r="K506" s="26" t="s">
        <v>13</v>
      </c>
      <c r="L506" s="55">
        <v>46107.506678773148</v>
      </c>
      <c r="M506" s="26"/>
    </row>
    <row r="507" spans="1:13" ht="75" customHeight="1" thickTop="1" thickBot="1">
      <c r="A507" s="34">
        <v>505</v>
      </c>
      <c r="B507" s="55">
        <v>46107.502512916602</v>
      </c>
      <c r="C507" s="56" t="s">
        <v>26</v>
      </c>
      <c r="D507" s="56" t="s">
        <v>49</v>
      </c>
      <c r="E507" s="26" t="s">
        <v>22</v>
      </c>
      <c r="F507" s="26" t="s">
        <v>39</v>
      </c>
      <c r="G507" s="26" t="s">
        <v>25</v>
      </c>
      <c r="H507" s="26" t="s">
        <v>3874</v>
      </c>
      <c r="I507" s="26"/>
      <c r="J507" s="26" t="s">
        <v>16</v>
      </c>
      <c r="K507" s="26" t="s">
        <v>13</v>
      </c>
      <c r="L507" s="55">
        <v>46107.506593287035</v>
      </c>
      <c r="M507" s="26"/>
    </row>
    <row r="508" spans="1:13" ht="75" customHeight="1" thickTop="1" thickBot="1">
      <c r="A508" s="26">
        <v>506</v>
      </c>
      <c r="B508" s="55">
        <v>46107.503467037001</v>
      </c>
      <c r="C508" s="56" t="s">
        <v>26</v>
      </c>
      <c r="D508" s="56" t="s">
        <v>49</v>
      </c>
      <c r="E508" s="26" t="s">
        <v>22</v>
      </c>
      <c r="F508" s="26" t="s">
        <v>39</v>
      </c>
      <c r="G508" s="26" t="s">
        <v>216</v>
      </c>
      <c r="H508" s="26" t="s">
        <v>377</v>
      </c>
      <c r="I508" s="26"/>
      <c r="J508" s="26" t="s">
        <v>16</v>
      </c>
      <c r="K508" s="26" t="s">
        <v>13</v>
      </c>
      <c r="L508" s="55">
        <v>46107.506552893523</v>
      </c>
      <c r="M508" s="26"/>
    </row>
    <row r="509" spans="1:13" ht="75" customHeight="1" thickTop="1" thickBot="1">
      <c r="A509" s="34">
        <v>507</v>
      </c>
      <c r="B509" s="55">
        <v>46107.504669976799</v>
      </c>
      <c r="C509" s="56" t="s">
        <v>26</v>
      </c>
      <c r="D509" s="56" t="s">
        <v>49</v>
      </c>
      <c r="E509" s="26" t="s">
        <v>22</v>
      </c>
      <c r="F509" s="26" t="s">
        <v>39</v>
      </c>
      <c r="G509" s="26" t="s">
        <v>216</v>
      </c>
      <c r="H509" s="26" t="s">
        <v>3875</v>
      </c>
      <c r="I509" s="26"/>
      <c r="J509" s="26" t="s">
        <v>16</v>
      </c>
      <c r="K509" s="26" t="s">
        <v>13</v>
      </c>
      <c r="L509" s="55">
        <v>46107.506478298616</v>
      </c>
      <c r="M509" s="26"/>
    </row>
    <row r="510" spans="1:13" ht="75" customHeight="1" thickTop="1" thickBot="1">
      <c r="A510" s="26">
        <v>508</v>
      </c>
      <c r="B510" s="55">
        <v>46107.505496550897</v>
      </c>
      <c r="C510" s="56" t="s">
        <v>26</v>
      </c>
      <c r="D510" s="56" t="s">
        <v>49</v>
      </c>
      <c r="E510" s="26" t="s">
        <v>22</v>
      </c>
      <c r="F510" s="26" t="s">
        <v>39</v>
      </c>
      <c r="G510" s="26" t="s">
        <v>43</v>
      </c>
      <c r="H510" s="26" t="s">
        <v>3876</v>
      </c>
      <c r="I510" s="26"/>
      <c r="J510" s="26" t="s">
        <v>16</v>
      </c>
      <c r="K510" s="26" t="s">
        <v>13</v>
      </c>
      <c r="L510" s="55">
        <v>46107.506408900459</v>
      </c>
      <c r="M510" s="26"/>
    </row>
    <row r="511" spans="1:13" ht="75" customHeight="1" thickTop="1" thickBot="1">
      <c r="A511" s="34">
        <v>509</v>
      </c>
      <c r="B511" s="55">
        <v>46107.506107071698</v>
      </c>
      <c r="C511" s="56" t="s">
        <v>26</v>
      </c>
      <c r="D511" s="56" t="s">
        <v>49</v>
      </c>
      <c r="E511" s="26" t="s">
        <v>22</v>
      </c>
      <c r="F511" s="26" t="s">
        <v>31</v>
      </c>
      <c r="G511" s="26" t="s">
        <v>47</v>
      </c>
      <c r="H511" s="26" t="s">
        <v>3877</v>
      </c>
      <c r="I511" s="26"/>
      <c r="J511" s="26" t="s">
        <v>16</v>
      </c>
      <c r="K511" s="26" t="s">
        <v>13</v>
      </c>
      <c r="L511" s="55">
        <v>46107.506376319448</v>
      </c>
      <c r="M511" s="26"/>
    </row>
    <row r="512" spans="1:13" ht="75" customHeight="1" thickTop="1" thickBot="1">
      <c r="A512" s="26">
        <v>510</v>
      </c>
      <c r="B512" s="55">
        <v>46107.507949999999</v>
      </c>
      <c r="C512" s="56" t="s">
        <v>26</v>
      </c>
      <c r="D512" s="56" t="s">
        <v>49</v>
      </c>
      <c r="E512" s="26" t="s">
        <v>22</v>
      </c>
      <c r="F512" s="26" t="s">
        <v>42</v>
      </c>
      <c r="G512" s="26" t="s">
        <v>25</v>
      </c>
      <c r="H512" s="26" t="s">
        <v>3878</v>
      </c>
      <c r="I512" s="26"/>
      <c r="J512" s="26" t="s">
        <v>12</v>
      </c>
      <c r="K512" s="26" t="s">
        <v>13</v>
      </c>
      <c r="L512" s="55">
        <v>46107.509587928245</v>
      </c>
      <c r="M512" s="26"/>
    </row>
    <row r="513" spans="1:13" ht="75" customHeight="1" thickTop="1" thickBot="1">
      <c r="A513" s="34">
        <v>511</v>
      </c>
      <c r="B513" s="55">
        <v>46107.509431446699</v>
      </c>
      <c r="C513" s="56" t="s">
        <v>26</v>
      </c>
      <c r="D513" s="56" t="s">
        <v>49</v>
      </c>
      <c r="E513" s="26" t="s">
        <v>22</v>
      </c>
      <c r="F513" s="26" t="s">
        <v>141</v>
      </c>
      <c r="G513" s="26" t="s">
        <v>216</v>
      </c>
      <c r="H513" s="26" t="s">
        <v>3879</v>
      </c>
      <c r="I513" s="26"/>
      <c r="J513" s="26" t="s">
        <v>14</v>
      </c>
      <c r="K513" s="26" t="s">
        <v>13</v>
      </c>
      <c r="L513" s="55">
        <v>46107.509665300924</v>
      </c>
      <c r="M513" s="26"/>
    </row>
    <row r="514" spans="1:13" ht="75" customHeight="1" thickTop="1" thickBot="1">
      <c r="A514" s="26">
        <v>512</v>
      </c>
      <c r="B514" s="55">
        <v>46107.554472164302</v>
      </c>
      <c r="C514" s="56" t="s">
        <v>26</v>
      </c>
      <c r="D514" s="56" t="s">
        <v>49</v>
      </c>
      <c r="E514" s="26" t="s">
        <v>22</v>
      </c>
      <c r="F514" s="26" t="s">
        <v>28</v>
      </c>
      <c r="G514" s="26" t="s">
        <v>36</v>
      </c>
      <c r="H514" s="26" t="s">
        <v>3880</v>
      </c>
      <c r="I514" s="26"/>
      <c r="J514" s="26" t="s">
        <v>16</v>
      </c>
      <c r="K514" s="26" t="s">
        <v>13</v>
      </c>
      <c r="L514" s="55">
        <v>46107.554689490746</v>
      </c>
      <c r="M514" s="26"/>
    </row>
    <row r="515" spans="1:13" ht="75" customHeight="1" thickTop="1" thickBot="1">
      <c r="A515" s="34">
        <v>513</v>
      </c>
      <c r="B515" s="55">
        <v>46109.3247396527</v>
      </c>
      <c r="C515" s="56" t="s">
        <v>26</v>
      </c>
      <c r="D515" s="56" t="s">
        <v>57</v>
      </c>
      <c r="E515" s="26" t="s">
        <v>21</v>
      </c>
      <c r="F515" s="26" t="s">
        <v>31</v>
      </c>
      <c r="G515" s="26" t="s">
        <v>25</v>
      </c>
      <c r="H515" s="26" t="s">
        <v>378</v>
      </c>
      <c r="I515" s="26"/>
      <c r="J515" s="26" t="s">
        <v>16</v>
      </c>
      <c r="K515" s="26" t="s">
        <v>13</v>
      </c>
      <c r="L515" s="55">
        <v>46109.511882523148</v>
      </c>
      <c r="M515" s="26"/>
    </row>
    <row r="516" spans="1:13" ht="75" customHeight="1" thickTop="1" thickBot="1">
      <c r="A516" s="26">
        <v>514</v>
      </c>
      <c r="B516" s="55">
        <v>46109.360512245301</v>
      </c>
      <c r="C516" s="56" t="s">
        <v>26</v>
      </c>
      <c r="D516" s="56" t="s">
        <v>180</v>
      </c>
      <c r="E516" s="26" t="s">
        <v>21</v>
      </c>
      <c r="F516" s="26" t="s">
        <v>42</v>
      </c>
      <c r="G516" s="26" t="s">
        <v>25</v>
      </c>
      <c r="H516" s="26" t="s">
        <v>379</v>
      </c>
      <c r="I516" s="26"/>
      <c r="J516" s="26" t="s">
        <v>16</v>
      </c>
      <c r="K516" s="26" t="s">
        <v>13</v>
      </c>
      <c r="L516" s="55">
        <v>46109.583771678241</v>
      </c>
      <c r="M516" s="26"/>
    </row>
    <row r="517" spans="1:13" ht="75" customHeight="1" thickTop="1" thickBot="1">
      <c r="A517" s="34">
        <v>515</v>
      </c>
      <c r="B517" s="55">
        <v>46109.603855798603</v>
      </c>
      <c r="C517" s="56" t="s">
        <v>26</v>
      </c>
      <c r="D517" s="56" t="s">
        <v>49</v>
      </c>
      <c r="E517" s="26" t="s">
        <v>22</v>
      </c>
      <c r="F517" s="26" t="s">
        <v>31</v>
      </c>
      <c r="G517" s="26" t="s">
        <v>37</v>
      </c>
      <c r="H517" s="26" t="s">
        <v>326</v>
      </c>
      <c r="I517" s="26"/>
      <c r="J517" s="26" t="s">
        <v>12</v>
      </c>
      <c r="K517" s="26" t="s">
        <v>13</v>
      </c>
      <c r="L517" s="55">
        <v>46109.627407835651</v>
      </c>
      <c r="M517" s="26"/>
    </row>
    <row r="518" spans="1:13" ht="75" customHeight="1" thickTop="1" thickBot="1">
      <c r="A518" s="26">
        <v>516</v>
      </c>
      <c r="B518" s="55">
        <v>46109.609888981402</v>
      </c>
      <c r="C518" s="56" t="s">
        <v>26</v>
      </c>
      <c r="D518" s="56" t="s">
        <v>49</v>
      </c>
      <c r="E518" s="26" t="s">
        <v>22</v>
      </c>
      <c r="F518" s="26" t="s">
        <v>28</v>
      </c>
      <c r="G518" s="26" t="s">
        <v>40</v>
      </c>
      <c r="H518" s="26" t="s">
        <v>3881</v>
      </c>
      <c r="I518" s="26"/>
      <c r="J518" s="26" t="s">
        <v>14</v>
      </c>
      <c r="K518" s="26" t="s">
        <v>13</v>
      </c>
      <c r="L518" s="55">
        <v>46109.627364328699</v>
      </c>
      <c r="M518" s="26"/>
    </row>
    <row r="519" spans="1:13" ht="75" customHeight="1" thickTop="1" thickBot="1">
      <c r="A519" s="34">
        <v>517</v>
      </c>
      <c r="B519" s="55">
        <v>46109.6120206712</v>
      </c>
      <c r="C519" s="56" t="s">
        <v>26</v>
      </c>
      <c r="D519" s="56" t="s">
        <v>49</v>
      </c>
      <c r="E519" s="26" t="s">
        <v>22</v>
      </c>
      <c r="F519" s="26" t="s">
        <v>42</v>
      </c>
      <c r="G519" s="26" t="s">
        <v>213</v>
      </c>
      <c r="H519" s="26" t="s">
        <v>3882</v>
      </c>
      <c r="I519" s="26"/>
      <c r="J519" s="26" t="s">
        <v>14</v>
      </c>
      <c r="K519" s="26" t="s">
        <v>13</v>
      </c>
      <c r="L519" s="55">
        <v>46109.627504085649</v>
      </c>
      <c r="M519" s="26"/>
    </row>
    <row r="520" spans="1:13" ht="75" customHeight="1" thickTop="1" thickBot="1">
      <c r="A520" s="26">
        <v>518</v>
      </c>
      <c r="B520" s="55">
        <v>46109.616307812503</v>
      </c>
      <c r="C520" s="56" t="s">
        <v>26</v>
      </c>
      <c r="D520" s="56" t="s">
        <v>49</v>
      </c>
      <c r="E520" s="26" t="s">
        <v>22</v>
      </c>
      <c r="F520" s="26" t="s">
        <v>42</v>
      </c>
      <c r="G520" s="26" t="s">
        <v>213</v>
      </c>
      <c r="H520" s="26" t="s">
        <v>380</v>
      </c>
      <c r="I520" s="26"/>
      <c r="J520" s="26" t="s">
        <v>16</v>
      </c>
      <c r="K520" s="26" t="s">
        <v>13</v>
      </c>
      <c r="L520" s="55">
        <v>46109.627578865737</v>
      </c>
      <c r="M520" s="26"/>
    </row>
    <row r="521" spans="1:13" ht="75" customHeight="1" thickTop="1" thickBot="1">
      <c r="A521" s="34">
        <v>519</v>
      </c>
      <c r="B521" s="55">
        <v>46109.617261979103</v>
      </c>
      <c r="C521" s="56" t="s">
        <v>26</v>
      </c>
      <c r="D521" s="56" t="s">
        <v>49</v>
      </c>
      <c r="E521" s="26" t="s">
        <v>22</v>
      </c>
      <c r="F521" s="26" t="s">
        <v>31</v>
      </c>
      <c r="G521" s="26" t="s">
        <v>25</v>
      </c>
      <c r="H521" s="26" t="s">
        <v>381</v>
      </c>
      <c r="I521" s="26"/>
      <c r="J521" s="26" t="s">
        <v>16</v>
      </c>
      <c r="K521" s="26" t="s">
        <v>13</v>
      </c>
      <c r="L521" s="55">
        <v>46109.627657662037</v>
      </c>
      <c r="M521" s="26"/>
    </row>
    <row r="522" spans="1:13" ht="75" customHeight="1" thickTop="1" thickBot="1">
      <c r="A522" s="26">
        <v>520</v>
      </c>
      <c r="B522" s="55">
        <v>46109.619272997603</v>
      </c>
      <c r="C522" s="56" t="s">
        <v>26</v>
      </c>
      <c r="D522" s="56" t="s">
        <v>49</v>
      </c>
      <c r="E522" s="26" t="s">
        <v>22</v>
      </c>
      <c r="F522" s="26" t="s">
        <v>141</v>
      </c>
      <c r="G522" s="26" t="s">
        <v>382</v>
      </c>
      <c r="H522" s="26" t="s">
        <v>383</v>
      </c>
      <c r="I522" s="26"/>
      <c r="J522" s="26" t="s">
        <v>16</v>
      </c>
      <c r="K522" s="26" t="s">
        <v>13</v>
      </c>
      <c r="L522" s="55">
        <v>46109.627698136574</v>
      </c>
      <c r="M522" s="26"/>
    </row>
    <row r="523" spans="1:13" ht="75" customHeight="1" thickTop="1" thickBot="1">
      <c r="A523" s="34">
        <v>521</v>
      </c>
      <c r="B523" s="55">
        <v>46109.620436319397</v>
      </c>
      <c r="C523" s="56" t="s">
        <v>26</v>
      </c>
      <c r="D523" s="56" t="s">
        <v>49</v>
      </c>
      <c r="E523" s="26" t="s">
        <v>22</v>
      </c>
      <c r="F523" s="26" t="s">
        <v>31</v>
      </c>
      <c r="G523" s="26" t="s">
        <v>38</v>
      </c>
      <c r="H523" s="26" t="s">
        <v>384</v>
      </c>
      <c r="I523" s="26"/>
      <c r="J523" s="26" t="s">
        <v>16</v>
      </c>
      <c r="K523" s="26" t="s">
        <v>13</v>
      </c>
      <c r="L523" s="55">
        <v>46109.627757210648</v>
      </c>
      <c r="M523" s="26"/>
    </row>
    <row r="524" spans="1:13" ht="75" customHeight="1" thickTop="1" thickBot="1">
      <c r="A524" s="26">
        <v>522</v>
      </c>
      <c r="B524" s="55">
        <v>46109.623709768501</v>
      </c>
      <c r="C524" s="56" t="s">
        <v>26</v>
      </c>
      <c r="D524" s="56" t="s">
        <v>49</v>
      </c>
      <c r="E524" s="26" t="s">
        <v>22</v>
      </c>
      <c r="F524" s="26" t="s">
        <v>31</v>
      </c>
      <c r="G524" s="26" t="s">
        <v>216</v>
      </c>
      <c r="H524" s="26" t="s">
        <v>3883</v>
      </c>
      <c r="I524" s="26"/>
      <c r="J524" s="26" t="s">
        <v>16</v>
      </c>
      <c r="K524" s="26" t="s">
        <v>13</v>
      </c>
      <c r="L524" s="55">
        <v>46109.627820266207</v>
      </c>
      <c r="M524" s="26"/>
    </row>
    <row r="525" spans="1:13" ht="75" customHeight="1" thickTop="1" thickBot="1">
      <c r="A525" s="34">
        <v>523</v>
      </c>
      <c r="B525" s="55">
        <v>46109.624763703701</v>
      </c>
      <c r="C525" s="56" t="s">
        <v>26</v>
      </c>
      <c r="D525" s="56" t="s">
        <v>49</v>
      </c>
      <c r="E525" s="26" t="s">
        <v>22</v>
      </c>
      <c r="F525" s="26" t="s">
        <v>31</v>
      </c>
      <c r="G525" s="26" t="s">
        <v>216</v>
      </c>
      <c r="H525" s="26" t="s">
        <v>3884</v>
      </c>
      <c r="I525" s="26"/>
      <c r="J525" s="26" t="s">
        <v>16</v>
      </c>
      <c r="K525" s="26" t="s">
        <v>13</v>
      </c>
      <c r="L525" s="55">
        <v>46109.627893425924</v>
      </c>
      <c r="M525" s="26"/>
    </row>
    <row r="526" spans="1:13" ht="75" customHeight="1" thickTop="1" thickBot="1">
      <c r="A526" s="26">
        <v>524</v>
      </c>
      <c r="B526" s="55">
        <v>46109.625887928203</v>
      </c>
      <c r="C526" s="56" t="s">
        <v>26</v>
      </c>
      <c r="D526" s="56" t="s">
        <v>49</v>
      </c>
      <c r="E526" s="26" t="s">
        <v>22</v>
      </c>
      <c r="F526" s="26" t="s">
        <v>28</v>
      </c>
      <c r="G526" s="26" t="s">
        <v>36</v>
      </c>
      <c r="H526" s="26" t="s">
        <v>3880</v>
      </c>
      <c r="I526" s="26"/>
      <c r="J526" s="26" t="s">
        <v>16</v>
      </c>
      <c r="K526" s="26" t="s">
        <v>13</v>
      </c>
      <c r="L526" s="55">
        <v>46109.627968009256</v>
      </c>
      <c r="M526" s="26"/>
    </row>
    <row r="527" spans="1:13" ht="75" customHeight="1" thickTop="1" thickBot="1">
      <c r="A527" s="34">
        <v>525</v>
      </c>
      <c r="B527" s="55">
        <v>46109.626587766201</v>
      </c>
      <c r="C527" s="56" t="s">
        <v>26</v>
      </c>
      <c r="D527" s="56" t="s">
        <v>49</v>
      </c>
      <c r="E527" s="26" t="s">
        <v>22</v>
      </c>
      <c r="F527" s="26" t="s">
        <v>42</v>
      </c>
      <c r="G527" s="26" t="s">
        <v>25</v>
      </c>
      <c r="H527" s="26" t="s">
        <v>3868</v>
      </c>
      <c r="I527" s="26"/>
      <c r="J527" s="26" t="s">
        <v>16</v>
      </c>
      <c r="K527" s="26" t="s">
        <v>13</v>
      </c>
      <c r="L527" s="55">
        <v>46109.628031238426</v>
      </c>
      <c r="M527" s="26"/>
    </row>
    <row r="528" spans="1:13" ht="75" customHeight="1" thickTop="1" thickBot="1">
      <c r="A528" s="26">
        <v>526</v>
      </c>
      <c r="B528" s="55">
        <v>46109.627151654997</v>
      </c>
      <c r="C528" s="56" t="s">
        <v>26</v>
      </c>
      <c r="D528" s="56" t="s">
        <v>49</v>
      </c>
      <c r="E528" s="26" t="s">
        <v>22</v>
      </c>
      <c r="F528" s="26" t="s">
        <v>42</v>
      </c>
      <c r="G528" s="26" t="s">
        <v>36</v>
      </c>
      <c r="H528" s="26" t="s">
        <v>3885</v>
      </c>
      <c r="I528" s="26"/>
      <c r="J528" s="26" t="s">
        <v>16</v>
      </c>
      <c r="K528" s="26" t="s">
        <v>13</v>
      </c>
      <c r="L528" s="55">
        <v>46109.628097858797</v>
      </c>
      <c r="M528" s="26"/>
    </row>
    <row r="529" spans="1:13" ht="75" customHeight="1" thickTop="1" thickBot="1">
      <c r="A529" s="34">
        <v>527</v>
      </c>
      <c r="B529" s="55">
        <v>46110.573974224499</v>
      </c>
      <c r="C529" s="56" t="s">
        <v>26</v>
      </c>
      <c r="D529" s="56" t="s">
        <v>183</v>
      </c>
      <c r="E529" s="26" t="s">
        <v>22</v>
      </c>
      <c r="F529" s="26" t="s">
        <v>31</v>
      </c>
      <c r="G529" s="26" t="s">
        <v>36</v>
      </c>
      <c r="H529" s="26" t="s">
        <v>327</v>
      </c>
      <c r="I529" s="26"/>
      <c r="J529" s="26" t="s">
        <v>12</v>
      </c>
      <c r="K529" s="26" t="s">
        <v>13</v>
      </c>
      <c r="L529" s="55">
        <v>46110.584085671297</v>
      </c>
      <c r="M529" s="26"/>
    </row>
    <row r="530" spans="1:13" ht="75" customHeight="1" thickTop="1" thickBot="1">
      <c r="A530" s="26">
        <v>528</v>
      </c>
      <c r="B530" s="55">
        <v>46110.576944467502</v>
      </c>
      <c r="C530" s="56" t="s">
        <v>26</v>
      </c>
      <c r="D530" s="56" t="s">
        <v>49</v>
      </c>
      <c r="E530" s="26" t="s">
        <v>22</v>
      </c>
      <c r="F530" s="26" t="s">
        <v>42</v>
      </c>
      <c r="G530" s="26" t="s">
        <v>25</v>
      </c>
      <c r="H530" s="26" t="s">
        <v>328</v>
      </c>
      <c r="I530" s="26"/>
      <c r="J530" s="26" t="s">
        <v>12</v>
      </c>
      <c r="K530" s="26" t="s">
        <v>13</v>
      </c>
      <c r="L530" s="55">
        <v>46110.584129236115</v>
      </c>
      <c r="M530" s="26"/>
    </row>
    <row r="531" spans="1:13" ht="75" customHeight="1" thickTop="1" thickBot="1">
      <c r="A531" s="34">
        <v>529</v>
      </c>
      <c r="B531" s="55">
        <v>46110.581564884204</v>
      </c>
      <c r="C531" s="56" t="s">
        <v>26</v>
      </c>
      <c r="D531" s="56" t="s">
        <v>49</v>
      </c>
      <c r="E531" s="26" t="s">
        <v>22</v>
      </c>
      <c r="F531" s="26" t="s">
        <v>53</v>
      </c>
      <c r="G531" s="26" t="s">
        <v>393</v>
      </c>
      <c r="H531" s="26" t="s">
        <v>3886</v>
      </c>
      <c r="I531" s="26"/>
      <c r="J531" s="26" t="s">
        <v>14</v>
      </c>
      <c r="K531" s="26" t="s">
        <v>13</v>
      </c>
      <c r="L531" s="55">
        <v>46110.584236388888</v>
      </c>
      <c r="M531" s="26"/>
    </row>
    <row r="532" spans="1:13" ht="75" customHeight="1" thickTop="1" thickBot="1">
      <c r="A532" s="26">
        <v>530</v>
      </c>
      <c r="B532" s="55">
        <v>46110.583816620303</v>
      </c>
      <c r="C532" s="56" t="s">
        <v>26</v>
      </c>
      <c r="D532" s="56" t="s">
        <v>49</v>
      </c>
      <c r="E532" s="26" t="s">
        <v>22</v>
      </c>
      <c r="F532" s="26" t="s">
        <v>42</v>
      </c>
      <c r="G532" s="26" t="s">
        <v>25</v>
      </c>
      <c r="H532" s="26" t="s">
        <v>3887</v>
      </c>
      <c r="I532" s="26"/>
      <c r="J532" s="26" t="s">
        <v>14</v>
      </c>
      <c r="K532" s="26" t="s">
        <v>13</v>
      </c>
      <c r="L532" s="55">
        <v>46110.584301979165</v>
      </c>
      <c r="M532" s="26"/>
    </row>
    <row r="533" spans="1:13" ht="75" customHeight="1" thickTop="1" thickBot="1">
      <c r="A533" s="34">
        <v>531</v>
      </c>
      <c r="B533" s="55">
        <v>46111.4140731597</v>
      </c>
      <c r="C533" s="56" t="s">
        <v>26</v>
      </c>
      <c r="D533" s="56" t="s">
        <v>49</v>
      </c>
      <c r="E533" s="26" t="s">
        <v>22</v>
      </c>
      <c r="F533" s="26" t="s">
        <v>28</v>
      </c>
      <c r="G533" s="26" t="s">
        <v>25</v>
      </c>
      <c r="H533" s="26" t="s">
        <v>385</v>
      </c>
      <c r="I533" s="26"/>
      <c r="J533" s="26" t="s">
        <v>16</v>
      </c>
      <c r="K533" s="26" t="s">
        <v>13</v>
      </c>
      <c r="L533" s="55">
        <v>46111.418824687498</v>
      </c>
      <c r="M533" s="26"/>
    </row>
    <row r="534" spans="1:13" ht="75" customHeight="1" thickTop="1" thickBot="1">
      <c r="A534" s="26">
        <v>532</v>
      </c>
      <c r="B534" s="55">
        <v>46111.414510393501</v>
      </c>
      <c r="C534" s="56" t="s">
        <v>26</v>
      </c>
      <c r="D534" s="56" t="s">
        <v>49</v>
      </c>
      <c r="E534" s="26" t="s">
        <v>22</v>
      </c>
      <c r="F534" s="26" t="s">
        <v>42</v>
      </c>
      <c r="G534" s="26" t="s">
        <v>216</v>
      </c>
      <c r="H534" s="26" t="s">
        <v>3888</v>
      </c>
      <c r="I534" s="26"/>
      <c r="J534" s="26" t="s">
        <v>16</v>
      </c>
      <c r="K534" s="26" t="s">
        <v>13</v>
      </c>
      <c r="L534" s="55">
        <v>46111.418865196756</v>
      </c>
      <c r="M534" s="26"/>
    </row>
    <row r="535" spans="1:13" ht="75" customHeight="1" thickTop="1" thickBot="1">
      <c r="A535" s="34">
        <v>533</v>
      </c>
      <c r="B535" s="55">
        <v>46111.414996029998</v>
      </c>
      <c r="C535" s="56" t="s">
        <v>26</v>
      </c>
      <c r="D535" s="56" t="s">
        <v>49</v>
      </c>
      <c r="E535" s="26" t="s">
        <v>22</v>
      </c>
      <c r="F535" s="26" t="s">
        <v>42</v>
      </c>
      <c r="G535" s="26" t="s">
        <v>47</v>
      </c>
      <c r="H535" s="26" t="s">
        <v>3889</v>
      </c>
      <c r="I535" s="26"/>
      <c r="J535" s="26" t="s">
        <v>16</v>
      </c>
      <c r="K535" s="26" t="s">
        <v>13</v>
      </c>
      <c r="L535" s="55">
        <v>46111.418907592597</v>
      </c>
      <c r="M535" s="26"/>
    </row>
    <row r="536" spans="1:13" ht="75" customHeight="1" thickTop="1" thickBot="1">
      <c r="A536" s="26">
        <v>534</v>
      </c>
      <c r="B536" s="55">
        <v>46111.4154358796</v>
      </c>
      <c r="C536" s="56" t="s">
        <v>26</v>
      </c>
      <c r="D536" s="56" t="s">
        <v>49</v>
      </c>
      <c r="E536" s="26" t="s">
        <v>22</v>
      </c>
      <c r="F536" s="26" t="s">
        <v>42</v>
      </c>
      <c r="G536" s="26" t="s">
        <v>47</v>
      </c>
      <c r="H536" s="26" t="s">
        <v>3890</v>
      </c>
      <c r="I536" s="26"/>
      <c r="J536" s="26" t="s">
        <v>16</v>
      </c>
      <c r="K536" s="26" t="s">
        <v>13</v>
      </c>
      <c r="L536" s="55">
        <v>46111.418955057874</v>
      </c>
      <c r="M536" s="26"/>
    </row>
    <row r="537" spans="1:13" ht="75" customHeight="1" thickTop="1" thickBot="1">
      <c r="A537" s="34">
        <v>535</v>
      </c>
      <c r="B537" s="55">
        <v>46111.4158974768</v>
      </c>
      <c r="C537" s="56" t="s">
        <v>26</v>
      </c>
      <c r="D537" s="56" t="s">
        <v>49</v>
      </c>
      <c r="E537" s="26" t="s">
        <v>22</v>
      </c>
      <c r="F537" s="26" t="s">
        <v>28</v>
      </c>
      <c r="G537" s="26" t="s">
        <v>36</v>
      </c>
      <c r="H537" s="26" t="s">
        <v>3891</v>
      </c>
      <c r="I537" s="26"/>
      <c r="J537" s="26" t="s">
        <v>16</v>
      </c>
      <c r="K537" s="26" t="s">
        <v>13</v>
      </c>
      <c r="L537" s="55">
        <v>46111.419034687497</v>
      </c>
      <c r="M537" s="26"/>
    </row>
    <row r="538" spans="1:13" ht="75" customHeight="1" thickTop="1" thickBot="1">
      <c r="A538" s="26">
        <v>536</v>
      </c>
      <c r="B538" s="55">
        <v>46111.416402962903</v>
      </c>
      <c r="C538" s="56" t="s">
        <v>26</v>
      </c>
      <c r="D538" s="56" t="s">
        <v>49</v>
      </c>
      <c r="E538" s="26" t="s">
        <v>22</v>
      </c>
      <c r="F538" s="26" t="s">
        <v>28</v>
      </c>
      <c r="G538" s="26" t="s">
        <v>47</v>
      </c>
      <c r="H538" s="26" t="s">
        <v>3892</v>
      </c>
      <c r="I538" s="26"/>
      <c r="J538" s="26" t="s">
        <v>16</v>
      </c>
      <c r="K538" s="26" t="s">
        <v>13</v>
      </c>
      <c r="L538" s="55">
        <v>46111.419104756947</v>
      </c>
      <c r="M538" s="26"/>
    </row>
    <row r="539" spans="1:13" ht="75" customHeight="1" thickTop="1" thickBot="1">
      <c r="A539" s="34">
        <v>537</v>
      </c>
      <c r="B539" s="55">
        <v>46111.417107523099</v>
      </c>
      <c r="C539" s="56" t="s">
        <v>26</v>
      </c>
      <c r="D539" s="56" t="s">
        <v>49</v>
      </c>
      <c r="E539" s="26" t="s">
        <v>22</v>
      </c>
      <c r="F539" s="26" t="s">
        <v>42</v>
      </c>
      <c r="G539" s="26" t="s">
        <v>37</v>
      </c>
      <c r="H539" s="26" t="s">
        <v>3893</v>
      </c>
      <c r="I539" s="26"/>
      <c r="J539" s="26" t="s">
        <v>16</v>
      </c>
      <c r="K539" s="26" t="s">
        <v>13</v>
      </c>
      <c r="L539" s="55">
        <v>46111.419155312498</v>
      </c>
      <c r="M539" s="26"/>
    </row>
    <row r="540" spans="1:13" ht="75" customHeight="1" thickTop="1" thickBot="1">
      <c r="A540" s="26">
        <v>538</v>
      </c>
      <c r="B540" s="55">
        <v>46111.417573622603</v>
      </c>
      <c r="C540" s="56" t="s">
        <v>26</v>
      </c>
      <c r="D540" s="56" t="s">
        <v>49</v>
      </c>
      <c r="E540" s="26" t="s">
        <v>22</v>
      </c>
      <c r="F540" s="26" t="s">
        <v>31</v>
      </c>
      <c r="G540" s="26" t="s">
        <v>36</v>
      </c>
      <c r="H540" s="26" t="s">
        <v>3894</v>
      </c>
      <c r="I540" s="26"/>
      <c r="J540" s="26" t="s">
        <v>16</v>
      </c>
      <c r="K540" s="26" t="s">
        <v>13</v>
      </c>
      <c r="L540" s="55">
        <v>46111.419210694439</v>
      </c>
      <c r="M540" s="26"/>
    </row>
    <row r="541" spans="1:13" ht="75" customHeight="1" thickTop="1" thickBot="1">
      <c r="A541" s="34">
        <v>539</v>
      </c>
      <c r="B541" s="55">
        <v>46111.418099942101</v>
      </c>
      <c r="C541" s="56" t="s">
        <v>26</v>
      </c>
      <c r="D541" s="56" t="s">
        <v>49</v>
      </c>
      <c r="E541" s="26" t="s">
        <v>22</v>
      </c>
      <c r="F541" s="26" t="s">
        <v>31</v>
      </c>
      <c r="G541" s="26" t="s">
        <v>36</v>
      </c>
      <c r="H541" s="26" t="s">
        <v>3895</v>
      </c>
      <c r="I541" s="26"/>
      <c r="J541" s="26" t="s">
        <v>16</v>
      </c>
      <c r="K541" s="26" t="s">
        <v>13</v>
      </c>
      <c r="L541" s="55">
        <v>46111.419291736107</v>
      </c>
      <c r="M541" s="26"/>
    </row>
    <row r="542" spans="1:13" ht="75" customHeight="1" thickTop="1" thickBot="1">
      <c r="A542" s="26">
        <v>540</v>
      </c>
      <c r="B542" s="55">
        <v>46111.418646828701</v>
      </c>
      <c r="C542" s="56" t="s">
        <v>26</v>
      </c>
      <c r="D542" s="56" t="s">
        <v>49</v>
      </c>
      <c r="E542" s="26" t="s">
        <v>22</v>
      </c>
      <c r="F542" s="26" t="s">
        <v>31</v>
      </c>
      <c r="G542" s="26" t="s">
        <v>36</v>
      </c>
      <c r="H542" s="26" t="s">
        <v>3896</v>
      </c>
      <c r="I542" s="26"/>
      <c r="J542" s="26" t="s">
        <v>16</v>
      </c>
      <c r="K542" s="26" t="s">
        <v>13</v>
      </c>
      <c r="L542" s="55">
        <v>46111.419349108794</v>
      </c>
      <c r="M542" s="26"/>
    </row>
    <row r="543" spans="1:13" ht="75" customHeight="1" thickTop="1" thickBot="1">
      <c r="A543" s="34">
        <v>541</v>
      </c>
      <c r="B543" s="55">
        <v>46112.539122048598</v>
      </c>
      <c r="C543" s="56" t="s">
        <v>26</v>
      </c>
      <c r="D543" s="56" t="s">
        <v>49</v>
      </c>
      <c r="E543" s="26" t="s">
        <v>22</v>
      </c>
      <c r="F543" s="26" t="s">
        <v>42</v>
      </c>
      <c r="G543" s="26" t="s">
        <v>36</v>
      </c>
      <c r="H543" s="26" t="s">
        <v>3897</v>
      </c>
      <c r="I543" s="26"/>
      <c r="J543" s="26" t="s">
        <v>16</v>
      </c>
      <c r="K543" s="26" t="s">
        <v>13</v>
      </c>
      <c r="L543" s="55">
        <v>46112.559920532411</v>
      </c>
      <c r="M543" s="26"/>
    </row>
    <row r="544" spans="1:13" ht="75" customHeight="1" thickTop="1" thickBot="1">
      <c r="A544" s="26">
        <v>542</v>
      </c>
      <c r="B544" s="55">
        <v>46112.539936446701</v>
      </c>
      <c r="C544" s="56" t="s">
        <v>26</v>
      </c>
      <c r="D544" s="56" t="s">
        <v>49</v>
      </c>
      <c r="E544" s="26" t="s">
        <v>22</v>
      </c>
      <c r="F544" s="26" t="s">
        <v>42</v>
      </c>
      <c r="G544" s="26" t="s">
        <v>37</v>
      </c>
      <c r="H544" s="26" t="s">
        <v>3898</v>
      </c>
      <c r="I544" s="26"/>
      <c r="J544" s="26" t="s">
        <v>16</v>
      </c>
      <c r="K544" s="26" t="s">
        <v>13</v>
      </c>
      <c r="L544" s="55">
        <v>46112.559962372688</v>
      </c>
      <c r="M544" s="26"/>
    </row>
    <row r="545" spans="1:13" ht="75" customHeight="1" thickTop="1" thickBot="1">
      <c r="A545" s="34">
        <v>543</v>
      </c>
      <c r="B545" s="55">
        <v>46112.541014768503</v>
      </c>
      <c r="C545" s="56" t="s">
        <v>26</v>
      </c>
      <c r="D545" s="56" t="s">
        <v>49</v>
      </c>
      <c r="E545" s="26" t="s">
        <v>22</v>
      </c>
      <c r="F545" s="26" t="s">
        <v>28</v>
      </c>
      <c r="G545" s="26" t="s">
        <v>36</v>
      </c>
      <c r="H545" s="26" t="s">
        <v>3899</v>
      </c>
      <c r="I545" s="26"/>
      <c r="J545" s="26" t="s">
        <v>16</v>
      </c>
      <c r="K545" s="26" t="s">
        <v>13</v>
      </c>
      <c r="L545" s="55">
        <v>46112.560010833331</v>
      </c>
      <c r="M545" s="26"/>
    </row>
    <row r="546" spans="1:13" ht="75" customHeight="1" thickTop="1" thickBot="1">
      <c r="A546" s="26">
        <v>544</v>
      </c>
      <c r="B546" s="55">
        <v>46112.5422859143</v>
      </c>
      <c r="C546" s="56" t="s">
        <v>26</v>
      </c>
      <c r="D546" s="56" t="s">
        <v>49</v>
      </c>
      <c r="E546" s="26" t="s">
        <v>22</v>
      </c>
      <c r="F546" s="26" t="s">
        <v>28</v>
      </c>
      <c r="G546" s="26" t="s">
        <v>36</v>
      </c>
      <c r="H546" s="26" t="s">
        <v>3900</v>
      </c>
      <c r="I546" s="26"/>
      <c r="J546" s="26" t="s">
        <v>16</v>
      </c>
      <c r="K546" s="26" t="s">
        <v>13</v>
      </c>
      <c r="L546" s="55">
        <v>46112.560062187498</v>
      </c>
      <c r="M546" s="26"/>
    </row>
    <row r="547" spans="1:13" ht="75" customHeight="1" thickTop="1" thickBot="1">
      <c r="A547" s="34">
        <v>545</v>
      </c>
      <c r="B547" s="55">
        <v>46112.5439339351</v>
      </c>
      <c r="C547" s="56" t="s">
        <v>26</v>
      </c>
      <c r="D547" s="56" t="s">
        <v>49</v>
      </c>
      <c r="E547" s="26" t="s">
        <v>22</v>
      </c>
      <c r="F547" s="26" t="s">
        <v>31</v>
      </c>
      <c r="G547" s="26" t="s">
        <v>25</v>
      </c>
      <c r="H547" s="26" t="s">
        <v>3901</v>
      </c>
      <c r="I547" s="26"/>
      <c r="J547" s="26" t="s">
        <v>16</v>
      </c>
      <c r="K547" s="26" t="s">
        <v>13</v>
      </c>
      <c r="L547" s="55">
        <v>46112.560120439812</v>
      </c>
      <c r="M547" s="26"/>
    </row>
    <row r="548" spans="1:13" ht="75" customHeight="1" thickTop="1" thickBot="1">
      <c r="A548" s="26">
        <v>546</v>
      </c>
      <c r="B548" s="55">
        <v>46112.558679027701</v>
      </c>
      <c r="C548" s="56" t="s">
        <v>26</v>
      </c>
      <c r="D548" s="56" t="s">
        <v>49</v>
      </c>
      <c r="E548" s="26" t="s">
        <v>22</v>
      </c>
      <c r="F548" s="26" t="s">
        <v>31</v>
      </c>
      <c r="G548" s="26" t="s">
        <v>47</v>
      </c>
      <c r="H548" s="26" t="s">
        <v>3902</v>
      </c>
      <c r="I548" s="26"/>
      <c r="J548" s="26" t="s">
        <v>16</v>
      </c>
      <c r="K548" s="26" t="s">
        <v>13</v>
      </c>
      <c r="L548" s="55">
        <v>46112.560169062504</v>
      </c>
      <c r="M548" s="26"/>
    </row>
    <row r="549" spans="1:13" ht="75" customHeight="1" thickTop="1" thickBot="1">
      <c r="A549" s="34">
        <v>547</v>
      </c>
      <c r="B549" s="55">
        <v>46112.559790821702</v>
      </c>
      <c r="C549" s="56" t="s">
        <v>26</v>
      </c>
      <c r="D549" s="56" t="s">
        <v>49</v>
      </c>
      <c r="E549" s="26" t="s">
        <v>22</v>
      </c>
      <c r="F549" s="26" t="s">
        <v>31</v>
      </c>
      <c r="G549" s="26" t="s">
        <v>47</v>
      </c>
      <c r="H549" s="26" t="s">
        <v>3903</v>
      </c>
      <c r="I549" s="26"/>
      <c r="J549" s="26" t="s">
        <v>16</v>
      </c>
      <c r="K549" s="26" t="s">
        <v>13</v>
      </c>
      <c r="L549" s="55">
        <v>46112.560221828702</v>
      </c>
      <c r="M549" s="26"/>
    </row>
    <row r="550" spans="1:13" ht="75" customHeight="1" thickTop="1" thickBot="1">
      <c r="A550" s="26">
        <v>548</v>
      </c>
      <c r="B550" s="55"/>
      <c r="C550" s="56"/>
      <c r="D550" s="56"/>
      <c r="E550" s="26"/>
      <c r="F550" s="26"/>
      <c r="G550" s="26"/>
      <c r="H550" s="26"/>
      <c r="I550" s="26"/>
      <c r="J550" s="26"/>
      <c r="K550" s="26"/>
      <c r="L550" s="55"/>
      <c r="M550" s="26"/>
    </row>
    <row r="551" spans="1:13" ht="75" customHeight="1" thickTop="1" thickBot="1">
      <c r="A551" s="34">
        <v>549</v>
      </c>
      <c r="B551" s="55"/>
      <c r="C551" s="56"/>
      <c r="D551" s="56"/>
      <c r="E551" s="26"/>
      <c r="F551" s="26"/>
      <c r="G551" s="26"/>
      <c r="H551" s="26"/>
      <c r="I551" s="26"/>
      <c r="J551" s="26"/>
      <c r="K551" s="26"/>
      <c r="L551" s="55"/>
      <c r="M551" s="26"/>
    </row>
    <row r="552" spans="1:13" ht="75" customHeight="1" thickTop="1" thickBot="1">
      <c r="A552" s="26">
        <v>550</v>
      </c>
      <c r="B552" s="55"/>
      <c r="C552" s="56"/>
      <c r="D552" s="56"/>
      <c r="E552" s="26"/>
      <c r="F552" s="26"/>
      <c r="G552" s="26"/>
      <c r="H552" s="26"/>
      <c r="I552" s="26"/>
      <c r="J552" s="26"/>
      <c r="K552" s="26"/>
      <c r="L552" s="55"/>
      <c r="M552" s="26"/>
    </row>
    <row r="553" spans="1:13" ht="75" customHeight="1" thickTop="1" thickBot="1">
      <c r="A553" s="34">
        <v>551</v>
      </c>
      <c r="B553" s="55"/>
      <c r="C553" s="56"/>
      <c r="D553" s="56"/>
      <c r="E553" s="26"/>
      <c r="F553" s="26"/>
      <c r="G553" s="26"/>
      <c r="H553" s="26"/>
      <c r="I553" s="26"/>
      <c r="J553" s="26"/>
      <c r="K553" s="26"/>
      <c r="L553" s="55"/>
      <c r="M553" s="26"/>
    </row>
    <row r="554" spans="1:13" ht="75" customHeight="1" thickTop="1" thickBot="1">
      <c r="A554" s="26">
        <v>552</v>
      </c>
      <c r="B554" s="55"/>
      <c r="C554" s="56"/>
      <c r="D554" s="56"/>
      <c r="E554" s="26"/>
      <c r="F554" s="26"/>
      <c r="G554" s="26"/>
      <c r="H554" s="26"/>
      <c r="I554" s="26"/>
      <c r="J554" s="26"/>
      <c r="K554" s="26"/>
      <c r="L554" s="55"/>
      <c r="M554" s="26"/>
    </row>
    <row r="555" spans="1:13" ht="75" customHeight="1" thickTop="1" thickBot="1">
      <c r="A555" s="34">
        <v>553</v>
      </c>
      <c r="B555" s="55"/>
      <c r="C555" s="56"/>
      <c r="D555" s="56"/>
      <c r="E555" s="26"/>
      <c r="F555" s="26"/>
      <c r="G555" s="26"/>
      <c r="H555" s="26"/>
      <c r="I555" s="26"/>
      <c r="J555" s="26"/>
      <c r="K555" s="26"/>
      <c r="L555" s="55"/>
      <c r="M555" s="26"/>
    </row>
    <row r="556" spans="1:13" ht="75" customHeight="1" thickTop="1" thickBot="1">
      <c r="A556" s="26">
        <v>554</v>
      </c>
      <c r="B556" s="55"/>
      <c r="C556" s="56"/>
      <c r="D556" s="56"/>
      <c r="E556" s="26"/>
      <c r="F556" s="26"/>
      <c r="G556" s="26"/>
      <c r="H556" s="26"/>
      <c r="I556" s="26"/>
      <c r="J556" s="26"/>
      <c r="K556" s="26"/>
      <c r="L556" s="55"/>
      <c r="M556" s="26"/>
    </row>
    <row r="557" spans="1:13" ht="75" customHeight="1" thickTop="1" thickBot="1">
      <c r="A557" s="34">
        <v>555</v>
      </c>
      <c r="B557" s="55"/>
      <c r="C557" s="56"/>
      <c r="D557" s="56"/>
      <c r="E557" s="26"/>
      <c r="F557" s="26"/>
      <c r="G557" s="26"/>
      <c r="H557" s="26"/>
      <c r="I557" s="26"/>
      <c r="J557" s="26"/>
      <c r="K557" s="26"/>
      <c r="L557" s="55"/>
      <c r="M557" s="26"/>
    </row>
    <row r="558" spans="1:13" ht="75" customHeight="1" thickTop="1" thickBot="1">
      <c r="A558" s="26">
        <v>556</v>
      </c>
      <c r="B558" s="55"/>
      <c r="C558" s="56"/>
      <c r="D558" s="56"/>
      <c r="E558" s="26"/>
      <c r="F558" s="26"/>
      <c r="G558" s="26"/>
      <c r="H558" s="26"/>
      <c r="I558" s="26"/>
      <c r="J558" s="26"/>
      <c r="K558" s="26"/>
      <c r="L558" s="55"/>
      <c r="M558" s="26"/>
    </row>
    <row r="559" spans="1:13" ht="75" customHeight="1" thickTop="1" thickBot="1">
      <c r="A559" s="34">
        <v>557</v>
      </c>
      <c r="B559" s="55"/>
      <c r="C559" s="56"/>
      <c r="D559" s="56"/>
      <c r="E559" s="26"/>
      <c r="F559" s="26"/>
      <c r="G559" s="26"/>
      <c r="H559" s="26"/>
      <c r="I559" s="26"/>
      <c r="J559" s="26"/>
      <c r="K559" s="26"/>
      <c r="L559" s="55"/>
      <c r="M559" s="26"/>
    </row>
    <row r="560" spans="1:13" ht="75" customHeight="1" thickTop="1" thickBot="1">
      <c r="A560" s="26">
        <v>558</v>
      </c>
      <c r="B560" s="55"/>
      <c r="C560" s="56"/>
      <c r="D560" s="56"/>
      <c r="E560" s="26"/>
      <c r="F560" s="26"/>
      <c r="G560" s="26"/>
      <c r="H560" s="26"/>
      <c r="I560" s="26"/>
      <c r="J560" s="26"/>
      <c r="K560" s="26"/>
      <c r="L560" s="55"/>
      <c r="M560" s="26"/>
    </row>
    <row r="561" spans="1:13" ht="75" customHeight="1" thickTop="1" thickBot="1">
      <c r="A561" s="34">
        <v>559</v>
      </c>
      <c r="B561" s="55"/>
      <c r="C561" s="56"/>
      <c r="D561" s="56"/>
      <c r="E561" s="26"/>
      <c r="F561" s="26"/>
      <c r="G561" s="26"/>
      <c r="H561" s="26"/>
      <c r="I561" s="26"/>
      <c r="J561" s="26"/>
      <c r="K561" s="26"/>
      <c r="L561" s="55"/>
      <c r="M561" s="26"/>
    </row>
    <row r="562" spans="1:13" ht="75" customHeight="1" thickTop="1" thickBot="1">
      <c r="A562" s="26">
        <v>560</v>
      </c>
      <c r="B562" s="55"/>
      <c r="C562" s="56"/>
      <c r="D562" s="56"/>
      <c r="E562" s="26"/>
      <c r="F562" s="26"/>
      <c r="G562" s="26"/>
      <c r="H562" s="26"/>
      <c r="I562" s="26"/>
      <c r="J562" s="26"/>
      <c r="K562" s="26"/>
      <c r="L562" s="55"/>
      <c r="M562" s="26"/>
    </row>
    <row r="563" spans="1:13" ht="75" customHeight="1" thickTop="1" thickBot="1">
      <c r="A563" s="34">
        <v>561</v>
      </c>
      <c r="B563" s="55"/>
      <c r="C563" s="56"/>
      <c r="D563" s="56"/>
      <c r="E563" s="26"/>
      <c r="F563" s="26"/>
      <c r="G563" s="26"/>
      <c r="H563" s="26"/>
      <c r="I563" s="26"/>
      <c r="J563" s="26"/>
      <c r="K563" s="26"/>
      <c r="L563" s="55"/>
      <c r="M563" s="26"/>
    </row>
    <row r="564" spans="1:13" ht="75" customHeight="1" thickTop="1" thickBot="1">
      <c r="A564" s="26">
        <v>562</v>
      </c>
      <c r="B564" s="55"/>
      <c r="C564" s="56"/>
      <c r="D564" s="56"/>
      <c r="E564" s="26"/>
      <c r="F564" s="26"/>
      <c r="G564" s="26"/>
      <c r="H564" s="26"/>
      <c r="I564" s="26"/>
      <c r="J564" s="26"/>
      <c r="K564" s="26"/>
      <c r="L564" s="55"/>
      <c r="M564" s="26"/>
    </row>
    <row r="565" spans="1:13" ht="75" customHeight="1" thickTop="1" thickBot="1">
      <c r="A565" s="34">
        <v>563</v>
      </c>
      <c r="B565" s="55"/>
      <c r="C565" s="56"/>
      <c r="D565" s="56"/>
      <c r="E565" s="26"/>
      <c r="F565" s="26"/>
      <c r="G565" s="26"/>
      <c r="H565" s="26"/>
      <c r="I565" s="26"/>
      <c r="J565" s="26"/>
      <c r="K565" s="26"/>
      <c r="L565" s="55"/>
      <c r="M565" s="26"/>
    </row>
    <row r="566" spans="1:13" ht="75" customHeight="1" thickTop="1" thickBot="1">
      <c r="A566" s="26">
        <v>564</v>
      </c>
      <c r="B566" s="55"/>
      <c r="C566" s="56"/>
      <c r="D566" s="56"/>
      <c r="E566" s="26"/>
      <c r="F566" s="26"/>
      <c r="G566" s="26"/>
      <c r="H566" s="26"/>
      <c r="I566" s="26"/>
      <c r="J566" s="26"/>
      <c r="K566" s="26"/>
      <c r="L566" s="55"/>
      <c r="M566" s="26"/>
    </row>
    <row r="567" spans="1:13" ht="75" customHeight="1" thickTop="1" thickBot="1">
      <c r="A567" s="34">
        <v>565</v>
      </c>
      <c r="B567" s="55"/>
      <c r="C567" s="56"/>
      <c r="D567" s="56"/>
      <c r="E567" s="26"/>
      <c r="F567" s="26"/>
      <c r="G567" s="26"/>
      <c r="H567" s="26"/>
      <c r="I567" s="26"/>
      <c r="J567" s="26"/>
      <c r="K567" s="26"/>
      <c r="L567" s="55"/>
      <c r="M567" s="26"/>
    </row>
    <row r="568" spans="1:13" ht="75" customHeight="1" thickTop="1" thickBot="1">
      <c r="A568" s="26">
        <v>566</v>
      </c>
      <c r="B568" s="55"/>
      <c r="C568" s="56"/>
      <c r="D568" s="56"/>
      <c r="E568" s="26"/>
      <c r="F568" s="26"/>
      <c r="G568" s="26"/>
      <c r="H568" s="26"/>
      <c r="I568" s="26"/>
      <c r="J568" s="26"/>
      <c r="K568" s="26"/>
      <c r="L568" s="55"/>
      <c r="M568" s="26"/>
    </row>
    <row r="569" spans="1:13" ht="75" customHeight="1" thickTop="1" thickBot="1">
      <c r="A569" s="34">
        <v>567</v>
      </c>
      <c r="B569" s="55"/>
      <c r="C569" s="56"/>
      <c r="D569" s="56"/>
      <c r="E569" s="26"/>
      <c r="F569" s="26"/>
      <c r="G569" s="26"/>
      <c r="H569" s="26"/>
      <c r="I569" s="26"/>
      <c r="J569" s="26"/>
      <c r="K569" s="26"/>
      <c r="L569" s="55"/>
      <c r="M569" s="26"/>
    </row>
    <row r="570" spans="1:13" ht="75" customHeight="1" thickTop="1" thickBot="1">
      <c r="A570" s="26">
        <v>568</v>
      </c>
      <c r="B570" s="55"/>
      <c r="C570" s="56"/>
      <c r="D570" s="56"/>
      <c r="E570" s="26"/>
      <c r="F570" s="26"/>
      <c r="G570" s="26"/>
      <c r="H570" s="26"/>
      <c r="I570" s="26"/>
      <c r="J570" s="26"/>
      <c r="K570" s="26"/>
      <c r="L570" s="55"/>
      <c r="M570" s="26"/>
    </row>
    <row r="571" spans="1:13" ht="75" customHeight="1" thickTop="1" thickBot="1">
      <c r="A571" s="34">
        <v>569</v>
      </c>
      <c r="B571" s="55"/>
      <c r="C571" s="56"/>
      <c r="D571" s="56"/>
      <c r="E571" s="26"/>
      <c r="F571" s="26"/>
      <c r="G571" s="26"/>
      <c r="H571" s="26"/>
      <c r="I571" s="26"/>
      <c r="J571" s="26"/>
      <c r="K571" s="26"/>
      <c r="L571" s="55"/>
      <c r="M571" s="26"/>
    </row>
    <row r="572" spans="1:13" ht="75" customHeight="1" thickTop="1" thickBot="1">
      <c r="A572" s="26">
        <v>570</v>
      </c>
      <c r="B572" s="55"/>
      <c r="C572" s="56"/>
      <c r="D572" s="56"/>
      <c r="E572" s="26"/>
      <c r="F572" s="26"/>
      <c r="G572" s="26"/>
      <c r="H572" s="26"/>
      <c r="I572" s="26"/>
      <c r="J572" s="26"/>
      <c r="K572" s="26"/>
      <c r="L572" s="55"/>
      <c r="M572" s="26"/>
    </row>
    <row r="573" spans="1:13" ht="75" customHeight="1" thickTop="1" thickBot="1">
      <c r="A573" s="34">
        <v>571</v>
      </c>
      <c r="B573" s="55"/>
      <c r="C573" s="56"/>
      <c r="D573" s="56"/>
      <c r="E573" s="26"/>
      <c r="F573" s="26"/>
      <c r="G573" s="26"/>
      <c r="H573" s="26"/>
      <c r="I573" s="26"/>
      <c r="J573" s="26"/>
      <c r="K573" s="26"/>
      <c r="L573" s="55"/>
      <c r="M573" s="26"/>
    </row>
    <row r="574" spans="1:13" ht="75" customHeight="1" thickTop="1" thickBot="1">
      <c r="A574" s="26">
        <v>572</v>
      </c>
      <c r="B574" s="55"/>
      <c r="C574" s="56"/>
      <c r="D574" s="56"/>
      <c r="E574" s="26"/>
      <c r="F574" s="26"/>
      <c r="G574" s="26"/>
      <c r="H574" s="26"/>
      <c r="I574" s="26"/>
      <c r="J574" s="26"/>
      <c r="K574" s="26"/>
      <c r="L574" s="55"/>
      <c r="M574" s="26"/>
    </row>
    <row r="575" spans="1:13" ht="75" customHeight="1" thickTop="1" thickBot="1">
      <c r="A575" s="34">
        <v>573</v>
      </c>
      <c r="B575" s="55"/>
      <c r="C575" s="56"/>
      <c r="D575" s="56"/>
      <c r="E575" s="26"/>
      <c r="F575" s="26"/>
      <c r="G575" s="26"/>
      <c r="H575" s="26"/>
      <c r="I575" s="26"/>
      <c r="J575" s="26"/>
      <c r="K575" s="26"/>
      <c r="L575" s="55"/>
      <c r="M575" s="26"/>
    </row>
    <row r="576" spans="1:13" ht="75" customHeight="1" thickTop="1" thickBot="1">
      <c r="A576" s="26">
        <v>574</v>
      </c>
      <c r="B576" s="55"/>
      <c r="C576" s="56"/>
      <c r="D576" s="56"/>
      <c r="E576" s="26"/>
      <c r="F576" s="26"/>
      <c r="G576" s="26"/>
      <c r="H576" s="26"/>
      <c r="I576" s="26"/>
      <c r="J576" s="26"/>
      <c r="K576" s="26"/>
      <c r="L576" s="55"/>
      <c r="M576" s="26"/>
    </row>
    <row r="577" spans="1:13" ht="75" customHeight="1" thickTop="1" thickBot="1">
      <c r="A577" s="34">
        <v>575</v>
      </c>
      <c r="B577" s="55"/>
      <c r="C577" s="56"/>
      <c r="D577" s="56"/>
      <c r="E577" s="26"/>
      <c r="F577" s="26"/>
      <c r="G577" s="26"/>
      <c r="H577" s="26"/>
      <c r="I577" s="26"/>
      <c r="J577" s="26"/>
      <c r="K577" s="26"/>
      <c r="L577" s="55"/>
      <c r="M577" s="26"/>
    </row>
    <row r="578" spans="1:13" ht="75" customHeight="1" thickTop="1" thickBot="1">
      <c r="A578" s="26">
        <v>576</v>
      </c>
      <c r="B578" s="55"/>
      <c r="C578" s="56"/>
      <c r="D578" s="56"/>
      <c r="E578" s="26"/>
      <c r="F578" s="26"/>
      <c r="G578" s="26"/>
      <c r="H578" s="26"/>
      <c r="I578" s="26"/>
      <c r="J578" s="26"/>
      <c r="K578" s="26"/>
      <c r="L578" s="55"/>
      <c r="M578" s="26"/>
    </row>
    <row r="579" spans="1:13" ht="75" customHeight="1" thickTop="1" thickBot="1">
      <c r="A579" s="34">
        <v>577</v>
      </c>
      <c r="B579" s="55"/>
      <c r="C579" s="56"/>
      <c r="D579" s="56"/>
      <c r="E579" s="26"/>
      <c r="F579" s="26"/>
      <c r="G579" s="26"/>
      <c r="H579" s="26"/>
      <c r="I579" s="26"/>
      <c r="J579" s="26"/>
      <c r="K579" s="26"/>
      <c r="L579" s="55"/>
      <c r="M579" s="26"/>
    </row>
    <row r="580" spans="1:13" ht="75" customHeight="1" thickTop="1" thickBot="1">
      <c r="A580" s="26">
        <v>578</v>
      </c>
      <c r="B580" s="55"/>
      <c r="C580" s="56"/>
      <c r="D580" s="56"/>
      <c r="E580" s="26"/>
      <c r="F580" s="26"/>
      <c r="G580" s="26"/>
      <c r="H580" s="26"/>
      <c r="I580" s="26"/>
      <c r="J580" s="26"/>
      <c r="K580" s="26"/>
      <c r="L580" s="55"/>
      <c r="M580" s="26"/>
    </row>
    <row r="581" spans="1:13" ht="75" customHeight="1" thickTop="1" thickBot="1">
      <c r="A581" s="34">
        <v>579</v>
      </c>
      <c r="B581" s="55"/>
      <c r="C581" s="56"/>
      <c r="D581" s="56"/>
      <c r="E581" s="26"/>
      <c r="F581" s="26"/>
      <c r="G581" s="26"/>
      <c r="H581" s="26"/>
      <c r="I581" s="26"/>
      <c r="J581" s="26"/>
      <c r="K581" s="26"/>
      <c r="L581" s="55"/>
      <c r="M581" s="26"/>
    </row>
    <row r="582" spans="1:13" ht="75" customHeight="1" thickTop="1" thickBot="1">
      <c r="A582" s="26">
        <v>580</v>
      </c>
      <c r="B582" s="55"/>
      <c r="C582" s="56"/>
      <c r="D582" s="56"/>
      <c r="E582" s="26"/>
      <c r="F582" s="26"/>
      <c r="G582" s="26"/>
      <c r="H582" s="26"/>
      <c r="I582" s="26"/>
      <c r="J582" s="26"/>
      <c r="K582" s="26"/>
      <c r="L582" s="55"/>
      <c r="M582" s="26"/>
    </row>
    <row r="583" spans="1:13" ht="75" customHeight="1" thickTop="1" thickBot="1">
      <c r="A583" s="34">
        <v>581</v>
      </c>
      <c r="B583" s="55"/>
      <c r="C583" s="56"/>
      <c r="D583" s="56"/>
      <c r="E583" s="26"/>
      <c r="F583" s="26"/>
      <c r="G583" s="26"/>
      <c r="H583" s="26"/>
      <c r="I583" s="26"/>
      <c r="J583" s="26"/>
      <c r="K583" s="26"/>
      <c r="L583" s="55"/>
      <c r="M583" s="26"/>
    </row>
    <row r="584" spans="1:13" ht="75" customHeight="1" thickTop="1" thickBot="1">
      <c r="A584" s="26">
        <v>582</v>
      </c>
      <c r="B584" s="55"/>
      <c r="C584" s="56"/>
      <c r="D584" s="56"/>
      <c r="E584" s="26"/>
      <c r="F584" s="26"/>
      <c r="G584" s="26"/>
      <c r="H584" s="26"/>
      <c r="I584" s="26"/>
      <c r="J584" s="26"/>
      <c r="K584" s="26"/>
      <c r="L584" s="55"/>
      <c r="M584" s="26"/>
    </row>
    <row r="585" spans="1:13" ht="75" customHeight="1" thickTop="1" thickBot="1">
      <c r="A585" s="34">
        <v>583</v>
      </c>
      <c r="B585" s="55"/>
      <c r="C585" s="56"/>
      <c r="D585" s="56"/>
      <c r="E585" s="26"/>
      <c r="F585" s="26"/>
      <c r="G585" s="26"/>
      <c r="H585" s="26"/>
      <c r="I585" s="26"/>
      <c r="J585" s="26"/>
      <c r="K585" s="26"/>
      <c r="L585" s="55"/>
      <c r="M585" s="26"/>
    </row>
    <row r="586" spans="1:13" ht="75" customHeight="1" thickTop="1" thickBot="1">
      <c r="A586" s="26">
        <v>584</v>
      </c>
      <c r="B586" s="55"/>
      <c r="C586" s="56"/>
      <c r="D586" s="56"/>
      <c r="E586" s="26"/>
      <c r="F586" s="26"/>
      <c r="G586" s="26"/>
      <c r="H586" s="26"/>
      <c r="I586" s="26"/>
      <c r="J586" s="26"/>
      <c r="K586" s="26"/>
      <c r="L586" s="55"/>
      <c r="M586" s="26"/>
    </row>
    <row r="587" spans="1:13" ht="75" customHeight="1" thickTop="1" thickBot="1">
      <c r="A587" s="34">
        <v>585</v>
      </c>
      <c r="B587" s="55"/>
      <c r="C587" s="56"/>
      <c r="D587" s="56"/>
      <c r="E587" s="26"/>
      <c r="F587" s="26"/>
      <c r="G587" s="26"/>
      <c r="H587" s="26"/>
      <c r="I587" s="26"/>
      <c r="J587" s="26"/>
      <c r="K587" s="26"/>
      <c r="L587" s="55"/>
      <c r="M587" s="26"/>
    </row>
    <row r="588" spans="1:13" ht="75" customHeight="1" thickTop="1" thickBot="1">
      <c r="A588" s="26">
        <v>586</v>
      </c>
      <c r="B588" s="55"/>
      <c r="C588" s="56"/>
      <c r="D588" s="56"/>
      <c r="E588" s="26"/>
      <c r="F588" s="26"/>
      <c r="G588" s="26"/>
      <c r="H588" s="26"/>
      <c r="I588" s="26"/>
      <c r="J588" s="26"/>
      <c r="K588" s="26"/>
      <c r="L588" s="55"/>
      <c r="M588" s="26"/>
    </row>
    <row r="589" spans="1:13" ht="75" customHeight="1" thickTop="1" thickBot="1">
      <c r="A589" s="34">
        <v>587</v>
      </c>
      <c r="B589" s="55"/>
      <c r="C589" s="56"/>
      <c r="D589" s="56"/>
      <c r="E589" s="26"/>
      <c r="F589" s="26"/>
      <c r="G589" s="26"/>
      <c r="H589" s="26"/>
      <c r="I589" s="26"/>
      <c r="J589" s="26"/>
      <c r="K589" s="26"/>
      <c r="L589" s="55"/>
      <c r="M589" s="26"/>
    </row>
    <row r="590" spans="1:13" ht="75" customHeight="1" thickTop="1" thickBot="1">
      <c r="A590" s="26">
        <v>588</v>
      </c>
      <c r="B590" s="55"/>
      <c r="C590" s="56"/>
      <c r="D590" s="56"/>
      <c r="E590" s="26"/>
      <c r="F590" s="26"/>
      <c r="G590" s="26"/>
      <c r="H590" s="26"/>
      <c r="I590" s="26"/>
      <c r="J590" s="26"/>
      <c r="K590" s="26"/>
      <c r="L590" s="55"/>
      <c r="M590" s="26"/>
    </row>
    <row r="591" spans="1:13" ht="75" customHeight="1" thickTop="1" thickBot="1">
      <c r="A591" s="34">
        <v>589</v>
      </c>
      <c r="B591" s="55"/>
      <c r="C591" s="56"/>
      <c r="D591" s="56"/>
      <c r="E591" s="26"/>
      <c r="F591" s="26"/>
      <c r="G591" s="26"/>
      <c r="H591" s="26"/>
      <c r="I591" s="26"/>
      <c r="J591" s="26"/>
      <c r="K591" s="26"/>
      <c r="L591" s="55"/>
      <c r="M591" s="26"/>
    </row>
    <row r="592" spans="1:13" ht="75" customHeight="1" thickTop="1" thickBot="1">
      <c r="A592" s="26">
        <v>590</v>
      </c>
      <c r="B592" s="55"/>
      <c r="C592" s="56"/>
      <c r="D592" s="56"/>
      <c r="E592" s="26"/>
      <c r="F592" s="26"/>
      <c r="G592" s="26"/>
      <c r="H592" s="26"/>
      <c r="I592" s="26"/>
      <c r="J592" s="26"/>
      <c r="K592" s="26"/>
      <c r="L592" s="55"/>
      <c r="M592" s="26"/>
    </row>
    <row r="593" spans="1:13" ht="75" customHeight="1" thickTop="1" thickBot="1">
      <c r="A593" s="34">
        <v>591</v>
      </c>
      <c r="B593" s="55"/>
      <c r="C593" s="56"/>
      <c r="D593" s="56"/>
      <c r="E593" s="26"/>
      <c r="F593" s="26"/>
      <c r="G593" s="26"/>
      <c r="H593" s="26"/>
      <c r="I593" s="26"/>
      <c r="J593" s="26"/>
      <c r="K593" s="26"/>
      <c r="L593" s="55"/>
      <c r="M593" s="26"/>
    </row>
    <row r="594" spans="1:13" ht="75" customHeight="1" thickTop="1" thickBot="1">
      <c r="A594" s="26">
        <v>592</v>
      </c>
      <c r="B594" s="55"/>
      <c r="C594" s="56"/>
      <c r="D594" s="56"/>
      <c r="E594" s="26"/>
      <c r="F594" s="26"/>
      <c r="G594" s="26"/>
      <c r="H594" s="26"/>
      <c r="I594" s="26"/>
      <c r="J594" s="26"/>
      <c r="K594" s="26"/>
      <c r="L594" s="55"/>
      <c r="M594" s="26"/>
    </row>
    <row r="595" spans="1:13" ht="75" customHeight="1" thickTop="1" thickBot="1">
      <c r="A595" s="34">
        <v>593</v>
      </c>
      <c r="B595" s="55"/>
      <c r="C595" s="56"/>
      <c r="D595" s="56"/>
      <c r="E595" s="26"/>
      <c r="F595" s="26"/>
      <c r="G595" s="26"/>
      <c r="H595" s="26"/>
      <c r="I595" s="26"/>
      <c r="J595" s="26"/>
      <c r="K595" s="26"/>
      <c r="L595" s="55"/>
      <c r="M595" s="26"/>
    </row>
    <row r="596" spans="1:13" ht="75" customHeight="1" thickTop="1" thickBot="1">
      <c r="A596" s="26">
        <v>594</v>
      </c>
      <c r="B596" s="55"/>
      <c r="C596" s="56"/>
      <c r="D596" s="56"/>
      <c r="E596" s="26"/>
      <c r="F596" s="26"/>
      <c r="G596" s="26"/>
      <c r="H596" s="26"/>
      <c r="I596" s="26"/>
      <c r="J596" s="26"/>
      <c r="K596" s="26"/>
      <c r="L596" s="55"/>
      <c r="M596" s="26"/>
    </row>
    <row r="597" spans="1:13" ht="75" customHeight="1" thickTop="1" thickBot="1">
      <c r="A597" s="34">
        <v>595</v>
      </c>
      <c r="B597" s="55"/>
      <c r="C597" s="56"/>
      <c r="D597" s="56"/>
      <c r="E597" s="26"/>
      <c r="F597" s="26"/>
      <c r="G597" s="26"/>
      <c r="H597" s="26"/>
      <c r="I597" s="26"/>
      <c r="J597" s="26"/>
      <c r="K597" s="26"/>
      <c r="L597" s="55"/>
      <c r="M597" s="26"/>
    </row>
    <row r="598" spans="1:13" ht="75" customHeight="1" thickTop="1" thickBot="1">
      <c r="A598" s="26">
        <v>596</v>
      </c>
      <c r="B598" s="55"/>
      <c r="C598" s="56"/>
      <c r="D598" s="56"/>
      <c r="E598" s="26"/>
      <c r="F598" s="26"/>
      <c r="G598" s="26"/>
      <c r="H598" s="26"/>
      <c r="I598" s="26"/>
      <c r="J598" s="26"/>
      <c r="K598" s="26"/>
      <c r="L598" s="55"/>
      <c r="M598" s="26"/>
    </row>
    <row r="599" spans="1:13" ht="75" customHeight="1" thickTop="1" thickBot="1">
      <c r="A599" s="34">
        <v>597</v>
      </c>
      <c r="B599" s="55"/>
      <c r="C599" s="56"/>
      <c r="D599" s="56"/>
      <c r="E599" s="26"/>
      <c r="F599" s="26"/>
      <c r="G599" s="26"/>
      <c r="H599" s="26"/>
      <c r="I599" s="26"/>
      <c r="J599" s="26"/>
      <c r="K599" s="26"/>
      <c r="L599" s="55"/>
      <c r="M599" s="26"/>
    </row>
    <row r="600" spans="1:13" ht="75" customHeight="1" thickTop="1" thickBot="1">
      <c r="A600" s="26">
        <v>598</v>
      </c>
      <c r="B600" s="55"/>
      <c r="C600" s="56"/>
      <c r="D600" s="56"/>
      <c r="E600" s="26"/>
      <c r="F600" s="26"/>
      <c r="G600" s="26"/>
      <c r="H600" s="26"/>
      <c r="I600" s="26"/>
      <c r="J600" s="26"/>
      <c r="K600" s="26"/>
      <c r="L600" s="55"/>
      <c r="M600" s="26"/>
    </row>
    <row r="601" spans="1:13" ht="75" customHeight="1" thickTop="1" thickBot="1">
      <c r="A601" s="34">
        <v>599</v>
      </c>
      <c r="B601" s="55"/>
      <c r="C601" s="56"/>
      <c r="D601" s="56"/>
      <c r="E601" s="26"/>
      <c r="F601" s="26"/>
      <c r="G601" s="26"/>
      <c r="H601" s="26"/>
      <c r="I601" s="26"/>
      <c r="J601" s="26"/>
      <c r="K601" s="26"/>
      <c r="L601" s="55"/>
      <c r="M601" s="26"/>
    </row>
    <row r="602" spans="1:13" ht="75" customHeight="1" thickTop="1" thickBot="1">
      <c r="A602" s="26">
        <v>600</v>
      </c>
      <c r="B602" s="55"/>
      <c r="C602" s="56"/>
      <c r="D602" s="56"/>
      <c r="E602" s="26"/>
      <c r="F602" s="26"/>
      <c r="G602" s="26"/>
      <c r="H602" s="26"/>
      <c r="I602" s="26"/>
      <c r="J602" s="26"/>
      <c r="K602" s="26"/>
      <c r="L602" s="55"/>
      <c r="M602" s="26"/>
    </row>
    <row r="603" spans="1:13" ht="75" customHeight="1" thickTop="1" thickBot="1">
      <c r="A603" s="34">
        <v>601</v>
      </c>
      <c r="B603" s="55"/>
      <c r="C603" s="56"/>
      <c r="D603" s="56"/>
      <c r="E603" s="26"/>
      <c r="F603" s="26"/>
      <c r="G603" s="26"/>
      <c r="H603" s="26"/>
      <c r="I603" s="26"/>
      <c r="J603" s="26"/>
      <c r="K603" s="26"/>
      <c r="L603" s="55"/>
      <c r="M603" s="26"/>
    </row>
    <row r="604" spans="1:13" ht="75" customHeight="1" thickTop="1" thickBot="1">
      <c r="A604" s="26">
        <v>602</v>
      </c>
      <c r="B604" s="55"/>
      <c r="C604" s="56"/>
      <c r="D604" s="56"/>
      <c r="E604" s="26"/>
      <c r="F604" s="26"/>
      <c r="G604" s="26"/>
      <c r="H604" s="26"/>
      <c r="I604" s="26"/>
      <c r="J604" s="26"/>
      <c r="K604" s="26"/>
      <c r="L604" s="55"/>
      <c r="M604" s="26"/>
    </row>
    <row r="605" spans="1:13" ht="75" customHeight="1" thickTop="1" thickBot="1">
      <c r="A605" s="34">
        <v>603</v>
      </c>
      <c r="B605" s="55"/>
      <c r="C605" s="56"/>
      <c r="D605" s="56"/>
      <c r="E605" s="26"/>
      <c r="F605" s="26"/>
      <c r="G605" s="26"/>
      <c r="H605" s="26"/>
      <c r="I605" s="26"/>
      <c r="J605" s="26"/>
      <c r="K605" s="26"/>
      <c r="L605" s="55"/>
      <c r="M605" s="26"/>
    </row>
    <row r="606" spans="1:13" ht="75" customHeight="1" thickTop="1" thickBot="1">
      <c r="A606" s="26">
        <v>604</v>
      </c>
      <c r="B606" s="55"/>
      <c r="C606" s="56"/>
      <c r="D606" s="56"/>
      <c r="E606" s="26"/>
      <c r="F606" s="26"/>
      <c r="G606" s="26"/>
      <c r="H606" s="26"/>
      <c r="I606" s="26"/>
      <c r="J606" s="26"/>
      <c r="K606" s="26"/>
      <c r="L606" s="55"/>
      <c r="M606" s="26"/>
    </row>
    <row r="607" spans="1:13" ht="75" customHeight="1" thickTop="1" thickBot="1">
      <c r="A607" s="34">
        <v>605</v>
      </c>
      <c r="B607" s="55"/>
      <c r="C607" s="56"/>
      <c r="D607" s="56"/>
      <c r="E607" s="26"/>
      <c r="F607" s="26"/>
      <c r="G607" s="26"/>
      <c r="H607" s="26"/>
      <c r="I607" s="26"/>
      <c r="J607" s="26"/>
      <c r="K607" s="26"/>
      <c r="L607" s="55"/>
      <c r="M607" s="26"/>
    </row>
    <row r="608" spans="1:13" ht="75" customHeight="1" thickTop="1" thickBot="1">
      <c r="A608" s="26">
        <v>606</v>
      </c>
      <c r="B608" s="55"/>
      <c r="C608" s="56"/>
      <c r="D608" s="56"/>
      <c r="E608" s="26"/>
      <c r="F608" s="26"/>
      <c r="G608" s="26"/>
      <c r="H608" s="26"/>
      <c r="I608" s="26"/>
      <c r="J608" s="26"/>
      <c r="K608" s="26"/>
      <c r="L608" s="55"/>
      <c r="M608" s="26"/>
    </row>
    <row r="609" spans="1:13" ht="75" customHeight="1" thickTop="1" thickBot="1">
      <c r="A609" s="34">
        <v>607</v>
      </c>
      <c r="B609" s="55"/>
      <c r="C609" s="56"/>
      <c r="D609" s="56"/>
      <c r="E609" s="26"/>
      <c r="F609" s="26"/>
      <c r="G609" s="26"/>
      <c r="H609" s="26"/>
      <c r="I609" s="26"/>
      <c r="J609" s="26"/>
      <c r="K609" s="26"/>
      <c r="L609" s="55"/>
      <c r="M609" s="26"/>
    </row>
    <row r="610" spans="1:13" ht="75" customHeight="1" thickTop="1" thickBot="1">
      <c r="A610" s="26">
        <v>608</v>
      </c>
      <c r="B610" s="55"/>
      <c r="C610" s="56"/>
      <c r="D610" s="56"/>
      <c r="E610" s="26"/>
      <c r="F610" s="26"/>
      <c r="G610" s="26"/>
      <c r="H610" s="26"/>
      <c r="I610" s="26"/>
      <c r="J610" s="26"/>
      <c r="K610" s="26"/>
      <c r="L610" s="55"/>
      <c r="M610" s="26"/>
    </row>
    <row r="611" spans="1:13" ht="75" customHeight="1" thickTop="1" thickBot="1">
      <c r="A611" s="34">
        <v>609</v>
      </c>
      <c r="B611" s="55"/>
      <c r="C611" s="56"/>
      <c r="D611" s="56"/>
      <c r="E611" s="26"/>
      <c r="F611" s="26"/>
      <c r="G611" s="26"/>
      <c r="H611" s="26"/>
      <c r="I611" s="26"/>
      <c r="J611" s="26"/>
      <c r="K611" s="26"/>
      <c r="L611" s="55"/>
      <c r="M611" s="26"/>
    </row>
    <row r="612" spans="1:13" ht="75" customHeight="1" thickTop="1" thickBot="1">
      <c r="A612" s="26">
        <v>610</v>
      </c>
      <c r="B612" s="55"/>
      <c r="C612" s="56"/>
      <c r="D612" s="56"/>
      <c r="E612" s="26"/>
      <c r="F612" s="26"/>
      <c r="G612" s="26"/>
      <c r="H612" s="26"/>
      <c r="I612" s="26"/>
      <c r="J612" s="26"/>
      <c r="K612" s="26"/>
      <c r="L612" s="55"/>
      <c r="M612" s="26"/>
    </row>
    <row r="613" spans="1:13" ht="75" customHeight="1" thickTop="1" thickBot="1">
      <c r="A613" s="34">
        <v>611</v>
      </c>
      <c r="B613" s="55"/>
      <c r="C613" s="56"/>
      <c r="D613" s="56"/>
      <c r="E613" s="26"/>
      <c r="F613" s="26"/>
      <c r="G613" s="26"/>
      <c r="H613" s="26"/>
      <c r="I613" s="26"/>
      <c r="J613" s="26"/>
      <c r="K613" s="26"/>
      <c r="L613" s="55"/>
      <c r="M613" s="26"/>
    </row>
    <row r="614" spans="1:13" ht="75" customHeight="1" thickTop="1" thickBot="1">
      <c r="A614" s="26">
        <v>612</v>
      </c>
      <c r="B614" s="55"/>
      <c r="C614" s="56"/>
      <c r="D614" s="56"/>
      <c r="E614" s="26"/>
      <c r="F614" s="26"/>
      <c r="G614" s="26"/>
      <c r="H614" s="26"/>
      <c r="I614" s="26"/>
      <c r="J614" s="26"/>
      <c r="K614" s="26"/>
      <c r="L614" s="55"/>
      <c r="M614" s="26"/>
    </row>
    <row r="615" spans="1:13" ht="75" customHeight="1" thickTop="1" thickBot="1">
      <c r="A615" s="34">
        <v>613</v>
      </c>
      <c r="B615" s="55"/>
      <c r="C615" s="56"/>
      <c r="D615" s="56"/>
      <c r="E615" s="26"/>
      <c r="F615" s="26"/>
      <c r="G615" s="26"/>
      <c r="H615" s="26"/>
      <c r="I615" s="26"/>
      <c r="J615" s="26"/>
      <c r="K615" s="26"/>
      <c r="L615" s="55"/>
      <c r="M615" s="26"/>
    </row>
    <row r="616" spans="1:13" ht="75" customHeight="1" thickTop="1" thickBot="1">
      <c r="A616" s="26">
        <v>614</v>
      </c>
      <c r="B616" s="55"/>
      <c r="C616" s="56"/>
      <c r="D616" s="56"/>
      <c r="E616" s="26"/>
      <c r="F616" s="26"/>
      <c r="G616" s="26"/>
      <c r="H616" s="26"/>
      <c r="I616" s="26"/>
      <c r="J616" s="26"/>
      <c r="K616" s="26"/>
      <c r="L616" s="55"/>
      <c r="M616" s="26"/>
    </row>
    <row r="617" spans="1:13" ht="75" customHeight="1" thickTop="1" thickBot="1">
      <c r="A617" s="34">
        <v>615</v>
      </c>
      <c r="B617" s="55"/>
      <c r="C617" s="56"/>
      <c r="D617" s="56"/>
      <c r="E617" s="26"/>
      <c r="F617" s="26"/>
      <c r="G617" s="26"/>
      <c r="H617" s="26"/>
      <c r="I617" s="26"/>
      <c r="J617" s="26"/>
      <c r="K617" s="26"/>
      <c r="L617" s="55"/>
      <c r="M617" s="26"/>
    </row>
    <row r="618" spans="1:13" ht="75" customHeight="1" thickTop="1" thickBot="1">
      <c r="A618" s="26">
        <v>616</v>
      </c>
      <c r="B618" s="55"/>
      <c r="C618" s="56"/>
      <c r="D618" s="56"/>
      <c r="E618" s="26"/>
      <c r="F618" s="26"/>
      <c r="G618" s="26"/>
      <c r="H618" s="26"/>
      <c r="I618" s="26"/>
      <c r="J618" s="26"/>
      <c r="K618" s="26"/>
      <c r="L618" s="55"/>
      <c r="M618" s="26"/>
    </row>
    <row r="619" spans="1:13" ht="75" customHeight="1" thickTop="1" thickBot="1">
      <c r="A619" s="34">
        <v>617</v>
      </c>
      <c r="B619" s="55"/>
      <c r="C619" s="56"/>
      <c r="D619" s="56"/>
      <c r="E619" s="26"/>
      <c r="F619" s="26"/>
      <c r="G619" s="26"/>
      <c r="H619" s="26"/>
      <c r="I619" s="26"/>
      <c r="J619" s="26"/>
      <c r="K619" s="26"/>
      <c r="L619" s="55"/>
      <c r="M619" s="26"/>
    </row>
    <row r="620" spans="1:13" ht="75" customHeight="1" thickTop="1" thickBot="1">
      <c r="A620" s="26">
        <v>618</v>
      </c>
      <c r="B620" s="55"/>
      <c r="C620" s="56"/>
      <c r="D620" s="56"/>
      <c r="E620" s="26"/>
      <c r="F620" s="26"/>
      <c r="G620" s="26"/>
      <c r="H620" s="26"/>
      <c r="I620" s="26"/>
      <c r="J620" s="26"/>
      <c r="K620" s="26"/>
      <c r="L620" s="55"/>
      <c r="M620" s="26"/>
    </row>
    <row r="621" spans="1:13" ht="75" customHeight="1" thickTop="1" thickBot="1">
      <c r="A621" s="34">
        <v>619</v>
      </c>
      <c r="B621" s="55"/>
      <c r="C621" s="56"/>
      <c r="D621" s="56"/>
      <c r="E621" s="26"/>
      <c r="F621" s="26"/>
      <c r="G621" s="26"/>
      <c r="H621" s="26"/>
      <c r="I621" s="26"/>
      <c r="J621" s="26"/>
      <c r="K621" s="26"/>
      <c r="L621" s="55"/>
      <c r="M621" s="26"/>
    </row>
    <row r="622" spans="1:13" ht="75" customHeight="1" thickTop="1" thickBot="1">
      <c r="A622" s="26">
        <v>620</v>
      </c>
      <c r="B622" s="55"/>
      <c r="C622" s="56"/>
      <c r="D622" s="56"/>
      <c r="E622" s="26"/>
      <c r="F622" s="26"/>
      <c r="G622" s="26"/>
      <c r="H622" s="26"/>
      <c r="I622" s="26"/>
      <c r="J622" s="26"/>
      <c r="K622" s="26"/>
      <c r="L622" s="55"/>
      <c r="M622" s="26"/>
    </row>
    <row r="623" spans="1:13" ht="75" customHeight="1" thickTop="1" thickBot="1">
      <c r="A623" s="34">
        <v>621</v>
      </c>
      <c r="B623" s="55"/>
      <c r="C623" s="56"/>
      <c r="D623" s="56"/>
      <c r="E623" s="26"/>
      <c r="F623" s="26"/>
      <c r="G623" s="26"/>
      <c r="H623" s="26"/>
      <c r="I623" s="26"/>
      <c r="J623" s="26"/>
      <c r="K623" s="26"/>
      <c r="L623" s="55"/>
      <c r="M623" s="26"/>
    </row>
    <row r="624" spans="1:13" ht="75" customHeight="1" thickTop="1" thickBot="1">
      <c r="A624" s="26">
        <v>622</v>
      </c>
      <c r="B624" s="55"/>
      <c r="C624" s="56"/>
      <c r="D624" s="56"/>
      <c r="E624" s="26"/>
      <c r="F624" s="26"/>
      <c r="G624" s="26"/>
      <c r="H624" s="26"/>
      <c r="I624" s="26"/>
      <c r="J624" s="26"/>
      <c r="K624" s="26"/>
      <c r="L624" s="55"/>
      <c r="M624" s="26"/>
    </row>
    <row r="625" spans="1:13" ht="75" customHeight="1" thickTop="1" thickBot="1">
      <c r="A625" s="34">
        <v>623</v>
      </c>
      <c r="B625" s="55"/>
      <c r="C625" s="56"/>
      <c r="D625" s="56"/>
      <c r="E625" s="26"/>
      <c r="F625" s="26"/>
      <c r="G625" s="26"/>
      <c r="H625" s="26"/>
      <c r="I625" s="26"/>
      <c r="J625" s="26"/>
      <c r="K625" s="26"/>
      <c r="L625" s="55"/>
      <c r="M625" s="26"/>
    </row>
    <row r="626" spans="1:13" ht="75" customHeight="1" thickTop="1" thickBot="1">
      <c r="A626" s="26">
        <v>624</v>
      </c>
      <c r="B626" s="55"/>
      <c r="C626" s="56"/>
      <c r="D626" s="56"/>
      <c r="E626" s="26"/>
      <c r="F626" s="26"/>
      <c r="G626" s="26"/>
      <c r="H626" s="26"/>
      <c r="I626" s="26"/>
      <c r="J626" s="26"/>
      <c r="K626" s="26"/>
      <c r="L626" s="55"/>
      <c r="M626" s="26"/>
    </row>
    <row r="627" spans="1:13" ht="75" customHeight="1" thickTop="1" thickBot="1">
      <c r="A627" s="34">
        <v>625</v>
      </c>
      <c r="B627" s="55"/>
      <c r="C627" s="56"/>
      <c r="D627" s="56"/>
      <c r="E627" s="26"/>
      <c r="F627" s="26"/>
      <c r="G627" s="26"/>
      <c r="H627" s="26"/>
      <c r="I627" s="26"/>
      <c r="J627" s="26"/>
      <c r="K627" s="26"/>
      <c r="L627" s="55"/>
      <c r="M627" s="26"/>
    </row>
    <row r="628" spans="1:13" ht="75" customHeight="1" thickTop="1" thickBot="1">
      <c r="A628" s="26">
        <v>626</v>
      </c>
      <c r="B628" s="55"/>
      <c r="C628" s="56"/>
      <c r="D628" s="56"/>
      <c r="E628" s="26"/>
      <c r="F628" s="26"/>
      <c r="G628" s="26"/>
      <c r="H628" s="26"/>
      <c r="I628" s="26"/>
      <c r="J628" s="26"/>
      <c r="K628" s="26"/>
      <c r="L628" s="55"/>
      <c r="M628" s="26"/>
    </row>
    <row r="629" spans="1:13" ht="75" customHeight="1" thickTop="1" thickBot="1">
      <c r="A629" s="34">
        <v>627</v>
      </c>
      <c r="B629" s="55"/>
      <c r="C629" s="56"/>
      <c r="D629" s="56"/>
      <c r="E629" s="26"/>
      <c r="F629" s="26"/>
      <c r="G629" s="26"/>
      <c r="H629" s="26"/>
      <c r="I629" s="26"/>
      <c r="J629" s="26"/>
      <c r="K629" s="26"/>
      <c r="L629" s="55"/>
      <c r="M629" s="26"/>
    </row>
    <row r="630" spans="1:13" ht="75" customHeight="1" thickTop="1" thickBot="1">
      <c r="A630" s="26">
        <v>628</v>
      </c>
      <c r="B630" s="55"/>
      <c r="C630" s="56"/>
      <c r="D630" s="56"/>
      <c r="E630" s="26"/>
      <c r="F630" s="26"/>
      <c r="G630" s="26"/>
      <c r="H630" s="26"/>
      <c r="I630" s="26"/>
      <c r="J630" s="26"/>
      <c r="K630" s="26"/>
      <c r="L630" s="55"/>
      <c r="M630" s="26"/>
    </row>
    <row r="631" spans="1:13" ht="75" customHeight="1" thickTop="1" thickBot="1">
      <c r="A631" s="34">
        <v>629</v>
      </c>
      <c r="B631" s="55"/>
      <c r="C631" s="56"/>
      <c r="D631" s="56"/>
      <c r="E631" s="26"/>
      <c r="F631" s="26"/>
      <c r="G631" s="26"/>
      <c r="H631" s="26"/>
      <c r="I631" s="26"/>
      <c r="J631" s="26"/>
      <c r="K631" s="26"/>
      <c r="L631" s="55"/>
      <c r="M631" s="26"/>
    </row>
    <row r="632" spans="1:13" ht="75" customHeight="1" thickTop="1" thickBot="1">
      <c r="A632" s="26">
        <v>630</v>
      </c>
      <c r="B632" s="55"/>
      <c r="C632" s="56"/>
      <c r="D632" s="56"/>
      <c r="E632" s="26"/>
      <c r="F632" s="26"/>
      <c r="G632" s="26"/>
      <c r="H632" s="26"/>
      <c r="I632" s="26"/>
      <c r="J632" s="26"/>
      <c r="K632" s="26"/>
      <c r="L632" s="55"/>
      <c r="M632" s="26"/>
    </row>
    <row r="633" spans="1:13" ht="75" customHeight="1" thickTop="1" thickBot="1">
      <c r="A633" s="34">
        <v>631</v>
      </c>
      <c r="B633" s="55"/>
      <c r="C633" s="56"/>
      <c r="D633" s="56"/>
      <c r="E633" s="26"/>
      <c r="F633" s="26"/>
      <c r="G633" s="26"/>
      <c r="H633" s="26"/>
      <c r="I633" s="26"/>
      <c r="J633" s="26"/>
      <c r="K633" s="26"/>
      <c r="L633" s="55"/>
      <c r="M633" s="26"/>
    </row>
    <row r="634" spans="1:13" ht="75" customHeight="1" thickTop="1" thickBot="1">
      <c r="A634" s="26">
        <v>632</v>
      </c>
      <c r="B634" s="55"/>
      <c r="C634" s="56"/>
      <c r="D634" s="56"/>
      <c r="E634" s="26"/>
      <c r="F634" s="26"/>
      <c r="G634" s="26"/>
      <c r="H634" s="26"/>
      <c r="I634" s="26"/>
      <c r="J634" s="26"/>
      <c r="K634" s="26"/>
      <c r="L634" s="55"/>
      <c r="M634" s="26"/>
    </row>
    <row r="635" spans="1:13" ht="75" customHeight="1" thickTop="1" thickBot="1">
      <c r="A635" s="34">
        <v>633</v>
      </c>
      <c r="B635" s="55"/>
      <c r="C635" s="56"/>
      <c r="D635" s="56"/>
      <c r="E635" s="26"/>
      <c r="F635" s="26"/>
      <c r="G635" s="26"/>
      <c r="H635" s="26"/>
      <c r="I635" s="26"/>
      <c r="J635" s="26"/>
      <c r="K635" s="26"/>
      <c r="L635" s="55"/>
      <c r="M635" s="26"/>
    </row>
    <row r="636" spans="1:13" ht="75" customHeight="1" thickTop="1" thickBot="1">
      <c r="A636" s="26">
        <v>634</v>
      </c>
      <c r="B636" s="55"/>
      <c r="C636" s="56"/>
      <c r="D636" s="56"/>
      <c r="E636" s="26"/>
      <c r="F636" s="26"/>
      <c r="G636" s="26"/>
      <c r="H636" s="26"/>
      <c r="I636" s="26"/>
      <c r="J636" s="26"/>
      <c r="K636" s="26"/>
      <c r="L636" s="55"/>
      <c r="M636" s="26"/>
    </row>
    <row r="637" spans="1:13" ht="75" customHeight="1" thickTop="1" thickBot="1">
      <c r="A637" s="34">
        <v>635</v>
      </c>
      <c r="B637" s="55"/>
      <c r="C637" s="56"/>
      <c r="D637" s="56"/>
      <c r="E637" s="26"/>
      <c r="F637" s="26"/>
      <c r="G637" s="26"/>
      <c r="H637" s="26"/>
      <c r="I637" s="26"/>
      <c r="J637" s="26"/>
      <c r="K637" s="26"/>
      <c r="L637" s="55"/>
      <c r="M637" s="26"/>
    </row>
    <row r="638" spans="1:13" ht="75" customHeight="1" thickTop="1" thickBot="1">
      <c r="A638" s="26">
        <v>636</v>
      </c>
      <c r="B638" s="55"/>
      <c r="C638" s="56"/>
      <c r="D638" s="56"/>
      <c r="E638" s="26"/>
      <c r="F638" s="26"/>
      <c r="G638" s="26"/>
      <c r="H638" s="26"/>
      <c r="I638" s="26"/>
      <c r="J638" s="26"/>
      <c r="K638" s="26"/>
      <c r="L638" s="55"/>
      <c r="M638" s="26"/>
    </row>
    <row r="639" spans="1:13" ht="75" customHeight="1" thickTop="1" thickBot="1">
      <c r="A639" s="34">
        <v>637</v>
      </c>
      <c r="B639" s="55"/>
      <c r="C639" s="56"/>
      <c r="D639" s="56"/>
      <c r="E639" s="26"/>
      <c r="F639" s="26"/>
      <c r="G639" s="26"/>
      <c r="H639" s="26"/>
      <c r="I639" s="26"/>
      <c r="J639" s="26"/>
      <c r="K639" s="26"/>
      <c r="L639" s="55"/>
      <c r="M639" s="26"/>
    </row>
    <row r="640" spans="1:13" ht="75" customHeight="1" thickTop="1" thickBot="1">
      <c r="A640" s="26">
        <v>638</v>
      </c>
      <c r="B640" s="55"/>
      <c r="C640" s="56"/>
      <c r="D640" s="56"/>
      <c r="E640" s="26"/>
      <c r="F640" s="26"/>
      <c r="G640" s="26"/>
      <c r="H640" s="26"/>
      <c r="I640" s="26"/>
      <c r="J640" s="26"/>
      <c r="K640" s="26"/>
      <c r="L640" s="55"/>
      <c r="M640" s="26"/>
    </row>
    <row r="641" spans="1:13" ht="75" customHeight="1" thickTop="1" thickBot="1">
      <c r="A641" s="34">
        <v>639</v>
      </c>
      <c r="B641" s="55"/>
      <c r="C641" s="56"/>
      <c r="D641" s="56"/>
      <c r="E641" s="26"/>
      <c r="F641" s="26"/>
      <c r="G641" s="26"/>
      <c r="H641" s="26"/>
      <c r="I641" s="26"/>
      <c r="J641" s="26"/>
      <c r="K641" s="26"/>
      <c r="L641" s="55"/>
      <c r="M641" s="26"/>
    </row>
    <row r="642" spans="1:13" ht="75" customHeight="1" thickTop="1" thickBot="1">
      <c r="A642" s="26">
        <v>640</v>
      </c>
      <c r="B642" s="55"/>
      <c r="C642" s="56"/>
      <c r="D642" s="56"/>
      <c r="E642" s="26"/>
      <c r="F642" s="26"/>
      <c r="G642" s="26"/>
      <c r="H642" s="26"/>
      <c r="I642" s="26"/>
      <c r="J642" s="26"/>
      <c r="K642" s="26"/>
      <c r="L642" s="55"/>
      <c r="M642" s="26"/>
    </row>
    <row r="643" spans="1:13" ht="75" customHeight="1" thickTop="1" thickBot="1">
      <c r="A643" s="34">
        <v>641</v>
      </c>
      <c r="B643" s="55"/>
      <c r="C643" s="56"/>
      <c r="D643" s="56"/>
      <c r="E643" s="26"/>
      <c r="F643" s="26"/>
      <c r="G643" s="26"/>
      <c r="H643" s="26"/>
      <c r="I643" s="26"/>
      <c r="J643" s="26"/>
      <c r="K643" s="26"/>
      <c r="L643" s="55"/>
      <c r="M643" s="26"/>
    </row>
    <row r="644" spans="1:13" ht="75" customHeight="1" thickTop="1" thickBot="1">
      <c r="A644" s="26">
        <v>642</v>
      </c>
      <c r="B644" s="55"/>
      <c r="C644" s="56"/>
      <c r="D644" s="56"/>
      <c r="E644" s="26"/>
      <c r="F644" s="26"/>
      <c r="G644" s="26"/>
      <c r="H644" s="26"/>
      <c r="I644" s="26"/>
      <c r="J644" s="26"/>
      <c r="K644" s="26"/>
      <c r="L644" s="55"/>
      <c r="M644" s="26"/>
    </row>
    <row r="645" spans="1:13" ht="75" customHeight="1" thickTop="1" thickBot="1">
      <c r="A645" s="34">
        <v>643</v>
      </c>
      <c r="B645" s="55"/>
      <c r="C645" s="56"/>
      <c r="D645" s="56"/>
      <c r="E645" s="26"/>
      <c r="F645" s="26"/>
      <c r="G645" s="26"/>
      <c r="H645" s="26"/>
      <c r="I645" s="26"/>
      <c r="J645" s="26"/>
      <c r="K645" s="26"/>
      <c r="L645" s="55"/>
      <c r="M645" s="26"/>
    </row>
    <row r="646" spans="1:13" ht="75" customHeight="1" thickTop="1" thickBot="1">
      <c r="A646" s="26">
        <v>644</v>
      </c>
      <c r="B646" s="55"/>
      <c r="C646" s="56"/>
      <c r="D646" s="56"/>
      <c r="E646" s="26"/>
      <c r="F646" s="26"/>
      <c r="G646" s="26"/>
      <c r="H646" s="26"/>
      <c r="I646" s="26"/>
      <c r="J646" s="26"/>
      <c r="K646" s="26"/>
      <c r="L646" s="55"/>
      <c r="M646" s="26"/>
    </row>
    <row r="647" spans="1:13" ht="75" customHeight="1" thickTop="1" thickBot="1">
      <c r="A647" s="34">
        <v>645</v>
      </c>
      <c r="B647" s="55"/>
      <c r="C647" s="56"/>
      <c r="D647" s="56"/>
      <c r="E647" s="26"/>
      <c r="F647" s="26"/>
      <c r="G647" s="26"/>
      <c r="H647" s="26"/>
      <c r="I647" s="26"/>
      <c r="J647" s="26"/>
      <c r="K647" s="26"/>
      <c r="L647" s="55"/>
      <c r="M647" s="26"/>
    </row>
    <row r="648" spans="1:13" ht="75" customHeight="1" thickTop="1" thickBot="1">
      <c r="A648" s="26">
        <v>646</v>
      </c>
      <c r="B648" s="55"/>
      <c r="C648" s="56"/>
      <c r="D648" s="56"/>
      <c r="E648" s="26"/>
      <c r="F648" s="26"/>
      <c r="G648" s="26"/>
      <c r="H648" s="26"/>
      <c r="I648" s="26"/>
      <c r="J648" s="26"/>
      <c r="K648" s="26"/>
      <c r="L648" s="55"/>
      <c r="M648" s="26"/>
    </row>
    <row r="649" spans="1:13" ht="75" customHeight="1" thickTop="1" thickBot="1">
      <c r="A649" s="34">
        <v>647</v>
      </c>
      <c r="B649" s="55"/>
      <c r="C649" s="56"/>
      <c r="D649" s="56"/>
      <c r="E649" s="26"/>
      <c r="F649" s="26"/>
      <c r="G649" s="26"/>
      <c r="H649" s="26"/>
      <c r="I649" s="26"/>
      <c r="J649" s="26"/>
      <c r="K649" s="26"/>
      <c r="L649" s="55"/>
      <c r="M649" s="26"/>
    </row>
    <row r="650" spans="1:13" ht="75" customHeight="1" thickTop="1" thickBot="1">
      <c r="A650" s="26">
        <v>648</v>
      </c>
      <c r="B650" s="55"/>
      <c r="C650" s="56"/>
      <c r="D650" s="56"/>
      <c r="E650" s="26"/>
      <c r="F650" s="26"/>
      <c r="G650" s="26"/>
      <c r="H650" s="26"/>
      <c r="I650" s="26"/>
      <c r="J650" s="26"/>
      <c r="K650" s="26"/>
      <c r="L650" s="55"/>
      <c r="M650" s="26"/>
    </row>
    <row r="651" spans="1:13" ht="75" customHeight="1" thickTop="1" thickBot="1">
      <c r="A651" s="34">
        <v>649</v>
      </c>
      <c r="B651" s="55"/>
      <c r="C651" s="56"/>
      <c r="D651" s="56"/>
      <c r="E651" s="26"/>
      <c r="F651" s="26"/>
      <c r="G651" s="26"/>
      <c r="H651" s="26"/>
      <c r="I651" s="26"/>
      <c r="J651" s="26"/>
      <c r="K651" s="26"/>
      <c r="L651" s="55"/>
      <c r="M651" s="26"/>
    </row>
    <row r="652" spans="1:13" ht="75" customHeight="1" thickTop="1" thickBot="1">
      <c r="A652" s="26">
        <v>650</v>
      </c>
      <c r="B652" s="55"/>
      <c r="C652" s="56"/>
      <c r="D652" s="56"/>
      <c r="E652" s="26"/>
      <c r="F652" s="26"/>
      <c r="G652" s="26"/>
      <c r="H652" s="26"/>
      <c r="I652" s="26"/>
      <c r="J652" s="26"/>
      <c r="K652" s="26"/>
      <c r="L652" s="55"/>
      <c r="M652" s="26"/>
    </row>
    <row r="653" spans="1:13" ht="75" customHeight="1" thickTop="1" thickBot="1">
      <c r="A653" s="34">
        <v>651</v>
      </c>
      <c r="B653" s="55"/>
      <c r="C653" s="56"/>
      <c r="D653" s="56"/>
      <c r="E653" s="26"/>
      <c r="F653" s="26"/>
      <c r="G653" s="26"/>
      <c r="H653" s="26"/>
      <c r="I653" s="26"/>
      <c r="J653" s="26"/>
      <c r="K653" s="26"/>
      <c r="L653" s="55"/>
      <c r="M653" s="26"/>
    </row>
    <row r="654" spans="1:13" ht="75" customHeight="1" thickTop="1" thickBot="1">
      <c r="A654" s="26">
        <v>652</v>
      </c>
      <c r="B654" s="55"/>
      <c r="C654" s="56"/>
      <c r="D654" s="56"/>
      <c r="E654" s="26"/>
      <c r="F654" s="26"/>
      <c r="G654" s="26"/>
      <c r="H654" s="26"/>
      <c r="I654" s="26"/>
      <c r="J654" s="26"/>
      <c r="K654" s="26"/>
      <c r="L654" s="55"/>
      <c r="M654" s="26"/>
    </row>
    <row r="655" spans="1:13" ht="75" customHeight="1" thickTop="1" thickBot="1">
      <c r="A655" s="34">
        <v>653</v>
      </c>
      <c r="B655" s="55"/>
      <c r="C655" s="56"/>
      <c r="D655" s="56"/>
      <c r="E655" s="26"/>
      <c r="F655" s="26"/>
      <c r="G655" s="26"/>
      <c r="H655" s="26"/>
      <c r="I655" s="26"/>
      <c r="J655" s="26"/>
      <c r="K655" s="26"/>
      <c r="L655" s="55"/>
      <c r="M655" s="26"/>
    </row>
    <row r="656" spans="1:13" ht="75" customHeight="1" thickTop="1" thickBot="1">
      <c r="A656" s="26">
        <v>654</v>
      </c>
      <c r="B656" s="55"/>
      <c r="C656" s="56"/>
      <c r="D656" s="56"/>
      <c r="E656" s="26"/>
      <c r="F656" s="26"/>
      <c r="G656" s="26"/>
      <c r="H656" s="26"/>
      <c r="I656" s="26"/>
      <c r="J656" s="26"/>
      <c r="K656" s="26"/>
      <c r="L656" s="55"/>
      <c r="M656" s="26"/>
    </row>
    <row r="657" spans="1:13" ht="75" customHeight="1" thickTop="1" thickBot="1">
      <c r="A657" s="34">
        <v>655</v>
      </c>
      <c r="B657" s="55"/>
      <c r="C657" s="56"/>
      <c r="D657" s="56"/>
      <c r="E657" s="26"/>
      <c r="F657" s="26"/>
      <c r="G657" s="26"/>
      <c r="H657" s="26"/>
      <c r="I657" s="26"/>
      <c r="J657" s="26"/>
      <c r="K657" s="26"/>
      <c r="L657" s="55"/>
      <c r="M657" s="26"/>
    </row>
    <row r="658" spans="1:13" ht="75" customHeight="1" thickTop="1" thickBot="1">
      <c r="A658" s="26">
        <v>656</v>
      </c>
      <c r="B658" s="55"/>
      <c r="C658" s="56"/>
      <c r="D658" s="56"/>
      <c r="E658" s="26"/>
      <c r="F658" s="26"/>
      <c r="G658" s="26"/>
      <c r="H658" s="26"/>
      <c r="I658" s="26"/>
      <c r="J658" s="26"/>
      <c r="K658" s="26"/>
      <c r="L658" s="55"/>
      <c r="M658" s="26"/>
    </row>
    <row r="659" spans="1:13" ht="75" customHeight="1" thickTop="1" thickBot="1">
      <c r="A659" s="34">
        <v>657</v>
      </c>
      <c r="B659" s="55"/>
      <c r="C659" s="56"/>
      <c r="D659" s="56"/>
      <c r="E659" s="26"/>
      <c r="F659" s="26"/>
      <c r="G659" s="26"/>
      <c r="H659" s="26"/>
      <c r="I659" s="26"/>
      <c r="J659" s="26"/>
      <c r="K659" s="26"/>
      <c r="L659" s="55"/>
      <c r="M659" s="26"/>
    </row>
    <row r="660" spans="1:13" ht="75" customHeight="1" thickTop="1" thickBot="1">
      <c r="A660" s="26">
        <v>658</v>
      </c>
      <c r="B660" s="55"/>
      <c r="C660" s="56"/>
      <c r="D660" s="56"/>
      <c r="E660" s="26"/>
      <c r="F660" s="26"/>
      <c r="G660" s="26"/>
      <c r="H660" s="26"/>
      <c r="I660" s="26"/>
      <c r="J660" s="26"/>
      <c r="K660" s="26"/>
      <c r="L660" s="55"/>
      <c r="M660" s="26"/>
    </row>
    <row r="661" spans="1:13" ht="75" customHeight="1" thickTop="1" thickBot="1">
      <c r="A661" s="34">
        <v>659</v>
      </c>
      <c r="B661" s="55"/>
      <c r="C661" s="56"/>
      <c r="D661" s="56"/>
      <c r="E661" s="26"/>
      <c r="F661" s="26"/>
      <c r="G661" s="26"/>
      <c r="H661" s="26"/>
      <c r="I661" s="26"/>
      <c r="J661" s="26"/>
      <c r="K661" s="26"/>
      <c r="L661" s="55"/>
      <c r="M661" s="26"/>
    </row>
    <row r="662" spans="1:13" ht="75" customHeight="1" thickTop="1" thickBot="1">
      <c r="A662" s="26">
        <v>660</v>
      </c>
      <c r="B662" s="55"/>
      <c r="C662" s="56"/>
      <c r="D662" s="56"/>
      <c r="E662" s="26"/>
      <c r="F662" s="26"/>
      <c r="G662" s="26"/>
      <c r="H662" s="26"/>
      <c r="I662" s="26"/>
      <c r="J662" s="26"/>
      <c r="K662" s="26"/>
      <c r="L662" s="55"/>
      <c r="M662" s="26"/>
    </row>
    <row r="663" spans="1:13" ht="75" customHeight="1" thickTop="1" thickBot="1">
      <c r="A663" s="34">
        <v>661</v>
      </c>
      <c r="B663" s="55"/>
      <c r="C663" s="56"/>
      <c r="D663" s="56"/>
      <c r="E663" s="26"/>
      <c r="F663" s="26"/>
      <c r="G663" s="26"/>
      <c r="H663" s="26"/>
      <c r="I663" s="26"/>
      <c r="J663" s="26"/>
      <c r="K663" s="26"/>
      <c r="L663" s="55"/>
      <c r="M663" s="26"/>
    </row>
    <row r="664" spans="1:13" ht="75" customHeight="1" thickTop="1" thickBot="1">
      <c r="A664" s="26">
        <v>662</v>
      </c>
      <c r="B664" s="55"/>
      <c r="C664" s="56"/>
      <c r="D664" s="56"/>
      <c r="E664" s="26"/>
      <c r="F664" s="26"/>
      <c r="G664" s="26"/>
      <c r="H664" s="26"/>
      <c r="I664" s="26"/>
      <c r="J664" s="26"/>
      <c r="K664" s="26"/>
      <c r="L664" s="55"/>
      <c r="M664" s="26"/>
    </row>
    <row r="665" spans="1:13" ht="75" customHeight="1" thickTop="1" thickBot="1">
      <c r="A665" s="34">
        <v>663</v>
      </c>
      <c r="B665" s="55"/>
      <c r="C665" s="56"/>
      <c r="D665" s="56"/>
      <c r="E665" s="26"/>
      <c r="F665" s="26"/>
      <c r="G665" s="26"/>
      <c r="H665" s="26"/>
      <c r="I665" s="26"/>
      <c r="J665" s="26"/>
      <c r="K665" s="26"/>
      <c r="L665" s="55"/>
      <c r="M665" s="26"/>
    </row>
    <row r="666" spans="1:13" ht="75" customHeight="1" thickTop="1" thickBot="1">
      <c r="A666" s="26">
        <v>664</v>
      </c>
      <c r="B666" s="55"/>
      <c r="C666" s="56"/>
      <c r="D666" s="56"/>
      <c r="E666" s="26"/>
      <c r="F666" s="26"/>
      <c r="G666" s="26"/>
      <c r="H666" s="26"/>
      <c r="I666" s="26"/>
      <c r="J666" s="26"/>
      <c r="K666" s="26"/>
      <c r="L666" s="55"/>
      <c r="M666" s="26"/>
    </row>
    <row r="667" spans="1:13" ht="75" customHeight="1" thickTop="1" thickBot="1">
      <c r="A667" s="34">
        <v>665</v>
      </c>
      <c r="B667" s="55"/>
      <c r="C667" s="56"/>
      <c r="D667" s="56"/>
      <c r="E667" s="26"/>
      <c r="F667" s="26"/>
      <c r="G667" s="26"/>
      <c r="H667" s="26"/>
      <c r="I667" s="26"/>
      <c r="J667" s="26"/>
      <c r="K667" s="26"/>
      <c r="L667" s="55"/>
      <c r="M667" s="26"/>
    </row>
    <row r="668" spans="1:13" ht="75" customHeight="1" thickTop="1" thickBot="1">
      <c r="A668" s="26">
        <v>666</v>
      </c>
      <c r="B668" s="55"/>
      <c r="C668" s="56"/>
      <c r="D668" s="56"/>
      <c r="E668" s="26"/>
      <c r="F668" s="26"/>
      <c r="G668" s="26"/>
      <c r="H668" s="26"/>
      <c r="I668" s="26"/>
      <c r="J668" s="26"/>
      <c r="K668" s="26"/>
      <c r="L668" s="55"/>
      <c r="M668" s="26"/>
    </row>
    <row r="669" spans="1:13" ht="75" customHeight="1" thickTop="1" thickBot="1">
      <c r="A669" s="34">
        <v>667</v>
      </c>
      <c r="B669" s="55"/>
      <c r="C669" s="56"/>
      <c r="D669" s="56"/>
      <c r="E669" s="26"/>
      <c r="F669" s="26"/>
      <c r="G669" s="26"/>
      <c r="H669" s="26"/>
      <c r="I669" s="26"/>
      <c r="J669" s="26"/>
      <c r="K669" s="26"/>
      <c r="L669" s="55"/>
      <c r="M669" s="26"/>
    </row>
    <row r="670" spans="1:13" ht="75" customHeight="1" thickTop="1" thickBot="1">
      <c r="A670" s="26">
        <v>668</v>
      </c>
      <c r="B670" s="55"/>
      <c r="C670" s="56"/>
      <c r="D670" s="56"/>
      <c r="E670" s="26"/>
      <c r="F670" s="26"/>
      <c r="G670" s="26"/>
      <c r="H670" s="26"/>
      <c r="I670" s="26"/>
      <c r="J670" s="26"/>
      <c r="K670" s="26"/>
      <c r="L670" s="55"/>
      <c r="M670" s="26"/>
    </row>
    <row r="671" spans="1:13" ht="75" customHeight="1" thickTop="1" thickBot="1">
      <c r="A671" s="34">
        <v>669</v>
      </c>
      <c r="B671" s="55"/>
      <c r="C671" s="56"/>
      <c r="D671" s="56"/>
      <c r="E671" s="26"/>
      <c r="F671" s="26"/>
      <c r="G671" s="26"/>
      <c r="H671" s="26"/>
      <c r="I671" s="26"/>
      <c r="J671" s="26"/>
      <c r="K671" s="26"/>
      <c r="L671" s="55"/>
      <c r="M671" s="26"/>
    </row>
    <row r="672" spans="1:13" ht="75" customHeight="1" thickTop="1" thickBot="1">
      <c r="A672" s="26">
        <v>670</v>
      </c>
      <c r="B672" s="55"/>
      <c r="C672" s="56"/>
      <c r="D672" s="56"/>
      <c r="E672" s="26"/>
      <c r="F672" s="26"/>
      <c r="G672" s="26"/>
      <c r="H672" s="26"/>
      <c r="I672" s="26"/>
      <c r="J672" s="26"/>
      <c r="K672" s="26"/>
      <c r="L672" s="55"/>
      <c r="M672" s="26"/>
    </row>
    <row r="673" spans="1:13" ht="75" customHeight="1" thickTop="1" thickBot="1">
      <c r="A673" s="34">
        <v>671</v>
      </c>
      <c r="B673" s="55"/>
      <c r="C673" s="56"/>
      <c r="D673" s="56"/>
      <c r="E673" s="26"/>
      <c r="F673" s="26"/>
      <c r="G673" s="26"/>
      <c r="H673" s="26"/>
      <c r="I673" s="26"/>
      <c r="J673" s="26"/>
      <c r="K673" s="26"/>
      <c r="L673" s="55"/>
      <c r="M673" s="26"/>
    </row>
    <row r="674" spans="1:13" ht="75" customHeight="1" thickTop="1" thickBot="1">
      <c r="A674" s="26">
        <v>672</v>
      </c>
      <c r="B674" s="55"/>
      <c r="C674" s="56"/>
      <c r="D674" s="56"/>
      <c r="E674" s="26"/>
      <c r="F674" s="26"/>
      <c r="G674" s="26"/>
      <c r="H674" s="26"/>
      <c r="I674" s="26"/>
      <c r="J674" s="26"/>
      <c r="K674" s="26"/>
      <c r="L674" s="55"/>
      <c r="M674" s="26"/>
    </row>
    <row r="675" spans="1:13" ht="75" customHeight="1" thickTop="1" thickBot="1">
      <c r="A675" s="34">
        <v>673</v>
      </c>
      <c r="B675" s="55"/>
      <c r="C675" s="56"/>
      <c r="D675" s="56"/>
      <c r="E675" s="26"/>
      <c r="F675" s="26"/>
      <c r="G675" s="26"/>
      <c r="H675" s="26"/>
      <c r="I675" s="26"/>
      <c r="J675" s="26"/>
      <c r="K675" s="26"/>
      <c r="L675" s="55"/>
      <c r="M675" s="26"/>
    </row>
    <row r="676" spans="1:13" ht="75" customHeight="1" thickTop="1" thickBot="1">
      <c r="A676" s="26">
        <v>674</v>
      </c>
      <c r="B676" s="55"/>
      <c r="C676" s="56"/>
      <c r="D676" s="56"/>
      <c r="E676" s="26"/>
      <c r="F676" s="26"/>
      <c r="G676" s="26"/>
      <c r="H676" s="26"/>
      <c r="I676" s="26"/>
      <c r="J676" s="26"/>
      <c r="K676" s="26"/>
      <c r="L676" s="55"/>
      <c r="M676" s="26"/>
    </row>
    <row r="677" spans="1:13" ht="75" customHeight="1" thickTop="1" thickBot="1">
      <c r="A677" s="34">
        <v>675</v>
      </c>
      <c r="B677" s="55"/>
      <c r="C677" s="56"/>
      <c r="D677" s="56"/>
      <c r="E677" s="26"/>
      <c r="F677" s="26"/>
      <c r="G677" s="26"/>
      <c r="H677" s="26"/>
      <c r="I677" s="26"/>
      <c r="J677" s="26"/>
      <c r="K677" s="26"/>
      <c r="L677" s="55"/>
      <c r="M677" s="26"/>
    </row>
    <row r="678" spans="1:13" ht="75" customHeight="1" thickTop="1" thickBot="1">
      <c r="A678" s="26">
        <v>676</v>
      </c>
      <c r="B678" s="55"/>
      <c r="C678" s="56"/>
      <c r="D678" s="56"/>
      <c r="E678" s="26"/>
      <c r="F678" s="26"/>
      <c r="G678" s="26"/>
      <c r="H678" s="26"/>
      <c r="I678" s="26"/>
      <c r="J678" s="26"/>
      <c r="K678" s="26"/>
      <c r="L678" s="55"/>
      <c r="M678" s="26"/>
    </row>
    <row r="679" spans="1:13" ht="75" customHeight="1" thickTop="1" thickBot="1">
      <c r="A679" s="34">
        <v>677</v>
      </c>
      <c r="B679" s="55"/>
      <c r="C679" s="56"/>
      <c r="D679" s="56"/>
      <c r="E679" s="26"/>
      <c r="F679" s="26"/>
      <c r="G679" s="26"/>
      <c r="H679" s="26"/>
      <c r="I679" s="26"/>
      <c r="J679" s="26"/>
      <c r="K679" s="26"/>
      <c r="L679" s="55"/>
      <c r="M679" s="26"/>
    </row>
    <row r="680" spans="1:13" ht="75" customHeight="1" thickTop="1" thickBot="1">
      <c r="A680" s="26">
        <v>678</v>
      </c>
      <c r="B680" s="55"/>
      <c r="C680" s="56"/>
      <c r="D680" s="56"/>
      <c r="E680" s="26"/>
      <c r="F680" s="26"/>
      <c r="G680" s="26"/>
      <c r="H680" s="26"/>
      <c r="I680" s="26"/>
      <c r="J680" s="26"/>
      <c r="K680" s="26"/>
      <c r="L680" s="55"/>
      <c r="M680" s="26"/>
    </row>
    <row r="681" spans="1:13" ht="75" customHeight="1" thickTop="1" thickBot="1">
      <c r="A681" s="34">
        <v>679</v>
      </c>
      <c r="B681" s="55"/>
      <c r="C681" s="56"/>
      <c r="D681" s="56"/>
      <c r="E681" s="26"/>
      <c r="F681" s="26"/>
      <c r="G681" s="26"/>
      <c r="H681" s="26"/>
      <c r="I681" s="26"/>
      <c r="J681" s="26"/>
      <c r="K681" s="26"/>
      <c r="L681" s="55"/>
      <c r="M681" s="26"/>
    </row>
    <row r="682" spans="1:13" ht="75" customHeight="1" thickTop="1" thickBot="1">
      <c r="A682" s="26">
        <v>680</v>
      </c>
      <c r="B682" s="55"/>
      <c r="C682" s="56"/>
      <c r="D682" s="56"/>
      <c r="E682" s="26"/>
      <c r="F682" s="26"/>
      <c r="G682" s="26"/>
      <c r="H682" s="26"/>
      <c r="I682" s="26"/>
      <c r="J682" s="26"/>
      <c r="K682" s="26"/>
      <c r="L682" s="55"/>
      <c r="M682" s="26"/>
    </row>
    <row r="683" spans="1:13" ht="75" customHeight="1" thickTop="1" thickBot="1">
      <c r="A683" s="34">
        <v>681</v>
      </c>
      <c r="B683" s="55"/>
      <c r="C683" s="56"/>
      <c r="D683" s="56"/>
      <c r="E683" s="26"/>
      <c r="F683" s="26"/>
      <c r="G683" s="26"/>
      <c r="H683" s="26"/>
      <c r="I683" s="26"/>
      <c r="J683" s="26"/>
      <c r="K683" s="26"/>
      <c r="L683" s="55"/>
      <c r="M683" s="26"/>
    </row>
    <row r="684" spans="1:13" ht="75" customHeight="1" thickTop="1" thickBot="1">
      <c r="A684" s="26">
        <v>682</v>
      </c>
      <c r="B684" s="55"/>
      <c r="C684" s="56"/>
      <c r="D684" s="56"/>
      <c r="E684" s="26"/>
      <c r="F684" s="26"/>
      <c r="G684" s="26"/>
      <c r="H684" s="26"/>
      <c r="I684" s="26"/>
      <c r="J684" s="26"/>
      <c r="K684" s="26"/>
      <c r="L684" s="55"/>
      <c r="M684" s="26"/>
    </row>
    <row r="685" spans="1:13" ht="75" customHeight="1" thickTop="1" thickBot="1">
      <c r="A685" s="34">
        <v>683</v>
      </c>
      <c r="B685" s="55"/>
      <c r="C685" s="56"/>
      <c r="D685" s="56"/>
      <c r="E685" s="26"/>
      <c r="F685" s="26"/>
      <c r="G685" s="26"/>
      <c r="H685" s="26"/>
      <c r="I685" s="26"/>
      <c r="J685" s="26"/>
      <c r="K685" s="26"/>
      <c r="L685" s="55"/>
      <c r="M685" s="26"/>
    </row>
    <row r="686" spans="1:13" ht="75" customHeight="1" thickTop="1" thickBot="1">
      <c r="A686" s="26">
        <v>684</v>
      </c>
      <c r="B686" s="55"/>
      <c r="C686" s="56"/>
      <c r="D686" s="56"/>
      <c r="E686" s="26"/>
      <c r="F686" s="26"/>
      <c r="G686" s="26"/>
      <c r="H686" s="26"/>
      <c r="I686" s="26"/>
      <c r="J686" s="26"/>
      <c r="K686" s="26"/>
      <c r="L686" s="55"/>
      <c r="M686" s="26"/>
    </row>
    <row r="687" spans="1:13" ht="75" customHeight="1" thickTop="1" thickBot="1">
      <c r="A687" s="34">
        <v>685</v>
      </c>
      <c r="B687" s="55"/>
      <c r="C687" s="56"/>
      <c r="D687" s="56"/>
      <c r="E687" s="26"/>
      <c r="F687" s="26"/>
      <c r="G687" s="26"/>
      <c r="H687" s="26"/>
      <c r="I687" s="26"/>
      <c r="J687" s="26"/>
      <c r="K687" s="26"/>
      <c r="L687" s="55"/>
      <c r="M687" s="26"/>
    </row>
    <row r="688" spans="1:13" ht="75" customHeight="1" thickTop="1" thickBot="1">
      <c r="A688" s="26">
        <v>686</v>
      </c>
      <c r="B688" s="55"/>
      <c r="C688" s="56"/>
      <c r="D688" s="56"/>
      <c r="E688" s="26"/>
      <c r="F688" s="26"/>
      <c r="G688" s="26"/>
      <c r="H688" s="26"/>
      <c r="I688" s="26"/>
      <c r="J688" s="26"/>
      <c r="K688" s="26"/>
      <c r="L688" s="55"/>
      <c r="M688" s="26"/>
    </row>
    <row r="689" spans="1:13" ht="75" customHeight="1" thickTop="1" thickBot="1">
      <c r="A689" s="34">
        <v>687</v>
      </c>
      <c r="B689" s="55"/>
      <c r="C689" s="56"/>
      <c r="D689" s="56"/>
      <c r="E689" s="26"/>
      <c r="F689" s="26"/>
      <c r="G689" s="26"/>
      <c r="H689" s="26"/>
      <c r="I689" s="26"/>
      <c r="J689" s="26"/>
      <c r="K689" s="26"/>
      <c r="L689" s="55"/>
      <c r="M689" s="26"/>
    </row>
    <row r="690" spans="1:13" ht="75" customHeight="1" thickTop="1" thickBot="1">
      <c r="A690" s="26">
        <v>688</v>
      </c>
      <c r="B690" s="55"/>
      <c r="C690" s="56"/>
      <c r="D690" s="56"/>
      <c r="E690" s="26"/>
      <c r="F690" s="26"/>
      <c r="G690" s="26"/>
      <c r="H690" s="26"/>
      <c r="I690" s="26"/>
      <c r="J690" s="26"/>
      <c r="K690" s="26"/>
      <c r="L690" s="55"/>
      <c r="M690" s="26"/>
    </row>
    <row r="691" spans="1:13" ht="75" customHeight="1" thickTop="1" thickBot="1">
      <c r="A691" s="34">
        <v>689</v>
      </c>
      <c r="B691" s="55"/>
      <c r="C691" s="56"/>
      <c r="D691" s="56"/>
      <c r="E691" s="26"/>
      <c r="F691" s="26"/>
      <c r="G691" s="26"/>
      <c r="H691" s="26"/>
      <c r="I691" s="26"/>
      <c r="J691" s="26"/>
      <c r="K691" s="26"/>
      <c r="L691" s="55"/>
      <c r="M691" s="26"/>
    </row>
    <row r="692" spans="1:13" ht="75" customHeight="1" thickTop="1" thickBot="1">
      <c r="A692" s="26">
        <v>690</v>
      </c>
      <c r="B692" s="55"/>
      <c r="C692" s="56"/>
      <c r="D692" s="56"/>
      <c r="E692" s="26"/>
      <c r="F692" s="26"/>
      <c r="G692" s="26"/>
      <c r="H692" s="26"/>
      <c r="I692" s="26"/>
      <c r="J692" s="26"/>
      <c r="K692" s="26"/>
      <c r="L692" s="55"/>
      <c r="M692" s="26"/>
    </row>
    <row r="693" spans="1:13" ht="75" customHeight="1" thickTop="1" thickBot="1">
      <c r="A693" s="34">
        <v>691</v>
      </c>
      <c r="B693" s="55"/>
      <c r="C693" s="56"/>
      <c r="D693" s="56"/>
      <c r="E693" s="26"/>
      <c r="F693" s="26"/>
      <c r="G693" s="26"/>
      <c r="H693" s="26"/>
      <c r="I693" s="26"/>
      <c r="J693" s="26"/>
      <c r="K693" s="26"/>
      <c r="L693" s="55"/>
      <c r="M693" s="26"/>
    </row>
    <row r="694" spans="1:13" ht="75" customHeight="1" thickTop="1" thickBot="1">
      <c r="A694" s="26">
        <v>692</v>
      </c>
      <c r="B694" s="55"/>
      <c r="C694" s="56"/>
      <c r="D694" s="56"/>
      <c r="E694" s="26"/>
      <c r="F694" s="26"/>
      <c r="G694" s="26"/>
      <c r="H694" s="26"/>
      <c r="I694" s="26"/>
      <c r="J694" s="26"/>
      <c r="K694" s="26"/>
      <c r="L694" s="55"/>
      <c r="M694" s="26"/>
    </row>
    <row r="695" spans="1:13" ht="75" customHeight="1" thickTop="1" thickBot="1">
      <c r="A695" s="34">
        <v>693</v>
      </c>
      <c r="B695" s="55"/>
      <c r="C695" s="56"/>
      <c r="D695" s="56"/>
      <c r="E695" s="26"/>
      <c r="F695" s="26"/>
      <c r="G695" s="26"/>
      <c r="H695" s="26"/>
      <c r="I695" s="26"/>
      <c r="J695" s="26"/>
      <c r="K695" s="26"/>
      <c r="L695" s="55"/>
      <c r="M695" s="26"/>
    </row>
    <row r="696" spans="1:13" ht="75" customHeight="1" thickTop="1" thickBot="1">
      <c r="A696" s="26">
        <v>694</v>
      </c>
      <c r="B696" s="55"/>
      <c r="C696" s="56"/>
      <c r="D696" s="56"/>
      <c r="E696" s="26"/>
      <c r="F696" s="26"/>
      <c r="G696" s="26"/>
      <c r="H696" s="26"/>
      <c r="I696" s="26"/>
      <c r="J696" s="26"/>
      <c r="K696" s="26"/>
      <c r="L696" s="55"/>
      <c r="M696" s="26"/>
    </row>
    <row r="697" spans="1:13" ht="75" customHeight="1" thickTop="1" thickBot="1">
      <c r="A697" s="34">
        <v>695</v>
      </c>
      <c r="B697" s="55"/>
      <c r="C697" s="56"/>
      <c r="D697" s="56"/>
      <c r="E697" s="26"/>
      <c r="F697" s="26"/>
      <c r="G697" s="26"/>
      <c r="H697" s="26"/>
      <c r="I697" s="26"/>
      <c r="J697" s="26"/>
      <c r="K697" s="26"/>
      <c r="L697" s="55"/>
      <c r="M697" s="26"/>
    </row>
    <row r="698" spans="1:13" ht="75" customHeight="1" thickTop="1" thickBot="1">
      <c r="A698" s="26">
        <v>696</v>
      </c>
      <c r="B698" s="55"/>
      <c r="C698" s="56"/>
      <c r="D698" s="56"/>
      <c r="E698" s="26"/>
      <c r="F698" s="26"/>
      <c r="G698" s="26"/>
      <c r="H698" s="26"/>
      <c r="I698" s="26"/>
      <c r="J698" s="26"/>
      <c r="K698" s="26"/>
      <c r="L698" s="55"/>
      <c r="M698" s="26"/>
    </row>
    <row r="699" spans="1:13" ht="75" customHeight="1" thickTop="1" thickBot="1">
      <c r="A699" s="34">
        <v>697</v>
      </c>
      <c r="B699" s="55"/>
      <c r="C699" s="56"/>
      <c r="D699" s="56"/>
      <c r="E699" s="26"/>
      <c r="F699" s="26"/>
      <c r="G699" s="26"/>
      <c r="H699" s="26"/>
      <c r="I699" s="26"/>
      <c r="J699" s="26"/>
      <c r="K699" s="26"/>
      <c r="L699" s="55"/>
      <c r="M699" s="26"/>
    </row>
    <row r="700" spans="1:13" ht="75" customHeight="1" thickTop="1" thickBot="1">
      <c r="A700" s="26">
        <v>698</v>
      </c>
      <c r="B700" s="55"/>
      <c r="C700" s="56"/>
      <c r="D700" s="56"/>
      <c r="E700" s="26"/>
      <c r="F700" s="26"/>
      <c r="G700" s="26"/>
      <c r="H700" s="26"/>
      <c r="I700" s="26"/>
      <c r="J700" s="26"/>
      <c r="K700" s="26"/>
      <c r="L700" s="55"/>
      <c r="M700" s="26"/>
    </row>
    <row r="701" spans="1:13" ht="75" customHeight="1" thickTop="1" thickBot="1">
      <c r="A701" s="34">
        <v>699</v>
      </c>
      <c r="B701" s="55"/>
      <c r="C701" s="56"/>
      <c r="D701" s="56"/>
      <c r="E701" s="26"/>
      <c r="F701" s="26"/>
      <c r="G701" s="26"/>
      <c r="H701" s="26"/>
      <c r="I701" s="26"/>
      <c r="J701" s="26"/>
      <c r="K701" s="26"/>
      <c r="L701" s="55"/>
      <c r="M701" s="26"/>
    </row>
    <row r="702" spans="1:13" ht="75" customHeight="1" thickTop="1" thickBot="1">
      <c r="A702" s="26">
        <v>700</v>
      </c>
      <c r="B702" s="55"/>
      <c r="C702" s="56"/>
      <c r="D702" s="56"/>
      <c r="E702" s="26"/>
      <c r="F702" s="26"/>
      <c r="G702" s="26"/>
      <c r="H702" s="26"/>
      <c r="I702" s="26"/>
      <c r="J702" s="26"/>
      <c r="K702" s="26"/>
      <c r="L702" s="55"/>
      <c r="M702" s="26"/>
    </row>
    <row r="703" spans="1:13" ht="75" customHeight="1" thickTop="1" thickBot="1">
      <c r="A703" s="34">
        <v>701</v>
      </c>
      <c r="B703" s="55"/>
      <c r="C703" s="56"/>
      <c r="D703" s="56"/>
      <c r="E703" s="26"/>
      <c r="F703" s="26"/>
      <c r="G703" s="26"/>
      <c r="H703" s="26"/>
      <c r="I703" s="26"/>
      <c r="J703" s="26"/>
      <c r="K703" s="26"/>
      <c r="L703" s="55"/>
      <c r="M703" s="26"/>
    </row>
    <row r="704" spans="1:13" ht="75" customHeight="1" thickTop="1" thickBot="1">
      <c r="A704" s="26">
        <v>702</v>
      </c>
      <c r="B704" s="55"/>
      <c r="C704" s="56"/>
      <c r="D704" s="56"/>
      <c r="E704" s="26"/>
      <c r="F704" s="26"/>
      <c r="G704" s="26"/>
      <c r="H704" s="26"/>
      <c r="I704" s="26"/>
      <c r="J704" s="26"/>
      <c r="K704" s="26"/>
      <c r="L704" s="55"/>
      <c r="M704" s="26"/>
    </row>
    <row r="705" spans="1:13" ht="75" customHeight="1" thickTop="1" thickBot="1">
      <c r="A705" s="34">
        <v>703</v>
      </c>
      <c r="B705" s="55"/>
      <c r="C705" s="56"/>
      <c r="D705" s="56"/>
      <c r="E705" s="26"/>
      <c r="F705" s="26"/>
      <c r="G705" s="26"/>
      <c r="H705" s="26"/>
      <c r="I705" s="26"/>
      <c r="J705" s="26"/>
      <c r="K705" s="26"/>
      <c r="L705" s="55"/>
      <c r="M705" s="26"/>
    </row>
    <row r="706" spans="1:13" ht="75" customHeight="1" thickTop="1" thickBot="1">
      <c r="A706" s="26">
        <v>704</v>
      </c>
      <c r="B706" s="55"/>
      <c r="C706" s="56"/>
      <c r="D706" s="56"/>
      <c r="E706" s="26"/>
      <c r="F706" s="26"/>
      <c r="G706" s="26"/>
      <c r="H706" s="26"/>
      <c r="I706" s="26"/>
      <c r="J706" s="26"/>
      <c r="K706" s="26"/>
      <c r="L706" s="55"/>
      <c r="M706" s="26"/>
    </row>
    <row r="707" spans="1:13" ht="75" customHeight="1" thickTop="1" thickBot="1">
      <c r="A707" s="34">
        <v>705</v>
      </c>
      <c r="B707" s="55"/>
      <c r="C707" s="56"/>
      <c r="D707" s="56"/>
      <c r="E707" s="26"/>
      <c r="F707" s="26"/>
      <c r="G707" s="26"/>
      <c r="H707" s="26"/>
      <c r="I707" s="26"/>
      <c r="J707" s="26"/>
      <c r="K707" s="26"/>
      <c r="L707" s="55"/>
      <c r="M707" s="26"/>
    </row>
    <row r="708" spans="1:13" ht="75" customHeight="1" thickTop="1" thickBot="1">
      <c r="A708" s="26">
        <v>706</v>
      </c>
      <c r="B708" s="55"/>
      <c r="C708" s="56"/>
      <c r="D708" s="56"/>
      <c r="E708" s="26"/>
      <c r="F708" s="26"/>
      <c r="G708" s="26"/>
      <c r="H708" s="26"/>
      <c r="I708" s="26"/>
      <c r="J708" s="26"/>
      <c r="K708" s="26"/>
      <c r="L708" s="55"/>
      <c r="M708" s="26"/>
    </row>
    <row r="709" spans="1:13" ht="75" customHeight="1" thickTop="1" thickBot="1">
      <c r="A709" s="34">
        <v>707</v>
      </c>
      <c r="B709" s="55"/>
      <c r="C709" s="56"/>
      <c r="D709" s="56"/>
      <c r="E709" s="26"/>
      <c r="F709" s="26"/>
      <c r="G709" s="26"/>
      <c r="H709" s="26"/>
      <c r="I709" s="26"/>
      <c r="J709" s="26"/>
      <c r="K709" s="26"/>
      <c r="L709" s="55"/>
      <c r="M709" s="26"/>
    </row>
    <row r="710" spans="1:13" ht="75" customHeight="1" thickTop="1" thickBot="1">
      <c r="A710" s="26">
        <v>708</v>
      </c>
      <c r="B710" s="55"/>
      <c r="C710" s="56"/>
      <c r="D710" s="56"/>
      <c r="E710" s="26"/>
      <c r="F710" s="26"/>
      <c r="G710" s="26"/>
      <c r="H710" s="26"/>
      <c r="I710" s="26"/>
      <c r="J710" s="26"/>
      <c r="K710" s="26"/>
      <c r="L710" s="55"/>
      <c r="M710" s="26"/>
    </row>
    <row r="711" spans="1:13" ht="75" customHeight="1" thickTop="1" thickBot="1">
      <c r="A711" s="34">
        <v>709</v>
      </c>
      <c r="B711" s="55"/>
      <c r="C711" s="56"/>
      <c r="D711" s="56"/>
      <c r="E711" s="26"/>
      <c r="F711" s="26"/>
      <c r="G711" s="26"/>
      <c r="H711" s="26"/>
      <c r="I711" s="26"/>
      <c r="J711" s="26"/>
      <c r="K711" s="26"/>
      <c r="L711" s="55"/>
      <c r="M711" s="26"/>
    </row>
    <row r="712" spans="1:13" ht="75" customHeight="1" thickTop="1" thickBot="1">
      <c r="A712" s="26">
        <v>710</v>
      </c>
      <c r="B712" s="55"/>
      <c r="C712" s="56"/>
      <c r="D712" s="56"/>
      <c r="E712" s="26"/>
      <c r="F712" s="26"/>
      <c r="G712" s="26"/>
      <c r="H712" s="26"/>
      <c r="I712" s="26"/>
      <c r="J712" s="26"/>
      <c r="K712" s="26"/>
      <c r="L712" s="55"/>
      <c r="M712" s="26"/>
    </row>
    <row r="713" spans="1:13" ht="75" customHeight="1" thickTop="1" thickBot="1">
      <c r="A713" s="34">
        <v>711</v>
      </c>
      <c r="B713" s="55"/>
      <c r="C713" s="56"/>
      <c r="D713" s="56"/>
      <c r="E713" s="26"/>
      <c r="F713" s="26"/>
      <c r="G713" s="26"/>
      <c r="H713" s="26"/>
      <c r="I713" s="26"/>
      <c r="J713" s="26"/>
      <c r="K713" s="26"/>
      <c r="L713" s="55"/>
      <c r="M713" s="26"/>
    </row>
    <row r="714" spans="1:13" ht="75" customHeight="1" thickTop="1" thickBot="1">
      <c r="A714" s="26">
        <v>712</v>
      </c>
      <c r="B714" s="55"/>
      <c r="C714" s="56"/>
      <c r="D714" s="56"/>
      <c r="E714" s="26"/>
      <c r="F714" s="26"/>
      <c r="G714" s="26"/>
      <c r="H714" s="26"/>
      <c r="I714" s="26"/>
      <c r="J714" s="26"/>
      <c r="K714" s="26"/>
      <c r="L714" s="55"/>
      <c r="M714" s="26"/>
    </row>
    <row r="715" spans="1:13" ht="75" customHeight="1" thickTop="1" thickBot="1">
      <c r="A715" s="34">
        <v>713</v>
      </c>
      <c r="B715" s="55"/>
      <c r="C715" s="56"/>
      <c r="D715" s="56"/>
      <c r="E715" s="26"/>
      <c r="F715" s="26"/>
      <c r="G715" s="26"/>
      <c r="H715" s="26"/>
      <c r="I715" s="26"/>
      <c r="J715" s="26"/>
      <c r="K715" s="26"/>
      <c r="L715" s="55"/>
      <c r="M715" s="26"/>
    </row>
    <row r="716" spans="1:13" ht="75" customHeight="1" thickTop="1" thickBot="1">
      <c r="A716" s="26">
        <v>714</v>
      </c>
      <c r="B716" s="55"/>
      <c r="C716" s="56"/>
      <c r="D716" s="56"/>
      <c r="E716" s="26"/>
      <c r="F716" s="26"/>
      <c r="G716" s="26"/>
      <c r="H716" s="26"/>
      <c r="I716" s="26"/>
      <c r="J716" s="26"/>
      <c r="K716" s="26"/>
      <c r="L716" s="55"/>
      <c r="M716" s="26"/>
    </row>
    <row r="717" spans="1:13" ht="75" customHeight="1" thickTop="1" thickBot="1">
      <c r="A717" s="34">
        <v>715</v>
      </c>
      <c r="B717" s="55"/>
      <c r="C717" s="56"/>
      <c r="D717" s="56"/>
      <c r="E717" s="26"/>
      <c r="F717" s="26"/>
      <c r="G717" s="26"/>
      <c r="H717" s="26"/>
      <c r="I717" s="26"/>
      <c r="J717" s="26"/>
      <c r="K717" s="26"/>
      <c r="L717" s="55"/>
      <c r="M717" s="26"/>
    </row>
    <row r="718" spans="1:13" ht="75" customHeight="1" thickTop="1" thickBot="1">
      <c r="A718" s="26">
        <v>716</v>
      </c>
      <c r="B718" s="55"/>
      <c r="C718" s="56"/>
      <c r="D718" s="56"/>
      <c r="E718" s="26"/>
      <c r="F718" s="26"/>
      <c r="G718" s="26"/>
      <c r="H718" s="26"/>
      <c r="I718" s="26"/>
      <c r="J718" s="26"/>
      <c r="K718" s="26"/>
      <c r="L718" s="55"/>
      <c r="M718" s="26"/>
    </row>
    <row r="719" spans="1:13" ht="75" customHeight="1" thickTop="1" thickBot="1">
      <c r="A719" s="34">
        <v>717</v>
      </c>
      <c r="B719" s="55"/>
      <c r="C719" s="56"/>
      <c r="D719" s="56"/>
      <c r="E719" s="26"/>
      <c r="F719" s="26"/>
      <c r="G719" s="26"/>
      <c r="H719" s="26"/>
      <c r="I719" s="26"/>
      <c r="J719" s="26"/>
      <c r="K719" s="26"/>
      <c r="L719" s="55"/>
      <c r="M719" s="26"/>
    </row>
    <row r="720" spans="1:13" ht="75" customHeight="1" thickTop="1" thickBot="1">
      <c r="A720" s="26">
        <v>718</v>
      </c>
      <c r="B720" s="55"/>
      <c r="C720" s="56"/>
      <c r="D720" s="56"/>
      <c r="E720" s="26"/>
      <c r="F720" s="26"/>
      <c r="G720" s="26"/>
      <c r="H720" s="26"/>
      <c r="I720" s="26"/>
      <c r="J720" s="26"/>
      <c r="K720" s="26"/>
      <c r="L720" s="55"/>
      <c r="M720" s="26"/>
    </row>
    <row r="721" spans="1:13" ht="75" customHeight="1" thickTop="1" thickBot="1">
      <c r="A721" s="34">
        <v>719</v>
      </c>
      <c r="B721" s="55"/>
      <c r="C721" s="56"/>
      <c r="D721" s="56"/>
      <c r="E721" s="26"/>
      <c r="F721" s="26"/>
      <c r="G721" s="26"/>
      <c r="H721" s="26"/>
      <c r="I721" s="26"/>
      <c r="J721" s="26"/>
      <c r="K721" s="26"/>
      <c r="L721" s="55"/>
      <c r="M721" s="26"/>
    </row>
    <row r="722" spans="1:13" ht="75" customHeight="1" thickTop="1" thickBot="1">
      <c r="A722" s="26">
        <v>720</v>
      </c>
      <c r="B722" s="55"/>
      <c r="C722" s="56"/>
      <c r="D722" s="56"/>
      <c r="E722" s="26"/>
      <c r="F722" s="26"/>
      <c r="G722" s="26"/>
      <c r="H722" s="26"/>
      <c r="I722" s="26"/>
      <c r="J722" s="26"/>
      <c r="K722" s="26"/>
      <c r="L722" s="55"/>
      <c r="M722" s="26"/>
    </row>
    <row r="723" spans="1:13" ht="75" customHeight="1" thickTop="1" thickBot="1">
      <c r="A723" s="34">
        <v>721</v>
      </c>
      <c r="B723" s="55"/>
      <c r="C723" s="56"/>
      <c r="D723" s="56"/>
      <c r="E723" s="26"/>
      <c r="F723" s="26"/>
      <c r="G723" s="26"/>
      <c r="H723" s="26"/>
      <c r="I723" s="26"/>
      <c r="J723" s="26"/>
      <c r="K723" s="26"/>
      <c r="L723" s="55"/>
      <c r="M723" s="26"/>
    </row>
    <row r="724" spans="1:13" ht="75" customHeight="1" thickTop="1" thickBot="1">
      <c r="A724" s="26">
        <v>722</v>
      </c>
      <c r="B724" s="55"/>
      <c r="C724" s="56"/>
      <c r="D724" s="56"/>
      <c r="E724" s="26"/>
      <c r="F724" s="26"/>
      <c r="G724" s="26"/>
      <c r="H724" s="26"/>
      <c r="I724" s="26"/>
      <c r="J724" s="26"/>
      <c r="K724" s="26"/>
      <c r="L724" s="55"/>
      <c r="M724" s="26"/>
    </row>
    <row r="725" spans="1:13" ht="75" customHeight="1" thickTop="1" thickBot="1">
      <c r="A725" s="34">
        <v>723</v>
      </c>
      <c r="B725" s="55"/>
      <c r="C725" s="56"/>
      <c r="D725" s="56"/>
      <c r="E725" s="26"/>
      <c r="F725" s="26"/>
      <c r="G725" s="26"/>
      <c r="H725" s="26"/>
      <c r="I725" s="26"/>
      <c r="J725" s="26"/>
      <c r="K725" s="26"/>
      <c r="L725" s="55"/>
      <c r="M725" s="26"/>
    </row>
    <row r="726" spans="1:13" ht="75" customHeight="1" thickTop="1" thickBot="1">
      <c r="A726" s="26">
        <v>724</v>
      </c>
      <c r="B726" s="55"/>
      <c r="C726" s="56"/>
      <c r="D726" s="56"/>
      <c r="E726" s="26"/>
      <c r="F726" s="26"/>
      <c r="G726" s="26"/>
      <c r="H726" s="26"/>
      <c r="I726" s="26"/>
      <c r="J726" s="26"/>
      <c r="K726" s="26"/>
      <c r="L726" s="55"/>
      <c r="M726" s="26"/>
    </row>
    <row r="727" spans="1:13" ht="75" customHeight="1" thickTop="1" thickBot="1">
      <c r="A727" s="34">
        <v>725</v>
      </c>
      <c r="B727" s="55"/>
      <c r="C727" s="56"/>
      <c r="D727" s="56"/>
      <c r="E727" s="26"/>
      <c r="F727" s="26"/>
      <c r="G727" s="26"/>
      <c r="H727" s="26"/>
      <c r="I727" s="26"/>
      <c r="J727" s="26"/>
      <c r="K727" s="26"/>
      <c r="L727" s="55"/>
      <c r="M727" s="26"/>
    </row>
    <row r="728" spans="1:13" ht="75" customHeight="1" thickTop="1" thickBot="1">
      <c r="A728" s="26">
        <v>726</v>
      </c>
      <c r="B728" s="55"/>
      <c r="C728" s="56"/>
      <c r="D728" s="56"/>
      <c r="E728" s="26"/>
      <c r="F728" s="26"/>
      <c r="G728" s="26"/>
      <c r="H728" s="26"/>
      <c r="I728" s="26"/>
      <c r="J728" s="26"/>
      <c r="K728" s="26"/>
      <c r="L728" s="55"/>
      <c r="M728" s="26"/>
    </row>
    <row r="729" spans="1:13" ht="75" customHeight="1" thickTop="1" thickBot="1">
      <c r="A729" s="34">
        <v>727</v>
      </c>
      <c r="B729" s="55"/>
      <c r="C729" s="56"/>
      <c r="D729" s="56"/>
      <c r="E729" s="26"/>
      <c r="F729" s="26"/>
      <c r="G729" s="26"/>
      <c r="H729" s="26"/>
      <c r="I729" s="26"/>
      <c r="J729" s="26"/>
      <c r="K729" s="26"/>
      <c r="L729" s="55"/>
      <c r="M729" s="26"/>
    </row>
    <row r="730" spans="1:13" ht="75" customHeight="1" thickTop="1" thickBot="1">
      <c r="A730" s="26">
        <v>728</v>
      </c>
      <c r="B730" s="55"/>
      <c r="C730" s="56"/>
      <c r="D730" s="56"/>
      <c r="E730" s="26"/>
      <c r="F730" s="26"/>
      <c r="G730" s="26"/>
      <c r="H730" s="26"/>
      <c r="I730" s="26"/>
      <c r="J730" s="26"/>
      <c r="K730" s="26"/>
      <c r="L730" s="55"/>
      <c r="M730" s="26"/>
    </row>
    <row r="731" spans="1:13" ht="75" customHeight="1" thickTop="1" thickBot="1">
      <c r="A731" s="34">
        <v>729</v>
      </c>
      <c r="B731" s="55"/>
      <c r="C731" s="56"/>
      <c r="D731" s="56"/>
      <c r="E731" s="26"/>
      <c r="F731" s="26"/>
      <c r="G731" s="26"/>
      <c r="H731" s="26"/>
      <c r="I731" s="26"/>
      <c r="J731" s="26"/>
      <c r="K731" s="26"/>
      <c r="L731" s="55"/>
      <c r="M731" s="26"/>
    </row>
    <row r="732" spans="1:13" ht="75" customHeight="1" thickTop="1" thickBot="1">
      <c r="A732" s="26">
        <v>730</v>
      </c>
      <c r="B732" s="55"/>
      <c r="C732" s="56"/>
      <c r="D732" s="56"/>
      <c r="E732" s="26"/>
      <c r="F732" s="26"/>
      <c r="G732" s="26"/>
      <c r="H732" s="26"/>
      <c r="I732" s="26"/>
      <c r="J732" s="26"/>
      <c r="K732" s="26"/>
      <c r="L732" s="55"/>
      <c r="M732" s="26"/>
    </row>
    <row r="733" spans="1:13" ht="75" customHeight="1" thickTop="1" thickBot="1">
      <c r="A733" s="34">
        <v>731</v>
      </c>
      <c r="B733" s="55"/>
      <c r="C733" s="56"/>
      <c r="D733" s="56"/>
      <c r="E733" s="26"/>
      <c r="F733" s="26"/>
      <c r="G733" s="26"/>
      <c r="H733" s="26"/>
      <c r="I733" s="26"/>
      <c r="J733" s="26"/>
      <c r="K733" s="26"/>
      <c r="L733" s="55"/>
      <c r="M733" s="26"/>
    </row>
    <row r="734" spans="1:13" ht="75" customHeight="1" thickTop="1" thickBot="1">
      <c r="A734" s="26">
        <v>732</v>
      </c>
      <c r="B734" s="55"/>
      <c r="C734" s="56"/>
      <c r="D734" s="56"/>
      <c r="E734" s="26"/>
      <c r="F734" s="26"/>
      <c r="G734" s="26"/>
      <c r="H734" s="26"/>
      <c r="I734" s="26"/>
      <c r="J734" s="26"/>
      <c r="K734" s="26"/>
      <c r="L734" s="55"/>
      <c r="M734" s="26"/>
    </row>
    <row r="735" spans="1:13" ht="75" customHeight="1" thickTop="1" thickBot="1">
      <c r="A735" s="34">
        <v>733</v>
      </c>
      <c r="B735" s="55"/>
      <c r="C735" s="56"/>
      <c r="D735" s="56"/>
      <c r="E735" s="26"/>
      <c r="F735" s="26"/>
      <c r="G735" s="26"/>
      <c r="H735" s="26"/>
      <c r="I735" s="26"/>
      <c r="J735" s="26"/>
      <c r="K735" s="26"/>
      <c r="L735" s="55"/>
      <c r="M735" s="26"/>
    </row>
    <row r="736" spans="1:13" ht="75" customHeight="1" thickTop="1" thickBot="1">
      <c r="A736" s="26">
        <v>734</v>
      </c>
      <c r="B736" s="55"/>
      <c r="C736" s="56"/>
      <c r="D736" s="56"/>
      <c r="E736" s="26"/>
      <c r="F736" s="26"/>
      <c r="G736" s="26"/>
      <c r="H736" s="26"/>
      <c r="I736" s="26"/>
      <c r="J736" s="26"/>
      <c r="K736" s="26"/>
      <c r="L736" s="55"/>
      <c r="M736" s="26"/>
    </row>
    <row r="737" spans="1:13" ht="75" customHeight="1" thickTop="1" thickBot="1">
      <c r="A737" s="34">
        <v>735</v>
      </c>
      <c r="B737" s="55"/>
      <c r="C737" s="56"/>
      <c r="D737" s="56"/>
      <c r="E737" s="26"/>
      <c r="F737" s="26"/>
      <c r="G737" s="26"/>
      <c r="H737" s="26"/>
      <c r="I737" s="26"/>
      <c r="J737" s="26"/>
      <c r="K737" s="26"/>
      <c r="L737" s="55"/>
      <c r="M737" s="26"/>
    </row>
    <row r="738" spans="1:13" ht="75" customHeight="1" thickTop="1" thickBot="1">
      <c r="A738" s="26">
        <v>736</v>
      </c>
      <c r="B738" s="55"/>
      <c r="C738" s="56"/>
      <c r="D738" s="56"/>
      <c r="E738" s="26"/>
      <c r="F738" s="26"/>
      <c r="G738" s="26"/>
      <c r="H738" s="26"/>
      <c r="I738" s="26"/>
      <c r="J738" s="26"/>
      <c r="K738" s="26"/>
      <c r="L738" s="55"/>
      <c r="M738" s="26"/>
    </row>
    <row r="739" spans="1:13" ht="75" customHeight="1" thickTop="1" thickBot="1">
      <c r="A739" s="34">
        <v>737</v>
      </c>
      <c r="B739" s="55"/>
      <c r="C739" s="56"/>
      <c r="D739" s="56"/>
      <c r="E739" s="26"/>
      <c r="F739" s="26"/>
      <c r="G739" s="26"/>
      <c r="H739" s="26"/>
      <c r="I739" s="26"/>
      <c r="J739" s="26"/>
      <c r="K739" s="26"/>
      <c r="L739" s="55"/>
      <c r="M739" s="26"/>
    </row>
    <row r="740" spans="1:13" ht="75" customHeight="1" thickTop="1" thickBot="1">
      <c r="A740" s="26">
        <v>738</v>
      </c>
      <c r="B740" s="55"/>
      <c r="C740" s="56"/>
      <c r="D740" s="56"/>
      <c r="E740" s="26"/>
      <c r="F740" s="26"/>
      <c r="G740" s="26"/>
      <c r="H740" s="26"/>
      <c r="I740" s="26"/>
      <c r="J740" s="26"/>
      <c r="K740" s="26"/>
      <c r="L740" s="55"/>
      <c r="M740" s="26"/>
    </row>
    <row r="741" spans="1:13" ht="75" customHeight="1" thickTop="1" thickBot="1">
      <c r="A741" s="34">
        <v>739</v>
      </c>
      <c r="B741" s="55"/>
      <c r="C741" s="56"/>
      <c r="D741" s="56"/>
      <c r="E741" s="26"/>
      <c r="F741" s="26"/>
      <c r="G741" s="26"/>
      <c r="H741" s="26"/>
      <c r="I741" s="26"/>
      <c r="J741" s="26"/>
      <c r="K741" s="26"/>
      <c r="L741" s="55"/>
      <c r="M741" s="26"/>
    </row>
    <row r="742" spans="1:13" ht="75" customHeight="1" thickTop="1" thickBot="1">
      <c r="A742" s="26">
        <v>740</v>
      </c>
      <c r="B742" s="55"/>
      <c r="C742" s="56"/>
      <c r="D742" s="56"/>
      <c r="E742" s="26"/>
      <c r="F742" s="26"/>
      <c r="G742" s="26"/>
      <c r="H742" s="26"/>
      <c r="I742" s="26"/>
      <c r="J742" s="26"/>
      <c r="K742" s="26"/>
      <c r="L742" s="55"/>
      <c r="M742" s="26"/>
    </row>
    <row r="743" spans="1:13" ht="75" customHeight="1" thickTop="1" thickBot="1">
      <c r="A743" s="34">
        <v>741</v>
      </c>
      <c r="B743" s="55"/>
      <c r="C743" s="56"/>
      <c r="D743" s="56"/>
      <c r="E743" s="26"/>
      <c r="F743" s="26"/>
      <c r="G743" s="26"/>
      <c r="H743" s="26"/>
      <c r="I743" s="26"/>
      <c r="J743" s="26"/>
      <c r="K743" s="26"/>
      <c r="L743" s="55"/>
      <c r="M743" s="26"/>
    </row>
    <row r="744" spans="1:13" ht="75" customHeight="1" thickTop="1" thickBot="1">
      <c r="A744" s="26">
        <v>742</v>
      </c>
      <c r="B744" s="55"/>
      <c r="C744" s="56"/>
      <c r="D744" s="56"/>
      <c r="E744" s="26"/>
      <c r="F744" s="26"/>
      <c r="G744" s="26"/>
      <c r="H744" s="26"/>
      <c r="I744" s="26"/>
      <c r="J744" s="26"/>
      <c r="K744" s="26"/>
      <c r="L744" s="55"/>
      <c r="M744" s="26"/>
    </row>
    <row r="745" spans="1:13" ht="75" customHeight="1" thickTop="1" thickBot="1">
      <c r="A745" s="34">
        <v>743</v>
      </c>
      <c r="B745" s="55"/>
      <c r="C745" s="56"/>
      <c r="D745" s="56"/>
      <c r="E745" s="26"/>
      <c r="F745" s="26"/>
      <c r="G745" s="26"/>
      <c r="H745" s="26"/>
      <c r="I745" s="26"/>
      <c r="J745" s="26"/>
      <c r="K745" s="26"/>
      <c r="L745" s="55"/>
      <c r="M745" s="26"/>
    </row>
    <row r="746" spans="1:13" ht="75" customHeight="1" thickTop="1" thickBot="1">
      <c r="A746" s="26">
        <v>744</v>
      </c>
      <c r="B746" s="55"/>
      <c r="C746" s="56"/>
      <c r="D746" s="56"/>
      <c r="E746" s="26"/>
      <c r="F746" s="26"/>
      <c r="G746" s="26"/>
      <c r="H746" s="26"/>
      <c r="I746" s="26"/>
      <c r="J746" s="26"/>
      <c r="K746" s="26"/>
      <c r="L746" s="55"/>
      <c r="M746" s="26"/>
    </row>
    <row r="747" spans="1:13" ht="75" customHeight="1" thickTop="1" thickBot="1">
      <c r="A747" s="34">
        <v>745</v>
      </c>
      <c r="B747" s="55"/>
      <c r="C747" s="56"/>
      <c r="D747" s="56"/>
      <c r="E747" s="26"/>
      <c r="F747" s="26"/>
      <c r="G747" s="26"/>
      <c r="H747" s="26"/>
      <c r="I747" s="26"/>
      <c r="J747" s="26"/>
      <c r="K747" s="26"/>
      <c r="L747" s="55"/>
      <c r="M747" s="26"/>
    </row>
    <row r="748" spans="1:13" ht="75" customHeight="1" thickTop="1" thickBot="1">
      <c r="A748" s="26">
        <v>746</v>
      </c>
      <c r="B748" s="55"/>
      <c r="C748" s="56"/>
      <c r="D748" s="56"/>
      <c r="E748" s="26"/>
      <c r="F748" s="26"/>
      <c r="G748" s="26"/>
      <c r="H748" s="26"/>
      <c r="I748" s="26"/>
      <c r="J748" s="26"/>
      <c r="K748" s="26"/>
      <c r="L748" s="55"/>
      <c r="M748" s="26"/>
    </row>
    <row r="749" spans="1:13" ht="75" customHeight="1" thickTop="1" thickBot="1">
      <c r="A749" s="34">
        <v>747</v>
      </c>
      <c r="B749" s="55"/>
      <c r="C749" s="56"/>
      <c r="D749" s="56"/>
      <c r="E749" s="26"/>
      <c r="F749" s="26"/>
      <c r="G749" s="26"/>
      <c r="H749" s="26"/>
      <c r="I749" s="26"/>
      <c r="J749" s="26"/>
      <c r="K749" s="26"/>
      <c r="L749" s="55"/>
      <c r="M749" s="26"/>
    </row>
    <row r="750" spans="1:13" ht="75" customHeight="1" thickTop="1" thickBot="1">
      <c r="A750" s="26">
        <v>748</v>
      </c>
      <c r="B750" s="55"/>
      <c r="C750" s="56"/>
      <c r="D750" s="56"/>
      <c r="E750" s="26"/>
      <c r="F750" s="26"/>
      <c r="G750" s="26"/>
      <c r="H750" s="26"/>
      <c r="I750" s="26"/>
      <c r="J750" s="26"/>
      <c r="K750" s="26"/>
      <c r="L750" s="55"/>
      <c r="M750" s="26"/>
    </row>
    <row r="751" spans="1:13" ht="75" customHeight="1" thickTop="1" thickBot="1">
      <c r="A751" s="34">
        <v>749</v>
      </c>
      <c r="B751" s="55"/>
      <c r="C751" s="56"/>
      <c r="D751" s="56"/>
      <c r="E751" s="26"/>
      <c r="F751" s="26"/>
      <c r="G751" s="26"/>
      <c r="H751" s="26"/>
      <c r="I751" s="26"/>
      <c r="J751" s="26"/>
      <c r="K751" s="26"/>
      <c r="L751" s="55"/>
      <c r="M751" s="26"/>
    </row>
    <row r="752" spans="1:13" ht="75" customHeight="1" thickTop="1" thickBot="1">
      <c r="A752" s="26">
        <v>750</v>
      </c>
      <c r="B752" s="55"/>
      <c r="C752" s="56"/>
      <c r="D752" s="56"/>
      <c r="E752" s="26"/>
      <c r="F752" s="26"/>
      <c r="G752" s="26"/>
      <c r="H752" s="26"/>
      <c r="I752" s="26"/>
      <c r="J752" s="26"/>
      <c r="K752" s="26"/>
      <c r="L752" s="55"/>
      <c r="M752" s="26"/>
    </row>
    <row r="753" spans="1:13" ht="75" customHeight="1" thickTop="1" thickBot="1">
      <c r="A753" s="34">
        <v>751</v>
      </c>
      <c r="B753" s="55"/>
      <c r="C753" s="56"/>
      <c r="D753" s="56"/>
      <c r="E753" s="26"/>
      <c r="F753" s="26"/>
      <c r="G753" s="26"/>
      <c r="H753" s="26"/>
      <c r="I753" s="26"/>
      <c r="J753" s="26"/>
      <c r="K753" s="26"/>
      <c r="L753" s="55"/>
      <c r="M753" s="26"/>
    </row>
    <row r="754" spans="1:13" ht="75" customHeight="1" thickTop="1" thickBot="1">
      <c r="A754" s="26">
        <v>752</v>
      </c>
      <c r="B754" s="55"/>
      <c r="C754" s="56"/>
      <c r="D754" s="56"/>
      <c r="E754" s="26"/>
      <c r="F754" s="26"/>
      <c r="G754" s="26"/>
      <c r="H754" s="26"/>
      <c r="I754" s="26"/>
      <c r="J754" s="26"/>
      <c r="K754" s="26"/>
      <c r="L754" s="55"/>
      <c r="M754" s="26"/>
    </row>
    <row r="755" spans="1:13" ht="75" customHeight="1" thickTop="1" thickBot="1">
      <c r="A755" s="34">
        <v>753</v>
      </c>
      <c r="B755" s="55"/>
      <c r="C755" s="56"/>
      <c r="D755" s="56"/>
      <c r="E755" s="26"/>
      <c r="F755" s="26"/>
      <c r="G755" s="26"/>
      <c r="H755" s="26"/>
      <c r="I755" s="26"/>
      <c r="J755" s="26"/>
      <c r="K755" s="26"/>
      <c r="L755" s="55"/>
      <c r="M755" s="26"/>
    </row>
    <row r="756" spans="1:13" ht="75" customHeight="1" thickTop="1" thickBot="1">
      <c r="A756" s="26">
        <v>754</v>
      </c>
      <c r="B756" s="55"/>
      <c r="C756" s="56"/>
      <c r="D756" s="56"/>
      <c r="E756" s="26"/>
      <c r="F756" s="26"/>
      <c r="G756" s="26"/>
      <c r="H756" s="26"/>
      <c r="I756" s="26"/>
      <c r="J756" s="26"/>
      <c r="K756" s="26"/>
      <c r="L756" s="55"/>
      <c r="M756" s="26"/>
    </row>
    <row r="757" spans="1:13" ht="75" customHeight="1" thickTop="1" thickBot="1">
      <c r="A757" s="34">
        <v>755</v>
      </c>
      <c r="B757" s="55"/>
      <c r="C757" s="56"/>
      <c r="D757" s="56"/>
      <c r="E757" s="26"/>
      <c r="F757" s="26"/>
      <c r="G757" s="26"/>
      <c r="H757" s="26"/>
      <c r="I757" s="26"/>
      <c r="J757" s="26"/>
      <c r="K757" s="26"/>
      <c r="L757" s="55"/>
      <c r="M757" s="26"/>
    </row>
    <row r="758" spans="1:13" ht="75" customHeight="1" thickTop="1" thickBot="1">
      <c r="A758" s="26">
        <v>756</v>
      </c>
      <c r="B758" s="55"/>
      <c r="C758" s="56"/>
      <c r="D758" s="56"/>
      <c r="E758" s="26"/>
      <c r="F758" s="26"/>
      <c r="G758" s="26"/>
      <c r="H758" s="26"/>
      <c r="I758" s="26"/>
      <c r="J758" s="26"/>
      <c r="K758" s="26"/>
      <c r="L758" s="55"/>
      <c r="M758" s="26"/>
    </row>
    <row r="759" spans="1:13" ht="75" customHeight="1" thickTop="1" thickBot="1">
      <c r="A759" s="34">
        <v>757</v>
      </c>
      <c r="B759" s="55"/>
      <c r="C759" s="56"/>
      <c r="D759" s="56"/>
      <c r="E759" s="26"/>
      <c r="F759" s="26"/>
      <c r="G759" s="26"/>
      <c r="H759" s="26"/>
      <c r="I759" s="26"/>
      <c r="J759" s="26"/>
      <c r="K759" s="26"/>
      <c r="L759" s="55"/>
      <c r="M759" s="26"/>
    </row>
    <row r="760" spans="1:13" ht="75" customHeight="1" thickTop="1" thickBot="1">
      <c r="A760" s="26">
        <v>758</v>
      </c>
      <c r="B760" s="55"/>
      <c r="C760" s="56"/>
      <c r="D760" s="56"/>
      <c r="E760" s="26"/>
      <c r="F760" s="26"/>
      <c r="G760" s="26"/>
      <c r="H760" s="26"/>
      <c r="I760" s="26"/>
      <c r="J760" s="26"/>
      <c r="K760" s="26"/>
      <c r="L760" s="55"/>
      <c r="M760" s="26"/>
    </row>
    <row r="761" spans="1:13" ht="75" customHeight="1" thickTop="1" thickBot="1">
      <c r="A761" s="34">
        <v>759</v>
      </c>
      <c r="B761" s="55"/>
      <c r="C761" s="56"/>
      <c r="D761" s="56"/>
      <c r="E761" s="26"/>
      <c r="F761" s="26"/>
      <c r="G761" s="26"/>
      <c r="H761" s="26"/>
      <c r="I761" s="26"/>
      <c r="J761" s="26"/>
      <c r="K761" s="26"/>
      <c r="L761" s="55"/>
      <c r="M761" s="26"/>
    </row>
    <row r="762" spans="1:13" ht="75" customHeight="1" thickTop="1" thickBot="1">
      <c r="A762" s="26">
        <v>760</v>
      </c>
      <c r="B762" s="55"/>
      <c r="C762" s="56"/>
      <c r="D762" s="56"/>
      <c r="E762" s="26"/>
      <c r="F762" s="26"/>
      <c r="G762" s="26"/>
      <c r="H762" s="26"/>
      <c r="I762" s="26"/>
      <c r="J762" s="26"/>
      <c r="K762" s="26"/>
      <c r="L762" s="55"/>
      <c r="M762" s="26"/>
    </row>
    <row r="763" spans="1:13" ht="75" customHeight="1" thickTop="1" thickBot="1">
      <c r="A763" s="34">
        <v>761</v>
      </c>
      <c r="B763" s="55"/>
      <c r="C763" s="56"/>
      <c r="D763" s="56"/>
      <c r="E763" s="26"/>
      <c r="F763" s="26"/>
      <c r="G763" s="26"/>
      <c r="H763" s="26"/>
      <c r="I763" s="26"/>
      <c r="J763" s="26"/>
      <c r="K763" s="26"/>
      <c r="L763" s="55"/>
      <c r="M763" s="26"/>
    </row>
    <row r="764" spans="1:13" ht="75" customHeight="1" thickTop="1" thickBot="1">
      <c r="A764" s="26">
        <v>762</v>
      </c>
      <c r="B764" s="55"/>
      <c r="C764" s="56"/>
      <c r="D764" s="56"/>
      <c r="E764" s="26"/>
      <c r="F764" s="26"/>
      <c r="G764" s="26"/>
      <c r="H764" s="26"/>
      <c r="I764" s="26"/>
      <c r="J764" s="26"/>
      <c r="K764" s="26"/>
      <c r="L764" s="55"/>
      <c r="M764" s="26"/>
    </row>
    <row r="765" spans="1:13" ht="75" customHeight="1" thickTop="1" thickBot="1">
      <c r="A765" s="34">
        <v>763</v>
      </c>
      <c r="B765" s="55"/>
      <c r="C765" s="56"/>
      <c r="D765" s="56"/>
      <c r="E765" s="26"/>
      <c r="F765" s="26"/>
      <c r="G765" s="26"/>
      <c r="H765" s="26"/>
      <c r="I765" s="26"/>
      <c r="J765" s="26"/>
      <c r="K765" s="26"/>
      <c r="L765" s="55"/>
      <c r="M765" s="26"/>
    </row>
    <row r="766" spans="1:13" ht="75" customHeight="1" thickTop="1" thickBot="1">
      <c r="A766" s="26">
        <v>764</v>
      </c>
      <c r="B766" s="55"/>
      <c r="C766" s="56"/>
      <c r="D766" s="56"/>
      <c r="E766" s="26"/>
      <c r="F766" s="26"/>
      <c r="G766" s="26"/>
      <c r="H766" s="26"/>
      <c r="I766" s="26"/>
      <c r="J766" s="26"/>
      <c r="K766" s="26"/>
      <c r="L766" s="55"/>
      <c r="M766" s="26"/>
    </row>
    <row r="767" spans="1:13" ht="75" customHeight="1" thickTop="1" thickBot="1">
      <c r="A767" s="34">
        <v>765</v>
      </c>
      <c r="B767" s="55"/>
      <c r="C767" s="56"/>
      <c r="D767" s="56"/>
      <c r="E767" s="26"/>
      <c r="F767" s="26"/>
      <c r="G767" s="26"/>
      <c r="H767" s="26"/>
      <c r="I767" s="26"/>
      <c r="J767" s="26"/>
      <c r="K767" s="26"/>
      <c r="L767" s="55"/>
      <c r="M767" s="26"/>
    </row>
    <row r="768" spans="1:13" ht="75" customHeight="1" thickTop="1" thickBot="1">
      <c r="A768" s="26">
        <v>766</v>
      </c>
      <c r="B768" s="55"/>
      <c r="C768" s="56"/>
      <c r="D768" s="56"/>
      <c r="E768" s="26"/>
      <c r="F768" s="26"/>
      <c r="G768" s="26"/>
      <c r="H768" s="26"/>
      <c r="I768" s="26"/>
      <c r="J768" s="26"/>
      <c r="K768" s="26"/>
      <c r="L768" s="55"/>
      <c r="M768" s="26"/>
    </row>
    <row r="769" spans="1:13" ht="75" customHeight="1" thickTop="1" thickBot="1">
      <c r="A769" s="34">
        <v>767</v>
      </c>
      <c r="B769" s="55"/>
      <c r="C769" s="56"/>
      <c r="D769" s="56"/>
      <c r="E769" s="26"/>
      <c r="F769" s="26"/>
      <c r="G769" s="26"/>
      <c r="H769" s="26"/>
      <c r="I769" s="26"/>
      <c r="J769" s="26"/>
      <c r="K769" s="26"/>
      <c r="L769" s="55"/>
      <c r="M769" s="26"/>
    </row>
    <row r="770" spans="1:13" ht="75" customHeight="1" thickTop="1" thickBot="1">
      <c r="A770" s="26">
        <v>768</v>
      </c>
      <c r="B770" s="55"/>
      <c r="C770" s="56"/>
      <c r="D770" s="56"/>
      <c r="E770" s="26"/>
      <c r="F770" s="26"/>
      <c r="G770" s="26"/>
      <c r="H770" s="26"/>
      <c r="I770" s="26"/>
      <c r="J770" s="26"/>
      <c r="K770" s="26"/>
      <c r="L770" s="55"/>
      <c r="M770" s="26"/>
    </row>
    <row r="771" spans="1:13" ht="75" customHeight="1" thickTop="1" thickBot="1">
      <c r="A771" s="34">
        <v>769</v>
      </c>
      <c r="B771" s="55"/>
      <c r="C771" s="56"/>
      <c r="D771" s="56"/>
      <c r="E771" s="26"/>
      <c r="F771" s="26"/>
      <c r="G771" s="26"/>
      <c r="H771" s="26"/>
      <c r="I771" s="26"/>
      <c r="J771" s="26"/>
      <c r="K771" s="26"/>
      <c r="L771" s="55"/>
      <c r="M771" s="26"/>
    </row>
    <row r="772" spans="1:13" ht="75" customHeight="1" thickTop="1" thickBot="1">
      <c r="A772" s="26">
        <v>770</v>
      </c>
      <c r="B772" s="55"/>
      <c r="C772" s="56"/>
      <c r="D772" s="56"/>
      <c r="E772" s="26"/>
      <c r="F772" s="26"/>
      <c r="G772" s="26"/>
      <c r="H772" s="26"/>
      <c r="I772" s="26"/>
      <c r="J772" s="26"/>
      <c r="K772" s="26"/>
      <c r="L772" s="55"/>
      <c r="M772" s="26"/>
    </row>
    <row r="773" spans="1:13" ht="75" customHeight="1" thickTop="1" thickBot="1">
      <c r="A773" s="34">
        <v>771</v>
      </c>
      <c r="B773" s="55"/>
      <c r="C773" s="56"/>
      <c r="D773" s="56"/>
      <c r="E773" s="26"/>
      <c r="F773" s="26"/>
      <c r="G773" s="26"/>
      <c r="H773" s="26"/>
      <c r="I773" s="26"/>
      <c r="J773" s="26"/>
      <c r="K773" s="26"/>
      <c r="L773" s="55"/>
      <c r="M773" s="26"/>
    </row>
    <row r="774" spans="1:13" ht="75" customHeight="1" thickTop="1" thickBot="1">
      <c r="A774" s="26">
        <v>772</v>
      </c>
      <c r="B774" s="55"/>
      <c r="C774" s="56"/>
      <c r="D774" s="56"/>
      <c r="E774" s="26"/>
      <c r="F774" s="26"/>
      <c r="G774" s="26"/>
      <c r="H774" s="26"/>
      <c r="I774" s="26"/>
      <c r="J774" s="26"/>
      <c r="K774" s="26"/>
      <c r="L774" s="55"/>
      <c r="M774" s="26"/>
    </row>
    <row r="775" spans="1:13" ht="75" customHeight="1" thickTop="1" thickBot="1">
      <c r="A775" s="34">
        <v>773</v>
      </c>
      <c r="B775" s="55"/>
      <c r="C775" s="56"/>
      <c r="D775" s="56"/>
      <c r="E775" s="26"/>
      <c r="F775" s="26"/>
      <c r="G775" s="26"/>
      <c r="H775" s="26"/>
      <c r="I775" s="26"/>
      <c r="J775" s="26"/>
      <c r="K775" s="26"/>
      <c r="L775" s="55"/>
      <c r="M775" s="26"/>
    </row>
    <row r="776" spans="1:13" ht="75" customHeight="1" thickTop="1" thickBot="1">
      <c r="A776" s="26">
        <v>774</v>
      </c>
      <c r="B776" s="55"/>
      <c r="C776" s="56"/>
      <c r="D776" s="56"/>
      <c r="E776" s="26"/>
      <c r="F776" s="26"/>
      <c r="G776" s="26"/>
      <c r="H776" s="26"/>
      <c r="I776" s="26"/>
      <c r="J776" s="26"/>
      <c r="K776" s="26"/>
      <c r="L776" s="55"/>
      <c r="M776" s="26"/>
    </row>
    <row r="777" spans="1:13" ht="75" customHeight="1" thickTop="1" thickBot="1">
      <c r="A777" s="34">
        <v>775</v>
      </c>
      <c r="B777" s="55"/>
      <c r="C777" s="56"/>
      <c r="D777" s="56"/>
      <c r="E777" s="26"/>
      <c r="F777" s="26"/>
      <c r="G777" s="26"/>
      <c r="H777" s="26"/>
      <c r="I777" s="26"/>
      <c r="J777" s="26"/>
      <c r="K777" s="26"/>
      <c r="L777" s="55"/>
      <c r="M777" s="26"/>
    </row>
    <row r="778" spans="1:13" ht="75" customHeight="1" thickTop="1" thickBot="1">
      <c r="A778" s="26">
        <v>776</v>
      </c>
      <c r="B778" s="55"/>
      <c r="C778" s="56"/>
      <c r="D778" s="56"/>
      <c r="E778" s="26"/>
      <c r="F778" s="26"/>
      <c r="G778" s="26"/>
      <c r="H778" s="26"/>
      <c r="I778" s="26"/>
      <c r="J778" s="26"/>
      <c r="K778" s="26"/>
      <c r="L778" s="55"/>
      <c r="M778" s="26"/>
    </row>
    <row r="779" spans="1:13" ht="75" customHeight="1" thickTop="1" thickBot="1">
      <c r="A779" s="34">
        <v>777</v>
      </c>
      <c r="B779" s="55"/>
      <c r="C779" s="56"/>
      <c r="D779" s="56"/>
      <c r="E779" s="26"/>
      <c r="F779" s="26"/>
      <c r="G779" s="26"/>
      <c r="H779" s="26"/>
      <c r="I779" s="26"/>
      <c r="J779" s="26"/>
      <c r="K779" s="26"/>
      <c r="L779" s="55"/>
      <c r="M779" s="26"/>
    </row>
    <row r="780" spans="1:13" ht="75" customHeight="1" thickTop="1" thickBot="1">
      <c r="A780" s="26">
        <v>778</v>
      </c>
      <c r="B780" s="55"/>
      <c r="C780" s="56"/>
      <c r="D780" s="56"/>
      <c r="E780" s="26"/>
      <c r="F780" s="26"/>
      <c r="G780" s="26"/>
      <c r="H780" s="26"/>
      <c r="I780" s="26"/>
      <c r="J780" s="26"/>
      <c r="K780" s="26"/>
      <c r="L780" s="55"/>
      <c r="M780" s="26"/>
    </row>
    <row r="781" spans="1:13" ht="75" customHeight="1" thickTop="1" thickBot="1">
      <c r="A781" s="34">
        <v>779</v>
      </c>
      <c r="B781" s="55"/>
      <c r="C781" s="56"/>
      <c r="D781" s="56"/>
      <c r="E781" s="26"/>
      <c r="F781" s="26"/>
      <c r="G781" s="26"/>
      <c r="H781" s="26"/>
      <c r="I781" s="26"/>
      <c r="J781" s="26"/>
      <c r="K781" s="26"/>
      <c r="L781" s="55"/>
      <c r="M781" s="26"/>
    </row>
    <row r="782" spans="1:13" ht="75" customHeight="1" thickTop="1" thickBot="1">
      <c r="A782" s="26">
        <v>780</v>
      </c>
      <c r="B782" s="55"/>
      <c r="C782" s="56"/>
      <c r="D782" s="56"/>
      <c r="E782" s="26"/>
      <c r="F782" s="26"/>
      <c r="G782" s="26"/>
      <c r="H782" s="26"/>
      <c r="I782" s="26"/>
      <c r="J782" s="26"/>
      <c r="K782" s="26"/>
      <c r="L782" s="55"/>
      <c r="M782" s="26"/>
    </row>
    <row r="783" spans="1:13" ht="75" customHeight="1" thickTop="1" thickBot="1">
      <c r="A783" s="34">
        <v>781</v>
      </c>
      <c r="B783" s="55"/>
      <c r="C783" s="56"/>
      <c r="D783" s="56"/>
      <c r="E783" s="26"/>
      <c r="F783" s="26"/>
      <c r="G783" s="26"/>
      <c r="H783" s="26"/>
      <c r="I783" s="26"/>
      <c r="J783" s="26"/>
      <c r="K783" s="26"/>
      <c r="L783" s="55"/>
      <c r="M783" s="26"/>
    </row>
    <row r="784" spans="1:13" ht="75" customHeight="1" thickTop="1" thickBot="1">
      <c r="A784" s="26">
        <v>782</v>
      </c>
      <c r="B784" s="55"/>
      <c r="C784" s="56"/>
      <c r="D784" s="56"/>
      <c r="E784" s="26"/>
      <c r="F784" s="26"/>
      <c r="G784" s="26"/>
      <c r="H784" s="26"/>
      <c r="I784" s="26"/>
      <c r="J784" s="26"/>
      <c r="K784" s="26"/>
      <c r="L784" s="55"/>
      <c r="M784" s="26"/>
    </row>
    <row r="785" spans="1:13" ht="75" customHeight="1" thickTop="1" thickBot="1">
      <c r="A785" s="34">
        <v>783</v>
      </c>
      <c r="B785" s="55"/>
      <c r="C785" s="56"/>
      <c r="D785" s="56"/>
      <c r="E785" s="26"/>
      <c r="F785" s="26"/>
      <c r="G785" s="26"/>
      <c r="H785" s="26"/>
      <c r="I785" s="26"/>
      <c r="J785" s="26"/>
      <c r="K785" s="26"/>
      <c r="L785" s="55"/>
      <c r="M785" s="26"/>
    </row>
    <row r="786" spans="1:13" ht="75" customHeight="1" thickTop="1" thickBot="1">
      <c r="A786" s="26">
        <v>784</v>
      </c>
      <c r="B786" s="55"/>
      <c r="C786" s="56"/>
      <c r="D786" s="56"/>
      <c r="E786" s="26"/>
      <c r="F786" s="26"/>
      <c r="G786" s="26"/>
      <c r="H786" s="26"/>
      <c r="I786" s="26"/>
      <c r="J786" s="26"/>
      <c r="K786" s="26"/>
      <c r="L786" s="55"/>
      <c r="M786" s="26"/>
    </row>
    <row r="787" spans="1:13" ht="75" customHeight="1" thickTop="1" thickBot="1">
      <c r="A787" s="34">
        <v>785</v>
      </c>
      <c r="B787" s="55"/>
      <c r="C787" s="56"/>
      <c r="D787" s="56"/>
      <c r="E787" s="26"/>
      <c r="F787" s="26"/>
      <c r="G787" s="26"/>
      <c r="H787" s="26"/>
      <c r="I787" s="26"/>
      <c r="J787" s="26"/>
      <c r="K787" s="26"/>
      <c r="L787" s="55"/>
      <c r="M787" s="26"/>
    </row>
    <row r="788" spans="1:13" ht="75" customHeight="1" thickTop="1" thickBot="1">
      <c r="A788" s="26">
        <v>786</v>
      </c>
      <c r="B788" s="55"/>
      <c r="C788" s="56"/>
      <c r="D788" s="56"/>
      <c r="E788" s="26"/>
      <c r="F788" s="26"/>
      <c r="G788" s="26"/>
      <c r="H788" s="26"/>
      <c r="I788" s="26"/>
      <c r="J788" s="26"/>
      <c r="K788" s="26"/>
      <c r="L788" s="55"/>
      <c r="M788" s="26"/>
    </row>
    <row r="789" spans="1:13" ht="75" customHeight="1" thickTop="1" thickBot="1">
      <c r="A789" s="34">
        <v>787</v>
      </c>
      <c r="B789" s="55"/>
      <c r="C789" s="56"/>
      <c r="D789" s="56"/>
      <c r="E789" s="26"/>
      <c r="F789" s="26"/>
      <c r="G789" s="26"/>
      <c r="H789" s="26"/>
      <c r="I789" s="26"/>
      <c r="J789" s="26"/>
      <c r="K789" s="26"/>
      <c r="L789" s="55"/>
      <c r="M789" s="26"/>
    </row>
    <row r="790" spans="1:13" ht="75" customHeight="1" thickTop="1" thickBot="1">
      <c r="A790" s="26">
        <v>788</v>
      </c>
      <c r="B790" s="55"/>
      <c r="C790" s="56"/>
      <c r="D790" s="56"/>
      <c r="E790" s="26"/>
      <c r="F790" s="26"/>
      <c r="G790" s="26"/>
      <c r="H790" s="26"/>
      <c r="I790" s="26"/>
      <c r="J790" s="26"/>
      <c r="K790" s="26"/>
      <c r="L790" s="55"/>
      <c r="M790" s="26"/>
    </row>
    <row r="791" spans="1:13" ht="75" customHeight="1" thickTop="1" thickBot="1">
      <c r="A791" s="34">
        <v>789</v>
      </c>
      <c r="B791" s="55"/>
      <c r="C791" s="56"/>
      <c r="D791" s="56"/>
      <c r="E791" s="26"/>
      <c r="F791" s="26"/>
      <c r="G791" s="26"/>
      <c r="H791" s="26"/>
      <c r="I791" s="26"/>
      <c r="J791" s="26"/>
      <c r="K791" s="26"/>
      <c r="L791" s="55"/>
      <c r="M791" s="26"/>
    </row>
    <row r="792" spans="1:13" ht="75" customHeight="1" thickTop="1" thickBot="1">
      <c r="A792" s="26">
        <v>790</v>
      </c>
      <c r="B792" s="55"/>
      <c r="C792" s="56"/>
      <c r="D792" s="56"/>
      <c r="E792" s="26"/>
      <c r="F792" s="26"/>
      <c r="G792" s="26"/>
      <c r="H792" s="26"/>
      <c r="I792" s="26"/>
      <c r="J792" s="26"/>
      <c r="K792" s="26"/>
      <c r="L792" s="55"/>
      <c r="M792" s="26"/>
    </row>
    <row r="793" spans="1:13" ht="75" customHeight="1" thickTop="1" thickBot="1">
      <c r="A793" s="34">
        <v>791</v>
      </c>
      <c r="B793" s="55"/>
      <c r="C793" s="56"/>
      <c r="D793" s="56"/>
      <c r="E793" s="26"/>
      <c r="F793" s="26"/>
      <c r="G793" s="26"/>
      <c r="H793" s="26"/>
      <c r="I793" s="26"/>
      <c r="J793" s="26"/>
      <c r="K793" s="26"/>
      <c r="L793" s="55"/>
      <c r="M793" s="26"/>
    </row>
    <row r="794" spans="1:13" ht="75" customHeight="1" thickTop="1" thickBot="1">
      <c r="A794" s="26">
        <v>792</v>
      </c>
      <c r="B794" s="55"/>
      <c r="C794" s="56"/>
      <c r="D794" s="56"/>
      <c r="E794" s="26"/>
      <c r="F794" s="26"/>
      <c r="G794" s="26"/>
      <c r="H794" s="26"/>
      <c r="I794" s="26"/>
      <c r="J794" s="26"/>
      <c r="K794" s="26"/>
      <c r="L794" s="55"/>
      <c r="M794" s="26"/>
    </row>
    <row r="795" spans="1:13" ht="75" customHeight="1" thickTop="1" thickBot="1">
      <c r="A795" s="34">
        <v>793</v>
      </c>
      <c r="B795" s="55"/>
      <c r="C795" s="56"/>
      <c r="D795" s="56"/>
      <c r="E795" s="26"/>
      <c r="F795" s="26"/>
      <c r="G795" s="26"/>
      <c r="H795" s="26"/>
      <c r="I795" s="26"/>
      <c r="J795" s="26"/>
      <c r="K795" s="26"/>
      <c r="L795" s="55"/>
      <c r="M795" s="26"/>
    </row>
    <row r="796" spans="1:13" ht="75" customHeight="1" thickTop="1" thickBot="1">
      <c r="A796" s="26">
        <v>794</v>
      </c>
      <c r="B796" s="55"/>
      <c r="C796" s="56"/>
      <c r="D796" s="56"/>
      <c r="E796" s="26"/>
      <c r="F796" s="26"/>
      <c r="G796" s="26"/>
      <c r="H796" s="26"/>
      <c r="I796" s="26"/>
      <c r="J796" s="26"/>
      <c r="K796" s="26"/>
      <c r="L796" s="55"/>
      <c r="M796" s="26"/>
    </row>
    <row r="797" spans="1:13" ht="75" customHeight="1" thickTop="1" thickBot="1">
      <c r="A797" s="34">
        <v>795</v>
      </c>
      <c r="B797" s="55"/>
      <c r="C797" s="56"/>
      <c r="D797" s="56"/>
      <c r="E797" s="26"/>
      <c r="F797" s="26"/>
      <c r="G797" s="26"/>
      <c r="H797" s="26"/>
      <c r="I797" s="26"/>
      <c r="J797" s="26"/>
      <c r="K797" s="26"/>
      <c r="L797" s="55"/>
      <c r="M797" s="26"/>
    </row>
    <row r="798" spans="1:13" ht="75" customHeight="1" thickTop="1" thickBot="1">
      <c r="A798" s="26">
        <v>796</v>
      </c>
      <c r="B798" s="55"/>
      <c r="C798" s="56"/>
      <c r="D798" s="56"/>
      <c r="E798" s="26"/>
      <c r="F798" s="26"/>
      <c r="G798" s="26"/>
      <c r="H798" s="26"/>
      <c r="I798" s="26"/>
      <c r="J798" s="26"/>
      <c r="K798" s="26"/>
      <c r="L798" s="55"/>
      <c r="M798" s="26"/>
    </row>
    <row r="799" spans="1:13" ht="75" customHeight="1" thickTop="1" thickBot="1">
      <c r="A799" s="34">
        <v>797</v>
      </c>
      <c r="B799" s="55"/>
      <c r="C799" s="56"/>
      <c r="D799" s="56"/>
      <c r="E799" s="26"/>
      <c r="F799" s="26"/>
      <c r="G799" s="26"/>
      <c r="H799" s="26"/>
      <c r="I799" s="26"/>
      <c r="J799" s="26"/>
      <c r="K799" s="26"/>
      <c r="L799" s="55"/>
      <c r="M799" s="26"/>
    </row>
    <row r="800" spans="1:13" ht="75" customHeight="1" thickTop="1" thickBot="1">
      <c r="A800" s="26">
        <v>798</v>
      </c>
      <c r="B800" s="55"/>
      <c r="C800" s="56"/>
      <c r="D800" s="56"/>
      <c r="E800" s="26"/>
      <c r="F800" s="26"/>
      <c r="G800" s="26"/>
      <c r="H800" s="26"/>
      <c r="I800" s="26"/>
      <c r="J800" s="26"/>
      <c r="K800" s="26"/>
      <c r="L800" s="55"/>
      <c r="M800" s="26"/>
    </row>
    <row r="801" spans="1:13" ht="75" customHeight="1" thickTop="1" thickBot="1">
      <c r="A801" s="34">
        <v>799</v>
      </c>
      <c r="B801" s="55"/>
      <c r="C801" s="56"/>
      <c r="D801" s="56"/>
      <c r="E801" s="26"/>
      <c r="F801" s="26"/>
      <c r="G801" s="26"/>
      <c r="H801" s="26"/>
      <c r="I801" s="26"/>
      <c r="J801" s="26"/>
      <c r="K801" s="26"/>
      <c r="L801" s="55"/>
      <c r="M801" s="26"/>
    </row>
    <row r="802" spans="1:13" ht="75" customHeight="1" thickTop="1" thickBot="1">
      <c r="A802" s="26">
        <v>800</v>
      </c>
      <c r="B802" s="55"/>
      <c r="C802" s="56"/>
      <c r="D802" s="56"/>
      <c r="E802" s="26"/>
      <c r="F802" s="26"/>
      <c r="G802" s="26"/>
      <c r="H802" s="26"/>
      <c r="I802" s="26"/>
      <c r="J802" s="26"/>
      <c r="K802" s="26"/>
      <c r="L802" s="55"/>
      <c r="M802" s="26"/>
    </row>
    <row r="803" spans="1:13" ht="75" customHeight="1" thickTop="1" thickBot="1">
      <c r="A803" s="34">
        <v>801</v>
      </c>
      <c r="B803" s="55"/>
      <c r="C803" s="56"/>
      <c r="D803" s="56"/>
      <c r="E803" s="26"/>
      <c r="F803" s="26"/>
      <c r="G803" s="26"/>
      <c r="H803" s="26"/>
      <c r="I803" s="26"/>
      <c r="J803" s="26"/>
      <c r="K803" s="26"/>
      <c r="L803" s="55"/>
      <c r="M803" s="26"/>
    </row>
    <row r="804" spans="1:13" ht="75" customHeight="1" thickTop="1" thickBot="1">
      <c r="A804" s="26">
        <v>802</v>
      </c>
      <c r="B804" s="55"/>
      <c r="C804" s="56"/>
      <c r="D804" s="56"/>
      <c r="E804" s="26"/>
      <c r="F804" s="26"/>
      <c r="G804" s="26"/>
      <c r="H804" s="26"/>
      <c r="I804" s="26"/>
      <c r="J804" s="26"/>
      <c r="K804" s="26"/>
      <c r="L804" s="55"/>
      <c r="M804" s="26"/>
    </row>
    <row r="805" spans="1:13" ht="75" customHeight="1" thickTop="1" thickBot="1">
      <c r="A805" s="34">
        <v>803</v>
      </c>
      <c r="B805" s="55"/>
      <c r="C805" s="56"/>
      <c r="D805" s="56"/>
      <c r="E805" s="26"/>
      <c r="F805" s="26"/>
      <c r="G805" s="26"/>
      <c r="H805" s="26"/>
      <c r="I805" s="26"/>
      <c r="J805" s="26"/>
      <c r="K805" s="26"/>
      <c r="L805" s="55"/>
      <c r="M805" s="26"/>
    </row>
    <row r="806" spans="1:13" ht="75" customHeight="1" thickTop="1" thickBot="1">
      <c r="A806" s="26">
        <v>804</v>
      </c>
      <c r="B806" s="55"/>
      <c r="C806" s="56"/>
      <c r="D806" s="56"/>
      <c r="E806" s="26"/>
      <c r="F806" s="26"/>
      <c r="G806" s="26"/>
      <c r="H806" s="26"/>
      <c r="I806" s="26"/>
      <c r="J806" s="26"/>
      <c r="K806" s="26"/>
      <c r="L806" s="55"/>
      <c r="M806" s="26"/>
    </row>
    <row r="807" spans="1:13" ht="75" customHeight="1" thickTop="1" thickBot="1">
      <c r="A807" s="34">
        <v>805</v>
      </c>
      <c r="B807" s="55"/>
      <c r="C807" s="56"/>
      <c r="D807" s="56"/>
      <c r="E807" s="26"/>
      <c r="F807" s="26"/>
      <c r="G807" s="26"/>
      <c r="H807" s="26"/>
      <c r="I807" s="26"/>
      <c r="J807" s="26"/>
      <c r="K807" s="26"/>
      <c r="L807" s="55"/>
      <c r="M807" s="26"/>
    </row>
    <row r="808" spans="1:13" ht="75" customHeight="1" thickTop="1" thickBot="1">
      <c r="A808" s="26">
        <v>806</v>
      </c>
      <c r="B808" s="55"/>
      <c r="C808" s="56"/>
      <c r="D808" s="56"/>
      <c r="E808" s="26"/>
      <c r="F808" s="26"/>
      <c r="G808" s="26"/>
      <c r="H808" s="26"/>
      <c r="I808" s="26"/>
      <c r="J808" s="26"/>
      <c r="K808" s="26"/>
      <c r="L808" s="55"/>
      <c r="M808" s="26"/>
    </row>
    <row r="809" spans="1:13" ht="75" customHeight="1" thickTop="1" thickBot="1">
      <c r="A809" s="34">
        <v>807</v>
      </c>
      <c r="B809" s="55"/>
      <c r="C809" s="56"/>
      <c r="D809" s="56"/>
      <c r="E809" s="26"/>
      <c r="F809" s="26"/>
      <c r="G809" s="26"/>
      <c r="H809" s="26"/>
      <c r="I809" s="26"/>
      <c r="J809" s="26"/>
      <c r="K809" s="26"/>
      <c r="L809" s="55"/>
      <c r="M809" s="26"/>
    </row>
    <row r="810" spans="1:13" ht="75" customHeight="1" thickTop="1" thickBot="1">
      <c r="A810" s="26">
        <v>808</v>
      </c>
      <c r="B810" s="55"/>
      <c r="C810" s="56"/>
      <c r="D810" s="56"/>
      <c r="E810" s="26"/>
      <c r="F810" s="26"/>
      <c r="G810" s="26"/>
      <c r="H810" s="26"/>
      <c r="I810" s="26"/>
      <c r="J810" s="26"/>
      <c r="K810" s="26"/>
      <c r="L810" s="55"/>
      <c r="M810" s="26"/>
    </row>
    <row r="811" spans="1:13" ht="75" customHeight="1" thickTop="1" thickBot="1">
      <c r="A811" s="34">
        <v>809</v>
      </c>
      <c r="B811" s="55"/>
      <c r="C811" s="56"/>
      <c r="D811" s="56"/>
      <c r="E811" s="26"/>
      <c r="F811" s="26"/>
      <c r="G811" s="26"/>
      <c r="H811" s="26"/>
      <c r="I811" s="26"/>
      <c r="J811" s="26"/>
      <c r="K811" s="26"/>
      <c r="L811" s="55"/>
      <c r="M811" s="26"/>
    </row>
    <row r="812" spans="1:13" ht="75" customHeight="1" thickTop="1" thickBot="1">
      <c r="A812" s="26">
        <v>810</v>
      </c>
      <c r="B812" s="55"/>
      <c r="C812" s="56"/>
      <c r="D812" s="56"/>
      <c r="E812" s="26"/>
      <c r="F812" s="26"/>
      <c r="G812" s="26"/>
      <c r="H812" s="26"/>
      <c r="I812" s="26"/>
      <c r="J812" s="26"/>
      <c r="K812" s="26"/>
      <c r="L812" s="55"/>
      <c r="M812" s="26"/>
    </row>
    <row r="813" spans="1:13" ht="75" customHeight="1" thickTop="1" thickBot="1">
      <c r="A813" s="34">
        <v>811</v>
      </c>
      <c r="B813" s="55"/>
      <c r="C813" s="56"/>
      <c r="D813" s="56"/>
      <c r="E813" s="26"/>
      <c r="F813" s="26"/>
      <c r="G813" s="26"/>
      <c r="H813" s="26"/>
      <c r="I813" s="26"/>
      <c r="J813" s="26"/>
      <c r="K813" s="26"/>
      <c r="L813" s="55"/>
      <c r="M813" s="26"/>
    </row>
    <row r="814" spans="1:13" ht="75" customHeight="1" thickTop="1" thickBot="1">
      <c r="A814" s="26">
        <v>812</v>
      </c>
      <c r="B814" s="55"/>
      <c r="C814" s="56"/>
      <c r="D814" s="56"/>
      <c r="E814" s="26"/>
      <c r="F814" s="26"/>
      <c r="G814" s="26"/>
      <c r="H814" s="26"/>
      <c r="I814" s="26"/>
      <c r="J814" s="26"/>
      <c r="K814" s="26"/>
      <c r="L814" s="55"/>
      <c r="M814" s="26"/>
    </row>
    <row r="815" spans="1:13" ht="75" customHeight="1" thickTop="1" thickBot="1">
      <c r="A815" s="34">
        <v>813</v>
      </c>
      <c r="B815" s="55"/>
      <c r="C815" s="56"/>
      <c r="D815" s="56"/>
      <c r="E815" s="26"/>
      <c r="F815" s="26"/>
      <c r="G815" s="26"/>
      <c r="H815" s="26"/>
      <c r="I815" s="26"/>
      <c r="J815" s="26"/>
      <c r="K815" s="26"/>
      <c r="L815" s="55"/>
      <c r="M815" s="26"/>
    </row>
    <row r="816" spans="1:13" ht="75" customHeight="1" thickTop="1" thickBot="1">
      <c r="A816" s="26">
        <v>814</v>
      </c>
      <c r="B816" s="55"/>
      <c r="C816" s="56"/>
      <c r="D816" s="56"/>
      <c r="E816" s="26"/>
      <c r="F816" s="26"/>
      <c r="G816" s="26"/>
      <c r="H816" s="26"/>
      <c r="I816" s="26"/>
      <c r="J816" s="26"/>
      <c r="K816" s="26"/>
      <c r="L816" s="55"/>
      <c r="M816" s="26"/>
    </row>
    <row r="817" spans="1:13" ht="75" customHeight="1" thickTop="1" thickBot="1">
      <c r="A817" s="34">
        <v>815</v>
      </c>
      <c r="B817" s="55"/>
      <c r="C817" s="56"/>
      <c r="D817" s="56"/>
      <c r="E817" s="26"/>
      <c r="F817" s="26"/>
      <c r="G817" s="26"/>
      <c r="H817" s="26"/>
      <c r="I817" s="26"/>
      <c r="J817" s="26"/>
      <c r="K817" s="26"/>
      <c r="L817" s="55"/>
      <c r="M817" s="26"/>
    </row>
    <row r="818" spans="1:13" ht="75" customHeight="1" thickTop="1" thickBot="1">
      <c r="A818" s="26">
        <v>816</v>
      </c>
      <c r="B818" s="55"/>
      <c r="C818" s="56"/>
      <c r="D818" s="56"/>
      <c r="E818" s="26"/>
      <c r="F818" s="26"/>
      <c r="G818" s="26"/>
      <c r="H818" s="26"/>
      <c r="I818" s="26"/>
      <c r="J818" s="26"/>
      <c r="K818" s="26"/>
      <c r="L818" s="55"/>
      <c r="M818" s="26"/>
    </row>
    <row r="819" spans="1:13" ht="75" customHeight="1" thickTop="1" thickBot="1">
      <c r="A819" s="34">
        <v>817</v>
      </c>
      <c r="B819" s="55"/>
      <c r="C819" s="56"/>
      <c r="D819" s="56"/>
      <c r="E819" s="26"/>
      <c r="F819" s="26"/>
      <c r="G819" s="26"/>
      <c r="H819" s="26"/>
      <c r="I819" s="26"/>
      <c r="J819" s="26"/>
      <c r="K819" s="26"/>
      <c r="L819" s="55"/>
      <c r="M819" s="26"/>
    </row>
    <row r="820" spans="1:13" ht="75" customHeight="1" thickTop="1" thickBot="1">
      <c r="A820" s="26">
        <v>818</v>
      </c>
      <c r="B820" s="55"/>
      <c r="C820" s="56"/>
      <c r="D820" s="56"/>
      <c r="E820" s="26"/>
      <c r="F820" s="26"/>
      <c r="G820" s="26"/>
      <c r="H820" s="26"/>
      <c r="I820" s="26"/>
      <c r="J820" s="26"/>
      <c r="K820" s="26"/>
      <c r="L820" s="55"/>
      <c r="M820" s="26"/>
    </row>
    <row r="821" spans="1:13" ht="75" customHeight="1" thickTop="1" thickBot="1">
      <c r="A821" s="34">
        <v>819</v>
      </c>
      <c r="B821" s="55"/>
      <c r="C821" s="56"/>
      <c r="D821" s="56"/>
      <c r="E821" s="26"/>
      <c r="F821" s="26"/>
      <c r="G821" s="26"/>
      <c r="H821" s="26"/>
      <c r="I821" s="26"/>
      <c r="J821" s="26"/>
      <c r="K821" s="26"/>
      <c r="L821" s="55"/>
      <c r="M821" s="26"/>
    </row>
    <row r="822" spans="1:13" ht="75" customHeight="1" thickTop="1" thickBot="1">
      <c r="A822" s="26">
        <v>820</v>
      </c>
      <c r="B822" s="55"/>
      <c r="C822" s="56"/>
      <c r="D822" s="56"/>
      <c r="E822" s="26"/>
      <c r="F822" s="26"/>
      <c r="G822" s="26"/>
      <c r="H822" s="26"/>
      <c r="I822" s="26"/>
      <c r="J822" s="26"/>
      <c r="K822" s="26"/>
      <c r="L822" s="55"/>
      <c r="M822" s="26"/>
    </row>
    <row r="823" spans="1:13" ht="75" customHeight="1" thickTop="1" thickBot="1">
      <c r="A823" s="34">
        <v>821</v>
      </c>
      <c r="B823" s="55"/>
      <c r="C823" s="56"/>
      <c r="D823" s="56"/>
      <c r="E823" s="26"/>
      <c r="F823" s="26"/>
      <c r="G823" s="26"/>
      <c r="H823" s="26"/>
      <c r="I823" s="26"/>
      <c r="J823" s="26"/>
      <c r="K823" s="26"/>
      <c r="L823" s="55"/>
      <c r="M823" s="26"/>
    </row>
    <row r="824" spans="1:13" ht="75" customHeight="1" thickTop="1" thickBot="1">
      <c r="A824" s="26">
        <v>822</v>
      </c>
      <c r="B824" s="55"/>
      <c r="C824" s="56"/>
      <c r="D824" s="56"/>
      <c r="E824" s="26"/>
      <c r="F824" s="26"/>
      <c r="G824" s="26"/>
      <c r="H824" s="26"/>
      <c r="I824" s="26"/>
      <c r="J824" s="26"/>
      <c r="K824" s="26"/>
      <c r="L824" s="55"/>
      <c r="M824" s="26"/>
    </row>
    <row r="825" spans="1:13" ht="75" customHeight="1" thickTop="1" thickBot="1">
      <c r="A825" s="34">
        <v>823</v>
      </c>
      <c r="B825" s="55"/>
      <c r="C825" s="56"/>
      <c r="D825" s="56"/>
      <c r="E825" s="26"/>
      <c r="F825" s="26"/>
      <c r="G825" s="26"/>
      <c r="H825" s="26"/>
      <c r="I825" s="26"/>
      <c r="J825" s="26"/>
      <c r="K825" s="26"/>
      <c r="L825" s="55"/>
      <c r="M825" s="26"/>
    </row>
    <row r="826" spans="1:13" ht="75" customHeight="1" thickTop="1" thickBot="1">
      <c r="A826" s="26">
        <v>824</v>
      </c>
      <c r="B826" s="55"/>
      <c r="C826" s="56"/>
      <c r="D826" s="56"/>
      <c r="E826" s="26"/>
      <c r="F826" s="26"/>
      <c r="G826" s="26"/>
      <c r="H826" s="26"/>
      <c r="I826" s="26"/>
      <c r="J826" s="26"/>
      <c r="K826" s="26"/>
      <c r="L826" s="55"/>
      <c r="M826" s="26"/>
    </row>
    <row r="827" spans="1:13" ht="75" customHeight="1" thickTop="1" thickBot="1">
      <c r="A827" s="34">
        <v>825</v>
      </c>
      <c r="B827" s="55"/>
      <c r="C827" s="56"/>
      <c r="D827" s="56"/>
      <c r="E827" s="26"/>
      <c r="F827" s="26"/>
      <c r="G827" s="26"/>
      <c r="H827" s="26"/>
      <c r="I827" s="26"/>
      <c r="J827" s="26"/>
      <c r="K827" s="26"/>
      <c r="L827" s="55"/>
      <c r="M827" s="26"/>
    </row>
    <row r="828" spans="1:13" ht="75" customHeight="1" thickTop="1" thickBot="1">
      <c r="A828" s="26">
        <v>826</v>
      </c>
      <c r="B828" s="55"/>
      <c r="C828" s="56"/>
      <c r="D828" s="56"/>
      <c r="E828" s="26"/>
      <c r="F828" s="26"/>
      <c r="G828" s="26"/>
      <c r="H828" s="26"/>
      <c r="I828" s="26"/>
      <c r="J828" s="26"/>
      <c r="K828" s="26"/>
      <c r="L828" s="55"/>
      <c r="M828" s="26"/>
    </row>
    <row r="829" spans="1:13" ht="75" customHeight="1" thickTop="1" thickBot="1">
      <c r="A829" s="34">
        <v>827</v>
      </c>
      <c r="B829" s="55"/>
      <c r="C829" s="56"/>
      <c r="D829" s="56"/>
      <c r="E829" s="26"/>
      <c r="F829" s="26"/>
      <c r="G829" s="26"/>
      <c r="H829" s="26"/>
      <c r="I829" s="26"/>
      <c r="J829" s="26"/>
      <c r="K829" s="26"/>
      <c r="L829" s="55"/>
      <c r="M829" s="26"/>
    </row>
    <row r="830" spans="1:13" ht="75" customHeight="1" thickTop="1" thickBot="1">
      <c r="A830" s="26">
        <v>828</v>
      </c>
      <c r="B830" s="55"/>
      <c r="C830" s="56"/>
      <c r="D830" s="56"/>
      <c r="E830" s="26"/>
      <c r="F830" s="26"/>
      <c r="G830" s="26"/>
      <c r="H830" s="26"/>
      <c r="I830" s="26"/>
      <c r="J830" s="26"/>
      <c r="K830" s="26"/>
      <c r="L830" s="55"/>
      <c r="M830" s="26"/>
    </row>
    <row r="831" spans="1:13" ht="75" customHeight="1" thickTop="1" thickBot="1">
      <c r="A831" s="34">
        <v>829</v>
      </c>
      <c r="B831" s="55"/>
      <c r="C831" s="56"/>
      <c r="D831" s="56"/>
      <c r="E831" s="26"/>
      <c r="F831" s="26"/>
      <c r="G831" s="26"/>
      <c r="H831" s="26"/>
      <c r="I831" s="26"/>
      <c r="J831" s="26"/>
      <c r="K831" s="26"/>
      <c r="L831" s="55"/>
      <c r="M831" s="26"/>
    </row>
    <row r="832" spans="1:13" ht="75" customHeight="1" thickTop="1" thickBot="1">
      <c r="A832" s="26">
        <v>830</v>
      </c>
      <c r="B832" s="55"/>
      <c r="C832" s="56"/>
      <c r="D832" s="56"/>
      <c r="E832" s="26"/>
      <c r="F832" s="26"/>
      <c r="G832" s="26"/>
      <c r="H832" s="26"/>
      <c r="I832" s="26"/>
      <c r="J832" s="26"/>
      <c r="K832" s="26"/>
      <c r="L832" s="55"/>
      <c r="M832" s="26"/>
    </row>
    <row r="833" spans="1:13" ht="75" customHeight="1" thickTop="1" thickBot="1">
      <c r="A833" s="34">
        <v>831</v>
      </c>
      <c r="B833" s="55"/>
      <c r="C833" s="56"/>
      <c r="D833" s="56"/>
      <c r="E833" s="26"/>
      <c r="F833" s="26"/>
      <c r="G833" s="26"/>
      <c r="H833" s="26"/>
      <c r="I833" s="26"/>
      <c r="J833" s="26"/>
      <c r="K833" s="26"/>
      <c r="L833" s="55"/>
      <c r="M833" s="26"/>
    </row>
    <row r="834" spans="1:13" ht="75" customHeight="1" thickTop="1" thickBot="1">
      <c r="A834" s="26">
        <v>832</v>
      </c>
      <c r="B834" s="55"/>
      <c r="C834" s="56"/>
      <c r="D834" s="56"/>
      <c r="E834" s="26"/>
      <c r="F834" s="26"/>
      <c r="G834" s="26"/>
      <c r="H834" s="26"/>
      <c r="I834" s="26"/>
      <c r="J834" s="26"/>
      <c r="K834" s="26"/>
      <c r="L834" s="55"/>
      <c r="M834" s="26"/>
    </row>
    <row r="835" spans="1:13" ht="75" customHeight="1" thickTop="1" thickBot="1">
      <c r="A835" s="34">
        <v>833</v>
      </c>
      <c r="B835" s="55"/>
      <c r="C835" s="56"/>
      <c r="D835" s="56"/>
      <c r="E835" s="26"/>
      <c r="F835" s="26"/>
      <c r="G835" s="26"/>
      <c r="H835" s="26"/>
      <c r="I835" s="26"/>
      <c r="J835" s="26"/>
      <c r="K835" s="26"/>
      <c r="L835" s="55"/>
      <c r="M835" s="26"/>
    </row>
    <row r="836" spans="1:13" ht="75" customHeight="1" thickTop="1" thickBot="1">
      <c r="A836" s="26">
        <v>834</v>
      </c>
      <c r="B836" s="55"/>
      <c r="C836" s="56"/>
      <c r="D836" s="56"/>
      <c r="E836" s="26"/>
      <c r="F836" s="26"/>
      <c r="G836" s="26"/>
      <c r="H836" s="26"/>
      <c r="I836" s="26"/>
      <c r="J836" s="26"/>
      <c r="K836" s="26"/>
      <c r="L836" s="55"/>
      <c r="M836" s="26"/>
    </row>
    <row r="837" spans="1:13" ht="75" customHeight="1" thickTop="1" thickBot="1">
      <c r="A837" s="34">
        <v>835</v>
      </c>
      <c r="B837" s="55"/>
      <c r="C837" s="56"/>
      <c r="D837" s="56"/>
      <c r="E837" s="26"/>
      <c r="F837" s="26"/>
      <c r="G837" s="26"/>
      <c r="H837" s="26"/>
      <c r="I837" s="26"/>
      <c r="J837" s="26"/>
      <c r="K837" s="26"/>
      <c r="L837" s="55"/>
      <c r="M837" s="26"/>
    </row>
    <row r="838" spans="1:13" ht="75" customHeight="1" thickTop="1" thickBot="1">
      <c r="A838" s="26">
        <v>836</v>
      </c>
      <c r="B838" s="55"/>
      <c r="C838" s="56"/>
      <c r="D838" s="56"/>
      <c r="E838" s="26"/>
      <c r="F838" s="26"/>
      <c r="G838" s="26"/>
      <c r="H838" s="26"/>
      <c r="I838" s="26"/>
      <c r="J838" s="26"/>
      <c r="K838" s="26"/>
      <c r="L838" s="55"/>
      <c r="M838" s="26"/>
    </row>
    <row r="839" spans="1:13" ht="75" customHeight="1" thickTop="1" thickBot="1">
      <c r="A839" s="34">
        <v>837</v>
      </c>
      <c r="B839" s="55"/>
      <c r="C839" s="56"/>
      <c r="D839" s="56"/>
      <c r="E839" s="26"/>
      <c r="F839" s="26"/>
      <c r="G839" s="26"/>
      <c r="H839" s="26"/>
      <c r="I839" s="26"/>
      <c r="J839" s="26"/>
      <c r="K839" s="26"/>
      <c r="L839" s="55"/>
      <c r="M839" s="26"/>
    </row>
    <row r="840" spans="1:13" ht="75" customHeight="1" thickTop="1" thickBot="1">
      <c r="A840" s="26">
        <v>838</v>
      </c>
      <c r="B840" s="55"/>
      <c r="C840" s="56"/>
      <c r="D840" s="56"/>
      <c r="E840" s="26"/>
      <c r="F840" s="26"/>
      <c r="G840" s="26"/>
      <c r="H840" s="26"/>
      <c r="I840" s="26"/>
      <c r="J840" s="26"/>
      <c r="K840" s="26"/>
      <c r="L840" s="55"/>
      <c r="M840" s="26"/>
    </row>
    <row r="841" spans="1:13" ht="75" customHeight="1" thickTop="1" thickBot="1">
      <c r="A841" s="34">
        <v>839</v>
      </c>
      <c r="B841" s="55"/>
      <c r="C841" s="56"/>
      <c r="D841" s="56"/>
      <c r="E841" s="26"/>
      <c r="F841" s="26"/>
      <c r="G841" s="26"/>
      <c r="H841" s="26"/>
      <c r="I841" s="26"/>
      <c r="J841" s="26"/>
      <c r="K841" s="26"/>
      <c r="L841" s="55"/>
      <c r="M841" s="26"/>
    </row>
    <row r="842" spans="1:13" ht="75" customHeight="1" thickTop="1" thickBot="1">
      <c r="A842" s="26">
        <v>840</v>
      </c>
      <c r="B842" s="55"/>
      <c r="C842" s="56"/>
      <c r="D842" s="56"/>
      <c r="E842" s="26"/>
      <c r="F842" s="26"/>
      <c r="G842" s="26"/>
      <c r="H842" s="26"/>
      <c r="I842" s="26"/>
      <c r="J842" s="26"/>
      <c r="K842" s="26"/>
      <c r="L842" s="55"/>
      <c r="M842" s="26"/>
    </row>
    <row r="843" spans="1:13" ht="75" customHeight="1" thickTop="1" thickBot="1">
      <c r="A843" s="34">
        <v>841</v>
      </c>
      <c r="B843" s="55"/>
      <c r="C843" s="56"/>
      <c r="D843" s="56"/>
      <c r="E843" s="26"/>
      <c r="F843" s="26"/>
      <c r="G843" s="26"/>
      <c r="H843" s="26"/>
      <c r="I843" s="26"/>
      <c r="J843" s="26"/>
      <c r="K843" s="26"/>
      <c r="L843" s="55"/>
      <c r="M843" s="26"/>
    </row>
    <row r="844" spans="1:13" ht="75" customHeight="1" thickTop="1" thickBot="1">
      <c r="A844" s="26">
        <v>842</v>
      </c>
      <c r="B844" s="55"/>
      <c r="C844" s="56"/>
      <c r="D844" s="56"/>
      <c r="E844" s="26"/>
      <c r="F844" s="26"/>
      <c r="G844" s="26"/>
      <c r="H844" s="26"/>
      <c r="I844" s="26"/>
      <c r="J844" s="26"/>
      <c r="K844" s="26"/>
      <c r="L844" s="55"/>
      <c r="M844" s="26"/>
    </row>
    <row r="845" spans="1:13" ht="75" customHeight="1" thickTop="1" thickBot="1">
      <c r="A845" s="34">
        <v>843</v>
      </c>
      <c r="B845" s="55"/>
      <c r="C845" s="56"/>
      <c r="D845" s="56"/>
      <c r="E845" s="26"/>
      <c r="F845" s="26"/>
      <c r="G845" s="26"/>
      <c r="H845" s="26"/>
      <c r="I845" s="26"/>
      <c r="J845" s="26"/>
      <c r="K845" s="26"/>
      <c r="L845" s="55"/>
      <c r="M845" s="26"/>
    </row>
    <row r="846" spans="1:13" ht="75" customHeight="1" thickTop="1" thickBot="1">
      <c r="A846" s="26">
        <v>844</v>
      </c>
      <c r="B846" s="55"/>
      <c r="C846" s="56"/>
      <c r="D846" s="56"/>
      <c r="E846" s="26"/>
      <c r="F846" s="26"/>
      <c r="G846" s="26"/>
      <c r="H846" s="26"/>
      <c r="I846" s="26"/>
      <c r="J846" s="26"/>
      <c r="K846" s="26"/>
      <c r="L846" s="55"/>
      <c r="M846" s="26"/>
    </row>
    <row r="847" spans="1:13" ht="75" customHeight="1" thickTop="1" thickBot="1">
      <c r="A847" s="34">
        <v>845</v>
      </c>
      <c r="B847" s="55"/>
      <c r="C847" s="56"/>
      <c r="D847" s="56"/>
      <c r="E847" s="26"/>
      <c r="F847" s="26"/>
      <c r="G847" s="26"/>
      <c r="H847" s="26"/>
      <c r="I847" s="26"/>
      <c r="J847" s="26"/>
      <c r="K847" s="26"/>
      <c r="L847" s="55"/>
      <c r="M847" s="26"/>
    </row>
    <row r="848" spans="1:13" ht="75" customHeight="1" thickTop="1" thickBot="1">
      <c r="A848" s="26">
        <v>846</v>
      </c>
      <c r="B848" s="55"/>
      <c r="C848" s="56"/>
      <c r="D848" s="56"/>
      <c r="E848" s="26"/>
      <c r="F848" s="26"/>
      <c r="G848" s="26"/>
      <c r="H848" s="26"/>
      <c r="I848" s="26"/>
      <c r="J848" s="26"/>
      <c r="K848" s="26"/>
      <c r="L848" s="55"/>
      <c r="M848" s="26"/>
    </row>
    <row r="849" spans="1:13" ht="75" customHeight="1" thickTop="1" thickBot="1">
      <c r="A849" s="34">
        <v>847</v>
      </c>
      <c r="B849" s="55"/>
      <c r="C849" s="56"/>
      <c r="D849" s="56"/>
      <c r="E849" s="26"/>
      <c r="F849" s="26"/>
      <c r="G849" s="26"/>
      <c r="H849" s="26"/>
      <c r="I849" s="26"/>
      <c r="J849" s="26"/>
      <c r="K849" s="26"/>
      <c r="L849" s="55"/>
      <c r="M849" s="26"/>
    </row>
    <row r="850" spans="1:13" ht="75" customHeight="1" thickTop="1" thickBot="1">
      <c r="A850" s="26">
        <v>848</v>
      </c>
      <c r="B850" s="55"/>
      <c r="C850" s="56"/>
      <c r="D850" s="56"/>
      <c r="E850" s="26"/>
      <c r="F850" s="26"/>
      <c r="G850" s="26"/>
      <c r="H850" s="26"/>
      <c r="I850" s="26"/>
      <c r="J850" s="26"/>
      <c r="K850" s="26"/>
      <c r="L850" s="55"/>
      <c r="M850" s="26"/>
    </row>
    <row r="851" spans="1:13" ht="75" customHeight="1" thickTop="1" thickBot="1">
      <c r="A851" s="34">
        <v>849</v>
      </c>
      <c r="B851" s="55"/>
      <c r="C851" s="56"/>
      <c r="D851" s="56"/>
      <c r="E851" s="26"/>
      <c r="F851" s="26"/>
      <c r="G851" s="26"/>
      <c r="H851" s="26"/>
      <c r="I851" s="26"/>
      <c r="J851" s="26"/>
      <c r="K851" s="26"/>
      <c r="L851" s="55"/>
      <c r="M851" s="26"/>
    </row>
    <row r="852" spans="1:13" ht="75" customHeight="1" thickTop="1" thickBot="1">
      <c r="A852" s="26">
        <v>850</v>
      </c>
      <c r="B852" s="55"/>
      <c r="C852" s="56"/>
      <c r="D852" s="56"/>
      <c r="E852" s="26"/>
      <c r="F852" s="26"/>
      <c r="G852" s="26"/>
      <c r="H852" s="26"/>
      <c r="I852" s="26"/>
      <c r="J852" s="26"/>
      <c r="K852" s="26"/>
      <c r="L852" s="55"/>
      <c r="M852" s="26"/>
    </row>
    <row r="853" spans="1:13" ht="75" customHeight="1" thickTop="1" thickBot="1">
      <c r="A853" s="34">
        <v>851</v>
      </c>
      <c r="B853" s="55"/>
      <c r="C853" s="56"/>
      <c r="D853" s="56"/>
      <c r="E853" s="26"/>
      <c r="F853" s="26"/>
      <c r="G853" s="26"/>
      <c r="H853" s="26"/>
      <c r="I853" s="26"/>
      <c r="J853" s="26"/>
      <c r="K853" s="26"/>
      <c r="L853" s="55"/>
      <c r="M853" s="26"/>
    </row>
    <row r="854" spans="1:13" ht="75" customHeight="1" thickTop="1" thickBot="1">
      <c r="A854" s="26">
        <v>852</v>
      </c>
      <c r="B854" s="55"/>
      <c r="C854" s="56"/>
      <c r="D854" s="56"/>
      <c r="E854" s="26"/>
      <c r="F854" s="26"/>
      <c r="G854" s="26"/>
      <c r="H854" s="26"/>
      <c r="I854" s="26"/>
      <c r="J854" s="26"/>
      <c r="K854" s="26"/>
      <c r="L854" s="55"/>
      <c r="M854" s="26"/>
    </row>
    <row r="855" spans="1:13" ht="75" customHeight="1" thickTop="1" thickBot="1">
      <c r="A855" s="34">
        <v>853</v>
      </c>
      <c r="B855" s="55"/>
      <c r="C855" s="56"/>
      <c r="D855" s="56"/>
      <c r="E855" s="26"/>
      <c r="F855" s="26"/>
      <c r="G855" s="26"/>
      <c r="H855" s="26"/>
      <c r="I855" s="26"/>
      <c r="J855" s="26"/>
      <c r="K855" s="26"/>
      <c r="L855" s="55"/>
      <c r="M855" s="26"/>
    </row>
    <row r="856" spans="1:13" ht="75" customHeight="1" thickTop="1" thickBot="1">
      <c r="A856" s="26">
        <v>854</v>
      </c>
      <c r="B856" s="55"/>
      <c r="C856" s="56"/>
      <c r="D856" s="56"/>
      <c r="E856" s="26"/>
      <c r="F856" s="26"/>
      <c r="G856" s="26"/>
      <c r="H856" s="26"/>
      <c r="I856" s="26"/>
      <c r="J856" s="26"/>
      <c r="K856" s="26"/>
      <c r="L856" s="55"/>
      <c r="M856" s="26"/>
    </row>
    <row r="857" spans="1:13" ht="75" customHeight="1" thickTop="1" thickBot="1">
      <c r="A857" s="34">
        <v>855</v>
      </c>
      <c r="B857" s="55"/>
      <c r="C857" s="56"/>
      <c r="D857" s="56"/>
      <c r="E857" s="26"/>
      <c r="F857" s="26"/>
      <c r="G857" s="26"/>
      <c r="H857" s="26"/>
      <c r="I857" s="26"/>
      <c r="J857" s="26"/>
      <c r="K857" s="26"/>
      <c r="L857" s="55"/>
      <c r="M857" s="26"/>
    </row>
    <row r="858" spans="1:13" ht="75" customHeight="1" thickTop="1" thickBot="1">
      <c r="A858" s="26">
        <v>856</v>
      </c>
      <c r="B858" s="55"/>
      <c r="C858" s="56"/>
      <c r="D858" s="56"/>
      <c r="E858" s="26"/>
      <c r="F858" s="26"/>
      <c r="G858" s="26"/>
      <c r="H858" s="26"/>
      <c r="I858" s="26"/>
      <c r="J858" s="26"/>
      <c r="K858" s="26"/>
      <c r="L858" s="55"/>
      <c r="M858" s="26"/>
    </row>
    <row r="859" spans="1:13" ht="75" customHeight="1" thickTop="1" thickBot="1">
      <c r="A859" s="34">
        <v>857</v>
      </c>
      <c r="B859" s="55"/>
      <c r="C859" s="56"/>
      <c r="D859" s="56"/>
      <c r="E859" s="26"/>
      <c r="F859" s="26"/>
      <c r="G859" s="26"/>
      <c r="H859" s="26"/>
      <c r="I859" s="26"/>
      <c r="J859" s="26"/>
      <c r="K859" s="26"/>
      <c r="L859" s="55"/>
      <c r="M859" s="26"/>
    </row>
    <row r="860" spans="1:13" ht="75" customHeight="1" thickTop="1" thickBot="1">
      <c r="A860" s="26">
        <v>858</v>
      </c>
      <c r="B860" s="55"/>
      <c r="C860" s="56"/>
      <c r="D860" s="56"/>
      <c r="E860" s="26"/>
      <c r="F860" s="26"/>
      <c r="G860" s="26"/>
      <c r="H860" s="26"/>
      <c r="I860" s="26"/>
      <c r="J860" s="26"/>
      <c r="K860" s="26"/>
      <c r="L860" s="55"/>
      <c r="M860" s="26"/>
    </row>
    <row r="861" spans="1:13" ht="75" customHeight="1" thickTop="1" thickBot="1">
      <c r="A861" s="34">
        <v>859</v>
      </c>
      <c r="B861" s="55"/>
      <c r="C861" s="56"/>
      <c r="D861" s="56"/>
      <c r="E861" s="26"/>
      <c r="F861" s="26"/>
      <c r="G861" s="26"/>
      <c r="H861" s="26"/>
      <c r="I861" s="26"/>
      <c r="J861" s="26"/>
      <c r="K861" s="26"/>
      <c r="L861" s="55"/>
      <c r="M861" s="26"/>
    </row>
    <row r="862" spans="1:13" ht="75" customHeight="1" thickTop="1" thickBot="1">
      <c r="A862" s="26">
        <v>860</v>
      </c>
      <c r="B862" s="55"/>
      <c r="C862" s="56"/>
      <c r="D862" s="56"/>
      <c r="E862" s="26"/>
      <c r="F862" s="26"/>
      <c r="G862" s="26"/>
      <c r="H862" s="26"/>
      <c r="I862" s="26"/>
      <c r="J862" s="26"/>
      <c r="K862" s="26"/>
      <c r="L862" s="55"/>
      <c r="M862" s="26"/>
    </row>
    <row r="863" spans="1:13" ht="75" customHeight="1" thickTop="1" thickBot="1">
      <c r="A863" s="34">
        <v>861</v>
      </c>
      <c r="B863" s="55"/>
      <c r="C863" s="56"/>
      <c r="D863" s="56"/>
      <c r="E863" s="26"/>
      <c r="F863" s="26"/>
      <c r="G863" s="26"/>
      <c r="H863" s="26"/>
      <c r="I863" s="26"/>
      <c r="J863" s="26"/>
      <c r="K863" s="26"/>
      <c r="L863" s="55"/>
      <c r="M863" s="26"/>
    </row>
    <row r="864" spans="1:13" ht="75" customHeight="1" thickTop="1" thickBot="1">
      <c r="A864" s="26">
        <v>862</v>
      </c>
      <c r="B864" s="55"/>
      <c r="C864" s="56"/>
      <c r="D864" s="56"/>
      <c r="E864" s="26"/>
      <c r="F864" s="26"/>
      <c r="G864" s="26"/>
      <c r="H864" s="26"/>
      <c r="I864" s="26"/>
      <c r="J864" s="26"/>
      <c r="K864" s="26"/>
      <c r="L864" s="55"/>
      <c r="M864" s="26"/>
    </row>
    <row r="865" spans="1:13" ht="75" customHeight="1" thickTop="1" thickBot="1">
      <c r="A865" s="34">
        <v>863</v>
      </c>
      <c r="B865" s="55"/>
      <c r="C865" s="56"/>
      <c r="D865" s="56"/>
      <c r="E865" s="26"/>
      <c r="F865" s="26"/>
      <c r="G865" s="26"/>
      <c r="H865" s="26"/>
      <c r="I865" s="26"/>
      <c r="J865" s="26"/>
      <c r="K865" s="26"/>
      <c r="L865" s="55"/>
      <c r="M865" s="26"/>
    </row>
    <row r="866" spans="1:13" ht="75" customHeight="1" thickTop="1" thickBot="1">
      <c r="A866" s="26">
        <v>864</v>
      </c>
      <c r="B866" s="55"/>
      <c r="C866" s="56"/>
      <c r="D866" s="56"/>
      <c r="E866" s="26"/>
      <c r="F866" s="26"/>
      <c r="G866" s="26"/>
      <c r="H866" s="26"/>
      <c r="I866" s="26"/>
      <c r="J866" s="26"/>
      <c r="K866" s="26"/>
      <c r="L866" s="55"/>
      <c r="M866" s="26"/>
    </row>
    <row r="867" spans="1:13" ht="75" customHeight="1" thickTop="1" thickBot="1">
      <c r="A867" s="34">
        <v>865</v>
      </c>
      <c r="B867" s="55"/>
      <c r="C867" s="56"/>
      <c r="D867" s="56"/>
      <c r="E867" s="26"/>
      <c r="F867" s="26"/>
      <c r="G867" s="26"/>
      <c r="H867" s="26"/>
      <c r="I867" s="26"/>
      <c r="J867" s="26"/>
      <c r="K867" s="26"/>
      <c r="L867" s="55"/>
      <c r="M867" s="26"/>
    </row>
    <row r="868" spans="1:13" ht="75" customHeight="1" thickTop="1" thickBot="1">
      <c r="A868" s="26">
        <v>866</v>
      </c>
      <c r="B868" s="55"/>
      <c r="C868" s="56"/>
      <c r="D868" s="56"/>
      <c r="E868" s="26"/>
      <c r="F868" s="26"/>
      <c r="G868" s="26"/>
      <c r="H868" s="26"/>
      <c r="I868" s="26"/>
      <c r="J868" s="26"/>
      <c r="K868" s="26"/>
      <c r="L868" s="55"/>
      <c r="M868" s="26"/>
    </row>
    <row r="869" spans="1:13" ht="75" customHeight="1" thickTop="1" thickBot="1">
      <c r="A869" s="34">
        <v>867</v>
      </c>
      <c r="B869" s="55"/>
      <c r="C869" s="56"/>
      <c r="D869" s="56"/>
      <c r="E869" s="26"/>
      <c r="F869" s="26"/>
      <c r="G869" s="26"/>
      <c r="H869" s="26"/>
      <c r="I869" s="26"/>
      <c r="J869" s="26"/>
      <c r="K869" s="26"/>
      <c r="L869" s="55"/>
      <c r="M869" s="26"/>
    </row>
    <row r="870" spans="1:13" ht="75" customHeight="1" thickTop="1" thickBot="1">
      <c r="A870" s="26">
        <v>868</v>
      </c>
      <c r="B870" s="55"/>
      <c r="C870" s="56"/>
      <c r="D870" s="56"/>
      <c r="E870" s="26"/>
      <c r="F870" s="26"/>
      <c r="G870" s="26"/>
      <c r="H870" s="26"/>
      <c r="I870" s="26"/>
      <c r="J870" s="26"/>
      <c r="K870" s="26"/>
      <c r="L870" s="55"/>
      <c r="M870" s="26"/>
    </row>
    <row r="871" spans="1:13" ht="75" customHeight="1" thickTop="1" thickBot="1">
      <c r="A871" s="34">
        <v>869</v>
      </c>
      <c r="B871" s="55"/>
      <c r="C871" s="56"/>
      <c r="D871" s="56"/>
      <c r="E871" s="26"/>
      <c r="F871" s="26"/>
      <c r="G871" s="26"/>
      <c r="H871" s="26"/>
      <c r="I871" s="26"/>
      <c r="J871" s="26"/>
      <c r="K871" s="26"/>
      <c r="L871" s="55"/>
      <c r="M871" s="26"/>
    </row>
    <row r="872" spans="1:13" ht="75" customHeight="1" thickTop="1" thickBot="1">
      <c r="A872" s="26">
        <v>870</v>
      </c>
      <c r="B872" s="55"/>
      <c r="C872" s="56"/>
      <c r="D872" s="56"/>
      <c r="E872" s="26"/>
      <c r="F872" s="26"/>
      <c r="G872" s="26"/>
      <c r="H872" s="26"/>
      <c r="I872" s="26"/>
      <c r="J872" s="26"/>
      <c r="K872" s="26"/>
      <c r="L872" s="55"/>
      <c r="M872" s="26"/>
    </row>
    <row r="873" spans="1:13" ht="75" customHeight="1" thickTop="1" thickBot="1">
      <c r="A873" s="34">
        <v>871</v>
      </c>
      <c r="B873" s="55"/>
      <c r="C873" s="56"/>
      <c r="D873" s="56"/>
      <c r="E873" s="26"/>
      <c r="F873" s="26"/>
      <c r="G873" s="26"/>
      <c r="H873" s="26"/>
      <c r="I873" s="26"/>
      <c r="J873" s="26"/>
      <c r="K873" s="26"/>
      <c r="L873" s="55"/>
      <c r="M873" s="26"/>
    </row>
    <row r="874" spans="1:13" ht="75" customHeight="1" thickTop="1" thickBot="1">
      <c r="A874" s="26">
        <v>872</v>
      </c>
      <c r="B874" s="55"/>
      <c r="C874" s="56"/>
      <c r="D874" s="56"/>
      <c r="E874" s="26"/>
      <c r="F874" s="26"/>
      <c r="G874" s="26"/>
      <c r="H874" s="26"/>
      <c r="I874" s="26"/>
      <c r="J874" s="26"/>
      <c r="K874" s="26"/>
      <c r="L874" s="55"/>
      <c r="M874" s="26"/>
    </row>
    <row r="875" spans="1:13" ht="75" customHeight="1" thickTop="1" thickBot="1">
      <c r="A875" s="34">
        <v>873</v>
      </c>
      <c r="B875" s="55"/>
      <c r="C875" s="56"/>
      <c r="D875" s="56"/>
      <c r="E875" s="26"/>
      <c r="F875" s="26"/>
      <c r="G875" s="26"/>
      <c r="H875" s="26"/>
      <c r="I875" s="26"/>
      <c r="J875" s="26"/>
      <c r="K875" s="26"/>
      <c r="L875" s="55"/>
      <c r="M875" s="26"/>
    </row>
    <row r="876" spans="1:13" ht="75" customHeight="1" thickTop="1" thickBot="1">
      <c r="A876" s="26">
        <v>874</v>
      </c>
      <c r="B876" s="55"/>
      <c r="C876" s="56"/>
      <c r="D876" s="56"/>
      <c r="E876" s="26"/>
      <c r="F876" s="26"/>
      <c r="G876" s="26"/>
      <c r="H876" s="26"/>
      <c r="I876" s="26"/>
      <c r="J876" s="26"/>
      <c r="K876" s="26"/>
      <c r="L876" s="55"/>
      <c r="M876" s="26"/>
    </row>
    <row r="877" spans="1:13" ht="75" customHeight="1" thickTop="1" thickBot="1">
      <c r="A877" s="34">
        <v>875</v>
      </c>
      <c r="B877" s="55"/>
      <c r="C877" s="56"/>
      <c r="D877" s="56"/>
      <c r="E877" s="26"/>
      <c r="F877" s="26"/>
      <c r="G877" s="26"/>
      <c r="H877" s="26"/>
      <c r="I877" s="26"/>
      <c r="J877" s="26"/>
      <c r="K877" s="26"/>
      <c r="L877" s="55"/>
      <c r="M877" s="26"/>
    </row>
    <row r="878" spans="1:13" ht="75" customHeight="1" thickTop="1" thickBot="1">
      <c r="A878" s="26">
        <v>876</v>
      </c>
      <c r="B878" s="55"/>
      <c r="C878" s="56"/>
      <c r="D878" s="56"/>
      <c r="E878" s="26"/>
      <c r="F878" s="26"/>
      <c r="G878" s="26"/>
      <c r="H878" s="26"/>
      <c r="I878" s="26"/>
      <c r="J878" s="26"/>
      <c r="K878" s="26"/>
      <c r="L878" s="55"/>
      <c r="M878" s="26"/>
    </row>
    <row r="879" spans="1:13" ht="75" customHeight="1" thickTop="1" thickBot="1">
      <c r="A879" s="34">
        <v>877</v>
      </c>
      <c r="B879" s="55"/>
      <c r="C879" s="56"/>
      <c r="D879" s="56"/>
      <c r="E879" s="26"/>
      <c r="F879" s="26"/>
      <c r="G879" s="26"/>
      <c r="H879" s="26"/>
      <c r="I879" s="26"/>
      <c r="J879" s="26"/>
      <c r="K879" s="26"/>
      <c r="L879" s="55"/>
      <c r="M879" s="26"/>
    </row>
    <row r="880" spans="1:13" ht="75" customHeight="1" thickTop="1" thickBot="1">
      <c r="A880" s="26">
        <v>878</v>
      </c>
      <c r="B880" s="55"/>
      <c r="C880" s="56"/>
      <c r="D880" s="56"/>
      <c r="E880" s="26"/>
      <c r="F880" s="26"/>
      <c r="G880" s="26"/>
      <c r="H880" s="26"/>
      <c r="I880" s="26"/>
      <c r="J880" s="26"/>
      <c r="K880" s="26"/>
      <c r="L880" s="55"/>
      <c r="M880" s="26"/>
    </row>
    <row r="881" spans="1:13" ht="75" customHeight="1" thickTop="1" thickBot="1">
      <c r="A881" s="34">
        <v>879</v>
      </c>
      <c r="B881" s="55"/>
      <c r="C881" s="56"/>
      <c r="D881" s="56"/>
      <c r="E881" s="26"/>
      <c r="F881" s="26"/>
      <c r="G881" s="26"/>
      <c r="H881" s="26"/>
      <c r="I881" s="26"/>
      <c r="J881" s="26"/>
      <c r="K881" s="26"/>
      <c r="L881" s="55"/>
      <c r="M881" s="26"/>
    </row>
    <row r="882" spans="1:13" ht="75" customHeight="1" thickTop="1" thickBot="1">
      <c r="A882" s="26">
        <v>880</v>
      </c>
      <c r="B882" s="55"/>
      <c r="C882" s="56"/>
      <c r="D882" s="56"/>
      <c r="E882" s="26"/>
      <c r="F882" s="26"/>
      <c r="G882" s="26"/>
      <c r="H882" s="26"/>
      <c r="I882" s="26"/>
      <c r="J882" s="26"/>
      <c r="K882" s="26"/>
      <c r="L882" s="55"/>
      <c r="M882" s="26"/>
    </row>
    <row r="883" spans="1:13" ht="75" customHeight="1" thickTop="1" thickBot="1">
      <c r="A883" s="34">
        <v>881</v>
      </c>
      <c r="B883" s="55"/>
      <c r="C883" s="56"/>
      <c r="D883" s="56"/>
      <c r="E883" s="26"/>
      <c r="F883" s="26"/>
      <c r="G883" s="26"/>
      <c r="H883" s="26"/>
      <c r="I883" s="26"/>
      <c r="J883" s="26"/>
      <c r="K883" s="26"/>
      <c r="L883" s="55"/>
      <c r="M883" s="26"/>
    </row>
    <row r="884" spans="1:13" ht="75" customHeight="1" thickTop="1" thickBot="1">
      <c r="A884" s="26">
        <v>882</v>
      </c>
      <c r="B884" s="55"/>
      <c r="C884" s="56"/>
      <c r="D884" s="56"/>
      <c r="E884" s="26"/>
      <c r="F884" s="26"/>
      <c r="G884" s="26"/>
      <c r="H884" s="26"/>
      <c r="I884" s="26"/>
      <c r="J884" s="26"/>
      <c r="K884" s="26"/>
      <c r="L884" s="55"/>
      <c r="M884" s="26"/>
    </row>
    <row r="885" spans="1:13" ht="75" customHeight="1" thickTop="1" thickBot="1">
      <c r="A885" s="34">
        <v>883</v>
      </c>
      <c r="B885" s="55"/>
      <c r="C885" s="56"/>
      <c r="D885" s="56"/>
      <c r="E885" s="26"/>
      <c r="F885" s="26"/>
      <c r="G885" s="26"/>
      <c r="H885" s="26"/>
      <c r="I885" s="26"/>
      <c r="J885" s="26"/>
      <c r="K885" s="26"/>
      <c r="L885" s="55"/>
      <c r="M885" s="26"/>
    </row>
    <row r="886" spans="1:13" ht="75" customHeight="1" thickTop="1" thickBot="1">
      <c r="A886" s="26">
        <v>884</v>
      </c>
      <c r="B886" s="55"/>
      <c r="C886" s="56"/>
      <c r="D886" s="56"/>
      <c r="E886" s="26"/>
      <c r="F886" s="26"/>
      <c r="G886" s="26"/>
      <c r="H886" s="26"/>
      <c r="I886" s="26"/>
      <c r="J886" s="26"/>
      <c r="K886" s="26"/>
      <c r="L886" s="55"/>
      <c r="M886" s="26"/>
    </row>
    <row r="887" spans="1:13" ht="75" customHeight="1" thickTop="1" thickBot="1">
      <c r="A887" s="34">
        <v>885</v>
      </c>
      <c r="B887" s="55"/>
      <c r="C887" s="56"/>
      <c r="D887" s="56"/>
      <c r="E887" s="26"/>
      <c r="F887" s="26"/>
      <c r="G887" s="26"/>
      <c r="H887" s="26"/>
      <c r="I887" s="26"/>
      <c r="J887" s="26"/>
      <c r="K887" s="26"/>
      <c r="L887" s="55"/>
      <c r="M887" s="26"/>
    </row>
    <row r="888" spans="1:13" ht="75" customHeight="1" thickTop="1" thickBot="1">
      <c r="A888" s="26">
        <v>886</v>
      </c>
      <c r="B888" s="55"/>
      <c r="C888" s="56"/>
      <c r="D888" s="56"/>
      <c r="E888" s="26"/>
      <c r="F888" s="26"/>
      <c r="G888" s="26"/>
      <c r="H888" s="26"/>
      <c r="I888" s="26"/>
      <c r="J888" s="26"/>
      <c r="K888" s="26"/>
      <c r="L888" s="55"/>
      <c r="M888" s="26"/>
    </row>
    <row r="889" spans="1:13" ht="75" customHeight="1" thickTop="1" thickBot="1">
      <c r="A889" s="34">
        <v>887</v>
      </c>
      <c r="B889" s="55"/>
      <c r="C889" s="56"/>
      <c r="D889" s="56"/>
      <c r="E889" s="26"/>
      <c r="F889" s="26"/>
      <c r="G889" s="26"/>
      <c r="H889" s="26"/>
      <c r="I889" s="26"/>
      <c r="J889" s="26"/>
      <c r="K889" s="26"/>
      <c r="L889" s="55"/>
      <c r="M889" s="26"/>
    </row>
    <row r="890" spans="1:13" ht="75" customHeight="1" thickTop="1" thickBot="1">
      <c r="A890" s="26">
        <v>888</v>
      </c>
      <c r="B890" s="55"/>
      <c r="C890" s="56"/>
      <c r="D890" s="56"/>
      <c r="E890" s="26"/>
      <c r="F890" s="26"/>
      <c r="G890" s="26"/>
      <c r="H890" s="26"/>
      <c r="I890" s="26"/>
      <c r="J890" s="26"/>
      <c r="K890" s="26"/>
      <c r="L890" s="55"/>
      <c r="M890" s="26"/>
    </row>
    <row r="891" spans="1:13" ht="75" customHeight="1" thickTop="1" thickBot="1">
      <c r="A891" s="34">
        <v>889</v>
      </c>
      <c r="B891" s="55"/>
      <c r="C891" s="56"/>
      <c r="D891" s="56"/>
      <c r="E891" s="26"/>
      <c r="F891" s="26"/>
      <c r="G891" s="26"/>
      <c r="H891" s="26"/>
      <c r="I891" s="26"/>
      <c r="J891" s="26"/>
      <c r="K891" s="26"/>
      <c r="L891" s="55"/>
      <c r="M891" s="26"/>
    </row>
    <row r="892" spans="1:13" ht="75" customHeight="1" thickTop="1" thickBot="1">
      <c r="A892" s="26">
        <v>890</v>
      </c>
      <c r="B892" s="55"/>
      <c r="C892" s="56"/>
      <c r="D892" s="56"/>
      <c r="E892" s="26"/>
      <c r="F892" s="26"/>
      <c r="G892" s="26"/>
      <c r="H892" s="26"/>
      <c r="I892" s="26"/>
      <c r="J892" s="26"/>
      <c r="K892" s="26"/>
      <c r="L892" s="55"/>
      <c r="M892" s="26"/>
    </row>
    <row r="893" spans="1:13" ht="75" customHeight="1" thickTop="1" thickBot="1">
      <c r="A893" s="34">
        <v>891</v>
      </c>
      <c r="B893" s="55"/>
      <c r="C893" s="56"/>
      <c r="D893" s="56"/>
      <c r="E893" s="26"/>
      <c r="F893" s="26"/>
      <c r="G893" s="26"/>
      <c r="H893" s="26"/>
      <c r="I893" s="26"/>
      <c r="J893" s="26"/>
      <c r="K893" s="26"/>
      <c r="L893" s="55"/>
      <c r="M893" s="26"/>
    </row>
    <row r="894" spans="1:13" ht="75" customHeight="1" thickTop="1" thickBot="1">
      <c r="A894" s="26">
        <v>892</v>
      </c>
      <c r="B894" s="55"/>
      <c r="C894" s="56"/>
      <c r="D894" s="56"/>
      <c r="E894" s="26"/>
      <c r="F894" s="26"/>
      <c r="G894" s="26"/>
      <c r="H894" s="26"/>
      <c r="I894" s="26"/>
      <c r="J894" s="26"/>
      <c r="K894" s="26"/>
      <c r="L894" s="55"/>
      <c r="M894" s="26"/>
    </row>
    <row r="895" spans="1:13" ht="75" customHeight="1" thickTop="1" thickBot="1">
      <c r="A895" s="34">
        <v>893</v>
      </c>
      <c r="B895" s="55"/>
      <c r="C895" s="56"/>
      <c r="D895" s="56"/>
      <c r="E895" s="26"/>
      <c r="F895" s="26"/>
      <c r="G895" s="26"/>
      <c r="H895" s="26"/>
      <c r="I895" s="26"/>
      <c r="J895" s="26"/>
      <c r="K895" s="26"/>
      <c r="L895" s="55"/>
      <c r="M895" s="26"/>
    </row>
    <row r="896" spans="1:13" ht="75" customHeight="1" thickTop="1" thickBot="1">
      <c r="A896" s="26">
        <v>894</v>
      </c>
      <c r="B896" s="55"/>
      <c r="C896" s="56"/>
      <c r="D896" s="56"/>
      <c r="E896" s="26"/>
      <c r="F896" s="26"/>
      <c r="G896" s="26"/>
      <c r="H896" s="26"/>
      <c r="I896" s="26"/>
      <c r="J896" s="26"/>
      <c r="K896" s="26"/>
      <c r="L896" s="55"/>
      <c r="M896" s="26"/>
    </row>
    <row r="897" spans="1:13" ht="75" customHeight="1" thickTop="1" thickBot="1">
      <c r="A897" s="34">
        <v>895</v>
      </c>
      <c r="B897" s="55"/>
      <c r="C897" s="56"/>
      <c r="D897" s="56"/>
      <c r="E897" s="26"/>
      <c r="F897" s="26"/>
      <c r="G897" s="26"/>
      <c r="H897" s="26"/>
      <c r="I897" s="26"/>
      <c r="J897" s="26"/>
      <c r="K897" s="26"/>
      <c r="L897" s="55"/>
      <c r="M897" s="26"/>
    </row>
    <row r="898" spans="1:13" ht="75" customHeight="1" thickTop="1" thickBot="1">
      <c r="A898" s="26">
        <v>896</v>
      </c>
      <c r="B898" s="55"/>
      <c r="C898" s="56"/>
      <c r="D898" s="56"/>
      <c r="E898" s="26"/>
      <c r="F898" s="26"/>
      <c r="G898" s="26"/>
      <c r="H898" s="26"/>
      <c r="I898" s="26"/>
      <c r="J898" s="26"/>
      <c r="K898" s="26"/>
      <c r="L898" s="55"/>
      <c r="M898" s="26"/>
    </row>
    <row r="899" spans="1:13" ht="75" customHeight="1" thickTop="1" thickBot="1">
      <c r="A899" s="34">
        <v>897</v>
      </c>
      <c r="B899" s="55"/>
      <c r="C899" s="56"/>
      <c r="D899" s="56"/>
      <c r="E899" s="26"/>
      <c r="F899" s="26"/>
      <c r="G899" s="26"/>
      <c r="H899" s="26"/>
      <c r="I899" s="26"/>
      <c r="J899" s="26"/>
      <c r="K899" s="26"/>
      <c r="L899" s="55"/>
      <c r="M899" s="26"/>
    </row>
    <row r="900" spans="1:13" ht="75" customHeight="1" thickTop="1" thickBot="1">
      <c r="A900" s="26">
        <v>898</v>
      </c>
      <c r="B900" s="55"/>
      <c r="C900" s="56"/>
      <c r="D900" s="56"/>
      <c r="E900" s="26"/>
      <c r="F900" s="26"/>
      <c r="G900" s="26"/>
      <c r="H900" s="26"/>
      <c r="I900" s="26"/>
      <c r="J900" s="26"/>
      <c r="K900" s="26"/>
      <c r="L900" s="55"/>
      <c r="M900" s="26"/>
    </row>
    <row r="901" spans="1:13" ht="75" customHeight="1" thickTop="1" thickBot="1">
      <c r="A901" s="34">
        <v>899</v>
      </c>
      <c r="B901" s="55"/>
      <c r="C901" s="56"/>
      <c r="D901" s="56"/>
      <c r="E901" s="26"/>
      <c r="F901" s="26"/>
      <c r="G901" s="26"/>
      <c r="H901" s="26"/>
      <c r="I901" s="26"/>
      <c r="J901" s="26"/>
      <c r="K901" s="26"/>
      <c r="L901" s="55"/>
      <c r="M901" s="26"/>
    </row>
    <row r="902" spans="1:13" ht="75" customHeight="1" thickTop="1" thickBot="1">
      <c r="A902" s="26">
        <v>900</v>
      </c>
      <c r="B902" s="55"/>
      <c r="C902" s="56"/>
      <c r="D902" s="56"/>
      <c r="E902" s="26"/>
      <c r="F902" s="26"/>
      <c r="G902" s="26"/>
      <c r="H902" s="26"/>
      <c r="I902" s="26"/>
      <c r="J902" s="26"/>
      <c r="K902" s="26"/>
      <c r="L902" s="55"/>
      <c r="M902" s="26"/>
    </row>
    <row r="903" spans="1:13" ht="75" customHeight="1" thickTop="1" thickBot="1">
      <c r="A903" s="34">
        <v>901</v>
      </c>
      <c r="B903" s="55"/>
      <c r="C903" s="56"/>
      <c r="D903" s="56"/>
      <c r="E903" s="26"/>
      <c r="F903" s="26"/>
      <c r="G903" s="26"/>
      <c r="H903" s="26"/>
      <c r="I903" s="26"/>
      <c r="J903" s="26"/>
      <c r="K903" s="26"/>
      <c r="L903" s="55"/>
      <c r="M903" s="26"/>
    </row>
    <row r="904" spans="1:13" ht="75" customHeight="1" thickTop="1" thickBot="1">
      <c r="A904" s="26">
        <v>902</v>
      </c>
      <c r="B904" s="55"/>
      <c r="C904" s="56"/>
      <c r="D904" s="56"/>
      <c r="E904" s="26"/>
      <c r="F904" s="26"/>
      <c r="G904" s="26"/>
      <c r="H904" s="26"/>
      <c r="I904" s="26"/>
      <c r="J904" s="26"/>
      <c r="K904" s="26"/>
      <c r="L904" s="55"/>
      <c r="M904" s="26"/>
    </row>
    <row r="905" spans="1:13" ht="75" customHeight="1" thickTop="1" thickBot="1">
      <c r="A905" s="34">
        <v>903</v>
      </c>
      <c r="B905" s="55"/>
      <c r="C905" s="56"/>
      <c r="D905" s="56"/>
      <c r="E905" s="26"/>
      <c r="F905" s="26"/>
      <c r="G905" s="26"/>
      <c r="H905" s="26"/>
      <c r="I905" s="26"/>
      <c r="J905" s="26"/>
      <c r="K905" s="26"/>
      <c r="L905" s="55"/>
      <c r="M905" s="26"/>
    </row>
    <row r="906" spans="1:13" ht="75" customHeight="1" thickTop="1" thickBot="1">
      <c r="A906" s="26">
        <v>904</v>
      </c>
      <c r="B906" s="55"/>
      <c r="C906" s="56"/>
      <c r="D906" s="56"/>
      <c r="E906" s="26"/>
      <c r="F906" s="26"/>
      <c r="G906" s="26"/>
      <c r="H906" s="26"/>
      <c r="I906" s="26"/>
      <c r="J906" s="26"/>
      <c r="K906" s="26"/>
      <c r="L906" s="55"/>
      <c r="M906" s="26"/>
    </row>
    <row r="907" spans="1:13" ht="75" customHeight="1" thickTop="1" thickBot="1">
      <c r="A907" s="34">
        <v>905</v>
      </c>
      <c r="B907" s="55"/>
      <c r="C907" s="56"/>
      <c r="D907" s="56"/>
      <c r="E907" s="26"/>
      <c r="F907" s="26"/>
      <c r="G907" s="26"/>
      <c r="H907" s="26"/>
      <c r="I907" s="26"/>
      <c r="J907" s="26"/>
      <c r="K907" s="26"/>
      <c r="L907" s="55"/>
      <c r="M907" s="26"/>
    </row>
    <row r="908" spans="1:13" ht="75" customHeight="1" thickTop="1" thickBot="1">
      <c r="A908" s="26">
        <v>906</v>
      </c>
      <c r="B908" s="55"/>
      <c r="C908" s="56"/>
      <c r="D908" s="56"/>
      <c r="E908" s="26"/>
      <c r="F908" s="26"/>
      <c r="G908" s="26"/>
      <c r="H908" s="26"/>
      <c r="I908" s="26"/>
      <c r="J908" s="26"/>
      <c r="K908" s="26"/>
      <c r="L908" s="55"/>
      <c r="M908" s="26"/>
    </row>
    <row r="909" spans="1:13" ht="75" customHeight="1" thickTop="1" thickBot="1">
      <c r="A909" s="34">
        <v>907</v>
      </c>
      <c r="B909" s="55"/>
      <c r="C909" s="56"/>
      <c r="D909" s="56"/>
      <c r="E909" s="26"/>
      <c r="F909" s="26"/>
      <c r="G909" s="26"/>
      <c r="H909" s="26"/>
      <c r="I909" s="26"/>
      <c r="J909" s="26"/>
      <c r="K909" s="26"/>
      <c r="L909" s="55"/>
      <c r="M909" s="26"/>
    </row>
    <row r="910" spans="1:13" ht="75" customHeight="1" thickTop="1" thickBot="1">
      <c r="A910" s="26">
        <v>908</v>
      </c>
      <c r="B910" s="55"/>
      <c r="C910" s="56"/>
      <c r="D910" s="56"/>
      <c r="E910" s="26"/>
      <c r="F910" s="26"/>
      <c r="G910" s="26"/>
      <c r="H910" s="26"/>
      <c r="I910" s="26"/>
      <c r="J910" s="26"/>
      <c r="K910" s="26"/>
      <c r="L910" s="55"/>
      <c r="M910" s="26"/>
    </row>
    <row r="911" spans="1:13" ht="75" customHeight="1" thickTop="1" thickBot="1">
      <c r="A911" s="34">
        <v>909</v>
      </c>
      <c r="B911" s="55"/>
      <c r="C911" s="56"/>
      <c r="D911" s="56"/>
      <c r="E911" s="26"/>
      <c r="F911" s="26"/>
      <c r="G911" s="26"/>
      <c r="H911" s="26"/>
      <c r="I911" s="26"/>
      <c r="J911" s="26"/>
      <c r="K911" s="26"/>
      <c r="L911" s="55"/>
      <c r="M911" s="26"/>
    </row>
    <row r="912" spans="1:13" ht="75" customHeight="1" thickTop="1" thickBot="1">
      <c r="A912" s="26">
        <v>910</v>
      </c>
      <c r="B912" s="55"/>
      <c r="C912" s="56"/>
      <c r="D912" s="56"/>
      <c r="E912" s="26"/>
      <c r="F912" s="26"/>
      <c r="G912" s="26"/>
      <c r="H912" s="26"/>
      <c r="I912" s="26"/>
      <c r="J912" s="26"/>
      <c r="K912" s="26"/>
      <c r="L912" s="55"/>
      <c r="M912" s="26"/>
    </row>
    <row r="913" spans="1:13" ht="75" customHeight="1" thickTop="1" thickBot="1">
      <c r="A913" s="34">
        <v>911</v>
      </c>
      <c r="B913" s="55"/>
      <c r="C913" s="56"/>
      <c r="D913" s="56"/>
      <c r="E913" s="26"/>
      <c r="F913" s="26"/>
      <c r="G913" s="26"/>
      <c r="H913" s="26"/>
      <c r="I913" s="26"/>
      <c r="J913" s="26"/>
      <c r="K913" s="26"/>
      <c r="L913" s="55"/>
      <c r="M913" s="26"/>
    </row>
    <row r="914" spans="1:13" ht="75" customHeight="1" thickTop="1" thickBot="1">
      <c r="A914" s="26">
        <v>912</v>
      </c>
      <c r="B914" s="55"/>
      <c r="C914" s="56"/>
      <c r="D914" s="56"/>
      <c r="E914" s="26"/>
      <c r="F914" s="26"/>
      <c r="G914" s="26"/>
      <c r="H914" s="26"/>
      <c r="I914" s="26"/>
      <c r="J914" s="26"/>
      <c r="K914" s="26"/>
      <c r="L914" s="55"/>
      <c r="M914" s="26"/>
    </row>
    <row r="915" spans="1:13" ht="75" customHeight="1" thickTop="1" thickBot="1">
      <c r="A915" s="34">
        <v>913</v>
      </c>
      <c r="B915" s="55"/>
      <c r="C915" s="56"/>
      <c r="D915" s="56"/>
      <c r="E915" s="26"/>
      <c r="F915" s="26"/>
      <c r="G915" s="26"/>
      <c r="H915" s="26"/>
      <c r="I915" s="26"/>
      <c r="J915" s="26"/>
      <c r="K915" s="26"/>
      <c r="L915" s="55"/>
      <c r="M915" s="26"/>
    </row>
    <row r="916" spans="1:13" ht="75" customHeight="1" thickTop="1" thickBot="1">
      <c r="A916" s="26">
        <v>914</v>
      </c>
      <c r="B916" s="55"/>
      <c r="C916" s="56"/>
      <c r="D916" s="56"/>
      <c r="E916" s="26"/>
      <c r="F916" s="26"/>
      <c r="G916" s="26"/>
      <c r="H916" s="26"/>
      <c r="I916" s="26"/>
      <c r="J916" s="26"/>
      <c r="K916" s="26"/>
      <c r="L916" s="55"/>
      <c r="M916" s="26"/>
    </row>
    <row r="917" spans="1:13" ht="75" customHeight="1" thickTop="1" thickBot="1">
      <c r="A917" s="34">
        <v>915</v>
      </c>
      <c r="B917" s="55"/>
      <c r="C917" s="56"/>
      <c r="D917" s="56"/>
      <c r="E917" s="26"/>
      <c r="F917" s="26"/>
      <c r="G917" s="26"/>
      <c r="H917" s="26"/>
      <c r="I917" s="26"/>
      <c r="J917" s="26"/>
      <c r="K917" s="26"/>
      <c r="L917" s="55"/>
      <c r="M917" s="26"/>
    </row>
    <row r="918" spans="1:13" ht="75" customHeight="1" thickTop="1" thickBot="1">
      <c r="A918" s="26">
        <v>916</v>
      </c>
      <c r="B918" s="55"/>
      <c r="C918" s="56"/>
      <c r="D918" s="56"/>
      <c r="E918" s="26"/>
      <c r="F918" s="26"/>
      <c r="G918" s="26"/>
      <c r="H918" s="26"/>
      <c r="I918" s="26"/>
      <c r="J918" s="26"/>
      <c r="K918" s="26"/>
      <c r="L918" s="55"/>
      <c r="M918" s="26"/>
    </row>
    <row r="919" spans="1:13" ht="75" customHeight="1" thickTop="1" thickBot="1">
      <c r="A919" s="34">
        <v>917</v>
      </c>
      <c r="B919" s="55"/>
      <c r="C919" s="56"/>
      <c r="D919" s="56"/>
      <c r="E919" s="26"/>
      <c r="F919" s="26"/>
      <c r="G919" s="26"/>
      <c r="H919" s="26"/>
      <c r="I919" s="26"/>
      <c r="J919" s="26"/>
      <c r="K919" s="26"/>
      <c r="L919" s="55"/>
      <c r="M919" s="26"/>
    </row>
    <row r="920" spans="1:13" ht="75" customHeight="1" thickTop="1" thickBot="1">
      <c r="A920" s="26">
        <v>918</v>
      </c>
      <c r="B920" s="55"/>
      <c r="C920" s="56"/>
      <c r="D920" s="56"/>
      <c r="E920" s="26"/>
      <c r="F920" s="26"/>
      <c r="G920" s="26"/>
      <c r="H920" s="26"/>
      <c r="I920" s="26"/>
      <c r="J920" s="26"/>
      <c r="K920" s="26"/>
      <c r="L920" s="55"/>
      <c r="M920" s="26"/>
    </row>
    <row r="921" spans="1:13" ht="75" customHeight="1" thickTop="1" thickBot="1">
      <c r="A921" s="34">
        <v>919</v>
      </c>
      <c r="B921" s="55"/>
      <c r="C921" s="56"/>
      <c r="D921" s="56"/>
      <c r="E921" s="26"/>
      <c r="F921" s="26"/>
      <c r="G921" s="26"/>
      <c r="H921" s="26"/>
      <c r="I921" s="26"/>
      <c r="J921" s="26"/>
      <c r="K921" s="26"/>
      <c r="L921" s="55"/>
      <c r="M921" s="26"/>
    </row>
    <row r="922" spans="1:13" ht="75" customHeight="1" thickTop="1" thickBot="1">
      <c r="A922" s="26">
        <v>920</v>
      </c>
      <c r="B922" s="55"/>
      <c r="C922" s="56"/>
      <c r="D922" s="56"/>
      <c r="E922" s="26"/>
      <c r="F922" s="26"/>
      <c r="G922" s="26"/>
      <c r="H922" s="26"/>
      <c r="I922" s="26"/>
      <c r="J922" s="26"/>
      <c r="K922" s="26"/>
      <c r="L922" s="55"/>
      <c r="M922" s="26"/>
    </row>
    <row r="923" spans="1:13" ht="75" customHeight="1" thickTop="1" thickBot="1">
      <c r="A923" s="34">
        <v>921</v>
      </c>
      <c r="B923" s="55"/>
      <c r="C923" s="56"/>
      <c r="D923" s="56"/>
      <c r="E923" s="26"/>
      <c r="F923" s="26"/>
      <c r="G923" s="26"/>
      <c r="H923" s="26"/>
      <c r="I923" s="26"/>
      <c r="J923" s="26"/>
      <c r="K923" s="26"/>
      <c r="L923" s="55"/>
      <c r="M923" s="26"/>
    </row>
    <row r="924" spans="1:13" ht="75" customHeight="1" thickTop="1" thickBot="1">
      <c r="A924" s="26">
        <v>922</v>
      </c>
      <c r="B924" s="55"/>
      <c r="C924" s="56"/>
      <c r="D924" s="56"/>
      <c r="E924" s="26"/>
      <c r="F924" s="26"/>
      <c r="G924" s="26"/>
      <c r="H924" s="26"/>
      <c r="I924" s="26"/>
      <c r="J924" s="26"/>
      <c r="K924" s="26"/>
      <c r="L924" s="55"/>
      <c r="M924" s="26"/>
    </row>
    <row r="925" spans="1:13" ht="75" customHeight="1" thickTop="1" thickBot="1">
      <c r="A925" s="34">
        <v>923</v>
      </c>
      <c r="B925" s="55"/>
      <c r="C925" s="56"/>
      <c r="D925" s="56"/>
      <c r="E925" s="26"/>
      <c r="F925" s="26"/>
      <c r="G925" s="26"/>
      <c r="H925" s="26"/>
      <c r="I925" s="26"/>
      <c r="J925" s="26"/>
      <c r="K925" s="26"/>
      <c r="L925" s="55"/>
      <c r="M925" s="26"/>
    </row>
    <row r="926" spans="1:13" ht="75" customHeight="1" thickTop="1" thickBot="1">
      <c r="A926" s="26">
        <v>924</v>
      </c>
      <c r="B926" s="55"/>
      <c r="C926" s="56"/>
      <c r="D926" s="56"/>
      <c r="E926" s="26"/>
      <c r="F926" s="26"/>
      <c r="G926" s="26"/>
      <c r="H926" s="26"/>
      <c r="I926" s="26"/>
      <c r="J926" s="26"/>
      <c r="K926" s="26"/>
      <c r="L926" s="55"/>
      <c r="M926" s="26"/>
    </row>
    <row r="927" spans="1:13" ht="75" customHeight="1" thickTop="1" thickBot="1">
      <c r="A927" s="34">
        <v>925</v>
      </c>
      <c r="B927" s="55"/>
      <c r="C927" s="56"/>
      <c r="D927" s="56"/>
      <c r="E927" s="26"/>
      <c r="F927" s="26"/>
      <c r="G927" s="26"/>
      <c r="H927" s="26"/>
      <c r="I927" s="26"/>
      <c r="J927" s="26"/>
      <c r="K927" s="26"/>
      <c r="L927" s="55"/>
      <c r="M927" s="26"/>
    </row>
    <row r="928" spans="1:13" ht="75" customHeight="1" thickTop="1" thickBot="1">
      <c r="A928" s="26">
        <v>926</v>
      </c>
      <c r="B928" s="55"/>
      <c r="C928" s="56"/>
      <c r="D928" s="56"/>
      <c r="E928" s="26"/>
      <c r="F928" s="26"/>
      <c r="G928" s="26"/>
      <c r="H928" s="26"/>
      <c r="I928" s="26"/>
      <c r="J928" s="26"/>
      <c r="K928" s="26"/>
      <c r="L928" s="55"/>
      <c r="M928" s="26"/>
    </row>
    <row r="929" spans="1:13" ht="75" customHeight="1" thickTop="1" thickBot="1">
      <c r="A929" s="34">
        <v>927</v>
      </c>
      <c r="B929" s="55"/>
      <c r="C929" s="56"/>
      <c r="D929" s="56"/>
      <c r="E929" s="26"/>
      <c r="F929" s="26"/>
      <c r="G929" s="26"/>
      <c r="H929" s="26"/>
      <c r="I929" s="26"/>
      <c r="J929" s="26"/>
      <c r="K929" s="26"/>
      <c r="L929" s="55"/>
      <c r="M929" s="26"/>
    </row>
    <row r="930" spans="1:13" ht="75" customHeight="1" thickTop="1" thickBot="1">
      <c r="A930" s="26">
        <v>928</v>
      </c>
      <c r="B930" s="55"/>
      <c r="C930" s="56"/>
      <c r="D930" s="56"/>
      <c r="E930" s="26"/>
      <c r="F930" s="26"/>
      <c r="G930" s="26"/>
      <c r="H930" s="26"/>
      <c r="I930" s="26"/>
      <c r="J930" s="26"/>
      <c r="K930" s="26"/>
      <c r="L930" s="55"/>
      <c r="M930" s="26"/>
    </row>
    <row r="931" spans="1:13" ht="75" customHeight="1" thickTop="1" thickBot="1">
      <c r="A931" s="34">
        <v>929</v>
      </c>
      <c r="B931" s="55"/>
      <c r="C931" s="56"/>
      <c r="D931" s="56"/>
      <c r="E931" s="26"/>
      <c r="F931" s="26"/>
      <c r="G931" s="26"/>
      <c r="H931" s="26"/>
      <c r="I931" s="26"/>
      <c r="J931" s="26"/>
      <c r="K931" s="26"/>
      <c r="L931" s="55"/>
      <c r="M931" s="26"/>
    </row>
    <row r="932" spans="1:13" ht="75" customHeight="1" thickTop="1" thickBot="1">
      <c r="A932" s="26">
        <v>930</v>
      </c>
      <c r="B932" s="55"/>
      <c r="C932" s="56"/>
      <c r="D932" s="56"/>
      <c r="E932" s="26"/>
      <c r="F932" s="26"/>
      <c r="G932" s="26"/>
      <c r="H932" s="26"/>
      <c r="I932" s="26"/>
      <c r="J932" s="26"/>
      <c r="K932" s="26"/>
      <c r="L932" s="55"/>
      <c r="M932" s="26"/>
    </row>
    <row r="933" spans="1:13" ht="75" customHeight="1" thickTop="1" thickBot="1">
      <c r="A933" s="34">
        <v>931</v>
      </c>
      <c r="B933" s="55"/>
      <c r="C933" s="56"/>
      <c r="D933" s="56"/>
      <c r="E933" s="26"/>
      <c r="F933" s="26"/>
      <c r="G933" s="26"/>
      <c r="H933" s="26"/>
      <c r="I933" s="26"/>
      <c r="J933" s="26"/>
      <c r="K933" s="26"/>
      <c r="L933" s="55"/>
      <c r="M933" s="26"/>
    </row>
    <row r="934" spans="1:13" ht="75" customHeight="1" thickTop="1" thickBot="1">
      <c r="A934" s="26">
        <v>932</v>
      </c>
      <c r="B934" s="55"/>
      <c r="C934" s="56"/>
      <c r="D934" s="56"/>
      <c r="E934" s="26"/>
      <c r="F934" s="26"/>
      <c r="G934" s="26"/>
      <c r="H934" s="26"/>
      <c r="I934" s="26"/>
      <c r="J934" s="26"/>
      <c r="K934" s="26"/>
      <c r="L934" s="55"/>
      <c r="M934" s="26"/>
    </row>
    <row r="935" spans="1:13" ht="75" customHeight="1" thickTop="1" thickBot="1">
      <c r="A935" s="34">
        <v>933</v>
      </c>
      <c r="B935" s="55"/>
      <c r="C935" s="56"/>
      <c r="D935" s="56"/>
      <c r="E935" s="26"/>
      <c r="F935" s="26"/>
      <c r="G935" s="26"/>
      <c r="H935" s="26"/>
      <c r="I935" s="26"/>
      <c r="J935" s="26"/>
      <c r="K935" s="26"/>
      <c r="L935" s="55"/>
      <c r="M935" s="26"/>
    </row>
    <row r="936" spans="1:13" ht="75" customHeight="1" thickTop="1" thickBot="1">
      <c r="A936" s="26">
        <v>934</v>
      </c>
      <c r="B936" s="55"/>
      <c r="C936" s="56"/>
      <c r="D936" s="56"/>
      <c r="E936" s="26"/>
      <c r="F936" s="26"/>
      <c r="G936" s="26"/>
      <c r="H936" s="26"/>
      <c r="I936" s="26"/>
      <c r="J936" s="26"/>
      <c r="K936" s="26"/>
      <c r="L936" s="55"/>
      <c r="M936" s="26"/>
    </row>
    <row r="937" spans="1:13" ht="75" customHeight="1" thickTop="1" thickBot="1">
      <c r="A937" s="34">
        <v>935</v>
      </c>
      <c r="B937" s="55"/>
      <c r="C937" s="56"/>
      <c r="D937" s="56"/>
      <c r="E937" s="26"/>
      <c r="F937" s="26"/>
      <c r="G937" s="26"/>
      <c r="H937" s="26"/>
      <c r="I937" s="26"/>
      <c r="J937" s="26"/>
      <c r="K937" s="26"/>
      <c r="L937" s="55"/>
      <c r="M937" s="26"/>
    </row>
    <row r="938" spans="1:13" ht="75" customHeight="1" thickTop="1" thickBot="1">
      <c r="A938" s="26">
        <v>936</v>
      </c>
      <c r="B938" s="55"/>
      <c r="C938" s="56"/>
      <c r="D938" s="56"/>
      <c r="E938" s="26"/>
      <c r="F938" s="26"/>
      <c r="G938" s="26"/>
      <c r="H938" s="26"/>
      <c r="I938" s="26"/>
      <c r="J938" s="26"/>
      <c r="K938" s="26"/>
      <c r="L938" s="55"/>
      <c r="M938" s="26"/>
    </row>
    <row r="939" spans="1:13" ht="75" customHeight="1" thickTop="1" thickBot="1">
      <c r="A939" s="34">
        <v>937</v>
      </c>
      <c r="B939" s="55"/>
      <c r="C939" s="56"/>
      <c r="D939" s="56"/>
      <c r="E939" s="26"/>
      <c r="F939" s="26"/>
      <c r="G939" s="26"/>
      <c r="H939" s="26"/>
      <c r="I939" s="26"/>
      <c r="J939" s="26"/>
      <c r="K939" s="26"/>
      <c r="L939" s="55"/>
      <c r="M939" s="26"/>
    </row>
    <row r="940" spans="1:13" ht="75" customHeight="1" thickTop="1" thickBot="1">
      <c r="A940" s="26">
        <v>938</v>
      </c>
      <c r="B940" s="55"/>
      <c r="C940" s="56"/>
      <c r="D940" s="56"/>
      <c r="E940" s="26"/>
      <c r="F940" s="26"/>
      <c r="G940" s="26"/>
      <c r="H940" s="26"/>
      <c r="I940" s="26"/>
      <c r="J940" s="26"/>
      <c r="K940" s="26"/>
      <c r="L940" s="55"/>
      <c r="M940" s="26"/>
    </row>
    <row r="941" spans="1:13" ht="75" customHeight="1" thickTop="1" thickBot="1">
      <c r="A941" s="34">
        <v>939</v>
      </c>
      <c r="B941" s="55"/>
      <c r="C941" s="56"/>
      <c r="D941" s="56"/>
      <c r="E941" s="26"/>
      <c r="F941" s="26"/>
      <c r="G941" s="26"/>
      <c r="H941" s="26"/>
      <c r="I941" s="26"/>
      <c r="J941" s="26"/>
      <c r="K941" s="26"/>
      <c r="L941" s="55"/>
      <c r="M941" s="26"/>
    </row>
    <row r="942" spans="1:13" ht="75" customHeight="1" thickTop="1" thickBot="1">
      <c r="A942" s="26">
        <v>940</v>
      </c>
      <c r="B942" s="55"/>
      <c r="C942" s="56"/>
      <c r="D942" s="56"/>
      <c r="E942" s="26"/>
      <c r="F942" s="26"/>
      <c r="G942" s="26"/>
      <c r="H942" s="26"/>
      <c r="I942" s="26"/>
      <c r="J942" s="26"/>
      <c r="K942" s="26"/>
      <c r="L942" s="55"/>
      <c r="M942" s="26"/>
    </row>
    <row r="943" spans="1:13" ht="75" customHeight="1" thickTop="1" thickBot="1">
      <c r="A943" s="34">
        <v>941</v>
      </c>
      <c r="B943" s="55"/>
      <c r="C943" s="56"/>
      <c r="D943" s="56"/>
      <c r="E943" s="26"/>
      <c r="F943" s="26"/>
      <c r="G943" s="26"/>
      <c r="H943" s="26"/>
      <c r="I943" s="26"/>
      <c r="J943" s="26"/>
      <c r="K943" s="26"/>
      <c r="L943" s="55"/>
      <c r="M943" s="26"/>
    </row>
    <row r="944" spans="1:13" ht="75" customHeight="1" thickTop="1" thickBot="1">
      <c r="A944" s="26">
        <v>942</v>
      </c>
      <c r="B944" s="55"/>
      <c r="C944" s="56"/>
      <c r="D944" s="56"/>
      <c r="E944" s="26"/>
      <c r="F944" s="26"/>
      <c r="G944" s="26"/>
      <c r="H944" s="26"/>
      <c r="I944" s="26"/>
      <c r="J944" s="26"/>
      <c r="K944" s="26"/>
      <c r="L944" s="55"/>
      <c r="M944" s="26"/>
    </row>
    <row r="945" spans="1:13" ht="75" customHeight="1" thickTop="1" thickBot="1">
      <c r="A945" s="34">
        <v>943</v>
      </c>
      <c r="B945" s="55"/>
      <c r="C945" s="56"/>
      <c r="D945" s="56"/>
      <c r="E945" s="26"/>
      <c r="F945" s="26"/>
      <c r="G945" s="26"/>
      <c r="H945" s="26"/>
      <c r="I945" s="26"/>
      <c r="J945" s="26"/>
      <c r="K945" s="26"/>
      <c r="L945" s="55"/>
      <c r="M945" s="26"/>
    </row>
    <row r="946" spans="1:13" ht="75" customHeight="1" thickTop="1" thickBot="1">
      <c r="A946" s="26">
        <v>944</v>
      </c>
      <c r="B946" s="55"/>
      <c r="C946" s="56"/>
      <c r="D946" s="56"/>
      <c r="E946" s="26"/>
      <c r="F946" s="26"/>
      <c r="G946" s="26"/>
      <c r="H946" s="26"/>
      <c r="I946" s="26"/>
      <c r="J946" s="26"/>
      <c r="K946" s="26"/>
      <c r="L946" s="55"/>
      <c r="M946" s="26"/>
    </row>
    <row r="947" spans="1:13" ht="75" customHeight="1" thickTop="1" thickBot="1">
      <c r="A947" s="34">
        <v>945</v>
      </c>
      <c r="B947" s="55"/>
      <c r="C947" s="56"/>
      <c r="D947" s="56"/>
      <c r="E947" s="26"/>
      <c r="F947" s="26"/>
      <c r="G947" s="26"/>
      <c r="H947" s="26"/>
      <c r="I947" s="26"/>
      <c r="J947" s="26"/>
      <c r="K947" s="26"/>
      <c r="L947" s="55"/>
      <c r="M947" s="26"/>
    </row>
    <row r="948" spans="1:13" ht="75" customHeight="1" thickTop="1" thickBot="1">
      <c r="A948" s="26">
        <v>946</v>
      </c>
      <c r="B948" s="55"/>
      <c r="C948" s="56"/>
      <c r="D948" s="56"/>
      <c r="E948" s="26"/>
      <c r="F948" s="26"/>
      <c r="G948" s="26"/>
      <c r="H948" s="26"/>
      <c r="I948" s="26"/>
      <c r="J948" s="26"/>
      <c r="K948" s="26"/>
      <c r="L948" s="55"/>
      <c r="M948" s="26"/>
    </row>
    <row r="949" spans="1:13" ht="75" customHeight="1" thickTop="1" thickBot="1">
      <c r="A949" s="34">
        <v>947</v>
      </c>
      <c r="B949" s="55"/>
      <c r="C949" s="56"/>
      <c r="D949" s="56"/>
      <c r="E949" s="26"/>
      <c r="F949" s="26"/>
      <c r="G949" s="26"/>
      <c r="H949" s="26"/>
      <c r="I949" s="26"/>
      <c r="J949" s="26"/>
      <c r="K949" s="26"/>
      <c r="L949" s="55"/>
      <c r="M949" s="26"/>
    </row>
    <row r="950" spans="1:13" ht="75" customHeight="1" thickTop="1" thickBot="1">
      <c r="A950" s="26">
        <v>948</v>
      </c>
      <c r="B950" s="55"/>
      <c r="C950" s="56"/>
      <c r="D950" s="56"/>
      <c r="E950" s="26"/>
      <c r="F950" s="26"/>
      <c r="G950" s="26"/>
      <c r="H950" s="26"/>
      <c r="I950" s="26"/>
      <c r="J950" s="26"/>
      <c r="K950" s="26"/>
      <c r="L950" s="55"/>
      <c r="M950" s="26"/>
    </row>
    <row r="951" spans="1:13" ht="75" customHeight="1" thickTop="1" thickBot="1">
      <c r="A951" s="34">
        <v>949</v>
      </c>
      <c r="B951" s="55"/>
      <c r="C951" s="56"/>
      <c r="D951" s="56"/>
      <c r="E951" s="26"/>
      <c r="F951" s="26"/>
      <c r="G951" s="26"/>
      <c r="H951" s="26"/>
      <c r="I951" s="26"/>
      <c r="J951" s="26"/>
      <c r="K951" s="26"/>
      <c r="L951" s="55"/>
      <c r="M951" s="26"/>
    </row>
    <row r="952" spans="1:13" ht="75" customHeight="1" thickTop="1" thickBot="1">
      <c r="A952" s="26">
        <v>950</v>
      </c>
      <c r="B952" s="55"/>
      <c r="C952" s="56"/>
      <c r="D952" s="56"/>
      <c r="E952" s="26"/>
      <c r="F952" s="26"/>
      <c r="G952" s="26"/>
      <c r="H952" s="26"/>
      <c r="I952" s="26"/>
      <c r="J952" s="26"/>
      <c r="K952" s="26"/>
      <c r="L952" s="55"/>
      <c r="M952" s="26"/>
    </row>
    <row r="953" spans="1:13" ht="75" customHeight="1" thickTop="1" thickBot="1">
      <c r="A953" s="34">
        <v>951</v>
      </c>
      <c r="B953" s="55"/>
      <c r="C953" s="56"/>
      <c r="D953" s="56"/>
      <c r="E953" s="26"/>
      <c r="F953" s="26"/>
      <c r="G953" s="26"/>
      <c r="H953" s="26"/>
      <c r="I953" s="26"/>
      <c r="J953" s="26"/>
      <c r="K953" s="26"/>
      <c r="L953" s="55"/>
      <c r="M953" s="26"/>
    </row>
    <row r="954" spans="1:13" ht="75" customHeight="1" thickTop="1" thickBot="1">
      <c r="A954" s="26">
        <v>952</v>
      </c>
      <c r="B954" s="55"/>
      <c r="C954" s="56"/>
      <c r="D954" s="56"/>
      <c r="E954" s="26"/>
      <c r="F954" s="26"/>
      <c r="G954" s="26"/>
      <c r="H954" s="26"/>
      <c r="I954" s="26"/>
      <c r="J954" s="26"/>
      <c r="K954" s="26"/>
      <c r="L954" s="55"/>
      <c r="M954" s="26"/>
    </row>
    <row r="955" spans="1:13" ht="75" customHeight="1" thickTop="1" thickBot="1">
      <c r="A955" s="34">
        <v>953</v>
      </c>
      <c r="B955" s="55"/>
      <c r="C955" s="56"/>
      <c r="D955" s="56"/>
      <c r="E955" s="26"/>
      <c r="F955" s="26"/>
      <c r="G955" s="26"/>
      <c r="H955" s="26"/>
      <c r="I955" s="26"/>
      <c r="J955" s="26"/>
      <c r="K955" s="26"/>
      <c r="L955" s="55"/>
      <c r="M955" s="26"/>
    </row>
    <row r="956" spans="1:13" ht="75" customHeight="1" thickTop="1" thickBot="1">
      <c r="A956" s="26">
        <v>954</v>
      </c>
      <c r="B956" s="55"/>
      <c r="C956" s="56"/>
      <c r="D956" s="56"/>
      <c r="E956" s="26"/>
      <c r="F956" s="26"/>
      <c r="G956" s="26"/>
      <c r="H956" s="26"/>
      <c r="I956" s="26"/>
      <c r="J956" s="26"/>
      <c r="K956" s="26"/>
      <c r="L956" s="55"/>
      <c r="M956" s="26"/>
    </row>
    <row r="957" spans="1:13" ht="75" customHeight="1" thickTop="1" thickBot="1">
      <c r="A957" s="34">
        <v>955</v>
      </c>
      <c r="B957" s="55"/>
      <c r="C957" s="56"/>
      <c r="D957" s="56"/>
      <c r="E957" s="26"/>
      <c r="F957" s="26"/>
      <c r="G957" s="26"/>
      <c r="H957" s="26"/>
      <c r="I957" s="26"/>
      <c r="J957" s="26"/>
      <c r="K957" s="26"/>
      <c r="L957" s="55"/>
      <c r="M957" s="26"/>
    </row>
    <row r="958" spans="1:13" ht="75" customHeight="1" thickTop="1" thickBot="1">
      <c r="A958" s="26">
        <v>956</v>
      </c>
      <c r="B958" s="55"/>
      <c r="C958" s="56"/>
      <c r="D958" s="56"/>
      <c r="E958" s="26"/>
      <c r="F958" s="26"/>
      <c r="G958" s="26"/>
      <c r="H958" s="26"/>
      <c r="I958" s="26"/>
      <c r="J958" s="26"/>
      <c r="K958" s="26"/>
      <c r="L958" s="55"/>
      <c r="M958" s="26"/>
    </row>
    <row r="959" spans="1:13" ht="75" customHeight="1" thickTop="1" thickBot="1">
      <c r="A959" s="34">
        <v>957</v>
      </c>
      <c r="B959" s="55"/>
      <c r="C959" s="56"/>
      <c r="D959" s="56"/>
      <c r="E959" s="26"/>
      <c r="F959" s="26"/>
      <c r="G959" s="26"/>
      <c r="H959" s="26"/>
      <c r="I959" s="26"/>
      <c r="J959" s="26"/>
      <c r="K959" s="26"/>
      <c r="L959" s="55"/>
      <c r="M959" s="26"/>
    </row>
    <row r="960" spans="1:13" ht="75" customHeight="1" thickTop="1" thickBot="1">
      <c r="A960" s="26">
        <v>958</v>
      </c>
      <c r="B960" s="55"/>
      <c r="C960" s="56"/>
      <c r="D960" s="56"/>
      <c r="E960" s="26"/>
      <c r="F960" s="26"/>
      <c r="G960" s="26"/>
      <c r="H960" s="26"/>
      <c r="I960" s="26"/>
      <c r="J960" s="26"/>
      <c r="K960" s="26"/>
      <c r="L960" s="55"/>
      <c r="M960" s="26"/>
    </row>
    <row r="961" spans="1:13" ht="75" customHeight="1" thickTop="1" thickBot="1">
      <c r="A961" s="34">
        <v>959</v>
      </c>
      <c r="B961" s="55"/>
      <c r="C961" s="56"/>
      <c r="D961" s="56"/>
      <c r="E961" s="26"/>
      <c r="F961" s="26"/>
      <c r="G961" s="26"/>
      <c r="H961" s="26"/>
      <c r="I961" s="26"/>
      <c r="J961" s="26"/>
      <c r="K961" s="26"/>
      <c r="L961" s="55"/>
      <c r="M961" s="26"/>
    </row>
    <row r="962" spans="1:13" ht="75" customHeight="1" thickTop="1" thickBot="1">
      <c r="A962" s="26">
        <v>960</v>
      </c>
      <c r="B962" s="55"/>
      <c r="C962" s="56"/>
      <c r="D962" s="56"/>
      <c r="E962" s="26"/>
      <c r="F962" s="26"/>
      <c r="G962" s="26"/>
      <c r="H962" s="26"/>
      <c r="I962" s="26"/>
      <c r="J962" s="26"/>
      <c r="K962" s="26"/>
      <c r="L962" s="55"/>
      <c r="M962" s="26"/>
    </row>
    <row r="963" spans="1:13" ht="75" customHeight="1" thickTop="1" thickBot="1">
      <c r="A963" s="34">
        <v>961</v>
      </c>
      <c r="B963" s="55"/>
      <c r="C963" s="56"/>
      <c r="D963" s="56"/>
      <c r="E963" s="26"/>
      <c r="F963" s="26"/>
      <c r="G963" s="26"/>
      <c r="H963" s="26"/>
      <c r="I963" s="26"/>
      <c r="J963" s="26"/>
      <c r="K963" s="26"/>
      <c r="L963" s="55"/>
      <c r="M963" s="26"/>
    </row>
    <row r="964" spans="1:13" ht="75" customHeight="1" thickTop="1" thickBot="1">
      <c r="A964" s="26">
        <v>962</v>
      </c>
      <c r="B964" s="55"/>
      <c r="C964" s="56"/>
      <c r="D964" s="56"/>
      <c r="E964" s="26"/>
      <c r="F964" s="26"/>
      <c r="G964" s="26"/>
      <c r="H964" s="26"/>
      <c r="I964" s="26"/>
      <c r="J964" s="26"/>
      <c r="K964" s="26"/>
      <c r="L964" s="55"/>
      <c r="M964" s="26"/>
    </row>
    <row r="965" spans="1:13" ht="75" customHeight="1" thickTop="1" thickBot="1">
      <c r="A965" s="34">
        <v>963</v>
      </c>
      <c r="B965" s="55"/>
      <c r="C965" s="56"/>
      <c r="D965" s="56"/>
      <c r="E965" s="26"/>
      <c r="F965" s="26"/>
      <c r="G965" s="26"/>
      <c r="H965" s="26"/>
      <c r="I965" s="26"/>
      <c r="J965" s="26"/>
      <c r="K965" s="26"/>
      <c r="L965" s="55"/>
      <c r="M965" s="26"/>
    </row>
    <row r="966" spans="1:13" ht="75" customHeight="1" thickTop="1" thickBot="1">
      <c r="A966" s="26">
        <v>964</v>
      </c>
      <c r="B966" s="55"/>
      <c r="C966" s="56"/>
      <c r="D966" s="56"/>
      <c r="E966" s="26"/>
      <c r="F966" s="26"/>
      <c r="G966" s="26"/>
      <c r="H966" s="26"/>
      <c r="I966" s="26"/>
      <c r="J966" s="26"/>
      <c r="K966" s="26"/>
      <c r="L966" s="55"/>
      <c r="M966" s="26"/>
    </row>
    <row r="967" spans="1:13" ht="75" customHeight="1" thickTop="1" thickBot="1">
      <c r="A967" s="34">
        <v>965</v>
      </c>
      <c r="B967" s="55"/>
      <c r="C967" s="56"/>
      <c r="D967" s="56"/>
      <c r="E967" s="26"/>
      <c r="F967" s="26"/>
      <c r="G967" s="26"/>
      <c r="H967" s="26"/>
      <c r="I967" s="26"/>
      <c r="J967" s="26"/>
      <c r="K967" s="26"/>
      <c r="L967" s="55"/>
      <c r="M967" s="26"/>
    </row>
    <row r="968" spans="1:13" ht="75" customHeight="1" thickTop="1" thickBot="1">
      <c r="A968" s="26">
        <v>966</v>
      </c>
      <c r="B968" s="55"/>
      <c r="C968" s="56"/>
      <c r="D968" s="56"/>
      <c r="E968" s="26"/>
      <c r="F968" s="26"/>
      <c r="G968" s="26"/>
      <c r="H968" s="26"/>
      <c r="I968" s="26"/>
      <c r="J968" s="26"/>
      <c r="K968" s="26"/>
      <c r="L968" s="55"/>
      <c r="M968" s="26"/>
    </row>
    <row r="969" spans="1:13" ht="75" customHeight="1" thickTop="1" thickBot="1">
      <c r="A969" s="34">
        <v>967</v>
      </c>
      <c r="B969" s="55"/>
      <c r="C969" s="56"/>
      <c r="D969" s="56"/>
      <c r="E969" s="26"/>
      <c r="F969" s="26"/>
      <c r="G969" s="26"/>
      <c r="H969" s="26"/>
      <c r="I969" s="26"/>
      <c r="J969" s="26"/>
      <c r="K969" s="26"/>
      <c r="L969" s="55"/>
      <c r="M969" s="26"/>
    </row>
    <row r="970" spans="1:13" ht="75" customHeight="1" thickTop="1" thickBot="1">
      <c r="A970" s="26">
        <v>968</v>
      </c>
      <c r="B970" s="55"/>
      <c r="C970" s="56"/>
      <c r="D970" s="56"/>
      <c r="E970" s="26"/>
      <c r="F970" s="26"/>
      <c r="G970" s="26"/>
      <c r="H970" s="26"/>
      <c r="I970" s="26"/>
      <c r="J970" s="26"/>
      <c r="K970" s="26"/>
      <c r="L970" s="55"/>
      <c r="M970" s="26"/>
    </row>
    <row r="971" spans="1:13" ht="75" customHeight="1" thickTop="1" thickBot="1">
      <c r="A971" s="34">
        <v>969</v>
      </c>
      <c r="B971" s="55"/>
      <c r="C971" s="56"/>
      <c r="D971" s="56"/>
      <c r="E971" s="26"/>
      <c r="F971" s="26"/>
      <c r="G971" s="26"/>
      <c r="H971" s="26"/>
      <c r="I971" s="26"/>
      <c r="J971" s="26"/>
      <c r="K971" s="26"/>
      <c r="L971" s="55"/>
      <c r="M971" s="26"/>
    </row>
    <row r="972" spans="1:13" ht="75" customHeight="1" thickTop="1" thickBot="1">
      <c r="A972" s="26">
        <v>970</v>
      </c>
      <c r="B972" s="55"/>
      <c r="C972" s="56"/>
      <c r="D972" s="56"/>
      <c r="E972" s="26"/>
      <c r="F972" s="26"/>
      <c r="G972" s="26"/>
      <c r="H972" s="26"/>
      <c r="I972" s="26"/>
      <c r="J972" s="26"/>
      <c r="K972" s="26"/>
      <c r="L972" s="55"/>
      <c r="M972" s="26"/>
    </row>
    <row r="973" spans="1:13" ht="75" customHeight="1" thickTop="1" thickBot="1">
      <c r="A973" s="34">
        <v>971</v>
      </c>
      <c r="B973" s="55"/>
      <c r="C973" s="56"/>
      <c r="D973" s="56"/>
      <c r="E973" s="26"/>
      <c r="F973" s="26"/>
      <c r="G973" s="26"/>
      <c r="H973" s="26"/>
      <c r="I973" s="26"/>
      <c r="J973" s="26"/>
      <c r="K973" s="26"/>
      <c r="L973" s="55"/>
      <c r="M973" s="26"/>
    </row>
    <row r="974" spans="1:13" ht="75" customHeight="1" thickTop="1" thickBot="1">
      <c r="A974" s="26">
        <v>972</v>
      </c>
      <c r="B974" s="55"/>
      <c r="C974" s="56"/>
      <c r="D974" s="56"/>
      <c r="E974" s="26"/>
      <c r="F974" s="26"/>
      <c r="G974" s="26"/>
      <c r="H974" s="26"/>
      <c r="I974" s="26"/>
      <c r="J974" s="26"/>
      <c r="K974" s="26"/>
      <c r="L974" s="55"/>
      <c r="M974" s="26"/>
    </row>
    <row r="975" spans="1:13" ht="75" customHeight="1" thickTop="1" thickBot="1">
      <c r="A975" s="34">
        <v>973</v>
      </c>
      <c r="B975" s="55"/>
      <c r="C975" s="56"/>
      <c r="D975" s="56"/>
      <c r="E975" s="26"/>
      <c r="F975" s="26"/>
      <c r="G975" s="26"/>
      <c r="H975" s="26"/>
      <c r="I975" s="26"/>
      <c r="J975" s="26"/>
      <c r="K975" s="26"/>
      <c r="L975" s="55"/>
      <c r="M975" s="26"/>
    </row>
    <row r="976" spans="1:13" ht="75" customHeight="1" thickTop="1" thickBot="1">
      <c r="A976" s="26">
        <v>974</v>
      </c>
      <c r="B976" s="55"/>
      <c r="C976" s="56"/>
      <c r="D976" s="56"/>
      <c r="E976" s="26"/>
      <c r="F976" s="26"/>
      <c r="G976" s="26"/>
      <c r="H976" s="26"/>
      <c r="I976" s="26"/>
      <c r="J976" s="26"/>
      <c r="K976" s="26"/>
      <c r="L976" s="55"/>
      <c r="M976" s="26"/>
    </row>
    <row r="977" spans="1:13" ht="75" customHeight="1" thickTop="1" thickBot="1">
      <c r="A977" s="34">
        <v>975</v>
      </c>
      <c r="B977" s="55"/>
      <c r="C977" s="56"/>
      <c r="D977" s="56"/>
      <c r="E977" s="26"/>
      <c r="F977" s="26"/>
      <c r="G977" s="26"/>
      <c r="H977" s="26"/>
      <c r="I977" s="26"/>
      <c r="J977" s="26"/>
      <c r="K977" s="26"/>
      <c r="L977" s="55"/>
      <c r="M977" s="26"/>
    </row>
    <row r="978" spans="1:13" ht="75" customHeight="1" thickTop="1" thickBot="1">
      <c r="A978" s="26">
        <v>976</v>
      </c>
      <c r="B978" s="55"/>
      <c r="C978" s="56"/>
      <c r="D978" s="56"/>
      <c r="E978" s="26"/>
      <c r="F978" s="26"/>
      <c r="G978" s="26"/>
      <c r="H978" s="26"/>
      <c r="I978" s="26"/>
      <c r="J978" s="26"/>
      <c r="K978" s="26"/>
      <c r="L978" s="55"/>
      <c r="M978" s="26"/>
    </row>
    <row r="979" spans="1:13" ht="75" customHeight="1" thickTop="1" thickBot="1">
      <c r="A979" s="34">
        <v>977</v>
      </c>
      <c r="B979" s="55"/>
      <c r="C979" s="56"/>
      <c r="D979" s="56"/>
      <c r="E979" s="26"/>
      <c r="F979" s="26"/>
      <c r="G979" s="26"/>
      <c r="H979" s="26"/>
      <c r="I979" s="26"/>
      <c r="J979" s="26"/>
      <c r="K979" s="26"/>
      <c r="L979" s="55"/>
      <c r="M979" s="26"/>
    </row>
    <row r="980" spans="1:13" ht="75" customHeight="1" thickTop="1" thickBot="1">
      <c r="A980" s="26">
        <v>978</v>
      </c>
      <c r="B980" s="55"/>
      <c r="C980" s="56"/>
      <c r="D980" s="56"/>
      <c r="E980" s="26"/>
      <c r="F980" s="26"/>
      <c r="G980" s="26"/>
      <c r="H980" s="26"/>
      <c r="I980" s="26"/>
      <c r="J980" s="26"/>
      <c r="K980" s="26"/>
      <c r="L980" s="55"/>
      <c r="M980" s="26"/>
    </row>
    <row r="981" spans="1:13" ht="75" customHeight="1" thickTop="1" thickBot="1">
      <c r="A981" s="34">
        <v>979</v>
      </c>
      <c r="B981" s="55"/>
      <c r="C981" s="56"/>
      <c r="D981" s="56"/>
      <c r="E981" s="26"/>
      <c r="F981" s="26"/>
      <c r="G981" s="26"/>
      <c r="H981" s="26"/>
      <c r="I981" s="26"/>
      <c r="J981" s="26"/>
      <c r="K981" s="26"/>
      <c r="L981" s="55"/>
      <c r="M981" s="26"/>
    </row>
    <row r="982" spans="1:13" ht="75" customHeight="1" thickTop="1" thickBot="1">
      <c r="A982" s="26">
        <v>980</v>
      </c>
      <c r="B982" s="55"/>
      <c r="C982" s="56"/>
      <c r="D982" s="56"/>
      <c r="E982" s="26"/>
      <c r="F982" s="26"/>
      <c r="G982" s="26"/>
      <c r="H982" s="26"/>
      <c r="I982" s="26"/>
      <c r="J982" s="26"/>
      <c r="K982" s="26"/>
      <c r="L982" s="55"/>
      <c r="M982" s="26"/>
    </row>
    <row r="983" spans="1:13" ht="75" customHeight="1" thickTop="1" thickBot="1">
      <c r="A983" s="34">
        <v>981</v>
      </c>
      <c r="B983" s="55"/>
      <c r="C983" s="56"/>
      <c r="D983" s="56"/>
      <c r="E983" s="26"/>
      <c r="F983" s="26"/>
      <c r="G983" s="26"/>
      <c r="H983" s="26"/>
      <c r="I983" s="26"/>
      <c r="J983" s="26"/>
      <c r="K983" s="26"/>
      <c r="L983" s="55"/>
      <c r="M983" s="26"/>
    </row>
    <row r="984" spans="1:13" ht="75" customHeight="1" thickTop="1" thickBot="1">
      <c r="A984" s="26">
        <v>982</v>
      </c>
      <c r="B984" s="55"/>
      <c r="C984" s="56"/>
      <c r="D984" s="56"/>
      <c r="E984" s="26"/>
      <c r="F984" s="26"/>
      <c r="G984" s="26"/>
      <c r="H984" s="26"/>
      <c r="I984" s="26"/>
      <c r="J984" s="26"/>
      <c r="K984" s="26"/>
      <c r="L984" s="55"/>
      <c r="M984" s="26"/>
    </row>
    <row r="985" spans="1:13" ht="75" customHeight="1" thickTop="1" thickBot="1">
      <c r="A985" s="34">
        <v>983</v>
      </c>
      <c r="B985" s="55"/>
      <c r="C985" s="56"/>
      <c r="D985" s="56"/>
      <c r="E985" s="26"/>
      <c r="F985" s="26"/>
      <c r="G985" s="26"/>
      <c r="H985" s="26"/>
      <c r="I985" s="26"/>
      <c r="J985" s="26"/>
      <c r="K985" s="26"/>
      <c r="L985" s="55"/>
      <c r="M985" s="26"/>
    </row>
    <row r="986" spans="1:13" ht="75" customHeight="1" thickTop="1" thickBot="1">
      <c r="A986" s="26">
        <v>984</v>
      </c>
      <c r="B986" s="55"/>
      <c r="C986" s="56"/>
      <c r="D986" s="56"/>
      <c r="E986" s="26"/>
      <c r="F986" s="26"/>
      <c r="G986" s="26"/>
      <c r="H986" s="26"/>
      <c r="I986" s="26"/>
      <c r="J986" s="26"/>
      <c r="K986" s="26"/>
      <c r="L986" s="55"/>
      <c r="M986" s="26"/>
    </row>
    <row r="987" spans="1:13" ht="75" customHeight="1" thickTop="1" thickBot="1">
      <c r="A987" s="34">
        <v>985</v>
      </c>
      <c r="B987" s="55"/>
      <c r="C987" s="56"/>
      <c r="D987" s="56"/>
      <c r="E987" s="26"/>
      <c r="F987" s="26"/>
      <c r="G987" s="26"/>
      <c r="H987" s="26"/>
      <c r="I987" s="26"/>
      <c r="J987" s="26"/>
      <c r="K987" s="26"/>
      <c r="L987" s="55"/>
      <c r="M987" s="26"/>
    </row>
    <row r="988" spans="1:13" ht="75" customHeight="1" thickTop="1" thickBot="1">
      <c r="A988" s="26">
        <v>986</v>
      </c>
      <c r="B988" s="55"/>
      <c r="C988" s="56"/>
      <c r="D988" s="56"/>
      <c r="E988" s="26"/>
      <c r="F988" s="26"/>
      <c r="G988" s="26"/>
      <c r="H988" s="26"/>
      <c r="I988" s="26"/>
      <c r="J988" s="26"/>
      <c r="K988" s="26"/>
      <c r="L988" s="55"/>
      <c r="M988" s="26"/>
    </row>
    <row r="989" spans="1:13" ht="75" customHeight="1" thickTop="1" thickBot="1">
      <c r="A989" s="34">
        <v>987</v>
      </c>
      <c r="B989" s="55"/>
      <c r="C989" s="56"/>
      <c r="D989" s="56"/>
      <c r="E989" s="26"/>
      <c r="F989" s="26"/>
      <c r="G989" s="26"/>
      <c r="H989" s="26"/>
      <c r="I989" s="26"/>
      <c r="J989" s="26"/>
      <c r="K989" s="26"/>
      <c r="L989" s="55"/>
      <c r="M989" s="26"/>
    </row>
    <row r="990" spans="1:13" ht="75" customHeight="1" thickTop="1" thickBot="1">
      <c r="A990" s="26">
        <v>988</v>
      </c>
      <c r="B990" s="55"/>
      <c r="C990" s="56"/>
      <c r="D990" s="56"/>
      <c r="E990" s="26"/>
      <c r="F990" s="26"/>
      <c r="G990" s="26"/>
      <c r="H990" s="26"/>
      <c r="I990" s="26"/>
      <c r="J990" s="26"/>
      <c r="K990" s="26"/>
      <c r="L990" s="55"/>
      <c r="M990" s="26"/>
    </row>
    <row r="991" spans="1:13" ht="75" customHeight="1" thickTop="1" thickBot="1">
      <c r="A991" s="34">
        <v>989</v>
      </c>
      <c r="B991" s="55"/>
      <c r="C991" s="56"/>
      <c r="D991" s="56"/>
      <c r="E991" s="26"/>
      <c r="F991" s="26"/>
      <c r="G991" s="26"/>
      <c r="H991" s="26"/>
      <c r="I991" s="26"/>
      <c r="J991" s="26"/>
      <c r="K991" s="26"/>
      <c r="L991" s="55"/>
      <c r="M991" s="26"/>
    </row>
    <row r="992" spans="1:13" ht="75" customHeight="1" thickTop="1" thickBot="1">
      <c r="A992" s="26">
        <v>990</v>
      </c>
      <c r="B992" s="55"/>
      <c r="C992" s="56"/>
      <c r="D992" s="56"/>
      <c r="E992" s="26"/>
      <c r="F992" s="26"/>
      <c r="G992" s="26"/>
      <c r="H992" s="26"/>
      <c r="I992" s="26"/>
      <c r="J992" s="26"/>
      <c r="K992" s="26"/>
      <c r="L992" s="55"/>
      <c r="M992" s="26"/>
    </row>
    <row r="993" spans="1:13" ht="75" customHeight="1" thickTop="1" thickBot="1">
      <c r="A993" s="34">
        <v>991</v>
      </c>
      <c r="B993" s="55"/>
      <c r="C993" s="56"/>
      <c r="D993" s="56"/>
      <c r="E993" s="26"/>
      <c r="F993" s="26"/>
      <c r="G993" s="26"/>
      <c r="H993" s="26"/>
      <c r="I993" s="26"/>
      <c r="J993" s="26"/>
      <c r="K993" s="26"/>
      <c r="L993" s="55"/>
      <c r="M993" s="26"/>
    </row>
    <row r="994" spans="1:13" ht="75" customHeight="1" thickTop="1" thickBot="1">
      <c r="A994" s="26">
        <v>992</v>
      </c>
      <c r="B994" s="55"/>
      <c r="C994" s="56"/>
      <c r="D994" s="56"/>
      <c r="E994" s="26"/>
      <c r="F994" s="26"/>
      <c r="G994" s="26"/>
      <c r="H994" s="26"/>
      <c r="I994" s="26"/>
      <c r="J994" s="26"/>
      <c r="K994" s="26"/>
      <c r="L994" s="55"/>
      <c r="M994" s="26"/>
    </row>
    <row r="995" spans="1:13" ht="75" customHeight="1" thickTop="1" thickBot="1">
      <c r="A995" s="34">
        <v>993</v>
      </c>
      <c r="B995" s="55"/>
      <c r="C995" s="56"/>
      <c r="D995" s="56"/>
      <c r="E995" s="26"/>
      <c r="F995" s="26"/>
      <c r="G995" s="26"/>
      <c r="H995" s="26"/>
      <c r="I995" s="26"/>
      <c r="J995" s="26"/>
      <c r="K995" s="26"/>
      <c r="L995" s="55"/>
      <c r="M995" s="26"/>
    </row>
    <row r="996" spans="1:13" ht="75" customHeight="1" thickTop="1" thickBot="1">
      <c r="A996" s="26">
        <v>994</v>
      </c>
      <c r="B996" s="55"/>
      <c r="C996" s="56"/>
      <c r="D996" s="56"/>
      <c r="E996" s="26"/>
      <c r="F996" s="26"/>
      <c r="G996" s="26"/>
      <c r="H996" s="26"/>
      <c r="I996" s="26"/>
      <c r="J996" s="26"/>
      <c r="K996" s="26"/>
      <c r="L996" s="55"/>
      <c r="M996" s="26"/>
    </row>
    <row r="997" spans="1:13" ht="75" customHeight="1" thickTop="1" thickBot="1">
      <c r="A997" s="34">
        <v>995</v>
      </c>
      <c r="B997" s="55"/>
      <c r="C997" s="56"/>
      <c r="D997" s="56"/>
      <c r="E997" s="26"/>
      <c r="F997" s="26"/>
      <c r="G997" s="26"/>
      <c r="H997" s="26"/>
      <c r="I997" s="26"/>
      <c r="J997" s="26"/>
      <c r="K997" s="26"/>
      <c r="L997" s="55"/>
      <c r="M997" s="26"/>
    </row>
    <row r="998" spans="1:13" ht="75" customHeight="1" thickTop="1" thickBot="1">
      <c r="A998" s="26">
        <v>996</v>
      </c>
      <c r="B998" s="55"/>
      <c r="C998" s="56"/>
      <c r="D998" s="56"/>
      <c r="E998" s="26"/>
      <c r="F998" s="26"/>
      <c r="G998" s="26"/>
      <c r="H998" s="26"/>
      <c r="I998" s="26"/>
      <c r="J998" s="26"/>
      <c r="K998" s="26"/>
      <c r="L998" s="55"/>
      <c r="M998" s="26"/>
    </row>
    <row r="999" spans="1:13" ht="75" customHeight="1" thickTop="1" thickBot="1">
      <c r="A999" s="34">
        <v>997</v>
      </c>
      <c r="B999" s="55"/>
      <c r="C999" s="56"/>
      <c r="D999" s="56"/>
      <c r="E999" s="26"/>
      <c r="F999" s="26"/>
      <c r="G999" s="26"/>
      <c r="H999" s="26"/>
      <c r="I999" s="26"/>
      <c r="J999" s="26"/>
      <c r="K999" s="26"/>
      <c r="L999" s="55"/>
      <c r="M999" s="26"/>
    </row>
    <row r="1000" spans="1:13" ht="75" customHeight="1" thickTop="1" thickBot="1">
      <c r="A1000" s="26">
        <v>998</v>
      </c>
      <c r="B1000" s="55"/>
      <c r="C1000" s="56"/>
      <c r="D1000" s="56"/>
      <c r="E1000" s="26"/>
      <c r="F1000" s="26"/>
      <c r="G1000" s="26"/>
      <c r="H1000" s="26"/>
      <c r="I1000" s="26"/>
      <c r="J1000" s="26"/>
      <c r="K1000" s="26"/>
      <c r="L1000" s="55"/>
      <c r="M1000" s="26"/>
    </row>
    <row r="1001" spans="1:13" ht="75" customHeight="1" thickTop="1" thickBot="1">
      <c r="A1001" s="34">
        <v>999</v>
      </c>
      <c r="B1001" s="55"/>
      <c r="C1001" s="56"/>
      <c r="D1001" s="56"/>
      <c r="E1001" s="26"/>
      <c r="F1001" s="26"/>
      <c r="G1001" s="26"/>
      <c r="H1001" s="26"/>
      <c r="I1001" s="26"/>
      <c r="J1001" s="26"/>
      <c r="K1001" s="26"/>
      <c r="L1001" s="55"/>
      <c r="M1001" s="26"/>
    </row>
    <row r="1002" spans="1:13" ht="75" customHeight="1" thickTop="1" thickBot="1">
      <c r="A1002" s="26">
        <v>1000</v>
      </c>
      <c r="B1002" s="57"/>
      <c r="C1002" s="58"/>
      <c r="D1002" s="58"/>
      <c r="E1002" s="48"/>
      <c r="F1002" s="48"/>
      <c r="G1002" s="48"/>
      <c r="H1002" s="48"/>
      <c r="I1002" s="48"/>
      <c r="J1002" s="48"/>
      <c r="K1002" s="48"/>
      <c r="L1002" s="57"/>
      <c r="M1002" s="48"/>
    </row>
    <row r="1003" spans="1:13" ht="75" customHeight="1" thickTop="1" thickBot="1">
      <c r="A1003" s="34">
        <v>1001</v>
      </c>
      <c r="B1003" s="55"/>
      <c r="C1003" s="56"/>
      <c r="D1003" s="56"/>
      <c r="E1003" s="26"/>
      <c r="F1003" s="26"/>
      <c r="G1003" s="26"/>
      <c r="H1003" s="26"/>
      <c r="I1003" s="26"/>
      <c r="J1003" s="26"/>
      <c r="K1003" s="26"/>
      <c r="L1003" s="55"/>
      <c r="M1003" s="26"/>
    </row>
    <row r="1004" spans="1:13" ht="75" customHeight="1" thickTop="1" thickBot="1">
      <c r="A1004" s="26">
        <v>1002</v>
      </c>
      <c r="B1004" s="55"/>
      <c r="C1004" s="56"/>
      <c r="D1004" s="56"/>
      <c r="E1004" s="26"/>
      <c r="F1004" s="26"/>
      <c r="G1004" s="26"/>
      <c r="H1004" s="26"/>
      <c r="I1004" s="26"/>
      <c r="J1004" s="26"/>
      <c r="K1004" s="26"/>
      <c r="L1004" s="55"/>
      <c r="M1004" s="26"/>
    </row>
    <row r="1005" spans="1:13" ht="75" customHeight="1" thickTop="1" thickBot="1">
      <c r="A1005" s="34">
        <v>1003</v>
      </c>
      <c r="B1005" s="55"/>
      <c r="C1005" s="56"/>
      <c r="D1005" s="56"/>
      <c r="E1005" s="26"/>
      <c r="F1005" s="26"/>
      <c r="G1005" s="26"/>
      <c r="H1005" s="26"/>
      <c r="I1005" s="26"/>
      <c r="J1005" s="26"/>
      <c r="K1005" s="26"/>
      <c r="L1005" s="55"/>
      <c r="M1005" s="26"/>
    </row>
    <row r="1006" spans="1:13" ht="75" customHeight="1" thickTop="1" thickBot="1">
      <c r="A1006" s="26">
        <v>1004</v>
      </c>
      <c r="B1006" s="55"/>
      <c r="C1006" s="56"/>
      <c r="D1006" s="56"/>
      <c r="E1006" s="26"/>
      <c r="F1006" s="26"/>
      <c r="G1006" s="26"/>
      <c r="H1006" s="26"/>
      <c r="I1006" s="26"/>
      <c r="J1006" s="26"/>
      <c r="K1006" s="26"/>
      <c r="L1006" s="55"/>
      <c r="M1006" s="26"/>
    </row>
    <row r="1007" spans="1:13" ht="75" customHeight="1" thickTop="1" thickBot="1">
      <c r="A1007" s="34">
        <v>1005</v>
      </c>
      <c r="B1007" s="55"/>
      <c r="C1007" s="56"/>
      <c r="D1007" s="56"/>
      <c r="E1007" s="26"/>
      <c r="F1007" s="26"/>
      <c r="G1007" s="26"/>
      <c r="H1007" s="26"/>
      <c r="I1007" s="26"/>
      <c r="J1007" s="26"/>
      <c r="K1007" s="26"/>
      <c r="L1007" s="55"/>
      <c r="M1007" s="26"/>
    </row>
    <row r="1008" spans="1:13" ht="75" customHeight="1" thickTop="1" thickBot="1">
      <c r="A1008" s="26"/>
      <c r="B1008" s="55"/>
      <c r="C1008" s="56"/>
      <c r="D1008" s="56"/>
      <c r="E1008" s="26"/>
      <c r="F1008" s="26"/>
      <c r="G1008" s="26"/>
      <c r="H1008" s="26"/>
      <c r="I1008" s="26"/>
      <c r="J1008" s="26"/>
      <c r="K1008" s="26"/>
      <c r="L1008" s="55"/>
      <c r="M1008" s="26"/>
    </row>
    <row r="1009" spans="1:13" ht="75" customHeight="1" thickTop="1" thickBot="1">
      <c r="A1009" s="26"/>
      <c r="B1009" s="55"/>
      <c r="C1009" s="56"/>
      <c r="D1009" s="56"/>
      <c r="E1009" s="26"/>
      <c r="F1009" s="26"/>
      <c r="G1009" s="26"/>
      <c r="H1009" s="26"/>
      <c r="I1009" s="26"/>
      <c r="J1009" s="26"/>
      <c r="K1009" s="26"/>
      <c r="L1009" s="55"/>
      <c r="M1009" s="26"/>
    </row>
    <row r="1010" spans="1:13" ht="75" customHeight="1" thickTop="1" thickBot="1">
      <c r="A1010" s="26"/>
      <c r="B1010" s="55"/>
      <c r="C1010" s="56"/>
      <c r="D1010" s="56"/>
      <c r="E1010" s="26"/>
      <c r="F1010" s="26"/>
      <c r="G1010" s="26"/>
      <c r="H1010" s="26"/>
      <c r="I1010" s="26"/>
      <c r="J1010" s="26"/>
      <c r="K1010" s="26"/>
      <c r="L1010" s="55"/>
      <c r="M1010" s="26"/>
    </row>
    <row r="1011" spans="1:13" ht="75" customHeight="1" thickTop="1" thickBot="1">
      <c r="A1011" s="26"/>
      <c r="B1011" s="55"/>
      <c r="C1011" s="56"/>
      <c r="D1011" s="56"/>
      <c r="E1011" s="26"/>
      <c r="F1011" s="26"/>
      <c r="G1011" s="26"/>
      <c r="H1011" s="26"/>
      <c r="I1011" s="26"/>
      <c r="J1011" s="26"/>
      <c r="K1011" s="26"/>
      <c r="L1011" s="55"/>
      <c r="M1011" s="26"/>
    </row>
    <row r="1012" spans="1:13" ht="75" customHeight="1" thickTop="1" thickBot="1">
      <c r="A1012" s="26"/>
      <c r="B1012" s="55"/>
      <c r="C1012" s="56"/>
      <c r="D1012" s="56"/>
      <c r="E1012" s="26"/>
      <c r="F1012" s="26"/>
      <c r="G1012" s="26"/>
      <c r="H1012" s="26"/>
      <c r="I1012" s="26"/>
      <c r="J1012" s="26"/>
      <c r="K1012" s="26"/>
      <c r="L1012" s="55"/>
      <c r="M1012" s="26"/>
    </row>
    <row r="1013" spans="1:13" ht="75" customHeight="1" thickTop="1" thickBot="1">
      <c r="A1013" s="26"/>
      <c r="B1013" s="55"/>
      <c r="C1013" s="56"/>
      <c r="D1013" s="56"/>
      <c r="E1013" s="26"/>
      <c r="F1013" s="26"/>
      <c r="G1013" s="26"/>
      <c r="H1013" s="26"/>
      <c r="I1013" s="26"/>
      <c r="J1013" s="26"/>
      <c r="K1013" s="26"/>
      <c r="L1013" s="55"/>
      <c r="M1013" s="26"/>
    </row>
    <row r="1014" spans="1:13" ht="75" customHeight="1" thickTop="1" thickBot="1">
      <c r="A1014" s="26"/>
      <c r="B1014" s="55"/>
      <c r="C1014" s="56"/>
      <c r="D1014" s="56"/>
      <c r="E1014" s="26"/>
      <c r="F1014" s="26"/>
      <c r="G1014" s="26"/>
      <c r="H1014" s="26"/>
      <c r="I1014" s="26"/>
      <c r="J1014" s="26"/>
      <c r="K1014" s="26"/>
      <c r="L1014" s="55"/>
      <c r="M1014" s="26"/>
    </row>
    <row r="1015" spans="1:13" ht="75" customHeight="1" thickTop="1" thickBot="1">
      <c r="A1015" s="26"/>
      <c r="B1015" s="55"/>
      <c r="C1015" s="56"/>
      <c r="D1015" s="56"/>
      <c r="E1015" s="26"/>
      <c r="F1015" s="26"/>
      <c r="G1015" s="26"/>
      <c r="H1015" s="26"/>
      <c r="I1015" s="26"/>
      <c r="J1015" s="26"/>
      <c r="K1015" s="26"/>
      <c r="L1015" s="55"/>
      <c r="M1015" s="26"/>
    </row>
    <row r="1016" spans="1:13" ht="75" customHeight="1" thickTop="1" thickBot="1">
      <c r="A1016" s="26"/>
      <c r="B1016" s="55"/>
      <c r="C1016" s="56"/>
      <c r="D1016" s="56"/>
      <c r="E1016" s="26"/>
      <c r="F1016" s="26"/>
      <c r="G1016" s="26"/>
      <c r="H1016" s="26"/>
      <c r="I1016" s="26"/>
      <c r="J1016" s="26"/>
      <c r="K1016" s="26"/>
      <c r="L1016" s="55"/>
      <c r="M1016" s="26"/>
    </row>
    <row r="1017" spans="1:13" ht="75" customHeight="1" thickTop="1" thickBot="1">
      <c r="A1017" s="26"/>
      <c r="B1017" s="55"/>
      <c r="C1017" s="56"/>
      <c r="D1017" s="56"/>
      <c r="E1017" s="26"/>
      <c r="F1017" s="26"/>
      <c r="G1017" s="26"/>
      <c r="H1017" s="26"/>
      <c r="I1017" s="26"/>
      <c r="J1017" s="26"/>
      <c r="K1017" s="26"/>
      <c r="L1017" s="55"/>
      <c r="M1017" s="26"/>
    </row>
    <row r="1018" spans="1:13" ht="75" customHeight="1" thickTop="1" thickBot="1">
      <c r="A1018" s="26"/>
      <c r="B1018" s="55"/>
      <c r="C1018" s="56"/>
      <c r="D1018" s="56"/>
      <c r="E1018" s="26"/>
      <c r="F1018" s="26"/>
      <c r="G1018" s="26"/>
      <c r="H1018" s="26"/>
      <c r="I1018" s="26"/>
      <c r="J1018" s="26"/>
      <c r="K1018" s="26"/>
      <c r="L1018" s="55"/>
      <c r="M1018" s="26"/>
    </row>
    <row r="1019" spans="1:13" ht="75" customHeight="1" thickTop="1" thickBot="1">
      <c r="A1019" s="26"/>
      <c r="B1019" s="55"/>
      <c r="C1019" s="56"/>
      <c r="D1019" s="56"/>
      <c r="E1019" s="26"/>
      <c r="F1019" s="26"/>
      <c r="G1019" s="26"/>
      <c r="H1019" s="26"/>
      <c r="I1019" s="26"/>
      <c r="J1019" s="26"/>
      <c r="K1019" s="26"/>
      <c r="L1019" s="55"/>
      <c r="M1019" s="26"/>
    </row>
    <row r="1020" spans="1:13" ht="75" customHeight="1" thickTop="1" thickBot="1">
      <c r="A1020" s="26"/>
      <c r="B1020" s="55"/>
      <c r="C1020" s="56"/>
      <c r="D1020" s="56"/>
      <c r="E1020" s="26"/>
      <c r="F1020" s="26"/>
      <c r="G1020" s="26"/>
      <c r="H1020" s="26"/>
      <c r="I1020" s="26"/>
      <c r="J1020" s="26"/>
      <c r="K1020" s="26"/>
      <c r="L1020" s="55"/>
      <c r="M1020" s="26"/>
    </row>
    <row r="1021" spans="1:13" ht="75" customHeight="1" thickTop="1" thickBot="1">
      <c r="A1021" s="26"/>
      <c r="B1021" s="55"/>
      <c r="C1021" s="56"/>
      <c r="D1021" s="56"/>
      <c r="E1021" s="26"/>
      <c r="F1021" s="26"/>
      <c r="G1021" s="26"/>
      <c r="H1021" s="26"/>
      <c r="I1021" s="26"/>
      <c r="J1021" s="26"/>
      <c r="K1021" s="26"/>
      <c r="L1021" s="55"/>
      <c r="M1021" s="26"/>
    </row>
    <row r="1022" spans="1:13" ht="75" customHeight="1" thickTop="1" thickBot="1">
      <c r="A1022" s="26"/>
      <c r="B1022" s="55"/>
      <c r="C1022" s="56"/>
      <c r="D1022" s="56"/>
      <c r="E1022" s="26"/>
      <c r="F1022" s="26"/>
      <c r="G1022" s="26"/>
      <c r="H1022" s="26"/>
      <c r="I1022" s="26"/>
      <c r="J1022" s="26"/>
      <c r="K1022" s="26"/>
      <c r="L1022" s="55"/>
      <c r="M1022" s="26"/>
    </row>
    <row r="1023" spans="1:13" ht="75" customHeight="1" thickTop="1" thickBot="1">
      <c r="A1023" s="26"/>
      <c r="B1023" s="55"/>
      <c r="C1023" s="56"/>
      <c r="D1023" s="56"/>
      <c r="E1023" s="26"/>
      <c r="F1023" s="26"/>
      <c r="G1023" s="26"/>
      <c r="H1023" s="26"/>
      <c r="I1023" s="26"/>
      <c r="J1023" s="26"/>
      <c r="K1023" s="26"/>
      <c r="L1023" s="55"/>
      <c r="M1023" s="26"/>
    </row>
    <row r="1024" spans="1:13" ht="75" customHeight="1" thickTop="1" thickBot="1">
      <c r="A1024" s="26"/>
      <c r="B1024" s="55"/>
      <c r="C1024" s="56"/>
      <c r="D1024" s="56"/>
      <c r="E1024" s="26"/>
      <c r="F1024" s="26"/>
      <c r="G1024" s="26"/>
      <c r="H1024" s="26"/>
      <c r="I1024" s="26"/>
      <c r="J1024" s="26"/>
      <c r="K1024" s="26"/>
      <c r="L1024" s="55"/>
      <c r="M1024" s="26"/>
    </row>
    <row r="1025" spans="1:13" ht="75" customHeight="1" thickTop="1" thickBot="1">
      <c r="A1025" s="26"/>
      <c r="B1025" s="55"/>
      <c r="C1025" s="56"/>
      <c r="D1025" s="56"/>
      <c r="E1025" s="26"/>
      <c r="F1025" s="26"/>
      <c r="G1025" s="26"/>
      <c r="H1025" s="26"/>
      <c r="I1025" s="26"/>
      <c r="J1025" s="26"/>
      <c r="K1025" s="26"/>
      <c r="L1025" s="55"/>
      <c r="M1025" s="26"/>
    </row>
    <row r="1026" spans="1:13" ht="75" customHeight="1" thickTop="1" thickBot="1">
      <c r="A1026" s="26"/>
      <c r="B1026" s="55"/>
      <c r="C1026" s="56"/>
      <c r="D1026" s="56"/>
      <c r="E1026" s="26"/>
      <c r="F1026" s="26"/>
      <c r="G1026" s="26"/>
      <c r="H1026" s="26"/>
      <c r="I1026" s="26"/>
      <c r="J1026" s="26"/>
      <c r="K1026" s="26"/>
      <c r="L1026" s="55"/>
      <c r="M1026" s="26"/>
    </row>
    <row r="1027" spans="1:13" ht="75" customHeight="1" thickTop="1" thickBot="1">
      <c r="A1027" s="26"/>
      <c r="B1027" s="55"/>
      <c r="C1027" s="56"/>
      <c r="D1027" s="56"/>
      <c r="E1027" s="26"/>
      <c r="F1027" s="26"/>
      <c r="G1027" s="26"/>
      <c r="H1027" s="26"/>
      <c r="I1027" s="26"/>
      <c r="J1027" s="26"/>
      <c r="K1027" s="26"/>
      <c r="L1027" s="55"/>
      <c r="M1027" s="26"/>
    </row>
    <row r="1028" spans="1:13" ht="75" customHeight="1" thickTop="1" thickBot="1">
      <c r="A1028" s="26"/>
      <c r="B1028" s="55"/>
      <c r="C1028" s="56"/>
      <c r="D1028" s="56"/>
      <c r="E1028" s="26"/>
      <c r="F1028" s="26"/>
      <c r="G1028" s="26"/>
      <c r="H1028" s="26"/>
      <c r="I1028" s="26"/>
      <c r="J1028" s="26"/>
      <c r="K1028" s="26"/>
      <c r="L1028" s="55"/>
      <c r="M1028" s="26"/>
    </row>
    <row r="1029" spans="1:13" ht="75" customHeight="1" thickTop="1" thickBot="1">
      <c r="A1029" s="26"/>
      <c r="B1029" s="55"/>
      <c r="C1029" s="56"/>
      <c r="D1029" s="56"/>
      <c r="E1029" s="26"/>
      <c r="F1029" s="26"/>
      <c r="G1029" s="26"/>
      <c r="H1029" s="26"/>
      <c r="I1029" s="26"/>
      <c r="J1029" s="26"/>
      <c r="K1029" s="26"/>
      <c r="L1029" s="55"/>
      <c r="M1029" s="26"/>
    </row>
    <row r="1030" spans="1:13" ht="75" customHeight="1" thickTop="1" thickBot="1">
      <c r="A1030" s="26"/>
      <c r="B1030" s="55"/>
      <c r="C1030" s="56"/>
      <c r="D1030" s="56"/>
      <c r="E1030" s="26"/>
      <c r="F1030" s="26"/>
      <c r="G1030" s="26"/>
      <c r="H1030" s="26"/>
      <c r="I1030" s="26"/>
      <c r="J1030" s="26"/>
      <c r="K1030" s="26"/>
      <c r="L1030" s="55"/>
      <c r="M1030" s="26"/>
    </row>
    <row r="1031" spans="1:13" ht="75" customHeight="1" thickTop="1" thickBot="1">
      <c r="A1031" s="26"/>
      <c r="B1031" s="55"/>
      <c r="C1031" s="56"/>
      <c r="D1031" s="56"/>
      <c r="E1031" s="26"/>
      <c r="F1031" s="26"/>
      <c r="G1031" s="26"/>
      <c r="H1031" s="26"/>
      <c r="I1031" s="26"/>
      <c r="J1031" s="26"/>
      <c r="K1031" s="26"/>
      <c r="L1031" s="55"/>
      <c r="M1031" s="26"/>
    </row>
    <row r="1032" spans="1:13" ht="75" customHeight="1" thickTop="1" thickBot="1">
      <c r="A1032" s="26"/>
      <c r="B1032" s="55"/>
      <c r="C1032" s="56"/>
      <c r="D1032" s="56"/>
      <c r="E1032" s="26"/>
      <c r="F1032" s="26"/>
      <c r="G1032" s="26"/>
      <c r="H1032" s="26"/>
      <c r="I1032" s="26"/>
      <c r="J1032" s="26"/>
      <c r="K1032" s="26"/>
      <c r="L1032" s="55"/>
      <c r="M1032" s="26"/>
    </row>
    <row r="1033" spans="1:13" ht="75" customHeight="1" thickTop="1" thickBot="1">
      <c r="A1033" s="26"/>
      <c r="B1033" s="55"/>
      <c r="C1033" s="56"/>
      <c r="D1033" s="56"/>
      <c r="E1033" s="26"/>
      <c r="F1033" s="26"/>
      <c r="G1033" s="26"/>
      <c r="H1033" s="26"/>
      <c r="I1033" s="26"/>
      <c r="J1033" s="26"/>
      <c r="K1033" s="26"/>
      <c r="L1033" s="55"/>
      <c r="M1033" s="26"/>
    </row>
    <row r="1034" spans="1:13" ht="75" customHeight="1" thickTop="1" thickBot="1">
      <c r="A1034" s="26"/>
      <c r="B1034" s="55"/>
      <c r="C1034" s="56"/>
      <c r="D1034" s="56"/>
      <c r="E1034" s="26"/>
      <c r="F1034" s="26"/>
      <c r="G1034" s="26"/>
      <c r="H1034" s="26"/>
      <c r="I1034" s="26"/>
      <c r="J1034" s="26"/>
      <c r="K1034" s="26"/>
      <c r="L1034" s="55"/>
      <c r="M1034" s="26"/>
    </row>
    <row r="1035" spans="1:13" ht="75" customHeight="1" thickTop="1" thickBot="1">
      <c r="A1035" s="26"/>
      <c r="B1035" s="55"/>
      <c r="C1035" s="56"/>
      <c r="D1035" s="56"/>
      <c r="E1035" s="26"/>
      <c r="F1035" s="26"/>
      <c r="G1035" s="26"/>
      <c r="H1035" s="26"/>
      <c r="I1035" s="26"/>
      <c r="J1035" s="26"/>
      <c r="K1035" s="26"/>
      <c r="L1035" s="55"/>
      <c r="M1035" s="26"/>
    </row>
    <row r="1036" spans="1:13" ht="75" customHeight="1" thickTop="1" thickBot="1">
      <c r="A1036" s="26"/>
      <c r="B1036" s="55"/>
      <c r="C1036" s="56"/>
      <c r="D1036" s="56"/>
      <c r="E1036" s="26"/>
      <c r="F1036" s="26"/>
      <c r="G1036" s="26"/>
      <c r="H1036" s="26"/>
      <c r="I1036" s="26"/>
      <c r="J1036" s="26"/>
      <c r="K1036" s="26"/>
      <c r="L1036" s="55"/>
      <c r="M1036" s="26"/>
    </row>
    <row r="1037" spans="1:13" ht="75" customHeight="1" thickTop="1" thickBot="1">
      <c r="A1037" s="26"/>
      <c r="B1037" s="55"/>
      <c r="C1037" s="56"/>
      <c r="D1037" s="56"/>
      <c r="E1037" s="26"/>
      <c r="F1037" s="26"/>
      <c r="G1037" s="26"/>
      <c r="H1037" s="26"/>
      <c r="I1037" s="26"/>
      <c r="J1037" s="26"/>
      <c r="K1037" s="26"/>
      <c r="L1037" s="55"/>
      <c r="M1037" s="26"/>
    </row>
    <row r="1038" spans="1:13" ht="75" customHeight="1" thickTop="1" thickBot="1">
      <c r="A1038" s="26"/>
      <c r="B1038" s="55"/>
      <c r="C1038" s="56"/>
      <c r="D1038" s="56"/>
      <c r="E1038" s="26"/>
      <c r="F1038" s="26"/>
      <c r="G1038" s="26"/>
      <c r="H1038" s="26"/>
      <c r="I1038" s="26"/>
      <c r="J1038" s="26"/>
      <c r="K1038" s="26"/>
      <c r="L1038" s="55"/>
      <c r="M1038" s="26"/>
    </row>
    <row r="1039" spans="1:13" ht="75" customHeight="1" thickTop="1" thickBot="1">
      <c r="A1039" s="26"/>
      <c r="B1039" s="55"/>
      <c r="C1039" s="56"/>
      <c r="D1039" s="56"/>
      <c r="E1039" s="26"/>
      <c r="F1039" s="26"/>
      <c r="G1039" s="26"/>
      <c r="H1039" s="26"/>
      <c r="I1039" s="26"/>
      <c r="J1039" s="26"/>
      <c r="K1039" s="26"/>
      <c r="L1039" s="55"/>
      <c r="M1039" s="26"/>
    </row>
    <row r="1040" spans="1:13" ht="75" customHeight="1" thickTop="1" thickBot="1">
      <c r="A1040" s="26"/>
      <c r="B1040" s="55"/>
      <c r="C1040" s="56"/>
      <c r="D1040" s="56"/>
      <c r="E1040" s="26"/>
      <c r="F1040" s="26"/>
      <c r="G1040" s="26"/>
      <c r="H1040" s="26"/>
      <c r="I1040" s="26"/>
      <c r="J1040" s="26"/>
      <c r="K1040" s="26"/>
      <c r="L1040" s="55"/>
      <c r="M1040" s="26"/>
    </row>
    <row r="1041" spans="1:13" ht="75" customHeight="1" thickTop="1" thickBot="1">
      <c r="A1041" s="26"/>
      <c r="B1041" s="55"/>
      <c r="C1041" s="56"/>
      <c r="D1041" s="56"/>
      <c r="E1041" s="26"/>
      <c r="F1041" s="26"/>
      <c r="G1041" s="26"/>
      <c r="H1041" s="26"/>
      <c r="I1041" s="26"/>
      <c r="J1041" s="26"/>
      <c r="K1041" s="26"/>
      <c r="L1041" s="55"/>
      <c r="M1041" s="26"/>
    </row>
    <row r="1042" spans="1:13" ht="75" customHeight="1" thickTop="1" thickBot="1">
      <c r="A1042" s="26"/>
      <c r="B1042" s="55"/>
      <c r="C1042" s="56"/>
      <c r="D1042" s="56"/>
      <c r="E1042" s="26"/>
      <c r="F1042" s="26"/>
      <c r="G1042" s="26"/>
      <c r="H1042" s="26"/>
      <c r="I1042" s="26"/>
      <c r="J1042" s="26"/>
      <c r="K1042" s="26"/>
      <c r="L1042" s="55"/>
      <c r="M1042" s="26"/>
    </row>
    <row r="1043" spans="1:13" ht="75" customHeight="1" thickTop="1" thickBot="1">
      <c r="A1043" s="26"/>
      <c r="B1043" s="55"/>
      <c r="C1043" s="56"/>
      <c r="D1043" s="56"/>
      <c r="E1043" s="26"/>
      <c r="F1043" s="26"/>
      <c r="G1043" s="26"/>
      <c r="H1043" s="26"/>
      <c r="I1043" s="26"/>
      <c r="J1043" s="26"/>
      <c r="K1043" s="26"/>
      <c r="L1043" s="55"/>
      <c r="M1043" s="26"/>
    </row>
    <row r="1044" spans="1:13" ht="75" customHeight="1" thickTop="1" thickBot="1">
      <c r="A1044" s="26"/>
      <c r="B1044" s="55"/>
      <c r="C1044" s="56"/>
      <c r="D1044" s="56"/>
      <c r="E1044" s="26"/>
      <c r="F1044" s="26"/>
      <c r="G1044" s="26"/>
      <c r="H1044" s="26"/>
      <c r="I1044" s="26"/>
      <c r="J1044" s="26"/>
      <c r="K1044" s="26"/>
      <c r="L1044" s="55"/>
      <c r="M1044" s="26"/>
    </row>
    <row r="1045" spans="1:13" ht="75" customHeight="1" thickTop="1" thickBot="1">
      <c r="A1045" s="26"/>
      <c r="B1045" s="55"/>
      <c r="C1045" s="56"/>
      <c r="D1045" s="56"/>
      <c r="E1045" s="26"/>
      <c r="F1045" s="26"/>
      <c r="G1045" s="26"/>
      <c r="H1045" s="26"/>
      <c r="I1045" s="26"/>
      <c r="J1045" s="26"/>
      <c r="K1045" s="26"/>
      <c r="L1045" s="55"/>
      <c r="M1045" s="26"/>
    </row>
    <row r="1046" spans="1:13" ht="75" customHeight="1" thickTop="1" thickBot="1">
      <c r="A1046" s="26"/>
      <c r="B1046" s="55"/>
      <c r="C1046" s="56"/>
      <c r="D1046" s="56"/>
      <c r="E1046" s="26"/>
      <c r="F1046" s="26"/>
      <c r="G1046" s="26"/>
      <c r="H1046" s="26"/>
      <c r="I1046" s="26"/>
      <c r="J1046" s="26"/>
      <c r="K1046" s="26"/>
      <c r="L1046" s="55"/>
      <c r="M1046" s="26"/>
    </row>
    <row r="1047" spans="1:13" ht="75" customHeight="1" thickTop="1" thickBot="1">
      <c r="A1047" s="26"/>
      <c r="B1047" s="55"/>
      <c r="C1047" s="56"/>
      <c r="D1047" s="56"/>
      <c r="E1047" s="26"/>
      <c r="F1047" s="26"/>
      <c r="G1047" s="26"/>
      <c r="H1047" s="26"/>
      <c r="I1047" s="26"/>
      <c r="J1047" s="26"/>
      <c r="K1047" s="26"/>
      <c r="L1047" s="55"/>
      <c r="M1047" s="26"/>
    </row>
    <row r="1048" spans="1:13" ht="75" customHeight="1" thickTop="1" thickBot="1">
      <c r="A1048" s="26"/>
      <c r="B1048" s="55"/>
      <c r="C1048" s="56"/>
      <c r="D1048" s="56"/>
      <c r="E1048" s="26"/>
      <c r="F1048" s="26"/>
      <c r="G1048" s="26"/>
      <c r="H1048" s="26"/>
      <c r="I1048" s="26"/>
      <c r="J1048" s="26"/>
      <c r="K1048" s="26"/>
      <c r="L1048" s="55"/>
      <c r="M1048" s="26"/>
    </row>
    <row r="1049" spans="1:13" ht="75" customHeight="1" thickTop="1" thickBot="1">
      <c r="A1049" s="26"/>
      <c r="B1049" s="55"/>
      <c r="C1049" s="56"/>
      <c r="D1049" s="56"/>
      <c r="E1049" s="26"/>
      <c r="F1049" s="26"/>
      <c r="G1049" s="26"/>
      <c r="H1049" s="26"/>
      <c r="I1049" s="26"/>
      <c r="J1049" s="26"/>
      <c r="K1049" s="26"/>
      <c r="L1049" s="55"/>
      <c r="M1049" s="26"/>
    </row>
    <row r="1050" spans="1:13" ht="75" customHeight="1" thickTop="1" thickBot="1">
      <c r="A1050" s="26"/>
      <c r="B1050" s="55"/>
      <c r="C1050" s="56"/>
      <c r="D1050" s="56"/>
      <c r="E1050" s="26"/>
      <c r="F1050" s="26"/>
      <c r="G1050" s="26"/>
      <c r="H1050" s="26"/>
      <c r="I1050" s="26"/>
      <c r="J1050" s="26"/>
      <c r="K1050" s="26"/>
      <c r="L1050" s="55"/>
      <c r="M1050" s="26"/>
    </row>
    <row r="1051" spans="1:13" ht="75" customHeight="1" thickTop="1" thickBot="1">
      <c r="A1051" s="26"/>
      <c r="B1051" s="55"/>
      <c r="C1051" s="56"/>
      <c r="D1051" s="56"/>
      <c r="E1051" s="26"/>
      <c r="F1051" s="26"/>
      <c r="G1051" s="26"/>
      <c r="H1051" s="26"/>
      <c r="I1051" s="26"/>
      <c r="J1051" s="26"/>
      <c r="K1051" s="26"/>
      <c r="L1051" s="55"/>
      <c r="M1051" s="26"/>
    </row>
    <row r="1052" spans="1:13" ht="75" customHeight="1" thickTop="1" thickBot="1">
      <c r="A1052" s="26"/>
      <c r="B1052" s="55"/>
      <c r="C1052" s="56"/>
      <c r="D1052" s="56"/>
      <c r="E1052" s="26"/>
      <c r="F1052" s="26"/>
      <c r="G1052" s="26"/>
      <c r="H1052" s="26"/>
      <c r="I1052" s="26"/>
      <c r="J1052" s="26"/>
      <c r="K1052" s="26"/>
      <c r="L1052" s="55"/>
      <c r="M1052" s="26"/>
    </row>
    <row r="1053" spans="1:13" ht="75" customHeight="1" thickTop="1" thickBot="1">
      <c r="A1053" s="26"/>
      <c r="B1053" s="55"/>
      <c r="C1053" s="56"/>
      <c r="D1053" s="56"/>
      <c r="E1053" s="26"/>
      <c r="F1053" s="26"/>
      <c r="G1053" s="26"/>
      <c r="H1053" s="26"/>
      <c r="I1053" s="26"/>
      <c r="J1053" s="26"/>
      <c r="K1053" s="26"/>
      <c r="L1053" s="55"/>
      <c r="M1053" s="26"/>
    </row>
    <row r="1054" spans="1:13" ht="75" customHeight="1" thickTop="1" thickBot="1">
      <c r="A1054" s="26"/>
      <c r="B1054" s="55"/>
      <c r="C1054" s="56"/>
      <c r="D1054" s="56"/>
      <c r="E1054" s="26"/>
      <c r="F1054" s="26"/>
      <c r="G1054" s="26"/>
      <c r="H1054" s="26"/>
      <c r="I1054" s="26"/>
      <c r="J1054" s="26"/>
      <c r="K1054" s="26"/>
      <c r="L1054" s="55"/>
      <c r="M1054" s="26"/>
    </row>
    <row r="1055" spans="1:13" ht="75" customHeight="1" thickTop="1" thickBot="1">
      <c r="A1055" s="26"/>
      <c r="B1055" s="55"/>
      <c r="C1055" s="56"/>
      <c r="D1055" s="56"/>
      <c r="E1055" s="26"/>
      <c r="F1055" s="26"/>
      <c r="G1055" s="26"/>
      <c r="H1055" s="26"/>
      <c r="I1055" s="26"/>
      <c r="J1055" s="26"/>
      <c r="K1055" s="26"/>
      <c r="L1055" s="55"/>
      <c r="M1055" s="26"/>
    </row>
    <row r="1056" spans="1:13" ht="75" customHeight="1" thickTop="1" thickBot="1">
      <c r="A1056" s="26"/>
      <c r="B1056" s="55"/>
      <c r="C1056" s="56"/>
      <c r="D1056" s="56"/>
      <c r="E1056" s="26"/>
      <c r="F1056" s="26"/>
      <c r="G1056" s="26"/>
      <c r="H1056" s="26"/>
      <c r="I1056" s="26"/>
      <c r="J1056" s="26"/>
      <c r="K1056" s="26"/>
      <c r="L1056" s="55"/>
      <c r="M1056" s="26"/>
    </row>
    <row r="1057" spans="1:13" ht="75" customHeight="1" thickTop="1" thickBot="1">
      <c r="A1057" s="26"/>
      <c r="B1057" s="55"/>
      <c r="C1057" s="56"/>
      <c r="D1057" s="56"/>
      <c r="E1057" s="26"/>
      <c r="F1057" s="26"/>
      <c r="G1057" s="26"/>
      <c r="H1057" s="26"/>
      <c r="I1057" s="26"/>
      <c r="J1057" s="26"/>
      <c r="K1057" s="26"/>
      <c r="L1057" s="55"/>
      <c r="M1057" s="26"/>
    </row>
    <row r="1058" spans="1:13" ht="75" customHeight="1" thickTop="1" thickBot="1">
      <c r="A1058" s="26"/>
      <c r="B1058" s="55"/>
      <c r="C1058" s="56"/>
      <c r="D1058" s="56"/>
      <c r="E1058" s="26"/>
      <c r="F1058" s="26"/>
      <c r="G1058" s="26"/>
      <c r="H1058" s="26"/>
      <c r="I1058" s="26"/>
      <c r="J1058" s="26"/>
      <c r="K1058" s="26"/>
      <c r="L1058" s="55"/>
      <c r="M1058" s="26"/>
    </row>
    <row r="1059" spans="1:13" ht="75" customHeight="1" thickTop="1" thickBot="1">
      <c r="A1059" s="26"/>
      <c r="B1059" s="55"/>
      <c r="C1059" s="56"/>
      <c r="D1059" s="56"/>
      <c r="E1059" s="26"/>
      <c r="F1059" s="26"/>
      <c r="G1059" s="26"/>
      <c r="H1059" s="26"/>
      <c r="I1059" s="26"/>
      <c r="J1059" s="26"/>
      <c r="K1059" s="26"/>
      <c r="L1059" s="55"/>
      <c r="M1059" s="26"/>
    </row>
    <row r="1060" spans="1:13" ht="75" customHeight="1" thickTop="1" thickBot="1">
      <c r="A1060" s="26"/>
      <c r="B1060" s="55"/>
      <c r="C1060" s="56"/>
      <c r="D1060" s="56"/>
      <c r="E1060" s="26"/>
      <c r="F1060" s="26"/>
      <c r="G1060" s="26"/>
      <c r="H1060" s="26"/>
      <c r="I1060" s="26"/>
      <c r="J1060" s="26"/>
      <c r="K1060" s="26"/>
      <c r="L1060" s="55"/>
      <c r="M1060" s="26"/>
    </row>
    <row r="1061" spans="1:13" ht="75" customHeight="1" thickTop="1" thickBot="1">
      <c r="A1061" s="26"/>
      <c r="B1061" s="55"/>
      <c r="C1061" s="56"/>
      <c r="D1061" s="56"/>
      <c r="E1061" s="26"/>
      <c r="F1061" s="26"/>
      <c r="G1061" s="26"/>
      <c r="H1061" s="26"/>
      <c r="I1061" s="26"/>
      <c r="J1061" s="26"/>
      <c r="K1061" s="26"/>
      <c r="L1061" s="55"/>
      <c r="M1061" s="26"/>
    </row>
    <row r="1062" spans="1:13" ht="75" customHeight="1" thickTop="1" thickBot="1">
      <c r="A1062" s="26"/>
      <c r="B1062" s="55"/>
      <c r="C1062" s="56"/>
      <c r="D1062" s="56"/>
      <c r="E1062" s="26"/>
      <c r="F1062" s="26"/>
      <c r="G1062" s="26"/>
      <c r="H1062" s="26"/>
      <c r="I1062" s="26"/>
      <c r="J1062" s="26"/>
      <c r="K1062" s="26"/>
      <c r="L1062" s="55"/>
      <c r="M1062" s="26"/>
    </row>
    <row r="1063" spans="1:13" ht="75" customHeight="1" thickTop="1" thickBot="1">
      <c r="A1063" s="26"/>
      <c r="B1063" s="55"/>
      <c r="C1063" s="56"/>
      <c r="D1063" s="56"/>
      <c r="E1063" s="26"/>
      <c r="F1063" s="26"/>
      <c r="G1063" s="26"/>
      <c r="H1063" s="26"/>
      <c r="I1063" s="26"/>
      <c r="J1063" s="26"/>
      <c r="K1063" s="26"/>
      <c r="L1063" s="55"/>
      <c r="M1063" s="26"/>
    </row>
    <row r="1064" spans="1:13" ht="75" customHeight="1" thickTop="1" thickBot="1">
      <c r="A1064" s="26"/>
      <c r="B1064" s="55"/>
      <c r="C1064" s="56"/>
      <c r="D1064" s="56"/>
      <c r="E1064" s="26"/>
      <c r="F1064" s="26"/>
      <c r="G1064" s="26"/>
      <c r="H1064" s="26"/>
      <c r="I1064" s="26"/>
      <c r="J1064" s="26"/>
      <c r="K1064" s="26"/>
      <c r="L1064" s="55"/>
      <c r="M1064" s="26"/>
    </row>
    <row r="1065" spans="1:13" ht="75" customHeight="1" thickTop="1" thickBot="1">
      <c r="A1065" s="26"/>
      <c r="B1065" s="55"/>
      <c r="C1065" s="56"/>
      <c r="D1065" s="56"/>
      <c r="E1065" s="26"/>
      <c r="F1065" s="26"/>
      <c r="G1065" s="26"/>
      <c r="H1065" s="26"/>
      <c r="I1065" s="26"/>
      <c r="J1065" s="26"/>
      <c r="K1065" s="26"/>
      <c r="L1065" s="55"/>
      <c r="M1065" s="26"/>
    </row>
    <row r="1066" spans="1:13" ht="75" customHeight="1" thickTop="1" thickBot="1">
      <c r="A1066" s="26"/>
      <c r="B1066" s="55"/>
      <c r="C1066" s="56"/>
      <c r="D1066" s="56"/>
      <c r="E1066" s="26"/>
      <c r="F1066" s="26"/>
      <c r="G1066" s="26"/>
      <c r="H1066" s="26"/>
      <c r="I1066" s="26"/>
      <c r="J1066" s="26"/>
      <c r="K1066" s="26"/>
      <c r="L1066" s="55"/>
      <c r="M1066" s="26"/>
    </row>
    <row r="1067" spans="1:13" ht="75" customHeight="1" thickTop="1" thickBot="1">
      <c r="A1067" s="26"/>
      <c r="B1067" s="55"/>
      <c r="C1067" s="56"/>
      <c r="D1067" s="56"/>
      <c r="E1067" s="26"/>
      <c r="F1067" s="26"/>
      <c r="G1067" s="26"/>
      <c r="H1067" s="26"/>
      <c r="I1067" s="26"/>
      <c r="J1067" s="26"/>
      <c r="K1067" s="26"/>
      <c r="L1067" s="55"/>
      <c r="M1067" s="26"/>
    </row>
    <row r="1068" spans="1:13" ht="75" customHeight="1" thickTop="1" thickBot="1">
      <c r="A1068" s="26"/>
      <c r="B1068" s="55"/>
      <c r="C1068" s="56"/>
      <c r="D1068" s="56"/>
      <c r="E1068" s="26"/>
      <c r="F1068" s="26"/>
      <c r="G1068" s="26"/>
      <c r="H1068" s="26"/>
      <c r="I1068" s="26"/>
      <c r="J1068" s="26"/>
      <c r="K1068" s="26"/>
      <c r="L1068" s="55"/>
      <c r="M1068" s="26"/>
    </row>
    <row r="1069" spans="1:13" ht="75" customHeight="1" thickTop="1" thickBot="1">
      <c r="A1069" s="26"/>
      <c r="B1069" s="55"/>
      <c r="C1069" s="56"/>
      <c r="D1069" s="56"/>
      <c r="E1069" s="26"/>
      <c r="F1069" s="26"/>
      <c r="G1069" s="26"/>
      <c r="H1069" s="26"/>
      <c r="I1069" s="26"/>
      <c r="J1069" s="26"/>
      <c r="K1069" s="26"/>
      <c r="L1069" s="55"/>
      <c r="M1069" s="26"/>
    </row>
    <row r="1070" spans="1:13" ht="75" customHeight="1" thickTop="1" thickBot="1">
      <c r="A1070" s="26"/>
      <c r="B1070" s="55"/>
      <c r="C1070" s="56"/>
      <c r="D1070" s="56"/>
      <c r="E1070" s="26"/>
      <c r="F1070" s="26"/>
      <c r="G1070" s="26"/>
      <c r="H1070" s="26"/>
      <c r="I1070" s="26"/>
      <c r="J1070" s="26"/>
      <c r="K1070" s="26"/>
      <c r="L1070" s="55"/>
      <c r="M1070" s="26"/>
    </row>
    <row r="1071" spans="1:13" ht="75" customHeight="1" thickTop="1" thickBot="1">
      <c r="A1071" s="26"/>
      <c r="B1071" s="55"/>
      <c r="C1071" s="56"/>
      <c r="D1071" s="56"/>
      <c r="E1071" s="26"/>
      <c r="F1071" s="26"/>
      <c r="G1071" s="26"/>
      <c r="H1071" s="26"/>
      <c r="I1071" s="26"/>
      <c r="J1071" s="26"/>
      <c r="K1071" s="26"/>
      <c r="L1071" s="55"/>
      <c r="M1071" s="26"/>
    </row>
    <row r="1072" spans="1:13" ht="75" customHeight="1" thickTop="1" thickBot="1">
      <c r="A1072" s="26"/>
      <c r="B1072" s="55"/>
      <c r="C1072" s="56"/>
      <c r="D1072" s="56"/>
      <c r="E1072" s="26"/>
      <c r="F1072" s="26"/>
      <c r="G1072" s="26"/>
      <c r="H1072" s="26"/>
      <c r="I1072" s="26"/>
      <c r="J1072" s="26"/>
      <c r="K1072" s="26"/>
      <c r="L1072" s="55"/>
      <c r="M1072" s="26"/>
    </row>
    <row r="1073" spans="1:13" ht="75" customHeight="1" thickTop="1" thickBot="1">
      <c r="A1073" s="26"/>
      <c r="B1073" s="55"/>
      <c r="C1073" s="56"/>
      <c r="D1073" s="56"/>
      <c r="E1073" s="26"/>
      <c r="F1073" s="26"/>
      <c r="G1073" s="26"/>
      <c r="H1073" s="26"/>
      <c r="I1073" s="26"/>
      <c r="J1073" s="26"/>
      <c r="K1073" s="26"/>
      <c r="L1073" s="55"/>
      <c r="M1073" s="26"/>
    </row>
    <row r="1074" spans="1:13" ht="75" customHeight="1" thickTop="1" thickBot="1">
      <c r="A1074" s="26"/>
      <c r="B1074" s="55"/>
      <c r="C1074" s="56"/>
      <c r="D1074" s="56"/>
      <c r="E1074" s="26"/>
      <c r="F1074" s="26"/>
      <c r="G1074" s="26"/>
      <c r="H1074" s="26"/>
      <c r="I1074" s="26"/>
      <c r="J1074" s="26"/>
      <c r="K1074" s="26"/>
      <c r="L1074" s="55"/>
      <c r="M1074" s="26"/>
    </row>
    <row r="1075" spans="1:13" ht="75" customHeight="1" thickTop="1" thickBot="1">
      <c r="A1075" s="26"/>
      <c r="B1075" s="55"/>
      <c r="C1075" s="56"/>
      <c r="D1075" s="56"/>
      <c r="E1075" s="26"/>
      <c r="F1075" s="26"/>
      <c r="G1075" s="26"/>
      <c r="H1075" s="26"/>
      <c r="I1075" s="26"/>
      <c r="J1075" s="26"/>
      <c r="K1075" s="26"/>
      <c r="L1075" s="55"/>
      <c r="M1075" s="26"/>
    </row>
    <row r="1076" spans="1:13" ht="75" customHeight="1" thickTop="1"/>
  </sheetData>
  <autoFilter ref="A2:A590" xr:uid="{00000000-0009-0000-0000-000000000000}"/>
  <conditionalFormatting sqref="B3:B1075">
    <cfRule type="expression" dxfId="84" priority="3">
      <formula>AND($B3&lt;&gt;"", TRIM($K3)="")</formula>
    </cfRule>
    <cfRule type="expression" dxfId="83" priority="4">
      <formula>INT($B3) &lt; TODAY()</formula>
    </cfRule>
    <cfRule type="expression" dxfId="82" priority="5">
      <formula>INT($B3) = TODAY()</formula>
    </cfRule>
  </conditionalFormatting>
  <conditionalFormatting sqref="K1:K1048576">
    <cfRule type="containsText" dxfId="81" priority="1" operator="containsText" text="منجز">
      <formula>NOT(ISERROR(SEARCH("منجز",K1)))</formula>
    </cfRule>
    <cfRule type="containsText" dxfId="80" priority="2" operator="containsText" text="منجز">
      <formula>NOT(ISERROR(SEARCH("منجز",K1)))</formula>
    </cfRule>
  </conditionalFormatting>
  <dataValidations count="2">
    <dataValidation type="list" allowBlank="1" sqref="K3:K1002" xr:uid="{23F42F95-62D7-4098-B332-A4C0B1B61931}">
      <formula1>"منجز,ملغي,تابع للتربية,مؤجل"</formula1>
    </dataValidation>
    <dataValidation type="list" allowBlank="1" sqref="J3:J1002" xr:uid="{58610B75-8B04-4C34-8DCB-C275846793FD}">
      <formula1>#REF!</formula1>
    </dataValidation>
  </dataValidations>
  <printOptions horizontalCentered="1" verticalCentered="1"/>
  <pageMargins left="0.23622047244094499" right="0.23622047244094499" top="0.74803149606299202" bottom="0.74803149606299202" header="0.31496062992126" footer="0.31496062992126"/>
  <pageSetup scale="36"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9F312-B7B1-4BD9-B192-8DD4B2BE9A4B}">
  <sheetPr>
    <tabColor rgb="FF2ECC71"/>
    <outlinePr summaryBelow="0" summaryRight="0"/>
    <pageSetUpPr fitToPage="1"/>
  </sheetPr>
  <dimension ref="A1:N1076"/>
  <sheetViews>
    <sheetView showGridLines="0" zoomScale="70" zoomScaleNormal="70" workbookViewId="0">
      <pane ySplit="2" topLeftCell="A3" activePane="bottomLeft" state="frozen"/>
      <selection pane="bottomLeft" activeCell="Q9" sqref="Q9"/>
    </sheetView>
  </sheetViews>
  <sheetFormatPr defaultColWidth="12.5546875" defaultRowHeight="75" customHeight="1"/>
  <cols>
    <col min="1" max="1" width="9.33203125" style="25" customWidth="1"/>
    <col min="2" max="2" width="30.5546875" bestFit="1" customWidth="1"/>
    <col min="3" max="4" width="6" customWidth="1"/>
    <col min="5" max="5" width="13" style="25" customWidth="1"/>
    <col min="6" max="6" width="45.33203125" style="25" bestFit="1" customWidth="1"/>
    <col min="7" max="7" width="25.109375" style="25" customWidth="1"/>
    <col min="8" max="8" width="65" style="59" customWidth="1"/>
    <col min="9" max="9" width="18.88671875" style="25" customWidth="1"/>
    <col min="10" max="10" width="10.6640625" style="25" customWidth="1"/>
    <col min="11" max="11" width="10" style="25" customWidth="1"/>
    <col min="12" max="12" width="30.5546875" style="25" bestFit="1" customWidth="1"/>
    <col min="13" max="13" width="18.88671875" style="28" customWidth="1"/>
    <col min="14" max="14" width="15.109375" hidden="1" customWidth="1"/>
  </cols>
  <sheetData>
    <row r="1" spans="1:14" ht="99.9" customHeight="1" thickBot="1">
      <c r="M1" s="25"/>
    </row>
    <row r="2" spans="1:14" ht="50.1" customHeight="1" thickTop="1" thickBot="1">
      <c r="A2" s="37" t="s">
        <v>112</v>
      </c>
      <c r="B2" s="37" t="s">
        <v>0</v>
      </c>
      <c r="C2" s="38" t="s">
        <v>1</v>
      </c>
      <c r="D2" s="38" t="s">
        <v>2</v>
      </c>
      <c r="E2" s="37" t="s">
        <v>3</v>
      </c>
      <c r="F2" s="37" t="s">
        <v>4</v>
      </c>
      <c r="G2" s="37" t="s">
        <v>18</v>
      </c>
      <c r="H2" s="39" t="s">
        <v>5</v>
      </c>
      <c r="I2" s="37" t="s">
        <v>6</v>
      </c>
      <c r="J2" s="40" t="s">
        <v>7</v>
      </c>
      <c r="K2" s="40" t="s">
        <v>8</v>
      </c>
      <c r="L2" s="40" t="s">
        <v>9</v>
      </c>
      <c r="M2" s="41" t="s">
        <v>10</v>
      </c>
      <c r="N2" s="1" t="s">
        <v>11</v>
      </c>
    </row>
    <row r="3" spans="1:14" ht="75" customHeight="1" thickTop="1" thickBot="1">
      <c r="A3" s="34">
        <v>1</v>
      </c>
      <c r="B3" s="53">
        <v>46023.475948171297</v>
      </c>
      <c r="C3" s="54" t="s">
        <v>394</v>
      </c>
      <c r="D3" s="54" t="s">
        <v>395</v>
      </c>
      <c r="E3" s="34" t="s">
        <v>21</v>
      </c>
      <c r="F3" s="34" t="s">
        <v>413</v>
      </c>
      <c r="G3" s="34" t="s">
        <v>446</v>
      </c>
      <c r="H3" s="34" t="s">
        <v>3336</v>
      </c>
      <c r="I3" s="34"/>
      <c r="J3" s="34" t="s">
        <v>12</v>
      </c>
      <c r="K3" s="34" t="s">
        <v>13</v>
      </c>
      <c r="L3" s="53">
        <v>46023.497539930555</v>
      </c>
      <c r="M3" s="34"/>
      <c r="N3" s="4" t="s">
        <v>121</v>
      </c>
    </row>
    <row r="4" spans="1:14" ht="75" customHeight="1" thickTop="1" thickBot="1">
      <c r="A4" s="26">
        <v>2</v>
      </c>
      <c r="B4" s="55">
        <v>46025.490058194402</v>
      </c>
      <c r="C4" s="56" t="s">
        <v>394</v>
      </c>
      <c r="D4" s="56" t="s">
        <v>395</v>
      </c>
      <c r="E4" s="26" t="s">
        <v>21</v>
      </c>
      <c r="F4" s="26" t="s">
        <v>481</v>
      </c>
      <c r="G4" s="26" t="s">
        <v>549</v>
      </c>
      <c r="H4" s="26" t="s">
        <v>555</v>
      </c>
      <c r="I4" s="26"/>
      <c r="J4" s="26" t="s">
        <v>16</v>
      </c>
      <c r="K4" s="26" t="s">
        <v>13</v>
      </c>
      <c r="L4" s="55">
        <v>46025.510898067128</v>
      </c>
      <c r="M4" s="26"/>
      <c r="N4" s="4" t="s">
        <v>121</v>
      </c>
    </row>
    <row r="5" spans="1:14" ht="75" customHeight="1" thickTop="1" thickBot="1">
      <c r="A5" s="34">
        <v>3</v>
      </c>
      <c r="B5" s="55">
        <v>46025.490376238398</v>
      </c>
      <c r="C5" s="56" t="s">
        <v>394</v>
      </c>
      <c r="D5" s="56" t="s">
        <v>395</v>
      </c>
      <c r="E5" s="26" t="s">
        <v>21</v>
      </c>
      <c r="F5" s="26" t="s">
        <v>481</v>
      </c>
      <c r="G5" s="26" t="s">
        <v>556</v>
      </c>
      <c r="H5" s="26" t="s">
        <v>555</v>
      </c>
      <c r="I5" s="26"/>
      <c r="J5" s="26" t="s">
        <v>16</v>
      </c>
      <c r="K5" s="26" t="s">
        <v>13</v>
      </c>
      <c r="L5" s="55">
        <v>46025.51093981482</v>
      </c>
      <c r="M5" s="26"/>
      <c r="N5" s="4" t="s">
        <v>121</v>
      </c>
    </row>
    <row r="6" spans="1:14" ht="75" customHeight="1" thickTop="1" thickBot="1">
      <c r="A6" s="26">
        <v>4</v>
      </c>
      <c r="B6" s="55">
        <v>46025.490809398099</v>
      </c>
      <c r="C6" s="56" t="s">
        <v>394</v>
      </c>
      <c r="D6" s="56" t="s">
        <v>395</v>
      </c>
      <c r="E6" s="26" t="s">
        <v>21</v>
      </c>
      <c r="F6" s="26" t="s">
        <v>481</v>
      </c>
      <c r="G6" s="26" t="s">
        <v>442</v>
      </c>
      <c r="H6" s="26" t="s">
        <v>557</v>
      </c>
      <c r="I6" s="26"/>
      <c r="J6" s="26" t="s">
        <v>16</v>
      </c>
      <c r="K6" s="26" t="s">
        <v>13</v>
      </c>
      <c r="L6" s="55">
        <v>46025.510928460644</v>
      </c>
      <c r="M6" s="26"/>
      <c r="N6" s="4" t="s">
        <v>121</v>
      </c>
    </row>
    <row r="7" spans="1:14" ht="75" customHeight="1" thickTop="1" thickBot="1">
      <c r="A7" s="34">
        <v>5</v>
      </c>
      <c r="B7" s="55">
        <v>46025.492002650397</v>
      </c>
      <c r="C7" s="56" t="s">
        <v>394</v>
      </c>
      <c r="D7" s="56" t="s">
        <v>395</v>
      </c>
      <c r="E7" s="26" t="s">
        <v>21</v>
      </c>
      <c r="F7" s="26" t="s">
        <v>399</v>
      </c>
      <c r="G7" s="26" t="s">
        <v>442</v>
      </c>
      <c r="H7" s="26" t="s">
        <v>558</v>
      </c>
      <c r="I7" s="26"/>
      <c r="J7" s="26" t="s">
        <v>16</v>
      </c>
      <c r="K7" s="26" t="s">
        <v>13</v>
      </c>
      <c r="L7" s="55">
        <v>46025.510959016203</v>
      </c>
      <c r="M7" s="26"/>
      <c r="N7" s="4" t="s">
        <v>121</v>
      </c>
    </row>
    <row r="8" spans="1:14" ht="75" customHeight="1" thickTop="1" thickBot="1">
      <c r="A8" s="26">
        <v>6</v>
      </c>
      <c r="B8" s="55">
        <v>46025.492674432797</v>
      </c>
      <c r="C8" s="56" t="s">
        <v>394</v>
      </c>
      <c r="D8" s="56" t="s">
        <v>395</v>
      </c>
      <c r="E8" s="26" t="s">
        <v>21</v>
      </c>
      <c r="F8" s="26" t="s">
        <v>559</v>
      </c>
      <c r="G8" s="26" t="s">
        <v>442</v>
      </c>
      <c r="H8" s="26" t="s">
        <v>3337</v>
      </c>
      <c r="I8" s="26"/>
      <c r="J8" s="26" t="s">
        <v>16</v>
      </c>
      <c r="K8" s="26" t="s">
        <v>13</v>
      </c>
      <c r="L8" s="55">
        <v>46025.510970891206</v>
      </c>
      <c r="M8" s="26"/>
      <c r="N8" s="4" t="s">
        <v>121</v>
      </c>
    </row>
    <row r="9" spans="1:14" ht="75" customHeight="1" thickTop="1" thickBot="1">
      <c r="A9" s="34">
        <v>7</v>
      </c>
      <c r="B9" s="55">
        <v>46025.493074745304</v>
      </c>
      <c r="C9" s="56" t="s">
        <v>394</v>
      </c>
      <c r="D9" s="56" t="s">
        <v>395</v>
      </c>
      <c r="E9" s="26" t="s">
        <v>21</v>
      </c>
      <c r="F9" s="26" t="s">
        <v>560</v>
      </c>
      <c r="G9" s="26" t="s">
        <v>442</v>
      </c>
      <c r="H9" s="26" t="s">
        <v>561</v>
      </c>
      <c r="I9" s="26"/>
      <c r="J9" s="26" t="s">
        <v>16</v>
      </c>
      <c r="K9" s="26" t="s">
        <v>13</v>
      </c>
      <c r="L9" s="55">
        <v>46025.510992013893</v>
      </c>
      <c r="M9" s="26"/>
      <c r="N9" s="4" t="s">
        <v>121</v>
      </c>
    </row>
    <row r="10" spans="1:14" ht="75" customHeight="1" thickTop="1" thickBot="1">
      <c r="A10" s="26">
        <v>8</v>
      </c>
      <c r="B10" s="55">
        <v>46025.493876574001</v>
      </c>
      <c r="C10" s="56" t="s">
        <v>394</v>
      </c>
      <c r="D10" s="56" t="s">
        <v>562</v>
      </c>
      <c r="E10" s="26" t="s">
        <v>22</v>
      </c>
      <c r="F10" s="26" t="s">
        <v>563</v>
      </c>
      <c r="G10" s="26" t="s">
        <v>442</v>
      </c>
      <c r="H10" s="26" t="s">
        <v>3338</v>
      </c>
      <c r="I10" s="26"/>
      <c r="J10" s="26" t="s">
        <v>16</v>
      </c>
      <c r="K10" s="26" t="s">
        <v>13</v>
      </c>
      <c r="L10" s="55">
        <v>46025.511010300921</v>
      </c>
      <c r="M10" s="26"/>
      <c r="N10" s="4" t="s">
        <v>121</v>
      </c>
    </row>
    <row r="11" spans="1:14" ht="75" customHeight="1" thickTop="1" thickBot="1">
      <c r="A11" s="34">
        <v>9</v>
      </c>
      <c r="B11" s="55">
        <v>46025.494393414301</v>
      </c>
      <c r="C11" s="56" t="s">
        <v>394</v>
      </c>
      <c r="D11" s="56" t="s">
        <v>395</v>
      </c>
      <c r="E11" s="26" t="s">
        <v>21</v>
      </c>
      <c r="F11" s="26" t="s">
        <v>413</v>
      </c>
      <c r="G11" s="26" t="s">
        <v>556</v>
      </c>
      <c r="H11" s="26" t="s">
        <v>564</v>
      </c>
      <c r="I11" s="26"/>
      <c r="J11" s="26" t="s">
        <v>16</v>
      </c>
      <c r="K11" s="26" t="s">
        <v>13</v>
      </c>
      <c r="L11" s="55">
        <v>46025.511058171294</v>
      </c>
      <c r="M11" s="26"/>
      <c r="N11" s="4" t="s">
        <v>121</v>
      </c>
    </row>
    <row r="12" spans="1:14" ht="75" customHeight="1" thickTop="1" thickBot="1">
      <c r="A12" s="26">
        <v>10</v>
      </c>
      <c r="B12" s="55">
        <v>46025.494920462901</v>
      </c>
      <c r="C12" s="56" t="s">
        <v>394</v>
      </c>
      <c r="D12" s="56" t="s">
        <v>395</v>
      </c>
      <c r="E12" s="26" t="s">
        <v>21</v>
      </c>
      <c r="F12" s="26" t="s">
        <v>413</v>
      </c>
      <c r="G12" s="26" t="s">
        <v>565</v>
      </c>
      <c r="H12" s="26" t="s">
        <v>566</v>
      </c>
      <c r="I12" s="26"/>
      <c r="J12" s="26" t="s">
        <v>16</v>
      </c>
      <c r="K12" s="26" t="s">
        <v>13</v>
      </c>
      <c r="L12" s="55">
        <v>46025.51105296296</v>
      </c>
      <c r="M12" s="26"/>
      <c r="N12" s="4" t="s">
        <v>121</v>
      </c>
    </row>
    <row r="13" spans="1:14" ht="75" customHeight="1" thickTop="1" thickBot="1">
      <c r="A13" s="34">
        <v>11</v>
      </c>
      <c r="B13" s="55">
        <v>46025.495243321697</v>
      </c>
      <c r="C13" s="56" t="s">
        <v>394</v>
      </c>
      <c r="D13" s="56" t="s">
        <v>395</v>
      </c>
      <c r="E13" s="26" t="s">
        <v>21</v>
      </c>
      <c r="F13" s="26" t="s">
        <v>413</v>
      </c>
      <c r="G13" s="26" t="s">
        <v>565</v>
      </c>
      <c r="H13" s="26" t="s">
        <v>567</v>
      </c>
      <c r="I13" s="26"/>
      <c r="J13" s="26" t="s">
        <v>16</v>
      </c>
      <c r="K13" s="26" t="s">
        <v>13</v>
      </c>
      <c r="L13" s="55">
        <v>46025.51109270833</v>
      </c>
      <c r="M13" s="26"/>
      <c r="N13" s="4" t="s">
        <v>121</v>
      </c>
    </row>
    <row r="14" spans="1:14" ht="75" customHeight="1" thickTop="1" thickBot="1">
      <c r="A14" s="26">
        <v>12</v>
      </c>
      <c r="B14" s="55">
        <v>46025.496378668897</v>
      </c>
      <c r="C14" s="56" t="s">
        <v>394</v>
      </c>
      <c r="D14" s="56" t="s">
        <v>645</v>
      </c>
      <c r="E14" s="26" t="s">
        <v>22</v>
      </c>
      <c r="F14" s="26" t="s">
        <v>447</v>
      </c>
      <c r="G14" s="26" t="s">
        <v>40</v>
      </c>
      <c r="H14" s="26" t="s">
        <v>646</v>
      </c>
      <c r="I14" s="26"/>
      <c r="J14" s="26" t="s">
        <v>14</v>
      </c>
      <c r="K14" s="26" t="s">
        <v>13</v>
      </c>
      <c r="L14" s="55">
        <v>46025.511110983796</v>
      </c>
      <c r="M14" s="26"/>
      <c r="N14" s="4" t="s">
        <v>121</v>
      </c>
    </row>
    <row r="15" spans="1:14" ht="75" customHeight="1" thickTop="1" thickBot="1">
      <c r="A15" s="34">
        <v>13</v>
      </c>
      <c r="B15" s="55">
        <v>46025.500318796199</v>
      </c>
      <c r="C15" s="56" t="s">
        <v>394</v>
      </c>
      <c r="D15" s="56" t="s">
        <v>408</v>
      </c>
      <c r="E15" s="26" t="s">
        <v>22</v>
      </c>
      <c r="F15" s="26" t="s">
        <v>412</v>
      </c>
      <c r="G15" s="26" t="s">
        <v>647</v>
      </c>
      <c r="H15" s="26" t="s">
        <v>648</v>
      </c>
      <c r="I15" s="26"/>
      <c r="J15" s="26" t="s">
        <v>14</v>
      </c>
      <c r="K15" s="26" t="s">
        <v>13</v>
      </c>
      <c r="L15" s="55">
        <v>46025.511103483797</v>
      </c>
      <c r="M15" s="26"/>
      <c r="N15" s="4" t="s">
        <v>121</v>
      </c>
    </row>
    <row r="16" spans="1:14" ht="75" customHeight="1" thickTop="1" thickBot="1">
      <c r="A16" s="26">
        <v>14</v>
      </c>
      <c r="B16" s="55">
        <v>46025.501368749901</v>
      </c>
      <c r="C16" s="56" t="s">
        <v>394</v>
      </c>
      <c r="D16" s="56" t="s">
        <v>408</v>
      </c>
      <c r="E16" s="26" t="s">
        <v>22</v>
      </c>
      <c r="F16" s="26" t="s">
        <v>403</v>
      </c>
      <c r="G16" s="26" t="s">
        <v>549</v>
      </c>
      <c r="H16" s="26" t="s">
        <v>648</v>
      </c>
      <c r="I16" s="26"/>
      <c r="J16" s="26" t="s">
        <v>14</v>
      </c>
      <c r="K16" s="26" t="s">
        <v>13</v>
      </c>
      <c r="L16" s="55">
        <v>46025.511146469908</v>
      </c>
      <c r="M16" s="26"/>
      <c r="N16" s="4" t="s">
        <v>121</v>
      </c>
    </row>
    <row r="17" spans="1:14" ht="75" customHeight="1" thickTop="1" thickBot="1">
      <c r="A17" s="34">
        <v>15</v>
      </c>
      <c r="B17" s="55">
        <v>46025.5024705092</v>
      </c>
      <c r="C17" s="56" t="s">
        <v>394</v>
      </c>
      <c r="D17" s="56" t="s">
        <v>408</v>
      </c>
      <c r="E17" s="26" t="s">
        <v>22</v>
      </c>
      <c r="F17" s="26" t="s">
        <v>403</v>
      </c>
      <c r="G17" s="26" t="s">
        <v>649</v>
      </c>
      <c r="H17" s="26" t="s">
        <v>650</v>
      </c>
      <c r="I17" s="26"/>
      <c r="J17" s="26" t="s">
        <v>14</v>
      </c>
      <c r="K17" s="26" t="s">
        <v>13</v>
      </c>
      <c r="L17" s="55">
        <v>46025.511160011578</v>
      </c>
      <c r="M17" s="26"/>
      <c r="N17" s="4" t="s">
        <v>121</v>
      </c>
    </row>
    <row r="18" spans="1:14" ht="75" customHeight="1" thickTop="1" thickBot="1">
      <c r="A18" s="26">
        <v>16</v>
      </c>
      <c r="B18" s="55">
        <v>46025.503191805503</v>
      </c>
      <c r="C18" s="56" t="s">
        <v>394</v>
      </c>
      <c r="D18" s="56" t="s">
        <v>408</v>
      </c>
      <c r="E18" s="26" t="s">
        <v>22</v>
      </c>
      <c r="F18" s="26" t="s">
        <v>412</v>
      </c>
      <c r="G18" s="26" t="s">
        <v>647</v>
      </c>
      <c r="H18" s="26" t="s">
        <v>651</v>
      </c>
      <c r="I18" s="26"/>
      <c r="J18" s="26" t="s">
        <v>14</v>
      </c>
      <c r="K18" s="26" t="s">
        <v>13</v>
      </c>
      <c r="L18" s="55">
        <v>46025.511166215278</v>
      </c>
      <c r="M18" s="26"/>
      <c r="N18" s="4" t="s">
        <v>121</v>
      </c>
    </row>
    <row r="19" spans="1:14" ht="75" customHeight="1" thickTop="1" thickBot="1">
      <c r="A19" s="34">
        <v>17</v>
      </c>
      <c r="B19" s="55">
        <v>46025.503892789297</v>
      </c>
      <c r="C19" s="56" t="s">
        <v>394</v>
      </c>
      <c r="D19" s="56" t="s">
        <v>408</v>
      </c>
      <c r="E19" s="26" t="s">
        <v>22</v>
      </c>
      <c r="F19" s="26" t="s">
        <v>396</v>
      </c>
      <c r="G19" s="26" t="s">
        <v>556</v>
      </c>
      <c r="H19" s="26" t="s">
        <v>652</v>
      </c>
      <c r="I19" s="26"/>
      <c r="J19" s="26" t="s">
        <v>14</v>
      </c>
      <c r="K19" s="26" t="s">
        <v>13</v>
      </c>
      <c r="L19" s="55">
        <v>46025.511196064814</v>
      </c>
      <c r="M19" s="26"/>
      <c r="N19" s="4" t="s">
        <v>121</v>
      </c>
    </row>
    <row r="20" spans="1:14" ht="75" customHeight="1" thickTop="1" thickBot="1">
      <c r="A20" s="26">
        <v>18</v>
      </c>
      <c r="B20" s="55">
        <v>46025.504632013799</v>
      </c>
      <c r="C20" s="56" t="s">
        <v>394</v>
      </c>
      <c r="D20" s="56" t="s">
        <v>408</v>
      </c>
      <c r="E20" s="26" t="s">
        <v>22</v>
      </c>
      <c r="F20" s="26" t="s">
        <v>396</v>
      </c>
      <c r="G20" s="26" t="s">
        <v>40</v>
      </c>
      <c r="H20" s="26" t="s">
        <v>653</v>
      </c>
      <c r="I20" s="26"/>
      <c r="J20" s="26" t="s">
        <v>14</v>
      </c>
      <c r="K20" s="26" t="s">
        <v>13</v>
      </c>
      <c r="L20" s="55">
        <v>46025.511210069446</v>
      </c>
      <c r="M20" s="26"/>
      <c r="N20" s="4" t="s">
        <v>121</v>
      </c>
    </row>
    <row r="21" spans="1:14" ht="75" customHeight="1" thickTop="1" thickBot="1">
      <c r="A21" s="34">
        <v>19</v>
      </c>
      <c r="B21" s="55">
        <v>46025.505325590202</v>
      </c>
      <c r="C21" s="56" t="s">
        <v>394</v>
      </c>
      <c r="D21" s="56" t="s">
        <v>408</v>
      </c>
      <c r="E21" s="26" t="s">
        <v>22</v>
      </c>
      <c r="F21" s="26" t="s">
        <v>399</v>
      </c>
      <c r="G21" s="26" t="s">
        <v>40</v>
      </c>
      <c r="H21" s="26" t="s">
        <v>653</v>
      </c>
      <c r="I21" s="26"/>
      <c r="J21" s="26" t="s">
        <v>14</v>
      </c>
      <c r="K21" s="26" t="s">
        <v>13</v>
      </c>
      <c r="L21" s="55">
        <v>46025.511213622682</v>
      </c>
      <c r="M21" s="26"/>
      <c r="N21" s="4" t="s">
        <v>121</v>
      </c>
    </row>
    <row r="22" spans="1:14" ht="75" customHeight="1" thickTop="1" thickBot="1">
      <c r="A22" s="26">
        <v>20</v>
      </c>
      <c r="B22" s="55">
        <v>46025.505727465199</v>
      </c>
      <c r="C22" s="56" t="s">
        <v>394</v>
      </c>
      <c r="D22" s="56" t="s">
        <v>408</v>
      </c>
      <c r="E22" s="26" t="s">
        <v>22</v>
      </c>
      <c r="F22" s="26" t="s">
        <v>403</v>
      </c>
      <c r="G22" s="26" t="s">
        <v>40</v>
      </c>
      <c r="H22" s="26" t="s">
        <v>653</v>
      </c>
      <c r="I22" s="26"/>
      <c r="J22" s="26" t="s">
        <v>14</v>
      </c>
      <c r="K22" s="26" t="s">
        <v>13</v>
      </c>
      <c r="L22" s="55">
        <v>46025.511249537041</v>
      </c>
      <c r="M22" s="26"/>
      <c r="N22" s="4" t="s">
        <v>121</v>
      </c>
    </row>
    <row r="23" spans="1:14" ht="75" customHeight="1" thickTop="1" thickBot="1">
      <c r="A23" s="34">
        <v>21</v>
      </c>
      <c r="B23" s="55">
        <v>46025.506419224497</v>
      </c>
      <c r="C23" s="56" t="s">
        <v>394</v>
      </c>
      <c r="D23" s="56" t="s">
        <v>408</v>
      </c>
      <c r="E23" s="26" t="s">
        <v>22</v>
      </c>
      <c r="F23" s="26" t="s">
        <v>405</v>
      </c>
      <c r="G23" s="26" t="s">
        <v>427</v>
      </c>
      <c r="H23" s="26" t="s">
        <v>654</v>
      </c>
      <c r="I23" s="26"/>
      <c r="J23" s="26" t="s">
        <v>14</v>
      </c>
      <c r="K23" s="26" t="s">
        <v>13</v>
      </c>
      <c r="L23" s="55">
        <v>46025.511270902774</v>
      </c>
      <c r="M23" s="26"/>
      <c r="N23" s="4" t="s">
        <v>121</v>
      </c>
    </row>
    <row r="24" spans="1:14" ht="75" customHeight="1" thickTop="1" thickBot="1">
      <c r="A24" s="26">
        <v>22</v>
      </c>
      <c r="B24" s="55">
        <v>46025.507331018503</v>
      </c>
      <c r="C24" s="56" t="s">
        <v>394</v>
      </c>
      <c r="D24" s="56" t="s">
        <v>410</v>
      </c>
      <c r="E24" s="26" t="s">
        <v>22</v>
      </c>
      <c r="F24" s="26" t="s">
        <v>396</v>
      </c>
      <c r="G24" s="26" t="s">
        <v>40</v>
      </c>
      <c r="H24" s="26" t="s">
        <v>655</v>
      </c>
      <c r="I24" s="26"/>
      <c r="J24" s="26" t="s">
        <v>14</v>
      </c>
      <c r="K24" s="26" t="s">
        <v>13</v>
      </c>
      <c r="L24" s="55">
        <v>46025.51129253472</v>
      </c>
      <c r="M24" s="26"/>
      <c r="N24" s="4"/>
    </row>
    <row r="25" spans="1:14" ht="75" customHeight="1" thickTop="1" thickBot="1">
      <c r="A25" s="34">
        <v>23</v>
      </c>
      <c r="B25" s="55">
        <v>46025.507949953702</v>
      </c>
      <c r="C25" s="56" t="s">
        <v>394</v>
      </c>
      <c r="D25" s="56" t="s">
        <v>408</v>
      </c>
      <c r="E25" s="26" t="s">
        <v>22</v>
      </c>
      <c r="F25" s="26" t="s">
        <v>396</v>
      </c>
      <c r="G25" s="26" t="s">
        <v>425</v>
      </c>
      <c r="H25" s="26" t="s">
        <v>3339</v>
      </c>
      <c r="I25" s="26"/>
      <c r="J25" s="26" t="s">
        <v>14</v>
      </c>
      <c r="K25" s="26" t="s">
        <v>13</v>
      </c>
      <c r="L25" s="55">
        <v>46025.511311574075</v>
      </c>
      <c r="M25" s="26"/>
      <c r="N25" s="4"/>
    </row>
    <row r="26" spans="1:14" ht="75" customHeight="1" thickTop="1" thickBot="1">
      <c r="A26" s="26">
        <v>24</v>
      </c>
      <c r="B26" s="55">
        <v>46026.326038599502</v>
      </c>
      <c r="C26" s="56" t="s">
        <v>394</v>
      </c>
      <c r="D26" s="56" t="s">
        <v>395</v>
      </c>
      <c r="E26" s="26" t="s">
        <v>21</v>
      </c>
      <c r="F26" s="26" t="s">
        <v>413</v>
      </c>
      <c r="G26" s="26" t="s">
        <v>407</v>
      </c>
      <c r="H26" s="26" t="s">
        <v>3340</v>
      </c>
      <c r="I26" s="26"/>
      <c r="J26" s="26" t="s">
        <v>12</v>
      </c>
      <c r="K26" s="26" t="s">
        <v>13</v>
      </c>
      <c r="L26" s="55">
        <v>46026.366617928245</v>
      </c>
      <c r="M26" s="26"/>
      <c r="N26" s="4"/>
    </row>
    <row r="27" spans="1:14" ht="75" customHeight="1" thickTop="1" thickBot="1">
      <c r="A27" s="34">
        <v>25</v>
      </c>
      <c r="B27" s="55">
        <v>46026.507618506897</v>
      </c>
      <c r="C27" s="56" t="s">
        <v>394</v>
      </c>
      <c r="D27" s="56" t="s">
        <v>395</v>
      </c>
      <c r="E27" s="26" t="s">
        <v>21</v>
      </c>
      <c r="F27" s="26" t="s">
        <v>411</v>
      </c>
      <c r="G27" s="26" t="s">
        <v>407</v>
      </c>
      <c r="H27" s="26" t="s">
        <v>3341</v>
      </c>
      <c r="I27" s="26"/>
      <c r="J27" s="26" t="s">
        <v>14</v>
      </c>
      <c r="K27" s="26" t="s">
        <v>13</v>
      </c>
      <c r="L27" s="55">
        <v>46026.594753425925</v>
      </c>
      <c r="M27" s="26"/>
      <c r="N27" s="4"/>
    </row>
    <row r="28" spans="1:14" ht="75" customHeight="1" thickTop="1" thickBot="1">
      <c r="A28" s="26">
        <v>26</v>
      </c>
      <c r="B28" s="55">
        <v>46027.312622777703</v>
      </c>
      <c r="C28" s="56" t="s">
        <v>394</v>
      </c>
      <c r="D28" s="56" t="s">
        <v>34</v>
      </c>
      <c r="E28" s="26" t="s">
        <v>22</v>
      </c>
      <c r="F28" s="26" t="s">
        <v>447</v>
      </c>
      <c r="G28" s="26" t="s">
        <v>442</v>
      </c>
      <c r="H28" s="26" t="s">
        <v>448</v>
      </c>
      <c r="I28" s="26"/>
      <c r="J28" s="26" t="s">
        <v>12</v>
      </c>
      <c r="K28" s="26" t="s">
        <v>13</v>
      </c>
      <c r="L28" s="55">
        <v>46027.3391490625</v>
      </c>
      <c r="M28" s="26"/>
      <c r="N28" s="4"/>
    </row>
    <row r="29" spans="1:14" ht="75" customHeight="1" thickTop="1" thickBot="1">
      <c r="A29" s="34">
        <v>27</v>
      </c>
      <c r="B29" s="55">
        <v>46027.313084201298</v>
      </c>
      <c r="C29" s="56" t="s">
        <v>394</v>
      </c>
      <c r="D29" s="56" t="s">
        <v>34</v>
      </c>
      <c r="E29" s="26" t="s">
        <v>22</v>
      </c>
      <c r="F29" s="26" t="s">
        <v>405</v>
      </c>
      <c r="G29" s="26" t="s">
        <v>446</v>
      </c>
      <c r="H29" s="26" t="s">
        <v>3342</v>
      </c>
      <c r="I29" s="26"/>
      <c r="J29" s="26" t="s">
        <v>12</v>
      </c>
      <c r="K29" s="26" t="s">
        <v>13</v>
      </c>
      <c r="L29" s="55">
        <v>46027.339192638887</v>
      </c>
      <c r="M29" s="26"/>
      <c r="N29" s="4"/>
    </row>
    <row r="30" spans="1:14" ht="75" customHeight="1" thickTop="1" thickBot="1">
      <c r="A30" s="26">
        <v>28</v>
      </c>
      <c r="B30" s="55">
        <v>46027.313667696697</v>
      </c>
      <c r="C30" s="56" t="s">
        <v>394</v>
      </c>
      <c r="D30" s="56" t="s">
        <v>34</v>
      </c>
      <c r="E30" s="26" t="s">
        <v>22</v>
      </c>
      <c r="F30" s="26" t="s">
        <v>405</v>
      </c>
      <c r="G30" s="26" t="s">
        <v>449</v>
      </c>
      <c r="H30" s="26" t="s">
        <v>3343</v>
      </c>
      <c r="I30" s="26"/>
      <c r="J30" s="26" t="s">
        <v>12</v>
      </c>
      <c r="K30" s="26" t="s">
        <v>13</v>
      </c>
      <c r="L30" s="55">
        <v>46027.339180868061</v>
      </c>
      <c r="M30" s="26"/>
      <c r="N30" s="4"/>
    </row>
    <row r="31" spans="1:14" ht="75" customHeight="1" thickTop="1" thickBot="1">
      <c r="A31" s="34">
        <v>29</v>
      </c>
      <c r="B31" s="55">
        <v>46027.313672800898</v>
      </c>
      <c r="C31" s="56" t="s">
        <v>394</v>
      </c>
      <c r="D31" s="56" t="s">
        <v>395</v>
      </c>
      <c r="E31" s="26" t="s">
        <v>21</v>
      </c>
      <c r="F31" s="26" t="s">
        <v>411</v>
      </c>
      <c r="G31" s="26" t="s">
        <v>442</v>
      </c>
      <c r="H31" s="26" t="s">
        <v>933</v>
      </c>
      <c r="I31" s="26"/>
      <c r="J31" s="26" t="s">
        <v>14</v>
      </c>
      <c r="K31" s="26" t="s">
        <v>13</v>
      </c>
      <c r="L31" s="55">
        <v>46027.35796277778</v>
      </c>
      <c r="M31" s="26"/>
      <c r="N31" s="4"/>
    </row>
    <row r="32" spans="1:14" ht="75" customHeight="1" thickTop="1" thickBot="1">
      <c r="A32" s="26">
        <v>30</v>
      </c>
      <c r="B32" s="55">
        <v>46027.314692141197</v>
      </c>
      <c r="C32" s="56" t="s">
        <v>394</v>
      </c>
      <c r="D32" s="56" t="s">
        <v>395</v>
      </c>
      <c r="E32" s="26" t="s">
        <v>21</v>
      </c>
      <c r="F32" s="26" t="s">
        <v>411</v>
      </c>
      <c r="G32" s="26" t="s">
        <v>442</v>
      </c>
      <c r="H32" s="26" t="s">
        <v>568</v>
      </c>
      <c r="I32" s="26"/>
      <c r="J32" s="26" t="s">
        <v>16</v>
      </c>
      <c r="K32" s="26" t="s">
        <v>13</v>
      </c>
      <c r="L32" s="55"/>
      <c r="M32" s="26"/>
      <c r="N32" s="4"/>
    </row>
    <row r="33" spans="1:14" ht="75" customHeight="1" thickTop="1" thickBot="1">
      <c r="A33" s="34">
        <v>31</v>
      </c>
      <c r="B33" s="55">
        <v>46027.314806886498</v>
      </c>
      <c r="C33" s="56" t="s">
        <v>394</v>
      </c>
      <c r="D33" s="56" t="s">
        <v>34</v>
      </c>
      <c r="E33" s="26" t="s">
        <v>22</v>
      </c>
      <c r="F33" s="26" t="s">
        <v>450</v>
      </c>
      <c r="G33" s="26" t="s">
        <v>451</v>
      </c>
      <c r="H33" s="26" t="s">
        <v>3344</v>
      </c>
      <c r="I33" s="26"/>
      <c r="J33" s="26" t="s">
        <v>12</v>
      </c>
      <c r="K33" s="26" t="s">
        <v>13</v>
      </c>
      <c r="L33" s="55">
        <v>46027.339236099535</v>
      </c>
      <c r="M33" s="26"/>
      <c r="N33" s="4"/>
    </row>
    <row r="34" spans="1:14" ht="75" customHeight="1" thickTop="1" thickBot="1">
      <c r="A34" s="26">
        <v>32</v>
      </c>
      <c r="B34" s="55">
        <v>46027.315449039299</v>
      </c>
      <c r="C34" s="56" t="s">
        <v>394</v>
      </c>
      <c r="D34" s="56" t="s">
        <v>34</v>
      </c>
      <c r="E34" s="26" t="s">
        <v>22</v>
      </c>
      <c r="F34" s="26" t="s">
        <v>405</v>
      </c>
      <c r="G34" s="26" t="s">
        <v>439</v>
      </c>
      <c r="H34" s="26" t="s">
        <v>452</v>
      </c>
      <c r="I34" s="26"/>
      <c r="J34" s="26" t="s">
        <v>12</v>
      </c>
      <c r="K34" s="26" t="s">
        <v>13</v>
      </c>
      <c r="L34" s="55">
        <v>46027.339240196758</v>
      </c>
      <c r="M34" s="26"/>
      <c r="N34" s="4"/>
    </row>
    <row r="35" spans="1:14" ht="75" customHeight="1" thickTop="1" thickBot="1">
      <c r="A35" s="34">
        <v>33</v>
      </c>
      <c r="B35" s="55">
        <v>46027.315921018497</v>
      </c>
      <c r="C35" s="56" t="s">
        <v>394</v>
      </c>
      <c r="D35" s="56" t="s">
        <v>34</v>
      </c>
      <c r="E35" s="26" t="s">
        <v>22</v>
      </c>
      <c r="F35" s="26" t="s">
        <v>453</v>
      </c>
      <c r="G35" s="26" t="s">
        <v>442</v>
      </c>
      <c r="H35" s="26" t="s">
        <v>3345</v>
      </c>
      <c r="I35" s="26"/>
      <c r="J35" s="26" t="s">
        <v>12</v>
      </c>
      <c r="K35" s="26" t="s">
        <v>13</v>
      </c>
      <c r="L35" s="55">
        <v>46027.339249282406</v>
      </c>
      <c r="M35" s="26"/>
      <c r="N35" s="4"/>
    </row>
    <row r="36" spans="1:14" ht="75" customHeight="1" thickTop="1" thickBot="1">
      <c r="A36" s="26">
        <v>34</v>
      </c>
      <c r="B36" s="55">
        <v>46027.318845601803</v>
      </c>
      <c r="C36" s="56" t="s">
        <v>394</v>
      </c>
      <c r="D36" s="56" t="s">
        <v>34</v>
      </c>
      <c r="E36" s="26" t="s">
        <v>22</v>
      </c>
      <c r="F36" s="26" t="s">
        <v>396</v>
      </c>
      <c r="G36" s="26" t="s">
        <v>454</v>
      </c>
      <c r="H36" s="26" t="s">
        <v>455</v>
      </c>
      <c r="I36" s="26"/>
      <c r="J36" s="26" t="s">
        <v>12</v>
      </c>
      <c r="K36" s="26" t="s">
        <v>13</v>
      </c>
      <c r="L36" s="55">
        <v>46027.339262372683</v>
      </c>
      <c r="M36" s="26"/>
      <c r="N36" s="4"/>
    </row>
    <row r="37" spans="1:14" ht="75" customHeight="1" thickTop="1" thickBot="1">
      <c r="A37" s="34">
        <v>35</v>
      </c>
      <c r="B37" s="55">
        <v>46027.320075162002</v>
      </c>
      <c r="C37" s="56" t="s">
        <v>394</v>
      </c>
      <c r="D37" s="56" t="s">
        <v>34</v>
      </c>
      <c r="E37" s="26" t="s">
        <v>22</v>
      </c>
      <c r="F37" s="26" t="s">
        <v>59</v>
      </c>
      <c r="G37" s="26" t="s">
        <v>449</v>
      </c>
      <c r="H37" s="26" t="s">
        <v>3346</v>
      </c>
      <c r="I37" s="26"/>
      <c r="J37" s="26" t="s">
        <v>12</v>
      </c>
      <c r="K37" s="26" t="s">
        <v>13</v>
      </c>
      <c r="L37" s="55">
        <v>46027.339274583333</v>
      </c>
      <c r="M37" s="26"/>
      <c r="N37" s="4"/>
    </row>
    <row r="38" spans="1:14" ht="75" customHeight="1" thickTop="1" thickBot="1">
      <c r="A38" s="26">
        <v>36</v>
      </c>
      <c r="B38" s="55">
        <v>46027.321841701298</v>
      </c>
      <c r="C38" s="56" t="s">
        <v>394</v>
      </c>
      <c r="D38" s="56" t="s">
        <v>34</v>
      </c>
      <c r="E38" s="26" t="s">
        <v>22</v>
      </c>
      <c r="F38" s="26" t="s">
        <v>405</v>
      </c>
      <c r="G38" s="26" t="s">
        <v>442</v>
      </c>
      <c r="H38" s="26" t="s">
        <v>3347</v>
      </c>
      <c r="I38" s="26"/>
      <c r="J38" s="26" t="s">
        <v>12</v>
      </c>
      <c r="K38" s="26" t="s">
        <v>13</v>
      </c>
      <c r="L38" s="55">
        <v>46027.339287523151</v>
      </c>
      <c r="M38" s="26"/>
      <c r="N38" s="4"/>
    </row>
    <row r="39" spans="1:14" ht="75" customHeight="1" thickTop="1" thickBot="1">
      <c r="A39" s="34">
        <v>37</v>
      </c>
      <c r="B39" s="55">
        <v>46027.322681666599</v>
      </c>
      <c r="C39" s="56" t="s">
        <v>394</v>
      </c>
      <c r="D39" s="56" t="s">
        <v>34</v>
      </c>
      <c r="E39" s="26" t="s">
        <v>22</v>
      </c>
      <c r="F39" s="26" t="s">
        <v>456</v>
      </c>
      <c r="G39" s="26" t="s">
        <v>449</v>
      </c>
      <c r="H39" s="26" t="s">
        <v>457</v>
      </c>
      <c r="I39" s="26"/>
      <c r="J39" s="26" t="s">
        <v>12</v>
      </c>
      <c r="K39" s="26" t="s">
        <v>13</v>
      </c>
      <c r="L39" s="55">
        <v>46027.339298460647</v>
      </c>
      <c r="M39" s="26"/>
      <c r="N39" s="4"/>
    </row>
    <row r="40" spans="1:14" ht="75" customHeight="1" thickTop="1" thickBot="1">
      <c r="A40" s="26">
        <v>38</v>
      </c>
      <c r="B40" s="55">
        <v>46027.323118402703</v>
      </c>
      <c r="C40" s="56" t="s">
        <v>394</v>
      </c>
      <c r="D40" s="56" t="s">
        <v>34</v>
      </c>
      <c r="E40" s="26" t="s">
        <v>22</v>
      </c>
      <c r="F40" s="26" t="s">
        <v>456</v>
      </c>
      <c r="G40" s="26" t="s">
        <v>449</v>
      </c>
      <c r="H40" s="26" t="s">
        <v>3348</v>
      </c>
      <c r="I40" s="26"/>
      <c r="J40" s="26" t="s">
        <v>12</v>
      </c>
      <c r="K40" s="26" t="s">
        <v>13</v>
      </c>
      <c r="L40" s="55">
        <v>46027.339310081021</v>
      </c>
      <c r="M40" s="26"/>
      <c r="N40" s="4"/>
    </row>
    <row r="41" spans="1:14" ht="75" customHeight="1" thickTop="1" thickBot="1">
      <c r="A41" s="34">
        <v>39</v>
      </c>
      <c r="B41" s="55">
        <v>46027.323866319399</v>
      </c>
      <c r="C41" s="56" t="s">
        <v>394</v>
      </c>
      <c r="D41" s="56" t="s">
        <v>34</v>
      </c>
      <c r="E41" s="26" t="s">
        <v>22</v>
      </c>
      <c r="F41" s="26" t="s">
        <v>456</v>
      </c>
      <c r="G41" s="26" t="s">
        <v>449</v>
      </c>
      <c r="H41" s="26" t="s">
        <v>3349</v>
      </c>
      <c r="I41" s="26"/>
      <c r="J41" s="26" t="s">
        <v>12</v>
      </c>
      <c r="K41" s="26" t="s">
        <v>13</v>
      </c>
      <c r="L41" s="55">
        <v>46027.33932204861</v>
      </c>
      <c r="M41" s="26"/>
      <c r="N41" s="4"/>
    </row>
    <row r="42" spans="1:14" ht="75" customHeight="1" thickTop="1" thickBot="1">
      <c r="A42" s="26">
        <v>40</v>
      </c>
      <c r="B42" s="55">
        <v>46027.325529953698</v>
      </c>
      <c r="C42" s="56" t="s">
        <v>394</v>
      </c>
      <c r="D42" s="56" t="s">
        <v>34</v>
      </c>
      <c r="E42" s="26" t="s">
        <v>22</v>
      </c>
      <c r="F42" s="26" t="s">
        <v>456</v>
      </c>
      <c r="G42" s="26" t="s">
        <v>449</v>
      </c>
      <c r="H42" s="26" t="s">
        <v>458</v>
      </c>
      <c r="I42" s="26"/>
      <c r="J42" s="26" t="s">
        <v>12</v>
      </c>
      <c r="K42" s="26" t="s">
        <v>13</v>
      </c>
      <c r="L42" s="55">
        <v>46027.3393321412</v>
      </c>
      <c r="M42" s="26"/>
      <c r="N42" s="4"/>
    </row>
    <row r="43" spans="1:14" ht="75" customHeight="1" thickTop="1" thickBot="1">
      <c r="A43" s="34">
        <v>41</v>
      </c>
      <c r="B43" s="55">
        <v>46027.325996029998</v>
      </c>
      <c r="C43" s="56" t="s">
        <v>394</v>
      </c>
      <c r="D43" s="56" t="s">
        <v>34</v>
      </c>
      <c r="E43" s="26" t="s">
        <v>22</v>
      </c>
      <c r="F43" s="26" t="s">
        <v>456</v>
      </c>
      <c r="G43" s="26" t="s">
        <v>449</v>
      </c>
      <c r="H43" s="26" t="s">
        <v>459</v>
      </c>
      <c r="I43" s="26"/>
      <c r="J43" s="26" t="s">
        <v>12</v>
      </c>
      <c r="K43" s="26" t="s">
        <v>13</v>
      </c>
      <c r="L43" s="55">
        <v>46027.339341909726</v>
      </c>
      <c r="M43" s="26"/>
      <c r="N43" s="4"/>
    </row>
    <row r="44" spans="1:14" ht="75" customHeight="1" thickTop="1" thickBot="1">
      <c r="A44" s="26">
        <v>42</v>
      </c>
      <c r="B44" s="55">
        <v>46027.326464745303</v>
      </c>
      <c r="C44" s="56" t="s">
        <v>394</v>
      </c>
      <c r="D44" s="56" t="s">
        <v>34</v>
      </c>
      <c r="E44" s="26" t="s">
        <v>22</v>
      </c>
      <c r="F44" s="26" t="s">
        <v>456</v>
      </c>
      <c r="G44" s="26" t="s">
        <v>449</v>
      </c>
      <c r="H44" s="26" t="s">
        <v>460</v>
      </c>
      <c r="I44" s="26"/>
      <c r="J44" s="26" t="s">
        <v>12</v>
      </c>
      <c r="K44" s="26" t="s">
        <v>13</v>
      </c>
      <c r="L44" s="55">
        <v>46027.339350057868</v>
      </c>
      <c r="M44" s="26"/>
      <c r="N44" s="4"/>
    </row>
    <row r="45" spans="1:14" ht="75" customHeight="1" thickTop="1" thickBot="1">
      <c r="A45" s="34">
        <v>43</v>
      </c>
      <c r="B45" s="55">
        <v>46027.327261504601</v>
      </c>
      <c r="C45" s="56" t="s">
        <v>394</v>
      </c>
      <c r="D45" s="56" t="s">
        <v>34</v>
      </c>
      <c r="E45" s="26" t="s">
        <v>22</v>
      </c>
      <c r="F45" s="26" t="s">
        <v>456</v>
      </c>
      <c r="G45" s="26" t="s">
        <v>449</v>
      </c>
      <c r="H45" s="26" t="s">
        <v>3350</v>
      </c>
      <c r="I45" s="26"/>
      <c r="J45" s="26" t="s">
        <v>12</v>
      </c>
      <c r="K45" s="26" t="s">
        <v>13</v>
      </c>
      <c r="L45" s="55">
        <v>46027.339364837964</v>
      </c>
      <c r="M45" s="26"/>
      <c r="N45" s="4"/>
    </row>
    <row r="46" spans="1:14" ht="75" customHeight="1" thickTop="1" thickBot="1">
      <c r="A46" s="26">
        <v>44</v>
      </c>
      <c r="B46" s="55">
        <v>46027.327911851797</v>
      </c>
      <c r="C46" s="56" t="s">
        <v>394</v>
      </c>
      <c r="D46" s="56" t="s">
        <v>34</v>
      </c>
      <c r="E46" s="26" t="s">
        <v>22</v>
      </c>
      <c r="F46" s="26" t="s">
        <v>456</v>
      </c>
      <c r="G46" s="26" t="s">
        <v>449</v>
      </c>
      <c r="H46" s="26" t="s">
        <v>461</v>
      </c>
      <c r="I46" s="26"/>
      <c r="J46" s="26" t="s">
        <v>12</v>
      </c>
      <c r="K46" s="26" t="s">
        <v>13</v>
      </c>
      <c r="L46" s="55">
        <v>46027.339375833333</v>
      </c>
      <c r="M46" s="26"/>
      <c r="N46" s="4"/>
    </row>
    <row r="47" spans="1:14" ht="75" customHeight="1" thickTop="1" thickBot="1">
      <c r="A47" s="34">
        <v>45</v>
      </c>
      <c r="B47" s="55">
        <v>46027.328341689798</v>
      </c>
      <c r="C47" s="56" t="s">
        <v>394</v>
      </c>
      <c r="D47" s="56" t="s">
        <v>34</v>
      </c>
      <c r="E47" s="26" t="s">
        <v>22</v>
      </c>
      <c r="F47" s="26" t="s">
        <v>456</v>
      </c>
      <c r="G47" s="26" t="s">
        <v>449</v>
      </c>
      <c r="H47" s="26" t="s">
        <v>462</v>
      </c>
      <c r="I47" s="26"/>
      <c r="J47" s="26" t="s">
        <v>12</v>
      </c>
      <c r="K47" s="26" t="s">
        <v>13</v>
      </c>
      <c r="L47" s="55">
        <v>46027.339387905093</v>
      </c>
      <c r="M47" s="26"/>
      <c r="N47" s="4"/>
    </row>
    <row r="48" spans="1:14" ht="75" customHeight="1" thickTop="1" thickBot="1">
      <c r="A48" s="26">
        <v>46</v>
      </c>
      <c r="B48" s="55">
        <v>46027.329082002303</v>
      </c>
      <c r="C48" s="56" t="s">
        <v>394</v>
      </c>
      <c r="D48" s="56" t="s">
        <v>34</v>
      </c>
      <c r="E48" s="26" t="s">
        <v>22</v>
      </c>
      <c r="F48" s="26" t="s">
        <v>463</v>
      </c>
      <c r="G48" s="26" t="s">
        <v>464</v>
      </c>
      <c r="H48" s="26" t="s">
        <v>3351</v>
      </c>
      <c r="I48" s="26"/>
      <c r="J48" s="26" t="s">
        <v>12</v>
      </c>
      <c r="K48" s="26" t="s">
        <v>13</v>
      </c>
      <c r="L48" s="55">
        <v>46027.33939572917</v>
      </c>
      <c r="M48" s="26"/>
      <c r="N48" s="4"/>
    </row>
    <row r="49" spans="1:14" ht="75" customHeight="1" thickTop="1" thickBot="1">
      <c r="A49" s="34">
        <v>47</v>
      </c>
      <c r="B49" s="55">
        <v>46027.3297357638</v>
      </c>
      <c r="C49" s="56" t="s">
        <v>394</v>
      </c>
      <c r="D49" s="56" t="s">
        <v>34</v>
      </c>
      <c r="E49" s="26" t="s">
        <v>22</v>
      </c>
      <c r="F49" s="26" t="s">
        <v>456</v>
      </c>
      <c r="G49" s="26" t="s">
        <v>449</v>
      </c>
      <c r="H49" s="26" t="s">
        <v>465</v>
      </c>
      <c r="I49" s="26"/>
      <c r="J49" s="26" t="s">
        <v>12</v>
      </c>
      <c r="K49" s="26" t="s">
        <v>13</v>
      </c>
      <c r="L49" s="55">
        <v>46027.339409479166</v>
      </c>
      <c r="M49" s="26"/>
      <c r="N49" s="4"/>
    </row>
    <row r="50" spans="1:14" ht="75" customHeight="1" thickTop="1" thickBot="1">
      <c r="A50" s="26">
        <v>48</v>
      </c>
      <c r="B50" s="55">
        <v>46027.330674131903</v>
      </c>
      <c r="C50" s="56" t="s">
        <v>394</v>
      </c>
      <c r="D50" s="56" t="s">
        <v>34</v>
      </c>
      <c r="E50" s="26" t="s">
        <v>22</v>
      </c>
      <c r="F50" s="26" t="s">
        <v>456</v>
      </c>
      <c r="G50" s="26" t="s">
        <v>449</v>
      </c>
      <c r="H50" s="26" t="s">
        <v>466</v>
      </c>
      <c r="I50" s="26"/>
      <c r="J50" s="26" t="s">
        <v>12</v>
      </c>
      <c r="K50" s="26" t="s">
        <v>13</v>
      </c>
      <c r="L50" s="55">
        <v>46027.33942167824</v>
      </c>
      <c r="M50" s="26"/>
      <c r="N50" s="4"/>
    </row>
    <row r="51" spans="1:14" ht="75" customHeight="1" thickTop="1" thickBot="1">
      <c r="A51" s="34">
        <v>49</v>
      </c>
      <c r="B51" s="55">
        <v>46027.331235404999</v>
      </c>
      <c r="C51" s="56" t="s">
        <v>394</v>
      </c>
      <c r="D51" s="56" t="s">
        <v>34</v>
      </c>
      <c r="E51" s="26" t="s">
        <v>22</v>
      </c>
      <c r="F51" s="26" t="s">
        <v>456</v>
      </c>
      <c r="G51" s="26" t="s">
        <v>449</v>
      </c>
      <c r="H51" s="26" t="s">
        <v>3352</v>
      </c>
      <c r="I51" s="26"/>
      <c r="J51" s="26" t="s">
        <v>12</v>
      </c>
      <c r="K51" s="26" t="s">
        <v>13</v>
      </c>
      <c r="L51" s="55">
        <v>46027.339429803236</v>
      </c>
      <c r="M51" s="26"/>
      <c r="N51" s="4"/>
    </row>
    <row r="52" spans="1:14" ht="75" customHeight="1" thickTop="1" thickBot="1">
      <c r="A52" s="26">
        <v>50</v>
      </c>
      <c r="B52" s="55">
        <v>46027.331687002297</v>
      </c>
      <c r="C52" s="56" t="s">
        <v>394</v>
      </c>
      <c r="D52" s="56" t="s">
        <v>34</v>
      </c>
      <c r="E52" s="26" t="s">
        <v>22</v>
      </c>
      <c r="F52" s="26" t="s">
        <v>450</v>
      </c>
      <c r="G52" s="26" t="s">
        <v>449</v>
      </c>
      <c r="H52" s="26" t="s">
        <v>467</v>
      </c>
      <c r="I52" s="26"/>
      <c r="J52" s="26" t="s">
        <v>12</v>
      </c>
      <c r="K52" s="26" t="s">
        <v>13</v>
      </c>
      <c r="L52" s="55">
        <v>46027.339449988431</v>
      </c>
      <c r="M52" s="26"/>
      <c r="N52" s="4"/>
    </row>
    <row r="53" spans="1:14" ht="75" customHeight="1" thickTop="1" thickBot="1">
      <c r="A53" s="34">
        <v>51</v>
      </c>
      <c r="B53" s="55">
        <v>46027.332274293898</v>
      </c>
      <c r="C53" s="56" t="s">
        <v>394</v>
      </c>
      <c r="D53" s="56" t="s">
        <v>34</v>
      </c>
      <c r="E53" s="26" t="s">
        <v>22</v>
      </c>
      <c r="F53" s="26" t="s">
        <v>411</v>
      </c>
      <c r="G53" s="26" t="s">
        <v>468</v>
      </c>
      <c r="H53" s="26" t="s">
        <v>3353</v>
      </c>
      <c r="I53" s="26"/>
      <c r="J53" s="26" t="s">
        <v>12</v>
      </c>
      <c r="K53" s="26" t="s">
        <v>13</v>
      </c>
      <c r="L53" s="55">
        <v>46027.339454479166</v>
      </c>
      <c r="M53" s="26"/>
      <c r="N53" s="4" t="s">
        <v>121</v>
      </c>
    </row>
    <row r="54" spans="1:14" ht="75" customHeight="1" thickTop="1" thickBot="1">
      <c r="A54" s="26">
        <v>52</v>
      </c>
      <c r="B54" s="55">
        <v>46027.332668472198</v>
      </c>
      <c r="C54" s="56" t="s">
        <v>394</v>
      </c>
      <c r="D54" s="56" t="s">
        <v>34</v>
      </c>
      <c r="E54" s="26" t="s">
        <v>22</v>
      </c>
      <c r="F54" s="26" t="s">
        <v>449</v>
      </c>
      <c r="G54" s="26" t="s">
        <v>449</v>
      </c>
      <c r="H54" s="26" t="s">
        <v>3354</v>
      </c>
      <c r="I54" s="26"/>
      <c r="J54" s="26" t="s">
        <v>12</v>
      </c>
      <c r="K54" s="26" t="s">
        <v>13</v>
      </c>
      <c r="L54" s="55">
        <v>46027.339469432874</v>
      </c>
      <c r="M54" s="26"/>
      <c r="N54" s="4" t="s">
        <v>121</v>
      </c>
    </row>
    <row r="55" spans="1:14" ht="75" customHeight="1" thickTop="1" thickBot="1">
      <c r="A55" s="34">
        <v>53</v>
      </c>
      <c r="B55" s="55">
        <v>46027.333331886497</v>
      </c>
      <c r="C55" s="56" t="s">
        <v>394</v>
      </c>
      <c r="D55" s="56" t="s">
        <v>34</v>
      </c>
      <c r="E55" s="26" t="s">
        <v>22</v>
      </c>
      <c r="F55" s="26" t="s">
        <v>469</v>
      </c>
      <c r="G55" s="26" t="s">
        <v>449</v>
      </c>
      <c r="H55" s="26" t="s">
        <v>470</v>
      </c>
      <c r="I55" s="26"/>
      <c r="J55" s="26" t="s">
        <v>12</v>
      </c>
      <c r="K55" s="26" t="s">
        <v>13</v>
      </c>
      <c r="L55" s="55">
        <v>46027.339481874995</v>
      </c>
      <c r="M55" s="26"/>
      <c r="N55" s="4" t="s">
        <v>121</v>
      </c>
    </row>
    <row r="56" spans="1:14" ht="75" customHeight="1" thickTop="1" thickBot="1">
      <c r="A56" s="26">
        <v>54</v>
      </c>
      <c r="B56" s="55">
        <v>46027.333807499999</v>
      </c>
      <c r="C56" s="56" t="s">
        <v>394</v>
      </c>
      <c r="D56" s="56" t="s">
        <v>34</v>
      </c>
      <c r="E56" s="26" t="s">
        <v>22</v>
      </c>
      <c r="F56" s="26" t="s">
        <v>405</v>
      </c>
      <c r="G56" s="26" t="s">
        <v>406</v>
      </c>
      <c r="H56" s="26" t="s">
        <v>471</v>
      </c>
      <c r="I56" s="26"/>
      <c r="J56" s="26" t="s">
        <v>12</v>
      </c>
      <c r="K56" s="26" t="s">
        <v>13</v>
      </c>
      <c r="L56" s="55">
        <v>46027.339492395833</v>
      </c>
      <c r="M56" s="26"/>
      <c r="N56" s="4" t="s">
        <v>121</v>
      </c>
    </row>
    <row r="57" spans="1:14" ht="75" customHeight="1" thickTop="1" thickBot="1">
      <c r="A57" s="34">
        <v>55</v>
      </c>
      <c r="B57" s="55">
        <v>46027.334372731399</v>
      </c>
      <c r="C57" s="56" t="s">
        <v>394</v>
      </c>
      <c r="D57" s="56" t="s">
        <v>34</v>
      </c>
      <c r="E57" s="26" t="s">
        <v>22</v>
      </c>
      <c r="F57" s="26" t="s">
        <v>450</v>
      </c>
      <c r="G57" s="26" t="s">
        <v>449</v>
      </c>
      <c r="H57" s="26" t="s">
        <v>3355</v>
      </c>
      <c r="I57" s="26"/>
      <c r="J57" s="26" t="s">
        <v>12</v>
      </c>
      <c r="K57" s="26" t="s">
        <v>13</v>
      </c>
      <c r="L57" s="55">
        <v>46027.339501782408</v>
      </c>
      <c r="M57" s="26"/>
      <c r="N57" s="4" t="s">
        <v>121</v>
      </c>
    </row>
    <row r="58" spans="1:14" ht="75" customHeight="1" thickTop="1" thickBot="1">
      <c r="A58" s="26">
        <v>56</v>
      </c>
      <c r="B58" s="55">
        <v>46027.345596967498</v>
      </c>
      <c r="C58" s="56" t="s">
        <v>394</v>
      </c>
      <c r="D58" s="56" t="s">
        <v>395</v>
      </c>
      <c r="E58" s="26" t="s">
        <v>21</v>
      </c>
      <c r="F58" s="26" t="s">
        <v>411</v>
      </c>
      <c r="G58" s="26" t="s">
        <v>472</v>
      </c>
      <c r="H58" s="26" t="s">
        <v>473</v>
      </c>
      <c r="I58" s="26"/>
      <c r="J58" s="26" t="s">
        <v>12</v>
      </c>
      <c r="K58" s="26" t="s">
        <v>13</v>
      </c>
      <c r="L58" s="55">
        <v>46027.369444131946</v>
      </c>
      <c r="M58" s="26"/>
      <c r="N58" s="4" t="s">
        <v>121</v>
      </c>
    </row>
    <row r="59" spans="1:14" ht="75" customHeight="1" thickTop="1" thickBot="1">
      <c r="A59" s="34">
        <v>57</v>
      </c>
      <c r="B59" s="55">
        <v>46027.346390462902</v>
      </c>
      <c r="C59" s="56" t="s">
        <v>394</v>
      </c>
      <c r="D59" s="56" t="s">
        <v>395</v>
      </c>
      <c r="E59" s="26" t="s">
        <v>21</v>
      </c>
      <c r="F59" s="26" t="s">
        <v>396</v>
      </c>
      <c r="G59" s="26" t="s">
        <v>397</v>
      </c>
      <c r="H59" s="26" t="s">
        <v>398</v>
      </c>
      <c r="I59" s="26"/>
      <c r="J59" s="26" t="s">
        <v>15</v>
      </c>
      <c r="K59" s="26" t="s">
        <v>13</v>
      </c>
      <c r="L59" s="55">
        <v>46027.359499421298</v>
      </c>
      <c r="M59" s="26"/>
      <c r="N59" s="4" t="s">
        <v>121</v>
      </c>
    </row>
    <row r="60" spans="1:14" ht="75" customHeight="1" thickTop="1" thickBot="1">
      <c r="A60" s="26">
        <v>58</v>
      </c>
      <c r="B60" s="55">
        <v>46027.346978541602</v>
      </c>
      <c r="C60" s="56" t="s">
        <v>394</v>
      </c>
      <c r="D60" s="56" t="s">
        <v>395</v>
      </c>
      <c r="E60" s="26" t="s">
        <v>21</v>
      </c>
      <c r="F60" s="26" t="s">
        <v>399</v>
      </c>
      <c r="G60" s="26" t="s">
        <v>400</v>
      </c>
      <c r="H60" s="26" t="s">
        <v>398</v>
      </c>
      <c r="I60" s="26"/>
      <c r="J60" s="26" t="s">
        <v>15</v>
      </c>
      <c r="K60" s="26" t="s">
        <v>13</v>
      </c>
      <c r="L60" s="55">
        <v>46027.359448773146</v>
      </c>
      <c r="M60" s="26"/>
      <c r="N60" s="4" t="s">
        <v>121</v>
      </c>
    </row>
    <row r="61" spans="1:14" ht="75" customHeight="1" thickTop="1" thickBot="1">
      <c r="A61" s="34">
        <v>59</v>
      </c>
      <c r="B61" s="55">
        <v>46027.349925694398</v>
      </c>
      <c r="C61" s="56" t="s">
        <v>394</v>
      </c>
      <c r="D61" s="56" t="s">
        <v>395</v>
      </c>
      <c r="E61" s="26" t="s">
        <v>21</v>
      </c>
      <c r="F61" s="26" t="s">
        <v>399</v>
      </c>
      <c r="G61" s="26" t="s">
        <v>397</v>
      </c>
      <c r="H61" s="26" t="s">
        <v>569</v>
      </c>
      <c r="I61" s="26"/>
      <c r="J61" s="26" t="s">
        <v>16</v>
      </c>
      <c r="K61" s="26" t="s">
        <v>13</v>
      </c>
      <c r="L61" s="55">
        <v>46032.598673020839</v>
      </c>
      <c r="M61" s="26"/>
      <c r="N61" s="4" t="s">
        <v>121</v>
      </c>
    </row>
    <row r="62" spans="1:14" ht="75" customHeight="1" thickTop="1" thickBot="1">
      <c r="A62" s="26">
        <v>60</v>
      </c>
      <c r="B62" s="55">
        <v>46027.354081261503</v>
      </c>
      <c r="C62" s="56" t="s">
        <v>394</v>
      </c>
      <c r="D62" s="56" t="s">
        <v>395</v>
      </c>
      <c r="E62" s="26" t="s">
        <v>21</v>
      </c>
      <c r="F62" s="26" t="s">
        <v>412</v>
      </c>
      <c r="G62" s="26" t="s">
        <v>656</v>
      </c>
      <c r="H62" s="26" t="s">
        <v>657</v>
      </c>
      <c r="I62" s="26"/>
      <c r="J62" s="26" t="s">
        <v>14</v>
      </c>
      <c r="K62" s="26" t="s">
        <v>13</v>
      </c>
      <c r="L62" s="55">
        <v>46027.368294756947</v>
      </c>
      <c r="M62" s="26"/>
      <c r="N62" s="4" t="s">
        <v>121</v>
      </c>
    </row>
    <row r="63" spans="1:14" ht="75" customHeight="1" thickTop="1" thickBot="1">
      <c r="A63" s="34">
        <v>61</v>
      </c>
      <c r="B63" s="55">
        <v>46027.357606458303</v>
      </c>
      <c r="C63" s="56" t="s">
        <v>394</v>
      </c>
      <c r="D63" s="56" t="s">
        <v>395</v>
      </c>
      <c r="E63" s="26" t="s">
        <v>21</v>
      </c>
      <c r="F63" s="26" t="s">
        <v>416</v>
      </c>
      <c r="G63" s="26" t="s">
        <v>446</v>
      </c>
      <c r="H63" s="26" t="s">
        <v>658</v>
      </c>
      <c r="I63" s="26"/>
      <c r="J63" s="26" t="s">
        <v>14</v>
      </c>
      <c r="K63" s="26" t="s">
        <v>13</v>
      </c>
      <c r="L63" s="55">
        <v>46027.48382090278</v>
      </c>
      <c r="M63" s="26" t="s">
        <v>659</v>
      </c>
      <c r="N63" s="4" t="s">
        <v>121</v>
      </c>
    </row>
    <row r="64" spans="1:14" ht="75" customHeight="1" thickTop="1" thickBot="1">
      <c r="A64" s="26">
        <v>62</v>
      </c>
      <c r="B64" s="55">
        <v>46027.367317708296</v>
      </c>
      <c r="C64" s="56" t="s">
        <v>394</v>
      </c>
      <c r="D64" s="56" t="s">
        <v>395</v>
      </c>
      <c r="E64" s="26" t="s">
        <v>21</v>
      </c>
      <c r="F64" s="26" t="s">
        <v>412</v>
      </c>
      <c r="G64" s="26" t="s">
        <v>442</v>
      </c>
      <c r="H64" s="26" t="s">
        <v>3356</v>
      </c>
      <c r="I64" s="26"/>
      <c r="J64" s="26" t="s">
        <v>14</v>
      </c>
      <c r="K64" s="26" t="s">
        <v>13</v>
      </c>
      <c r="L64" s="55">
        <v>46027.40285539352</v>
      </c>
      <c r="M64" s="26"/>
      <c r="N64" s="4" t="s">
        <v>121</v>
      </c>
    </row>
    <row r="65" spans="1:14" ht="75" customHeight="1" thickTop="1" thickBot="1">
      <c r="A65" s="34">
        <v>63</v>
      </c>
      <c r="B65" s="55">
        <v>46027.442629062498</v>
      </c>
      <c r="C65" s="56" t="s">
        <v>394</v>
      </c>
      <c r="D65" s="56" t="s">
        <v>395</v>
      </c>
      <c r="E65" s="26" t="s">
        <v>21</v>
      </c>
      <c r="F65" s="26" t="s">
        <v>401</v>
      </c>
      <c r="G65" s="26" t="s">
        <v>402</v>
      </c>
      <c r="H65" s="26" t="s">
        <v>3357</v>
      </c>
      <c r="I65" s="26"/>
      <c r="J65" s="26" t="s">
        <v>15</v>
      </c>
      <c r="K65" s="26" t="s">
        <v>13</v>
      </c>
      <c r="L65" s="55">
        <v>46027.483574930557</v>
      </c>
      <c r="M65" s="26"/>
      <c r="N65" s="4" t="s">
        <v>121</v>
      </c>
    </row>
    <row r="66" spans="1:14" ht="75" customHeight="1" thickTop="1" thickBot="1">
      <c r="A66" s="26">
        <v>64</v>
      </c>
      <c r="B66" s="55">
        <v>46027.443212233797</v>
      </c>
      <c r="C66" s="56" t="s">
        <v>394</v>
      </c>
      <c r="D66" s="56" t="s">
        <v>395</v>
      </c>
      <c r="E66" s="26" t="s">
        <v>21</v>
      </c>
      <c r="F66" s="26" t="s">
        <v>413</v>
      </c>
      <c r="G66" s="26" t="s">
        <v>474</v>
      </c>
      <c r="H66" s="26" t="s">
        <v>475</v>
      </c>
      <c r="I66" s="26"/>
      <c r="J66" s="26" t="s">
        <v>12</v>
      </c>
      <c r="K66" s="26" t="s">
        <v>13</v>
      </c>
      <c r="L66" s="55">
        <v>46027.521705115738</v>
      </c>
      <c r="M66" s="26"/>
      <c r="N66" s="4" t="s">
        <v>121</v>
      </c>
    </row>
    <row r="67" spans="1:14" ht="75" customHeight="1" thickTop="1" thickBot="1">
      <c r="A67" s="34">
        <v>65</v>
      </c>
      <c r="B67" s="55">
        <v>46027.464554432801</v>
      </c>
      <c r="C67" s="56" t="s">
        <v>394</v>
      </c>
      <c r="D67" s="56" t="s">
        <v>395</v>
      </c>
      <c r="E67" s="26" t="s">
        <v>21</v>
      </c>
      <c r="F67" s="26" t="s">
        <v>413</v>
      </c>
      <c r="G67" s="26" t="s">
        <v>407</v>
      </c>
      <c r="H67" s="26" t="s">
        <v>570</v>
      </c>
      <c r="I67" s="26"/>
      <c r="J67" s="26" t="s">
        <v>16</v>
      </c>
      <c r="K67" s="26" t="s">
        <v>13</v>
      </c>
      <c r="L67" s="55">
        <v>46027.502044374996</v>
      </c>
      <c r="M67" s="26"/>
      <c r="N67" s="4" t="s">
        <v>121</v>
      </c>
    </row>
    <row r="68" spans="1:14" ht="75" customHeight="1" thickTop="1" thickBot="1">
      <c r="A68" s="26">
        <v>66</v>
      </c>
      <c r="B68" s="55">
        <v>46027.499105034702</v>
      </c>
      <c r="C68" s="56" t="s">
        <v>394</v>
      </c>
      <c r="D68" s="56" t="s">
        <v>395</v>
      </c>
      <c r="E68" s="26" t="s">
        <v>21</v>
      </c>
      <c r="F68" s="26" t="s">
        <v>416</v>
      </c>
      <c r="G68" s="26" t="s">
        <v>442</v>
      </c>
      <c r="H68" s="26" t="s">
        <v>660</v>
      </c>
      <c r="I68" s="26"/>
      <c r="J68" s="26" t="s">
        <v>14</v>
      </c>
      <c r="K68" s="26" t="s">
        <v>13</v>
      </c>
      <c r="L68" s="55">
        <v>46027.55029003472</v>
      </c>
      <c r="M68" s="26"/>
      <c r="N68" s="4" t="s">
        <v>121</v>
      </c>
    </row>
    <row r="69" spans="1:14" ht="75" customHeight="1" thickTop="1" thickBot="1">
      <c r="A69" s="34">
        <v>67</v>
      </c>
      <c r="B69" s="55">
        <v>46027.507942141201</v>
      </c>
      <c r="C69" s="56" t="s">
        <v>394</v>
      </c>
      <c r="D69" s="56" t="s">
        <v>395</v>
      </c>
      <c r="E69" s="26" t="s">
        <v>21</v>
      </c>
      <c r="F69" s="26" t="s">
        <v>405</v>
      </c>
      <c r="G69" s="26" t="s">
        <v>571</v>
      </c>
      <c r="H69" s="26" t="s">
        <v>572</v>
      </c>
      <c r="I69" s="26"/>
      <c r="J69" s="26" t="s">
        <v>16</v>
      </c>
      <c r="K69" s="26" t="s">
        <v>13</v>
      </c>
      <c r="L69" s="55">
        <v>46027.556607812498</v>
      </c>
      <c r="M69" s="26"/>
      <c r="N69" s="4" t="s">
        <v>121</v>
      </c>
    </row>
    <row r="70" spans="1:14" ht="75" customHeight="1" thickTop="1" thickBot="1">
      <c r="A70" s="26">
        <v>68</v>
      </c>
      <c r="B70" s="55">
        <v>46027.508298182802</v>
      </c>
      <c r="C70" s="56" t="s">
        <v>394</v>
      </c>
      <c r="D70" s="56" t="s">
        <v>395</v>
      </c>
      <c r="E70" s="26" t="s">
        <v>21</v>
      </c>
      <c r="F70" s="26" t="s">
        <v>405</v>
      </c>
      <c r="G70" s="26" t="s">
        <v>437</v>
      </c>
      <c r="H70" s="26" t="s">
        <v>476</v>
      </c>
      <c r="I70" s="26"/>
      <c r="J70" s="26" t="s">
        <v>12</v>
      </c>
      <c r="K70" s="26" t="s">
        <v>13</v>
      </c>
      <c r="L70" s="55">
        <v>46027.521627499998</v>
      </c>
      <c r="M70" s="26"/>
      <c r="N70" s="4" t="s">
        <v>121</v>
      </c>
    </row>
    <row r="71" spans="1:14" ht="75" customHeight="1" thickTop="1" thickBot="1">
      <c r="A71" s="34">
        <v>69</v>
      </c>
      <c r="B71" s="55">
        <v>46027.5090273842</v>
      </c>
      <c r="C71" s="56" t="s">
        <v>394</v>
      </c>
      <c r="D71" s="56" t="s">
        <v>395</v>
      </c>
      <c r="E71" s="26" t="s">
        <v>21</v>
      </c>
      <c r="F71" s="26" t="s">
        <v>411</v>
      </c>
      <c r="G71" s="26" t="s">
        <v>661</v>
      </c>
      <c r="H71" s="26" t="s">
        <v>662</v>
      </c>
      <c r="I71" s="26"/>
      <c r="J71" s="26" t="s">
        <v>14</v>
      </c>
      <c r="K71" s="26" t="s">
        <v>13</v>
      </c>
      <c r="L71" s="55">
        <v>46028.320432175926</v>
      </c>
      <c r="M71" s="26"/>
      <c r="N71" s="4" t="s">
        <v>121</v>
      </c>
    </row>
    <row r="72" spans="1:14" ht="75" customHeight="1" thickTop="1" thickBot="1">
      <c r="A72" s="26">
        <v>70</v>
      </c>
      <c r="B72" s="55">
        <v>46028.305774073997</v>
      </c>
      <c r="C72" s="56" t="s">
        <v>394</v>
      </c>
      <c r="D72" s="56" t="s">
        <v>34</v>
      </c>
      <c r="E72" s="26" t="s">
        <v>22</v>
      </c>
      <c r="F72" s="26" t="s">
        <v>416</v>
      </c>
      <c r="G72" s="26" t="s">
        <v>442</v>
      </c>
      <c r="H72" s="26" t="s">
        <v>477</v>
      </c>
      <c r="I72" s="26"/>
      <c r="J72" s="26" t="s">
        <v>12</v>
      </c>
      <c r="K72" s="26" t="s">
        <v>13</v>
      </c>
      <c r="L72" s="55">
        <v>46028.309613425925</v>
      </c>
      <c r="M72" s="26"/>
      <c r="N72" s="4" t="s">
        <v>121</v>
      </c>
    </row>
    <row r="73" spans="1:14" ht="75" customHeight="1" thickTop="1" thickBot="1">
      <c r="A73" s="34">
        <v>71</v>
      </c>
      <c r="B73" s="55">
        <v>46028.306397800901</v>
      </c>
      <c r="C73" s="56" t="s">
        <v>394</v>
      </c>
      <c r="D73" s="56" t="s">
        <v>34</v>
      </c>
      <c r="E73" s="26" t="s">
        <v>22</v>
      </c>
      <c r="F73" s="26" t="s">
        <v>413</v>
      </c>
      <c r="G73" s="26" t="s">
        <v>478</v>
      </c>
      <c r="H73" s="26" t="s">
        <v>479</v>
      </c>
      <c r="I73" s="26"/>
      <c r="J73" s="26" t="s">
        <v>12</v>
      </c>
      <c r="K73" s="26" t="s">
        <v>13</v>
      </c>
      <c r="L73" s="55">
        <v>46028.30962954861</v>
      </c>
      <c r="M73" s="26"/>
      <c r="N73" s="4" t="s">
        <v>121</v>
      </c>
    </row>
    <row r="74" spans="1:14" ht="75" customHeight="1" thickTop="1" thickBot="1">
      <c r="A74" s="26">
        <v>72</v>
      </c>
      <c r="B74" s="55">
        <v>46028.306900995303</v>
      </c>
      <c r="C74" s="56" t="s">
        <v>394</v>
      </c>
      <c r="D74" s="56" t="s">
        <v>34</v>
      </c>
      <c r="E74" s="26" t="s">
        <v>22</v>
      </c>
      <c r="F74" s="26" t="s">
        <v>405</v>
      </c>
      <c r="G74" s="26" t="s">
        <v>404</v>
      </c>
      <c r="H74" s="26" t="s">
        <v>3358</v>
      </c>
      <c r="I74" s="26"/>
      <c r="J74" s="26" t="s">
        <v>12</v>
      </c>
      <c r="K74" s="26" t="s">
        <v>13</v>
      </c>
      <c r="L74" s="55">
        <v>46028.309690497685</v>
      </c>
      <c r="M74" s="26"/>
      <c r="N74" s="4" t="s">
        <v>121</v>
      </c>
    </row>
    <row r="75" spans="1:14" ht="75" customHeight="1" thickTop="1" thickBot="1">
      <c r="A75" s="34">
        <v>73</v>
      </c>
      <c r="B75" s="55">
        <v>46028.307563252303</v>
      </c>
      <c r="C75" s="56" t="s">
        <v>394</v>
      </c>
      <c r="D75" s="56" t="s">
        <v>34</v>
      </c>
      <c r="E75" s="26" t="s">
        <v>22</v>
      </c>
      <c r="F75" s="26" t="s">
        <v>449</v>
      </c>
      <c r="G75" s="26" t="s">
        <v>449</v>
      </c>
      <c r="H75" s="26" t="s">
        <v>480</v>
      </c>
      <c r="I75" s="26"/>
      <c r="J75" s="26" t="s">
        <v>12</v>
      </c>
      <c r="K75" s="26" t="s">
        <v>13</v>
      </c>
      <c r="L75" s="55">
        <v>46028.309646354166</v>
      </c>
      <c r="M75" s="26"/>
      <c r="N75" s="4" t="s">
        <v>121</v>
      </c>
    </row>
    <row r="76" spans="1:14" ht="75" customHeight="1" thickTop="1" thickBot="1">
      <c r="A76" s="26">
        <v>74</v>
      </c>
      <c r="B76" s="55">
        <v>46028.308041087897</v>
      </c>
      <c r="C76" s="56" t="s">
        <v>394</v>
      </c>
      <c r="D76" s="56" t="s">
        <v>34</v>
      </c>
      <c r="E76" s="26" t="s">
        <v>22</v>
      </c>
      <c r="F76" s="26" t="s">
        <v>416</v>
      </c>
      <c r="G76" s="26" t="s">
        <v>40</v>
      </c>
      <c r="H76" s="26" t="s">
        <v>3359</v>
      </c>
      <c r="I76" s="26"/>
      <c r="J76" s="26" t="s">
        <v>12</v>
      </c>
      <c r="K76" s="26" t="s">
        <v>13</v>
      </c>
      <c r="L76" s="55">
        <v>46028.309659409722</v>
      </c>
      <c r="M76" s="26"/>
      <c r="N76" s="4" t="s">
        <v>121</v>
      </c>
    </row>
    <row r="77" spans="1:14" ht="75" customHeight="1" thickTop="1" thickBot="1">
      <c r="A77" s="34">
        <v>75</v>
      </c>
      <c r="B77" s="55">
        <v>46028.3083464351</v>
      </c>
      <c r="C77" s="56" t="s">
        <v>394</v>
      </c>
      <c r="D77" s="56" t="s">
        <v>34</v>
      </c>
      <c r="E77" s="26" t="s">
        <v>22</v>
      </c>
      <c r="F77" s="26" t="s">
        <v>481</v>
      </c>
      <c r="G77" s="26" t="s">
        <v>40</v>
      </c>
      <c r="H77" s="26" t="s">
        <v>3359</v>
      </c>
      <c r="I77" s="26"/>
      <c r="J77" s="26" t="s">
        <v>12</v>
      </c>
      <c r="K77" s="26" t="s">
        <v>13</v>
      </c>
      <c r="L77" s="55">
        <v>46028.309670023147</v>
      </c>
      <c r="M77" s="26"/>
      <c r="N77" s="4" t="s">
        <v>121</v>
      </c>
    </row>
    <row r="78" spans="1:14" ht="75" customHeight="1" thickTop="1" thickBot="1">
      <c r="A78" s="26">
        <v>76</v>
      </c>
      <c r="B78" s="55">
        <v>46028.3091204745</v>
      </c>
      <c r="C78" s="56" t="s">
        <v>394</v>
      </c>
      <c r="D78" s="56" t="s">
        <v>34</v>
      </c>
      <c r="E78" s="26" t="s">
        <v>22</v>
      </c>
      <c r="F78" s="26" t="s">
        <v>416</v>
      </c>
      <c r="G78" s="26" t="s">
        <v>442</v>
      </c>
      <c r="H78" s="26" t="s">
        <v>482</v>
      </c>
      <c r="I78" s="26"/>
      <c r="J78" s="26" t="s">
        <v>12</v>
      </c>
      <c r="K78" s="26" t="s">
        <v>13</v>
      </c>
      <c r="L78" s="55">
        <v>46028.309683692132</v>
      </c>
      <c r="M78" s="26"/>
      <c r="N78" s="4" t="s">
        <v>121</v>
      </c>
    </row>
    <row r="79" spans="1:14" ht="75" customHeight="1" thickTop="1" thickBot="1">
      <c r="A79" s="34">
        <v>77</v>
      </c>
      <c r="B79" s="55">
        <v>46029.3075809027</v>
      </c>
      <c r="C79" s="56" t="s">
        <v>394</v>
      </c>
      <c r="D79" s="56" t="s">
        <v>34</v>
      </c>
      <c r="E79" s="26" t="s">
        <v>22</v>
      </c>
      <c r="F79" s="26" t="s">
        <v>405</v>
      </c>
      <c r="G79" s="26" t="s">
        <v>439</v>
      </c>
      <c r="H79" s="26" t="s">
        <v>483</v>
      </c>
      <c r="I79" s="26"/>
      <c r="J79" s="26" t="s">
        <v>12</v>
      </c>
      <c r="K79" s="26" t="s">
        <v>13</v>
      </c>
      <c r="L79" s="55">
        <v>46029.315915879633</v>
      </c>
      <c r="M79" s="26"/>
      <c r="N79" s="4" t="s">
        <v>121</v>
      </c>
    </row>
    <row r="80" spans="1:14" ht="75" customHeight="1" thickTop="1" thickBot="1">
      <c r="A80" s="26">
        <v>78</v>
      </c>
      <c r="B80" s="55">
        <v>46029.309017372601</v>
      </c>
      <c r="C80" s="56" t="s">
        <v>394</v>
      </c>
      <c r="D80" s="56" t="s">
        <v>34</v>
      </c>
      <c r="E80" s="26" t="s">
        <v>22</v>
      </c>
      <c r="F80" s="26" t="s">
        <v>403</v>
      </c>
      <c r="G80" s="26" t="s">
        <v>40</v>
      </c>
      <c r="H80" s="26" t="s">
        <v>3360</v>
      </c>
      <c r="I80" s="26"/>
      <c r="J80" s="26" t="s">
        <v>12</v>
      </c>
      <c r="K80" s="26" t="s">
        <v>13</v>
      </c>
      <c r="L80" s="55">
        <v>46029.315927418982</v>
      </c>
      <c r="M80" s="26"/>
      <c r="N80" s="4" t="s">
        <v>121</v>
      </c>
    </row>
    <row r="81" spans="1:14" ht="75" customHeight="1" thickTop="1" thickBot="1">
      <c r="A81" s="34">
        <v>79</v>
      </c>
      <c r="B81" s="55">
        <v>46029.309789560102</v>
      </c>
      <c r="C81" s="56" t="s">
        <v>394</v>
      </c>
      <c r="D81" s="56" t="s">
        <v>34</v>
      </c>
      <c r="E81" s="26" t="s">
        <v>22</v>
      </c>
      <c r="F81" s="26" t="s">
        <v>484</v>
      </c>
      <c r="G81" s="26" t="s">
        <v>450</v>
      </c>
      <c r="H81" s="26" t="s">
        <v>485</v>
      </c>
      <c r="I81" s="26"/>
      <c r="J81" s="26" t="s">
        <v>12</v>
      </c>
      <c r="K81" s="26" t="s">
        <v>13</v>
      </c>
      <c r="L81" s="55">
        <v>46029.315938703701</v>
      </c>
      <c r="M81" s="26"/>
      <c r="N81" s="4" t="s">
        <v>121</v>
      </c>
    </row>
    <row r="82" spans="1:14" ht="75" customHeight="1" thickTop="1" thickBot="1">
      <c r="A82" s="26">
        <v>80</v>
      </c>
      <c r="B82" s="55">
        <v>46029.311188125001</v>
      </c>
      <c r="C82" s="56" t="s">
        <v>394</v>
      </c>
      <c r="D82" s="56" t="s">
        <v>34</v>
      </c>
      <c r="E82" s="26" t="s">
        <v>22</v>
      </c>
      <c r="F82" s="26" t="s">
        <v>416</v>
      </c>
      <c r="G82" s="26" t="s">
        <v>442</v>
      </c>
      <c r="H82" s="26" t="s">
        <v>3361</v>
      </c>
      <c r="I82" s="26"/>
      <c r="J82" s="26" t="s">
        <v>12</v>
      </c>
      <c r="K82" s="26" t="s">
        <v>13</v>
      </c>
      <c r="L82" s="55">
        <v>46029.315945543982</v>
      </c>
      <c r="M82" s="26"/>
      <c r="N82" s="4" t="s">
        <v>121</v>
      </c>
    </row>
    <row r="83" spans="1:14" ht="75" customHeight="1" thickTop="1" thickBot="1">
      <c r="A83" s="34">
        <v>81</v>
      </c>
      <c r="B83" s="55">
        <v>46029.311783946701</v>
      </c>
      <c r="C83" s="56" t="s">
        <v>394</v>
      </c>
      <c r="D83" s="56" t="s">
        <v>34</v>
      </c>
      <c r="E83" s="26" t="s">
        <v>22</v>
      </c>
      <c r="F83" s="26" t="s">
        <v>405</v>
      </c>
      <c r="G83" s="26" t="s">
        <v>427</v>
      </c>
      <c r="H83" s="26" t="s">
        <v>3362</v>
      </c>
      <c r="I83" s="26"/>
      <c r="J83" s="26" t="s">
        <v>12</v>
      </c>
      <c r="K83" s="26" t="s">
        <v>13</v>
      </c>
      <c r="L83" s="55">
        <v>46029.315963842593</v>
      </c>
      <c r="M83" s="26"/>
      <c r="N83" s="4" t="s">
        <v>121</v>
      </c>
    </row>
    <row r="84" spans="1:14" ht="75" customHeight="1" thickTop="1" thickBot="1">
      <c r="A84" s="26">
        <v>82</v>
      </c>
      <c r="B84" s="55">
        <v>46029.312320625002</v>
      </c>
      <c r="C84" s="56" t="s">
        <v>394</v>
      </c>
      <c r="D84" s="56" t="s">
        <v>34</v>
      </c>
      <c r="E84" s="26" t="s">
        <v>22</v>
      </c>
      <c r="F84" s="26" t="s">
        <v>413</v>
      </c>
      <c r="G84" s="26" t="s">
        <v>486</v>
      </c>
      <c r="H84" s="26" t="s">
        <v>487</v>
      </c>
      <c r="I84" s="26"/>
      <c r="J84" s="26" t="s">
        <v>12</v>
      </c>
      <c r="K84" s="26" t="s">
        <v>13</v>
      </c>
      <c r="L84" s="55">
        <v>46029.315967650458</v>
      </c>
      <c r="M84" s="26"/>
      <c r="N84" s="4" t="s">
        <v>121</v>
      </c>
    </row>
    <row r="85" spans="1:14" ht="75" customHeight="1" thickTop="1" thickBot="1">
      <c r="A85" s="34">
        <v>83</v>
      </c>
      <c r="B85" s="55">
        <v>46029.312978449001</v>
      </c>
      <c r="C85" s="56" t="s">
        <v>394</v>
      </c>
      <c r="D85" s="56" t="s">
        <v>34</v>
      </c>
      <c r="E85" s="26" t="s">
        <v>22</v>
      </c>
      <c r="F85" s="26" t="s">
        <v>416</v>
      </c>
      <c r="G85" s="26" t="s">
        <v>486</v>
      </c>
      <c r="H85" s="26" t="s">
        <v>3363</v>
      </c>
      <c r="I85" s="26"/>
      <c r="J85" s="26" t="s">
        <v>12</v>
      </c>
      <c r="K85" s="26" t="s">
        <v>13</v>
      </c>
      <c r="L85" s="55">
        <v>46029.315976412036</v>
      </c>
      <c r="M85" s="26"/>
      <c r="N85" s="4" t="s">
        <v>121</v>
      </c>
    </row>
    <row r="86" spans="1:14" ht="75" customHeight="1" thickTop="1" thickBot="1">
      <c r="A86" s="26">
        <v>84</v>
      </c>
      <c r="B86" s="55">
        <v>46029.3568334027</v>
      </c>
      <c r="C86" s="56" t="s">
        <v>394</v>
      </c>
      <c r="D86" s="56" t="s">
        <v>395</v>
      </c>
      <c r="E86" s="26" t="s">
        <v>21</v>
      </c>
      <c r="F86" s="26" t="s">
        <v>401</v>
      </c>
      <c r="G86" s="26" t="s">
        <v>663</v>
      </c>
      <c r="H86" s="26" t="s">
        <v>664</v>
      </c>
      <c r="I86" s="26"/>
      <c r="J86" s="26" t="s">
        <v>14</v>
      </c>
      <c r="K86" s="26" t="s">
        <v>13</v>
      </c>
      <c r="L86" s="55">
        <v>46029.506896412036</v>
      </c>
      <c r="M86" s="26"/>
      <c r="N86" s="4" t="s">
        <v>121</v>
      </c>
    </row>
    <row r="87" spans="1:14" ht="75" customHeight="1" thickTop="1" thickBot="1">
      <c r="A87" s="34">
        <v>85</v>
      </c>
      <c r="B87" s="55">
        <v>46029.447572743004</v>
      </c>
      <c r="C87" s="56" t="s">
        <v>394</v>
      </c>
      <c r="D87" s="56" t="s">
        <v>395</v>
      </c>
      <c r="E87" s="26" t="s">
        <v>21</v>
      </c>
      <c r="F87" s="26" t="s">
        <v>413</v>
      </c>
      <c r="G87" s="26" t="s">
        <v>407</v>
      </c>
      <c r="H87" s="26" t="s">
        <v>3364</v>
      </c>
      <c r="I87" s="26"/>
      <c r="J87" s="26" t="s">
        <v>16</v>
      </c>
      <c r="K87" s="26" t="s">
        <v>13</v>
      </c>
      <c r="L87" s="55">
        <v>46029.467089363425</v>
      </c>
      <c r="M87" s="26"/>
      <c r="N87" s="4" t="s">
        <v>121</v>
      </c>
    </row>
    <row r="88" spans="1:14" ht="75" customHeight="1" thickTop="1" thickBot="1">
      <c r="A88" s="26">
        <v>86</v>
      </c>
      <c r="B88" s="55">
        <v>46029.448351493003</v>
      </c>
      <c r="C88" s="56" t="s">
        <v>394</v>
      </c>
      <c r="D88" s="56" t="s">
        <v>395</v>
      </c>
      <c r="E88" s="26" t="s">
        <v>21</v>
      </c>
      <c r="F88" s="26" t="s">
        <v>481</v>
      </c>
      <c r="G88" s="26" t="s">
        <v>442</v>
      </c>
      <c r="H88" s="26" t="s">
        <v>3365</v>
      </c>
      <c r="I88" s="26"/>
      <c r="J88" s="26" t="s">
        <v>14</v>
      </c>
      <c r="K88" s="26" t="s">
        <v>13</v>
      </c>
      <c r="L88" s="55">
        <v>46029.463637199078</v>
      </c>
      <c r="M88" s="26"/>
      <c r="N88" s="4" t="s">
        <v>121</v>
      </c>
    </row>
    <row r="89" spans="1:14" ht="75" customHeight="1" thickTop="1" thickBot="1">
      <c r="A89" s="34">
        <v>87</v>
      </c>
      <c r="B89" s="55">
        <v>46029.449328576397</v>
      </c>
      <c r="C89" s="56" t="s">
        <v>394</v>
      </c>
      <c r="D89" s="56" t="s">
        <v>395</v>
      </c>
      <c r="E89" s="26" t="s">
        <v>21</v>
      </c>
      <c r="F89" s="26" t="s">
        <v>399</v>
      </c>
      <c r="G89" s="26" t="s">
        <v>407</v>
      </c>
      <c r="H89" s="26" t="s">
        <v>573</v>
      </c>
      <c r="I89" s="26"/>
      <c r="J89" s="26" t="s">
        <v>16</v>
      </c>
      <c r="K89" s="26" t="s">
        <v>13</v>
      </c>
      <c r="L89" s="55">
        <v>46029.52790241898</v>
      </c>
      <c r="M89" s="26"/>
      <c r="N89" s="4" t="s">
        <v>121</v>
      </c>
    </row>
    <row r="90" spans="1:14" ht="75" customHeight="1" thickTop="1" thickBot="1">
      <c r="A90" s="26">
        <v>88</v>
      </c>
      <c r="B90" s="55">
        <v>46029.450430902703</v>
      </c>
      <c r="C90" s="56" t="s">
        <v>394</v>
      </c>
      <c r="D90" s="56" t="s">
        <v>395</v>
      </c>
      <c r="E90" s="26" t="s">
        <v>21</v>
      </c>
      <c r="F90" s="26" t="s">
        <v>403</v>
      </c>
      <c r="G90" s="26" t="s">
        <v>404</v>
      </c>
      <c r="H90" s="26" t="s">
        <v>3366</v>
      </c>
      <c r="I90" s="26">
        <v>1</v>
      </c>
      <c r="J90" s="26" t="s">
        <v>15</v>
      </c>
      <c r="K90" s="26" t="s">
        <v>13</v>
      </c>
      <c r="L90" s="55">
        <v>46029.45117748843</v>
      </c>
      <c r="M90" s="26"/>
      <c r="N90" s="4" t="s">
        <v>121</v>
      </c>
    </row>
    <row r="91" spans="1:14" ht="75" customHeight="1" thickTop="1" thickBot="1">
      <c r="A91" s="34">
        <v>89</v>
      </c>
      <c r="B91" s="55">
        <v>46029.451015995299</v>
      </c>
      <c r="C91" s="56" t="s">
        <v>394</v>
      </c>
      <c r="D91" s="56" t="s">
        <v>395</v>
      </c>
      <c r="E91" s="26" t="s">
        <v>21</v>
      </c>
      <c r="F91" s="26" t="s">
        <v>405</v>
      </c>
      <c r="G91" s="26" t="s">
        <v>406</v>
      </c>
      <c r="H91" s="26" t="s">
        <v>398</v>
      </c>
      <c r="I91" s="26"/>
      <c r="J91" s="26" t="s">
        <v>15</v>
      </c>
      <c r="K91" s="26" t="s">
        <v>13</v>
      </c>
      <c r="L91" s="55">
        <v>46029.769785856479</v>
      </c>
      <c r="M91" s="26"/>
      <c r="N91" s="4" t="s">
        <v>121</v>
      </c>
    </row>
    <row r="92" spans="1:14" ht="75" customHeight="1" thickTop="1" thickBot="1">
      <c r="A92" s="26">
        <v>90</v>
      </c>
      <c r="B92" s="55">
        <v>46029.451500578703</v>
      </c>
      <c r="C92" s="56" t="s">
        <v>394</v>
      </c>
      <c r="D92" s="56" t="s">
        <v>395</v>
      </c>
      <c r="E92" s="26" t="s">
        <v>21</v>
      </c>
      <c r="F92" s="26" t="s">
        <v>401</v>
      </c>
      <c r="G92" s="26" t="s">
        <v>407</v>
      </c>
      <c r="H92" s="26" t="s">
        <v>3367</v>
      </c>
      <c r="I92" s="26"/>
      <c r="J92" s="26" t="s">
        <v>14</v>
      </c>
      <c r="K92" s="26" t="s">
        <v>13</v>
      </c>
      <c r="L92" s="55">
        <v>46029.464218622685</v>
      </c>
      <c r="M92" s="26"/>
      <c r="N92" s="4" t="s">
        <v>121</v>
      </c>
    </row>
    <row r="93" spans="1:14" ht="75" customHeight="1" thickTop="1" thickBot="1">
      <c r="A93" s="34">
        <v>91</v>
      </c>
      <c r="B93" s="55">
        <v>46029.452039131902</v>
      </c>
      <c r="C93" s="56" t="s">
        <v>394</v>
      </c>
      <c r="D93" s="56" t="s">
        <v>395</v>
      </c>
      <c r="E93" s="26" t="s">
        <v>21</v>
      </c>
      <c r="F93" s="26" t="s">
        <v>413</v>
      </c>
      <c r="G93" s="26" t="s">
        <v>442</v>
      </c>
      <c r="H93" s="26" t="s">
        <v>752</v>
      </c>
      <c r="I93" s="26"/>
      <c r="J93" s="26" t="s">
        <v>14</v>
      </c>
      <c r="K93" s="26" t="s">
        <v>13</v>
      </c>
      <c r="L93" s="55">
        <v>46029.464314050929</v>
      </c>
      <c r="M93" s="26"/>
      <c r="N93" s="4" t="s">
        <v>121</v>
      </c>
    </row>
    <row r="94" spans="1:14" ht="75" customHeight="1" thickTop="1" thickBot="1">
      <c r="A94" s="26">
        <v>92</v>
      </c>
      <c r="B94" s="55">
        <v>46029.4524990625</v>
      </c>
      <c r="C94" s="56" t="s">
        <v>394</v>
      </c>
      <c r="D94" s="56" t="s">
        <v>395</v>
      </c>
      <c r="E94" s="26" t="s">
        <v>21</v>
      </c>
      <c r="F94" s="26" t="s">
        <v>413</v>
      </c>
      <c r="G94" s="26" t="s">
        <v>437</v>
      </c>
      <c r="H94" s="26" t="s">
        <v>665</v>
      </c>
      <c r="I94" s="26"/>
      <c r="J94" s="26" t="s">
        <v>14</v>
      </c>
      <c r="K94" s="26" t="s">
        <v>13</v>
      </c>
      <c r="L94" s="55">
        <v>46029.464715567126</v>
      </c>
      <c r="M94" s="26"/>
      <c r="N94" s="4" t="s">
        <v>121</v>
      </c>
    </row>
    <row r="95" spans="1:14" ht="75" customHeight="1" thickTop="1" thickBot="1">
      <c r="A95" s="34">
        <v>93</v>
      </c>
      <c r="B95" s="55">
        <v>46029.453169768502</v>
      </c>
      <c r="C95" s="56" t="s">
        <v>394</v>
      </c>
      <c r="D95" s="56" t="s">
        <v>395</v>
      </c>
      <c r="E95" s="26" t="s">
        <v>21</v>
      </c>
      <c r="F95" s="26" t="s">
        <v>413</v>
      </c>
      <c r="G95" s="26" t="s">
        <v>442</v>
      </c>
      <c r="H95" s="26" t="s">
        <v>488</v>
      </c>
      <c r="I95" s="26"/>
      <c r="J95" s="26" t="s">
        <v>12</v>
      </c>
      <c r="K95" s="26" t="s">
        <v>13</v>
      </c>
      <c r="L95" s="55">
        <v>46029.476248680556</v>
      </c>
      <c r="M95" s="26"/>
      <c r="N95" s="4" t="s">
        <v>121</v>
      </c>
    </row>
    <row r="96" spans="1:14" ht="75" customHeight="1" thickTop="1" thickBot="1">
      <c r="A96" s="26">
        <v>94</v>
      </c>
      <c r="B96" s="55">
        <v>46029.453741956</v>
      </c>
      <c r="C96" s="56" t="s">
        <v>394</v>
      </c>
      <c r="D96" s="56" t="s">
        <v>395</v>
      </c>
      <c r="E96" s="26" t="s">
        <v>21</v>
      </c>
      <c r="F96" s="26" t="s">
        <v>401</v>
      </c>
      <c r="G96" s="26" t="s">
        <v>666</v>
      </c>
      <c r="H96" s="26" t="s">
        <v>667</v>
      </c>
      <c r="I96" s="26"/>
      <c r="J96" s="26" t="s">
        <v>14</v>
      </c>
      <c r="K96" s="26" t="s">
        <v>13</v>
      </c>
      <c r="L96" s="55">
        <v>46029.506794583329</v>
      </c>
      <c r="M96" s="26"/>
      <c r="N96" s="4" t="s">
        <v>121</v>
      </c>
    </row>
    <row r="97" spans="1:14" ht="75" customHeight="1" thickTop="1" thickBot="1">
      <c r="A97" s="34">
        <v>95</v>
      </c>
      <c r="B97" s="55">
        <v>46029.456901851801</v>
      </c>
      <c r="C97" s="56" t="s">
        <v>394</v>
      </c>
      <c r="D97" s="56" t="s">
        <v>395</v>
      </c>
      <c r="E97" s="26" t="s">
        <v>21</v>
      </c>
      <c r="F97" s="26" t="s">
        <v>403</v>
      </c>
      <c r="G97" s="26" t="s">
        <v>442</v>
      </c>
      <c r="H97" s="26" t="s">
        <v>574</v>
      </c>
      <c r="I97" s="26"/>
      <c r="J97" s="26" t="s">
        <v>16</v>
      </c>
      <c r="K97" s="26" t="s">
        <v>13</v>
      </c>
      <c r="L97" s="55">
        <v>46029.528078113421</v>
      </c>
      <c r="M97" s="26"/>
      <c r="N97" s="4" t="s">
        <v>121</v>
      </c>
    </row>
    <row r="98" spans="1:14" ht="75" customHeight="1" thickTop="1" thickBot="1">
      <c r="A98" s="26">
        <v>96</v>
      </c>
      <c r="B98" s="55">
        <v>46029.461431053198</v>
      </c>
      <c r="C98" s="56" t="s">
        <v>394</v>
      </c>
      <c r="D98" s="56" t="s">
        <v>395</v>
      </c>
      <c r="E98" s="26" t="s">
        <v>21</v>
      </c>
      <c r="F98" s="26" t="s">
        <v>412</v>
      </c>
      <c r="G98" s="26" t="s">
        <v>446</v>
      </c>
      <c r="H98" s="26" t="s">
        <v>575</v>
      </c>
      <c r="I98" s="26"/>
      <c r="J98" s="26" t="s">
        <v>16</v>
      </c>
      <c r="K98" s="26" t="s">
        <v>13</v>
      </c>
      <c r="L98" s="55">
        <v>46029.538278587963</v>
      </c>
      <c r="M98" s="26"/>
      <c r="N98" s="4" t="s">
        <v>121</v>
      </c>
    </row>
    <row r="99" spans="1:14" ht="75" customHeight="1" thickTop="1" thickBot="1">
      <c r="A99" s="34">
        <v>97</v>
      </c>
      <c r="B99" s="55">
        <v>46029.462283148103</v>
      </c>
      <c r="C99" s="56" t="s">
        <v>394</v>
      </c>
      <c r="D99" s="56" t="s">
        <v>395</v>
      </c>
      <c r="E99" s="26" t="s">
        <v>21</v>
      </c>
      <c r="F99" s="26" t="s">
        <v>412</v>
      </c>
      <c r="G99" s="26" t="s">
        <v>407</v>
      </c>
      <c r="H99" s="26" t="s">
        <v>576</v>
      </c>
      <c r="I99" s="26"/>
      <c r="J99" s="26" t="s">
        <v>16</v>
      </c>
      <c r="K99" s="26" t="s">
        <v>13</v>
      </c>
      <c r="L99" s="55">
        <v>46029.538223275464</v>
      </c>
      <c r="M99" s="26"/>
      <c r="N99" s="4" t="s">
        <v>121</v>
      </c>
    </row>
    <row r="100" spans="1:14" ht="75" customHeight="1" thickTop="1" thickBot="1">
      <c r="A100" s="26">
        <v>98</v>
      </c>
      <c r="B100" s="55">
        <v>46029.462837245301</v>
      </c>
      <c r="C100" s="56" t="s">
        <v>394</v>
      </c>
      <c r="D100" s="56" t="s">
        <v>395</v>
      </c>
      <c r="E100" s="26" t="s">
        <v>21</v>
      </c>
      <c r="F100" s="26" t="s">
        <v>412</v>
      </c>
      <c r="G100" s="26" t="s">
        <v>407</v>
      </c>
      <c r="H100" s="26" t="s">
        <v>668</v>
      </c>
      <c r="I100" s="26"/>
      <c r="J100" s="26" t="s">
        <v>14</v>
      </c>
      <c r="K100" s="26" t="s">
        <v>13</v>
      </c>
      <c r="L100" s="55">
        <v>46029.76972138889</v>
      </c>
      <c r="M100" s="26"/>
      <c r="N100" s="4" t="s">
        <v>121</v>
      </c>
    </row>
    <row r="101" spans="1:14" ht="75" customHeight="1" thickTop="1" thickBot="1">
      <c r="A101" s="34">
        <v>99</v>
      </c>
      <c r="B101" s="55">
        <v>46029.464056898098</v>
      </c>
      <c r="C101" s="56" t="s">
        <v>394</v>
      </c>
      <c r="D101" s="56" t="s">
        <v>395</v>
      </c>
      <c r="E101" s="26" t="s">
        <v>21</v>
      </c>
      <c r="F101" s="26" t="s">
        <v>412</v>
      </c>
      <c r="G101" s="26" t="s">
        <v>442</v>
      </c>
      <c r="H101" s="26" t="s">
        <v>577</v>
      </c>
      <c r="I101" s="26"/>
      <c r="J101" s="26" t="s">
        <v>16</v>
      </c>
      <c r="K101" s="26" t="s">
        <v>13</v>
      </c>
      <c r="L101" s="55">
        <v>46029.76968646991</v>
      </c>
      <c r="M101" s="26"/>
      <c r="N101" s="4" t="s">
        <v>121</v>
      </c>
    </row>
    <row r="102" spans="1:14" ht="75" customHeight="1" thickTop="1" thickBot="1">
      <c r="A102" s="26">
        <v>100</v>
      </c>
      <c r="B102" s="55">
        <v>46030.313393206001</v>
      </c>
      <c r="C102" s="56" t="s">
        <v>394</v>
      </c>
      <c r="D102" s="56" t="s">
        <v>395</v>
      </c>
      <c r="E102" s="26" t="s">
        <v>21</v>
      </c>
      <c r="F102" s="26" t="s">
        <v>413</v>
      </c>
      <c r="G102" s="26" t="s">
        <v>407</v>
      </c>
      <c r="H102" s="26" t="s">
        <v>3368</v>
      </c>
      <c r="I102" s="26"/>
      <c r="J102" s="26" t="s">
        <v>12</v>
      </c>
      <c r="K102" s="26" t="s">
        <v>13</v>
      </c>
      <c r="L102" s="55">
        <v>46030.314288009264</v>
      </c>
      <c r="M102" s="26"/>
      <c r="N102" s="4" t="s">
        <v>121</v>
      </c>
    </row>
    <row r="103" spans="1:14" ht="75" customHeight="1" thickTop="1" thickBot="1">
      <c r="A103" s="34">
        <v>101</v>
      </c>
      <c r="B103" s="55">
        <v>46030.385234282403</v>
      </c>
      <c r="C103" s="56" t="s">
        <v>394</v>
      </c>
      <c r="D103" s="56" t="s">
        <v>395</v>
      </c>
      <c r="E103" s="26" t="s">
        <v>21</v>
      </c>
      <c r="F103" s="26" t="s">
        <v>405</v>
      </c>
      <c r="G103" s="26" t="s">
        <v>442</v>
      </c>
      <c r="H103" s="26" t="s">
        <v>644</v>
      </c>
      <c r="I103" s="26"/>
      <c r="J103" s="26" t="s">
        <v>16</v>
      </c>
      <c r="K103" s="26" t="s">
        <v>13</v>
      </c>
      <c r="L103" s="55">
        <v>46040.401203229165</v>
      </c>
      <c r="M103" s="26"/>
      <c r="N103" s="4" t="s">
        <v>121</v>
      </c>
    </row>
    <row r="104" spans="1:14" ht="75" customHeight="1" thickTop="1" thickBot="1">
      <c r="A104" s="26">
        <v>102</v>
      </c>
      <c r="B104" s="55">
        <v>46030.420790694399</v>
      </c>
      <c r="C104" s="56" t="s">
        <v>394</v>
      </c>
      <c r="D104" s="56" t="s">
        <v>395</v>
      </c>
      <c r="E104" s="26" t="s">
        <v>21</v>
      </c>
      <c r="F104" s="26" t="s">
        <v>411</v>
      </c>
      <c r="G104" s="26" t="s">
        <v>578</v>
      </c>
      <c r="H104" s="26" t="s">
        <v>579</v>
      </c>
      <c r="I104" s="26"/>
      <c r="J104" s="26" t="s">
        <v>16</v>
      </c>
      <c r="K104" s="26" t="s">
        <v>13</v>
      </c>
      <c r="L104" s="55">
        <v>46030.579292349532</v>
      </c>
      <c r="M104" s="26"/>
      <c r="N104" s="4" t="s">
        <v>121</v>
      </c>
    </row>
    <row r="105" spans="1:14" ht="75" customHeight="1" thickTop="1" thickBot="1">
      <c r="A105" s="34">
        <v>103</v>
      </c>
      <c r="B105" s="55">
        <v>46030.421137349498</v>
      </c>
      <c r="C105" s="56" t="s">
        <v>394</v>
      </c>
      <c r="D105" s="56" t="s">
        <v>395</v>
      </c>
      <c r="E105" s="26" t="s">
        <v>21</v>
      </c>
      <c r="F105" s="26" t="s">
        <v>411</v>
      </c>
      <c r="G105" s="26" t="s">
        <v>442</v>
      </c>
      <c r="H105" s="26" t="s">
        <v>669</v>
      </c>
      <c r="I105" s="26"/>
      <c r="J105" s="26" t="s">
        <v>14</v>
      </c>
      <c r="K105" s="26" t="s">
        <v>13</v>
      </c>
      <c r="L105" s="55">
        <v>46030.579414236112</v>
      </c>
      <c r="M105" s="26"/>
      <c r="N105" s="4" t="s">
        <v>121</v>
      </c>
    </row>
    <row r="106" spans="1:14" ht="75" customHeight="1" thickTop="1" thickBot="1">
      <c r="A106" s="26">
        <v>104</v>
      </c>
      <c r="B106" s="55">
        <v>46030.421445358697</v>
      </c>
      <c r="C106" s="56" t="s">
        <v>394</v>
      </c>
      <c r="D106" s="56" t="s">
        <v>395</v>
      </c>
      <c r="E106" s="26" t="s">
        <v>21</v>
      </c>
      <c r="F106" s="26" t="s">
        <v>411</v>
      </c>
      <c r="G106" s="26" t="s">
        <v>442</v>
      </c>
      <c r="H106" s="26" t="s">
        <v>489</v>
      </c>
      <c r="I106" s="26"/>
      <c r="J106" s="26" t="s">
        <v>12</v>
      </c>
      <c r="K106" s="26" t="s">
        <v>13</v>
      </c>
      <c r="L106" s="55">
        <v>46030.586930787038</v>
      </c>
      <c r="M106" s="26"/>
      <c r="N106" s="4" t="s">
        <v>121</v>
      </c>
    </row>
    <row r="107" spans="1:14" ht="75" customHeight="1" thickTop="1" thickBot="1">
      <c r="A107" s="34">
        <v>105</v>
      </c>
      <c r="B107" s="55">
        <v>46030.465305902697</v>
      </c>
      <c r="C107" s="56" t="s">
        <v>394</v>
      </c>
      <c r="D107" s="56" t="s">
        <v>395</v>
      </c>
      <c r="E107" s="26" t="s">
        <v>21</v>
      </c>
      <c r="F107" s="26" t="s">
        <v>401</v>
      </c>
      <c r="G107" s="26" t="s">
        <v>442</v>
      </c>
      <c r="H107" s="26" t="s">
        <v>580</v>
      </c>
      <c r="I107" s="26"/>
      <c r="J107" s="26" t="s">
        <v>16</v>
      </c>
      <c r="K107" s="26" t="s">
        <v>13</v>
      </c>
      <c r="L107" s="55">
        <v>46032.598427986115</v>
      </c>
      <c r="M107" s="26"/>
      <c r="N107" s="4" t="s">
        <v>121</v>
      </c>
    </row>
    <row r="108" spans="1:14" ht="75" customHeight="1" thickTop="1" thickBot="1">
      <c r="A108" s="26">
        <v>106</v>
      </c>
      <c r="B108" s="55">
        <v>46030.522166701303</v>
      </c>
      <c r="C108" s="56" t="s">
        <v>394</v>
      </c>
      <c r="D108" s="56" t="s">
        <v>395</v>
      </c>
      <c r="E108" s="26" t="s">
        <v>21</v>
      </c>
      <c r="F108" s="26" t="s">
        <v>405</v>
      </c>
      <c r="G108" s="26" t="s">
        <v>407</v>
      </c>
      <c r="H108" s="26" t="s">
        <v>3369</v>
      </c>
      <c r="I108" s="26"/>
      <c r="J108" s="26" t="s">
        <v>12</v>
      </c>
      <c r="K108" s="26" t="s">
        <v>13</v>
      </c>
      <c r="L108" s="55">
        <v>46030.586964988426</v>
      </c>
      <c r="M108" s="26"/>
      <c r="N108" s="4" t="s">
        <v>121</v>
      </c>
    </row>
    <row r="109" spans="1:14" ht="75" customHeight="1" thickTop="1" thickBot="1">
      <c r="A109" s="34">
        <v>107</v>
      </c>
      <c r="B109" s="55">
        <v>46033.328677546298</v>
      </c>
      <c r="C109" s="56" t="s">
        <v>394</v>
      </c>
      <c r="D109" s="56" t="s">
        <v>395</v>
      </c>
      <c r="E109" s="26" t="s">
        <v>21</v>
      </c>
      <c r="F109" s="26" t="s">
        <v>416</v>
      </c>
      <c r="G109" s="26" t="s">
        <v>446</v>
      </c>
      <c r="H109" s="26" t="s">
        <v>3370</v>
      </c>
      <c r="I109" s="26"/>
      <c r="J109" s="26" t="s">
        <v>14</v>
      </c>
      <c r="K109" s="26" t="s">
        <v>13</v>
      </c>
      <c r="L109" s="55">
        <v>46033.379272418984</v>
      </c>
      <c r="M109" s="26"/>
      <c r="N109" s="4" t="s">
        <v>121</v>
      </c>
    </row>
    <row r="110" spans="1:14" ht="75" customHeight="1" thickTop="1" thickBot="1">
      <c r="A110" s="26">
        <v>108</v>
      </c>
      <c r="B110" s="55">
        <v>46033.335115532398</v>
      </c>
      <c r="C110" s="56" t="s">
        <v>394</v>
      </c>
      <c r="D110" s="56" t="s">
        <v>395</v>
      </c>
      <c r="E110" s="26" t="s">
        <v>21</v>
      </c>
      <c r="F110" s="26" t="s">
        <v>399</v>
      </c>
      <c r="G110" s="26" t="s">
        <v>581</v>
      </c>
      <c r="H110" s="26" t="s">
        <v>582</v>
      </c>
      <c r="I110" s="26"/>
      <c r="J110" s="26" t="s">
        <v>16</v>
      </c>
      <c r="K110" s="26" t="s">
        <v>13</v>
      </c>
      <c r="L110" s="55">
        <v>46034.547473587962</v>
      </c>
      <c r="M110" s="26"/>
      <c r="N110" s="4" t="s">
        <v>121</v>
      </c>
    </row>
    <row r="111" spans="1:14" ht="75" customHeight="1" thickTop="1" thickBot="1">
      <c r="A111" s="34">
        <v>109</v>
      </c>
      <c r="B111" s="55">
        <v>46033.346305520798</v>
      </c>
      <c r="C111" s="56" t="s">
        <v>394</v>
      </c>
      <c r="D111" s="56" t="s">
        <v>395</v>
      </c>
      <c r="E111" s="26" t="s">
        <v>21</v>
      </c>
      <c r="F111" s="26" t="s">
        <v>403</v>
      </c>
      <c r="G111" s="26" t="s">
        <v>446</v>
      </c>
      <c r="H111" s="26" t="s">
        <v>3371</v>
      </c>
      <c r="I111" s="26"/>
      <c r="J111" s="26" t="s">
        <v>14</v>
      </c>
      <c r="K111" s="26" t="s">
        <v>13</v>
      </c>
      <c r="L111" s="55">
        <v>46033.38635054398</v>
      </c>
      <c r="M111" s="26"/>
      <c r="N111" s="4" t="s">
        <v>121</v>
      </c>
    </row>
    <row r="112" spans="1:14" ht="75" customHeight="1" thickTop="1" thickBot="1">
      <c r="A112" s="26">
        <v>110</v>
      </c>
      <c r="B112" s="55">
        <v>46033.347239594899</v>
      </c>
      <c r="C112" s="56" t="s">
        <v>394</v>
      </c>
      <c r="D112" s="56" t="s">
        <v>395</v>
      </c>
      <c r="E112" s="26" t="s">
        <v>21</v>
      </c>
      <c r="F112" s="26" t="s">
        <v>399</v>
      </c>
      <c r="G112" s="26" t="s">
        <v>404</v>
      </c>
      <c r="H112" s="26" t="s">
        <v>583</v>
      </c>
      <c r="I112" s="26"/>
      <c r="J112" s="26" t="s">
        <v>16</v>
      </c>
      <c r="K112" s="26" t="s">
        <v>13</v>
      </c>
      <c r="L112" s="55">
        <v>46034.406707210648</v>
      </c>
      <c r="M112" s="26"/>
      <c r="N112" s="4" t="s">
        <v>121</v>
      </c>
    </row>
    <row r="113" spans="1:14" ht="75" customHeight="1" thickTop="1" thickBot="1">
      <c r="A113" s="34">
        <v>111</v>
      </c>
      <c r="B113" s="55">
        <v>46033.349413576303</v>
      </c>
      <c r="C113" s="56" t="s">
        <v>394</v>
      </c>
      <c r="D113" s="56" t="s">
        <v>395</v>
      </c>
      <c r="E113" s="26" t="s">
        <v>21</v>
      </c>
      <c r="F113" s="26" t="s">
        <v>405</v>
      </c>
      <c r="G113" s="26" t="s">
        <v>406</v>
      </c>
      <c r="H113" s="26" t="s">
        <v>670</v>
      </c>
      <c r="I113" s="26"/>
      <c r="J113" s="26" t="s">
        <v>14</v>
      </c>
      <c r="K113" s="26" t="s">
        <v>13</v>
      </c>
      <c r="L113" s="55">
        <v>46033.404456435186</v>
      </c>
      <c r="M113" s="26"/>
      <c r="N113" s="4" t="s">
        <v>121</v>
      </c>
    </row>
    <row r="114" spans="1:14" ht="75" customHeight="1" thickTop="1" thickBot="1">
      <c r="A114" s="26">
        <v>112</v>
      </c>
      <c r="B114" s="55">
        <v>46033.350183414303</v>
      </c>
      <c r="C114" s="56" t="s">
        <v>394</v>
      </c>
      <c r="D114" s="56" t="s">
        <v>395</v>
      </c>
      <c r="E114" s="26" t="s">
        <v>21</v>
      </c>
      <c r="F114" s="26" t="s">
        <v>413</v>
      </c>
      <c r="G114" s="26" t="s">
        <v>442</v>
      </c>
      <c r="H114" s="26" t="s">
        <v>3336</v>
      </c>
      <c r="I114" s="26"/>
      <c r="J114" s="26" t="s">
        <v>12</v>
      </c>
      <c r="K114" s="26" t="s">
        <v>13</v>
      </c>
      <c r="L114" s="55">
        <v>46033.380512997683</v>
      </c>
      <c r="M114" s="26"/>
      <c r="N114" s="4" t="s">
        <v>121</v>
      </c>
    </row>
    <row r="115" spans="1:14" ht="75" customHeight="1" thickTop="1" thickBot="1">
      <c r="A115" s="34">
        <v>113</v>
      </c>
      <c r="B115" s="55">
        <v>46033.353049189798</v>
      </c>
      <c r="C115" s="56" t="s">
        <v>394</v>
      </c>
      <c r="D115" s="56" t="s">
        <v>395</v>
      </c>
      <c r="E115" s="26" t="s">
        <v>21</v>
      </c>
      <c r="F115" s="26" t="s">
        <v>405</v>
      </c>
      <c r="G115" s="26" t="s">
        <v>442</v>
      </c>
      <c r="H115" s="26" t="s">
        <v>490</v>
      </c>
      <c r="I115" s="26"/>
      <c r="J115" s="26" t="s">
        <v>12</v>
      </c>
      <c r="K115" s="26" t="s">
        <v>13</v>
      </c>
      <c r="L115" s="55">
        <v>46034.292657523147</v>
      </c>
      <c r="M115" s="26"/>
      <c r="N115" s="4" t="s">
        <v>121</v>
      </c>
    </row>
    <row r="116" spans="1:14" ht="75" customHeight="1" thickTop="1" thickBot="1">
      <c r="A116" s="26">
        <v>114</v>
      </c>
      <c r="B116" s="55">
        <v>46033.404226712897</v>
      </c>
      <c r="C116" s="56" t="s">
        <v>394</v>
      </c>
      <c r="D116" s="56" t="s">
        <v>395</v>
      </c>
      <c r="E116" s="26" t="s">
        <v>21</v>
      </c>
      <c r="F116" s="26" t="s">
        <v>671</v>
      </c>
      <c r="G116" s="26" t="s">
        <v>446</v>
      </c>
      <c r="H116" s="26" t="s">
        <v>672</v>
      </c>
      <c r="I116" s="26"/>
      <c r="J116" s="26" t="s">
        <v>14</v>
      </c>
      <c r="K116" s="26" t="s">
        <v>13</v>
      </c>
      <c r="L116" s="55">
        <v>46034.420227268522</v>
      </c>
      <c r="M116" s="26"/>
      <c r="N116" s="4" t="s">
        <v>121</v>
      </c>
    </row>
    <row r="117" spans="1:14" ht="75" customHeight="1" thickTop="1" thickBot="1">
      <c r="A117" s="34">
        <v>115</v>
      </c>
      <c r="B117" s="55">
        <v>46033.470159004602</v>
      </c>
      <c r="C117" s="56" t="s">
        <v>394</v>
      </c>
      <c r="D117" s="56" t="s">
        <v>395</v>
      </c>
      <c r="E117" s="26" t="s">
        <v>21</v>
      </c>
      <c r="F117" s="26" t="s">
        <v>416</v>
      </c>
      <c r="G117" s="26" t="s">
        <v>442</v>
      </c>
      <c r="H117" s="26" t="s">
        <v>3372</v>
      </c>
      <c r="I117" s="26"/>
      <c r="J117" s="26" t="s">
        <v>16</v>
      </c>
      <c r="K117" s="26" t="s">
        <v>13</v>
      </c>
      <c r="L117" s="55">
        <v>46034.292613460653</v>
      </c>
      <c r="M117" s="26"/>
      <c r="N117" s="4" t="s">
        <v>121</v>
      </c>
    </row>
    <row r="118" spans="1:14" ht="75" customHeight="1" thickTop="1" thickBot="1">
      <c r="A118" s="26">
        <v>116</v>
      </c>
      <c r="B118" s="55">
        <v>46033.471658032402</v>
      </c>
      <c r="C118" s="56" t="s">
        <v>394</v>
      </c>
      <c r="D118" s="56" t="s">
        <v>395</v>
      </c>
      <c r="E118" s="26" t="s">
        <v>21</v>
      </c>
      <c r="F118" s="26" t="s">
        <v>416</v>
      </c>
      <c r="G118" s="26" t="s">
        <v>442</v>
      </c>
      <c r="H118" s="26" t="s">
        <v>673</v>
      </c>
      <c r="I118" s="26"/>
      <c r="J118" s="26" t="s">
        <v>14</v>
      </c>
      <c r="K118" s="26" t="s">
        <v>13</v>
      </c>
      <c r="L118" s="55">
        <v>46034.406832708337</v>
      </c>
      <c r="M118" s="26"/>
      <c r="N118" s="4" t="s">
        <v>121</v>
      </c>
    </row>
    <row r="119" spans="1:14" ht="75" customHeight="1" thickTop="1" thickBot="1">
      <c r="A119" s="34">
        <v>117</v>
      </c>
      <c r="B119" s="55">
        <v>46033.472353171303</v>
      </c>
      <c r="C119" s="56" t="s">
        <v>394</v>
      </c>
      <c r="D119" s="56" t="s">
        <v>395</v>
      </c>
      <c r="E119" s="26" t="s">
        <v>21</v>
      </c>
      <c r="F119" s="26" t="s">
        <v>416</v>
      </c>
      <c r="G119" s="26" t="s">
        <v>584</v>
      </c>
      <c r="H119" s="26" t="s">
        <v>585</v>
      </c>
      <c r="I119" s="26"/>
      <c r="J119" s="26" t="s">
        <v>16</v>
      </c>
      <c r="K119" s="26" t="s">
        <v>13</v>
      </c>
      <c r="L119" s="55">
        <v>46034.40689554398</v>
      </c>
      <c r="M119" s="26"/>
      <c r="N119" s="4" t="s">
        <v>121</v>
      </c>
    </row>
    <row r="120" spans="1:14" ht="75" customHeight="1" thickTop="1" thickBot="1">
      <c r="A120" s="26">
        <v>118</v>
      </c>
      <c r="B120" s="55">
        <v>46033.501617858798</v>
      </c>
      <c r="C120" s="56" t="s">
        <v>394</v>
      </c>
      <c r="D120" s="56" t="s">
        <v>395</v>
      </c>
      <c r="E120" s="26" t="s">
        <v>21</v>
      </c>
      <c r="F120" s="26" t="s">
        <v>403</v>
      </c>
      <c r="G120" s="26" t="s">
        <v>442</v>
      </c>
      <c r="H120" s="26" t="s">
        <v>3373</v>
      </c>
      <c r="I120" s="26"/>
      <c r="J120" s="26" t="s">
        <v>14</v>
      </c>
      <c r="K120" s="26" t="s">
        <v>13</v>
      </c>
      <c r="L120" s="55">
        <v>46034.40747075231</v>
      </c>
      <c r="M120" s="26"/>
      <c r="N120" s="4" t="s">
        <v>121</v>
      </c>
    </row>
    <row r="121" spans="1:14" ht="75" customHeight="1" thickTop="1" thickBot="1">
      <c r="A121" s="34">
        <v>119</v>
      </c>
      <c r="B121" s="55">
        <v>46033.592627905004</v>
      </c>
      <c r="C121" s="56" t="s">
        <v>394</v>
      </c>
      <c r="D121" s="56" t="s">
        <v>395</v>
      </c>
      <c r="E121" s="26" t="s">
        <v>21</v>
      </c>
      <c r="F121" s="26" t="s">
        <v>405</v>
      </c>
      <c r="G121" s="26" t="s">
        <v>442</v>
      </c>
      <c r="H121" s="26" t="s">
        <v>491</v>
      </c>
      <c r="I121" s="26"/>
      <c r="J121" s="26" t="s">
        <v>12</v>
      </c>
      <c r="K121" s="26" t="s">
        <v>13</v>
      </c>
      <c r="L121" s="55">
        <v>46034.29268752315</v>
      </c>
      <c r="M121" s="26"/>
      <c r="N121" s="4" t="s">
        <v>121</v>
      </c>
    </row>
    <row r="122" spans="1:14" ht="75" customHeight="1" thickTop="1" thickBot="1">
      <c r="A122" s="26">
        <v>120</v>
      </c>
      <c r="B122" s="55">
        <v>46034.307591874996</v>
      </c>
      <c r="C122" s="56" t="s">
        <v>394</v>
      </c>
      <c r="D122" s="56" t="s">
        <v>395</v>
      </c>
      <c r="E122" s="26" t="s">
        <v>21</v>
      </c>
      <c r="F122" s="26" t="s">
        <v>413</v>
      </c>
      <c r="G122" s="26" t="s">
        <v>449</v>
      </c>
      <c r="H122" s="26" t="s">
        <v>3374</v>
      </c>
      <c r="I122" s="26"/>
      <c r="J122" s="26" t="s">
        <v>14</v>
      </c>
      <c r="K122" s="26" t="s">
        <v>13</v>
      </c>
      <c r="L122" s="55">
        <v>46034.350998194444</v>
      </c>
      <c r="M122" s="26"/>
      <c r="N122" s="4" t="s">
        <v>121</v>
      </c>
    </row>
    <row r="123" spans="1:14" ht="75" customHeight="1" thickTop="1" thickBot="1">
      <c r="A123" s="34">
        <v>121</v>
      </c>
      <c r="B123" s="55">
        <v>46034.327799930499</v>
      </c>
      <c r="C123" s="56" t="s">
        <v>394</v>
      </c>
      <c r="D123" s="56" t="s">
        <v>395</v>
      </c>
      <c r="E123" s="26" t="s">
        <v>21</v>
      </c>
      <c r="F123" s="26" t="s">
        <v>396</v>
      </c>
      <c r="G123" s="26" t="s">
        <v>449</v>
      </c>
      <c r="H123" s="26" t="s">
        <v>3375</v>
      </c>
      <c r="I123" s="26"/>
      <c r="J123" s="26" t="s">
        <v>14</v>
      </c>
      <c r="K123" s="26" t="s">
        <v>13</v>
      </c>
      <c r="L123" s="55">
        <v>46034.350760601854</v>
      </c>
      <c r="M123" s="26"/>
      <c r="N123" s="4" t="s">
        <v>121</v>
      </c>
    </row>
    <row r="124" spans="1:14" ht="75" customHeight="1" thickTop="1" thickBot="1">
      <c r="A124" s="26">
        <v>122</v>
      </c>
      <c r="B124" s="55">
        <v>46034.3962049537</v>
      </c>
      <c r="C124" s="56" t="s">
        <v>394</v>
      </c>
      <c r="D124" s="56" t="s">
        <v>395</v>
      </c>
      <c r="E124" s="26" t="s">
        <v>21</v>
      </c>
      <c r="F124" s="26" t="s">
        <v>396</v>
      </c>
      <c r="G124" s="26" t="s">
        <v>449</v>
      </c>
      <c r="H124" s="26" t="s">
        <v>492</v>
      </c>
      <c r="I124" s="26"/>
      <c r="J124" s="26" t="s">
        <v>12</v>
      </c>
      <c r="K124" s="26" t="s">
        <v>13</v>
      </c>
      <c r="L124" s="55">
        <v>46034.544344305556</v>
      </c>
      <c r="M124" s="26"/>
      <c r="N124" s="4" t="s">
        <v>121</v>
      </c>
    </row>
    <row r="125" spans="1:14" ht="75" customHeight="1" thickTop="1" thickBot="1">
      <c r="A125" s="34">
        <v>123</v>
      </c>
      <c r="B125" s="55">
        <v>46034.396886909701</v>
      </c>
      <c r="C125" s="56" t="s">
        <v>394</v>
      </c>
      <c r="D125" s="56" t="s">
        <v>395</v>
      </c>
      <c r="E125" s="26" t="s">
        <v>21</v>
      </c>
      <c r="F125" s="26" t="s">
        <v>396</v>
      </c>
      <c r="G125" s="26" t="s">
        <v>586</v>
      </c>
      <c r="H125" s="26" t="s">
        <v>587</v>
      </c>
      <c r="I125" s="26"/>
      <c r="J125" s="26" t="s">
        <v>16</v>
      </c>
      <c r="K125" s="26" t="s">
        <v>13</v>
      </c>
      <c r="L125" s="55">
        <v>46034.461792349539</v>
      </c>
      <c r="M125" s="26"/>
      <c r="N125" s="4" t="s">
        <v>121</v>
      </c>
    </row>
    <row r="126" spans="1:14" ht="75" customHeight="1" thickTop="1" thickBot="1">
      <c r="A126" s="26">
        <v>124</v>
      </c>
      <c r="B126" s="55">
        <v>46034.406130543903</v>
      </c>
      <c r="C126" s="56" t="s">
        <v>394</v>
      </c>
      <c r="D126" s="56" t="s">
        <v>395</v>
      </c>
      <c r="E126" s="26" t="s">
        <v>21</v>
      </c>
      <c r="F126" s="26" t="s">
        <v>405</v>
      </c>
      <c r="G126" s="26" t="s">
        <v>588</v>
      </c>
      <c r="H126" s="26" t="s">
        <v>589</v>
      </c>
      <c r="I126" s="26"/>
      <c r="J126" s="26" t="s">
        <v>16</v>
      </c>
      <c r="K126" s="26" t="s">
        <v>13</v>
      </c>
      <c r="L126" s="55">
        <v>46034.547364641199</v>
      </c>
      <c r="M126" s="26"/>
      <c r="N126" s="4" t="s">
        <v>121</v>
      </c>
    </row>
    <row r="127" spans="1:14" ht="75" customHeight="1" thickTop="1" thickBot="1">
      <c r="A127" s="34">
        <v>125</v>
      </c>
      <c r="B127" s="55">
        <v>46034.444613946704</v>
      </c>
      <c r="C127" s="56" t="s">
        <v>394</v>
      </c>
      <c r="D127" s="56" t="s">
        <v>395</v>
      </c>
      <c r="E127" s="26" t="s">
        <v>21</v>
      </c>
      <c r="F127" s="26" t="s">
        <v>412</v>
      </c>
      <c r="G127" s="26" t="s">
        <v>493</v>
      </c>
      <c r="H127" s="26" t="s">
        <v>3336</v>
      </c>
      <c r="I127" s="26"/>
      <c r="J127" s="26" t="s">
        <v>12</v>
      </c>
      <c r="K127" s="26" t="s">
        <v>13</v>
      </c>
      <c r="L127" s="55">
        <v>46034.461965659721</v>
      </c>
      <c r="M127" s="26"/>
      <c r="N127" s="4" t="s">
        <v>121</v>
      </c>
    </row>
    <row r="128" spans="1:14" ht="75" customHeight="1" thickTop="1" thickBot="1">
      <c r="A128" s="26">
        <v>126</v>
      </c>
      <c r="B128" s="55">
        <v>46034.5503796064</v>
      </c>
      <c r="C128" s="56" t="s">
        <v>394</v>
      </c>
      <c r="D128" s="56" t="s">
        <v>562</v>
      </c>
      <c r="E128" s="26" t="s">
        <v>22</v>
      </c>
      <c r="F128" s="26" t="s">
        <v>416</v>
      </c>
      <c r="G128" s="26" t="s">
        <v>486</v>
      </c>
      <c r="H128" s="26" t="s">
        <v>590</v>
      </c>
      <c r="I128" s="26"/>
      <c r="J128" s="26" t="s">
        <v>16</v>
      </c>
      <c r="K128" s="26" t="s">
        <v>13</v>
      </c>
      <c r="L128" s="55">
        <v>46034.550470532406</v>
      </c>
      <c r="M128" s="26"/>
      <c r="N128" s="4" t="s">
        <v>121</v>
      </c>
    </row>
    <row r="129" spans="1:14" ht="75" customHeight="1" thickTop="1" thickBot="1">
      <c r="A129" s="34">
        <v>127</v>
      </c>
      <c r="B129" s="55">
        <v>46034.551546770803</v>
      </c>
      <c r="C129" s="56" t="s">
        <v>394</v>
      </c>
      <c r="D129" s="56" t="s">
        <v>591</v>
      </c>
      <c r="E129" s="26" t="s">
        <v>22</v>
      </c>
      <c r="F129" s="26" t="s">
        <v>403</v>
      </c>
      <c r="G129" s="26" t="s">
        <v>486</v>
      </c>
      <c r="H129" s="26" t="s">
        <v>592</v>
      </c>
      <c r="I129" s="26"/>
      <c r="J129" s="26" t="s">
        <v>16</v>
      </c>
      <c r="K129" s="26" t="s">
        <v>13</v>
      </c>
      <c r="L129" s="55">
        <v>46034.551632210649</v>
      </c>
      <c r="M129" s="26"/>
      <c r="N129" s="4" t="s">
        <v>121</v>
      </c>
    </row>
    <row r="130" spans="1:14" ht="75" customHeight="1" thickTop="1" thickBot="1">
      <c r="A130" s="26">
        <v>128</v>
      </c>
      <c r="B130" s="55">
        <v>46034.552657002299</v>
      </c>
      <c r="C130" s="56" t="s">
        <v>394</v>
      </c>
      <c r="D130" s="56" t="s">
        <v>562</v>
      </c>
      <c r="E130" s="26" t="s">
        <v>22</v>
      </c>
      <c r="F130" s="26" t="s">
        <v>403</v>
      </c>
      <c r="G130" s="26" t="s">
        <v>593</v>
      </c>
      <c r="H130" s="26" t="s">
        <v>594</v>
      </c>
      <c r="I130" s="26"/>
      <c r="J130" s="26" t="s">
        <v>16</v>
      </c>
      <c r="K130" s="26" t="s">
        <v>13</v>
      </c>
      <c r="L130" s="55">
        <v>46034.55273891204</v>
      </c>
      <c r="M130" s="26"/>
      <c r="N130" s="4" t="s">
        <v>121</v>
      </c>
    </row>
    <row r="131" spans="1:14" ht="75" customHeight="1" thickTop="1" thickBot="1">
      <c r="A131" s="34">
        <v>129</v>
      </c>
      <c r="B131" s="55">
        <v>46034.553920752303</v>
      </c>
      <c r="C131" s="56" t="s">
        <v>394</v>
      </c>
      <c r="D131" s="56" t="s">
        <v>395</v>
      </c>
      <c r="E131" s="26" t="s">
        <v>21</v>
      </c>
      <c r="F131" s="26" t="s">
        <v>403</v>
      </c>
      <c r="G131" s="26" t="s">
        <v>593</v>
      </c>
      <c r="H131" s="26" t="s">
        <v>595</v>
      </c>
      <c r="I131" s="26"/>
      <c r="J131" s="26" t="s">
        <v>16</v>
      </c>
      <c r="K131" s="26" t="s">
        <v>13</v>
      </c>
      <c r="L131" s="55">
        <v>46034.55403806713</v>
      </c>
      <c r="M131" s="26"/>
      <c r="N131" s="4" t="s">
        <v>121</v>
      </c>
    </row>
    <row r="132" spans="1:14" ht="75" customHeight="1" thickTop="1" thickBot="1">
      <c r="A132" s="26">
        <v>130</v>
      </c>
      <c r="B132" s="55">
        <v>46034.559021759203</v>
      </c>
      <c r="C132" s="56" t="s">
        <v>394</v>
      </c>
      <c r="D132" s="56" t="s">
        <v>591</v>
      </c>
      <c r="E132" s="26" t="s">
        <v>22</v>
      </c>
      <c r="F132" s="26" t="s">
        <v>403</v>
      </c>
      <c r="G132" s="26" t="s">
        <v>486</v>
      </c>
      <c r="H132" s="26" t="s">
        <v>596</v>
      </c>
      <c r="I132" s="26"/>
      <c r="J132" s="26" t="s">
        <v>16</v>
      </c>
      <c r="K132" s="26" t="s">
        <v>13</v>
      </c>
      <c r="L132" s="55">
        <v>46035.338325752316</v>
      </c>
      <c r="M132" s="26"/>
      <c r="N132" s="4" t="s">
        <v>121</v>
      </c>
    </row>
    <row r="133" spans="1:14" ht="75" customHeight="1" thickTop="1" thickBot="1">
      <c r="A133" s="34">
        <v>131</v>
      </c>
      <c r="B133" s="55">
        <v>46035.311327870302</v>
      </c>
      <c r="C133" s="56" t="s">
        <v>394</v>
      </c>
      <c r="D133" s="56" t="s">
        <v>395</v>
      </c>
      <c r="E133" s="26" t="s">
        <v>21</v>
      </c>
      <c r="F133" s="26" t="s">
        <v>413</v>
      </c>
      <c r="G133" s="26" t="s">
        <v>407</v>
      </c>
      <c r="H133" s="26" t="s">
        <v>3376</v>
      </c>
      <c r="I133" s="26"/>
      <c r="J133" s="26" t="s">
        <v>16</v>
      </c>
      <c r="K133" s="26" t="s">
        <v>13</v>
      </c>
      <c r="L133" s="55">
        <v>46035.337351215276</v>
      </c>
      <c r="M133" s="26"/>
      <c r="N133" s="4" t="s">
        <v>121</v>
      </c>
    </row>
    <row r="134" spans="1:14" ht="75" customHeight="1" thickTop="1" thickBot="1">
      <c r="A134" s="26">
        <v>132</v>
      </c>
      <c r="B134" s="55">
        <v>46035.313869189798</v>
      </c>
      <c r="C134" s="56" t="s">
        <v>394</v>
      </c>
      <c r="D134" s="56" t="s">
        <v>395</v>
      </c>
      <c r="E134" s="26" t="s">
        <v>21</v>
      </c>
      <c r="F134" s="26" t="s">
        <v>411</v>
      </c>
      <c r="G134" s="26" t="s">
        <v>597</v>
      </c>
      <c r="H134" s="26" t="s">
        <v>3377</v>
      </c>
      <c r="I134" s="26"/>
      <c r="J134" s="26" t="s">
        <v>16</v>
      </c>
      <c r="K134" s="26" t="s">
        <v>13</v>
      </c>
      <c r="L134" s="55">
        <v>46035.33744930556</v>
      </c>
      <c r="M134" s="26"/>
      <c r="N134" s="4" t="s">
        <v>121</v>
      </c>
    </row>
    <row r="135" spans="1:14" ht="75" customHeight="1" thickTop="1" thickBot="1">
      <c r="A135" s="34">
        <v>133</v>
      </c>
      <c r="B135" s="55">
        <v>46035.395783819396</v>
      </c>
      <c r="C135" s="56" t="s">
        <v>394</v>
      </c>
      <c r="D135" s="56" t="s">
        <v>395</v>
      </c>
      <c r="E135" s="26" t="s">
        <v>21</v>
      </c>
      <c r="F135" s="26" t="s">
        <v>598</v>
      </c>
      <c r="G135" s="26" t="s">
        <v>599</v>
      </c>
      <c r="H135" s="26" t="s">
        <v>3378</v>
      </c>
      <c r="I135" s="26"/>
      <c r="J135" s="26" t="s">
        <v>16</v>
      </c>
      <c r="K135" s="26" t="s">
        <v>13</v>
      </c>
      <c r="L135" s="55">
        <v>46035.524837847217</v>
      </c>
      <c r="M135" s="26"/>
      <c r="N135" s="4" t="s">
        <v>121</v>
      </c>
    </row>
    <row r="136" spans="1:14" ht="75" customHeight="1" thickTop="1" thickBot="1">
      <c r="A136" s="26">
        <v>134</v>
      </c>
      <c r="B136" s="55">
        <v>46035.417875069397</v>
      </c>
      <c r="C136" s="56" t="s">
        <v>394</v>
      </c>
      <c r="D136" s="56" t="s">
        <v>494</v>
      </c>
      <c r="E136" s="26" t="s">
        <v>21</v>
      </c>
      <c r="F136" s="26" t="s">
        <v>411</v>
      </c>
      <c r="G136" s="26" t="s">
        <v>495</v>
      </c>
      <c r="H136" s="26" t="s">
        <v>496</v>
      </c>
      <c r="I136" s="26"/>
      <c r="J136" s="26" t="s">
        <v>12</v>
      </c>
      <c r="K136" s="26" t="s">
        <v>13</v>
      </c>
      <c r="L136" s="55">
        <v>46039.424089942127</v>
      </c>
      <c r="M136" s="26"/>
      <c r="N136" s="4" t="s">
        <v>121</v>
      </c>
    </row>
    <row r="137" spans="1:14" ht="75" customHeight="1" thickTop="1" thickBot="1">
      <c r="A137" s="34">
        <v>135</v>
      </c>
      <c r="B137" s="55">
        <v>46036.381203101802</v>
      </c>
      <c r="C137" s="56" t="s">
        <v>394</v>
      </c>
      <c r="D137" s="56" t="s">
        <v>395</v>
      </c>
      <c r="E137" s="26" t="s">
        <v>21</v>
      </c>
      <c r="F137" s="26" t="s">
        <v>508</v>
      </c>
      <c r="G137" s="26" t="s">
        <v>449</v>
      </c>
      <c r="H137" s="26" t="s">
        <v>3379</v>
      </c>
      <c r="I137" s="26"/>
      <c r="J137" s="26" t="s">
        <v>16</v>
      </c>
      <c r="K137" s="26" t="s">
        <v>13</v>
      </c>
      <c r="L137" s="55">
        <v>46036.503254201394</v>
      </c>
      <c r="M137" s="26"/>
      <c r="N137" s="4" t="s">
        <v>121</v>
      </c>
    </row>
    <row r="138" spans="1:14" ht="75" customHeight="1" thickTop="1" thickBot="1">
      <c r="A138" s="26">
        <v>136</v>
      </c>
      <c r="B138" s="55">
        <v>46036.387729085603</v>
      </c>
      <c r="C138" s="56" t="s">
        <v>394</v>
      </c>
      <c r="D138" s="56" t="s">
        <v>395</v>
      </c>
      <c r="E138" s="26" t="s">
        <v>21</v>
      </c>
      <c r="F138" s="26" t="s">
        <v>411</v>
      </c>
      <c r="G138" s="26" t="s">
        <v>449</v>
      </c>
      <c r="H138" s="26" t="s">
        <v>933</v>
      </c>
      <c r="I138" s="26"/>
      <c r="J138" s="26" t="s">
        <v>14</v>
      </c>
      <c r="K138" s="26" t="s">
        <v>13</v>
      </c>
      <c r="L138" s="55">
        <v>46036.503351921296</v>
      </c>
      <c r="M138" s="26"/>
      <c r="N138" s="4" t="s">
        <v>121</v>
      </c>
    </row>
    <row r="139" spans="1:14" ht="75" customHeight="1" thickTop="1" thickBot="1">
      <c r="A139" s="34">
        <v>137</v>
      </c>
      <c r="B139" s="55">
        <v>46036.441005995301</v>
      </c>
      <c r="C139" s="56" t="s">
        <v>394</v>
      </c>
      <c r="D139" s="56" t="s">
        <v>395</v>
      </c>
      <c r="E139" s="26" t="s">
        <v>21</v>
      </c>
      <c r="F139" s="26" t="s">
        <v>405</v>
      </c>
      <c r="G139" s="26" t="s">
        <v>600</v>
      </c>
      <c r="H139" s="26" t="s">
        <v>601</v>
      </c>
      <c r="I139" s="26"/>
      <c r="J139" s="26" t="s">
        <v>16</v>
      </c>
      <c r="K139" s="26" t="s">
        <v>13</v>
      </c>
      <c r="L139" s="55">
        <v>46036.541169768519</v>
      </c>
      <c r="M139" s="26"/>
      <c r="N139" s="4" t="s">
        <v>121</v>
      </c>
    </row>
    <row r="140" spans="1:14" ht="75" customHeight="1" thickTop="1" thickBot="1">
      <c r="A140" s="26">
        <v>138</v>
      </c>
      <c r="B140" s="55">
        <v>46036.531809502303</v>
      </c>
      <c r="C140" s="56" t="s">
        <v>394</v>
      </c>
      <c r="D140" s="56" t="s">
        <v>395</v>
      </c>
      <c r="E140" s="26" t="s">
        <v>21</v>
      </c>
      <c r="F140" s="26" t="s">
        <v>497</v>
      </c>
      <c r="G140" s="26" t="s">
        <v>498</v>
      </c>
      <c r="H140" s="26" t="s">
        <v>3380</v>
      </c>
      <c r="I140" s="26"/>
      <c r="J140" s="26" t="s">
        <v>12</v>
      </c>
      <c r="K140" s="26" t="s">
        <v>13</v>
      </c>
      <c r="L140" s="55">
        <v>46036.568457476853</v>
      </c>
      <c r="M140" s="26"/>
      <c r="N140" s="4" t="s">
        <v>121</v>
      </c>
    </row>
    <row r="141" spans="1:14" ht="75" customHeight="1" thickTop="1" thickBot="1">
      <c r="A141" s="34">
        <v>139</v>
      </c>
      <c r="B141" s="55">
        <v>46037.328860752299</v>
      </c>
      <c r="C141" s="56" t="s">
        <v>394</v>
      </c>
      <c r="D141" s="56" t="s">
        <v>645</v>
      </c>
      <c r="E141" s="26" t="s">
        <v>22</v>
      </c>
      <c r="F141" s="26" t="s">
        <v>401</v>
      </c>
      <c r="G141" s="26" t="s">
        <v>442</v>
      </c>
      <c r="H141" s="26" t="s">
        <v>675</v>
      </c>
      <c r="I141" s="26"/>
      <c r="J141" s="26" t="s">
        <v>14</v>
      </c>
      <c r="K141" s="26" t="s">
        <v>13</v>
      </c>
      <c r="L141" s="55">
        <v>46037.33166747685</v>
      </c>
      <c r="M141" s="26"/>
      <c r="N141" s="4" t="s">
        <v>121</v>
      </c>
    </row>
    <row r="142" spans="1:14" ht="75" customHeight="1" thickTop="1" thickBot="1">
      <c r="A142" s="26">
        <v>140</v>
      </c>
      <c r="B142" s="55">
        <v>46037.329705960597</v>
      </c>
      <c r="C142" s="56" t="s">
        <v>394</v>
      </c>
      <c r="D142" s="56" t="s">
        <v>408</v>
      </c>
      <c r="E142" s="26" t="s">
        <v>22</v>
      </c>
      <c r="F142" s="26" t="s">
        <v>401</v>
      </c>
      <c r="G142" s="26" t="s">
        <v>549</v>
      </c>
      <c r="H142" s="26" t="s">
        <v>676</v>
      </c>
      <c r="I142" s="26"/>
      <c r="J142" s="26" t="s">
        <v>14</v>
      </c>
      <c r="K142" s="26" t="s">
        <v>13</v>
      </c>
      <c r="L142" s="55">
        <v>46037.331684247685</v>
      </c>
      <c r="M142" s="26"/>
      <c r="N142" s="4" t="s">
        <v>121</v>
      </c>
    </row>
    <row r="143" spans="1:14" ht="75" customHeight="1" thickTop="1" thickBot="1">
      <c r="A143" s="34">
        <v>141</v>
      </c>
      <c r="B143" s="55">
        <v>46037.330623911999</v>
      </c>
      <c r="C143" s="56" t="s">
        <v>394</v>
      </c>
      <c r="D143" s="56" t="s">
        <v>410</v>
      </c>
      <c r="E143" s="26" t="s">
        <v>22</v>
      </c>
      <c r="F143" s="26" t="s">
        <v>403</v>
      </c>
      <c r="G143" s="26" t="s">
        <v>593</v>
      </c>
      <c r="H143" s="26" t="s">
        <v>613</v>
      </c>
      <c r="I143" s="26"/>
      <c r="J143" s="26" t="s">
        <v>14</v>
      </c>
      <c r="K143" s="26" t="s">
        <v>13</v>
      </c>
      <c r="L143" s="55">
        <v>46037.331698958333</v>
      </c>
      <c r="M143" s="26"/>
      <c r="N143" s="4" t="s">
        <v>121</v>
      </c>
    </row>
    <row r="144" spans="1:14" ht="75" customHeight="1" thickTop="1" thickBot="1">
      <c r="A144" s="26">
        <v>142</v>
      </c>
      <c r="B144" s="55">
        <v>46037.331463888797</v>
      </c>
      <c r="C144" s="56" t="s">
        <v>394</v>
      </c>
      <c r="D144" s="56" t="s">
        <v>410</v>
      </c>
      <c r="E144" s="26" t="s">
        <v>22</v>
      </c>
      <c r="F144" s="26" t="s">
        <v>412</v>
      </c>
      <c r="G144" s="26" t="s">
        <v>439</v>
      </c>
      <c r="H144" s="26" t="s">
        <v>677</v>
      </c>
      <c r="I144" s="26"/>
      <c r="J144" s="26" t="s">
        <v>14</v>
      </c>
      <c r="K144" s="26" t="s">
        <v>13</v>
      </c>
      <c r="L144" s="55">
        <v>46037.33172894676</v>
      </c>
      <c r="M144" s="26"/>
      <c r="N144" s="4" t="s">
        <v>121</v>
      </c>
    </row>
    <row r="145" spans="1:14" ht="75" customHeight="1" thickTop="1" thickBot="1">
      <c r="A145" s="34">
        <v>143</v>
      </c>
      <c r="B145" s="55">
        <v>46037.3345894097</v>
      </c>
      <c r="C145" s="56" t="s">
        <v>394</v>
      </c>
      <c r="D145" s="56" t="s">
        <v>113</v>
      </c>
      <c r="E145" s="26" t="s">
        <v>22</v>
      </c>
      <c r="F145" s="26" t="s">
        <v>401</v>
      </c>
      <c r="G145" s="26" t="s">
        <v>602</v>
      </c>
      <c r="H145" s="26" t="s">
        <v>603</v>
      </c>
      <c r="I145" s="26"/>
      <c r="J145" s="26" t="s">
        <v>16</v>
      </c>
      <c r="K145" s="26" t="s">
        <v>13</v>
      </c>
      <c r="L145" s="55">
        <v>46037.33963076389</v>
      </c>
      <c r="M145" s="26"/>
      <c r="N145" s="4" t="s">
        <v>121</v>
      </c>
    </row>
    <row r="146" spans="1:14" ht="75" customHeight="1" thickTop="1" thickBot="1">
      <c r="A146" s="26">
        <v>144</v>
      </c>
      <c r="B146" s="55">
        <v>46037.335432557797</v>
      </c>
      <c r="C146" s="56" t="s">
        <v>394</v>
      </c>
      <c r="D146" s="56" t="s">
        <v>114</v>
      </c>
      <c r="E146" s="26" t="s">
        <v>22</v>
      </c>
      <c r="F146" s="26" t="s">
        <v>401</v>
      </c>
      <c r="G146" s="26" t="s">
        <v>602</v>
      </c>
      <c r="H146" s="26" t="s">
        <v>3381</v>
      </c>
      <c r="I146" s="26"/>
      <c r="J146" s="26" t="s">
        <v>16</v>
      </c>
      <c r="K146" s="26" t="s">
        <v>13</v>
      </c>
      <c r="L146" s="55">
        <v>46037.339643541665</v>
      </c>
      <c r="M146" s="26"/>
      <c r="N146" s="4" t="s">
        <v>122</v>
      </c>
    </row>
    <row r="147" spans="1:14" ht="75" customHeight="1" thickTop="1" thickBot="1">
      <c r="A147" s="34">
        <v>145</v>
      </c>
      <c r="B147" s="55">
        <v>46037.336200972197</v>
      </c>
      <c r="C147" s="56" t="s">
        <v>394</v>
      </c>
      <c r="D147" s="56" t="s">
        <v>114</v>
      </c>
      <c r="E147" s="26" t="s">
        <v>22</v>
      </c>
      <c r="F147" s="26" t="s">
        <v>401</v>
      </c>
      <c r="G147" s="26" t="s">
        <v>602</v>
      </c>
      <c r="H147" s="26" t="s">
        <v>604</v>
      </c>
      <c r="I147" s="26"/>
      <c r="J147" s="26" t="s">
        <v>16</v>
      </c>
      <c r="K147" s="26" t="s">
        <v>13</v>
      </c>
      <c r="L147" s="55">
        <v>46037.339658645833</v>
      </c>
      <c r="M147" s="26"/>
      <c r="N147" s="4" t="s">
        <v>121</v>
      </c>
    </row>
    <row r="148" spans="1:14" ht="75" customHeight="1" thickTop="1" thickBot="1">
      <c r="A148" s="26">
        <v>146</v>
      </c>
      <c r="B148" s="55">
        <v>46037.336859791598</v>
      </c>
      <c r="C148" s="56" t="s">
        <v>394</v>
      </c>
      <c r="D148" s="56" t="s">
        <v>114</v>
      </c>
      <c r="E148" s="26" t="s">
        <v>22</v>
      </c>
      <c r="F148" s="26" t="s">
        <v>401</v>
      </c>
      <c r="G148" s="26" t="s">
        <v>602</v>
      </c>
      <c r="H148" s="26" t="s">
        <v>605</v>
      </c>
      <c r="I148" s="26"/>
      <c r="J148" s="26" t="s">
        <v>16</v>
      </c>
      <c r="K148" s="26" t="s">
        <v>13</v>
      </c>
      <c r="L148" s="55">
        <v>46037.339676840274</v>
      </c>
      <c r="M148" s="26"/>
      <c r="N148" s="4" t="s">
        <v>121</v>
      </c>
    </row>
    <row r="149" spans="1:14" ht="75" customHeight="1" thickTop="1" thickBot="1">
      <c r="A149" s="34">
        <v>147</v>
      </c>
      <c r="B149" s="55">
        <v>46037.3375029745</v>
      </c>
      <c r="C149" s="56" t="s">
        <v>394</v>
      </c>
      <c r="D149" s="56" t="s">
        <v>114</v>
      </c>
      <c r="E149" s="26" t="s">
        <v>22</v>
      </c>
      <c r="F149" s="26" t="s">
        <v>401</v>
      </c>
      <c r="G149" s="26" t="s">
        <v>602</v>
      </c>
      <c r="H149" s="26" t="s">
        <v>606</v>
      </c>
      <c r="I149" s="26"/>
      <c r="J149" s="26" t="s">
        <v>16</v>
      </c>
      <c r="K149" s="26" t="s">
        <v>13</v>
      </c>
      <c r="L149" s="55">
        <v>46037.339700324075</v>
      </c>
      <c r="M149" s="26"/>
      <c r="N149" s="4" t="s">
        <v>121</v>
      </c>
    </row>
    <row r="150" spans="1:14" ht="75" customHeight="1" thickTop="1" thickBot="1">
      <c r="A150" s="26">
        <v>148</v>
      </c>
      <c r="B150" s="55">
        <v>46039.422036006901</v>
      </c>
      <c r="C150" s="56" t="s">
        <v>394</v>
      </c>
      <c r="D150" s="56" t="s">
        <v>395</v>
      </c>
      <c r="E150" s="26" t="s">
        <v>21</v>
      </c>
      <c r="F150" s="26" t="s">
        <v>399</v>
      </c>
      <c r="G150" s="26" t="s">
        <v>407</v>
      </c>
      <c r="H150" s="26" t="s">
        <v>3336</v>
      </c>
      <c r="I150" s="26"/>
      <c r="J150" s="26" t="s">
        <v>12</v>
      </c>
      <c r="K150" s="26" t="s">
        <v>13</v>
      </c>
      <c r="L150" s="55">
        <v>46039.424363078702</v>
      </c>
      <c r="M150" s="26"/>
      <c r="N150" s="4" t="s">
        <v>121</v>
      </c>
    </row>
    <row r="151" spans="1:14" ht="75" customHeight="1" thickTop="1" thickBot="1">
      <c r="A151" s="34">
        <v>149</v>
      </c>
      <c r="B151" s="55">
        <v>46039.4425362037</v>
      </c>
      <c r="C151" s="56" t="s">
        <v>394</v>
      </c>
      <c r="D151" s="56" t="s">
        <v>678</v>
      </c>
      <c r="E151" s="26" t="s">
        <v>22</v>
      </c>
      <c r="F151" s="26" t="s">
        <v>405</v>
      </c>
      <c r="G151" s="26" t="s">
        <v>442</v>
      </c>
      <c r="H151" s="26" t="s">
        <v>3382</v>
      </c>
      <c r="I151" s="26"/>
      <c r="J151" s="26" t="s">
        <v>14</v>
      </c>
      <c r="K151" s="26" t="s">
        <v>13</v>
      </c>
      <c r="L151" s="55">
        <v>46039.446421006942</v>
      </c>
      <c r="M151" s="26"/>
      <c r="N151" s="4" t="s">
        <v>121</v>
      </c>
    </row>
    <row r="152" spans="1:14" ht="75" customHeight="1" thickTop="1" thickBot="1">
      <c r="A152" s="26">
        <v>150</v>
      </c>
      <c r="B152" s="55">
        <v>46039.4430006365</v>
      </c>
      <c r="C152" s="56" t="s">
        <v>394</v>
      </c>
      <c r="D152" s="56" t="s">
        <v>115</v>
      </c>
      <c r="E152" s="26" t="s">
        <v>22</v>
      </c>
      <c r="F152" s="26" t="s">
        <v>405</v>
      </c>
      <c r="G152" s="26" t="s">
        <v>442</v>
      </c>
      <c r="H152" s="26" t="s">
        <v>613</v>
      </c>
      <c r="I152" s="26"/>
      <c r="J152" s="26" t="s">
        <v>14</v>
      </c>
      <c r="K152" s="26" t="s">
        <v>13</v>
      </c>
      <c r="L152" s="55">
        <v>46039.44643556713</v>
      </c>
      <c r="M152" s="26"/>
      <c r="N152" s="4" t="s">
        <v>121</v>
      </c>
    </row>
    <row r="153" spans="1:14" ht="75" customHeight="1" thickTop="1" thickBot="1">
      <c r="A153" s="34">
        <v>151</v>
      </c>
      <c r="B153" s="55">
        <v>46039.443422638797</v>
      </c>
      <c r="C153" s="56" t="s">
        <v>394</v>
      </c>
      <c r="D153" s="56" t="s">
        <v>115</v>
      </c>
      <c r="E153" s="26" t="s">
        <v>22</v>
      </c>
      <c r="F153" s="26" t="s">
        <v>405</v>
      </c>
      <c r="G153" s="26" t="s">
        <v>442</v>
      </c>
      <c r="H153" s="26" t="s">
        <v>677</v>
      </c>
      <c r="I153" s="26"/>
      <c r="J153" s="26" t="s">
        <v>14</v>
      </c>
      <c r="K153" s="26" t="s">
        <v>13</v>
      </c>
      <c r="L153" s="55">
        <v>46039.446449201394</v>
      </c>
      <c r="M153" s="26"/>
      <c r="N153" s="4" t="s">
        <v>121</v>
      </c>
    </row>
    <row r="154" spans="1:14" ht="75" customHeight="1" thickTop="1" thickBot="1">
      <c r="A154" s="26">
        <v>152</v>
      </c>
      <c r="B154" s="55">
        <v>46039.443935242998</v>
      </c>
      <c r="C154" s="56" t="s">
        <v>394</v>
      </c>
      <c r="D154" s="56" t="s">
        <v>115</v>
      </c>
      <c r="E154" s="26" t="s">
        <v>22</v>
      </c>
      <c r="F154" s="26" t="s">
        <v>405</v>
      </c>
      <c r="G154" s="26" t="s">
        <v>442</v>
      </c>
      <c r="H154" s="26" t="s">
        <v>679</v>
      </c>
      <c r="I154" s="26"/>
      <c r="J154" s="26" t="s">
        <v>14</v>
      </c>
      <c r="K154" s="26" t="s">
        <v>13</v>
      </c>
      <c r="L154" s="55">
        <v>46039.446470266208</v>
      </c>
      <c r="M154" s="26"/>
      <c r="N154" s="4"/>
    </row>
    <row r="155" spans="1:14" ht="75" customHeight="1" thickTop="1" thickBot="1">
      <c r="A155" s="34">
        <v>153</v>
      </c>
      <c r="B155" s="55">
        <v>46039.444387129603</v>
      </c>
      <c r="C155" s="56" t="s">
        <v>394</v>
      </c>
      <c r="D155" s="56" t="s">
        <v>115</v>
      </c>
      <c r="E155" s="26" t="s">
        <v>22</v>
      </c>
      <c r="F155" s="26" t="s">
        <v>405</v>
      </c>
      <c r="G155" s="26" t="s">
        <v>442</v>
      </c>
      <c r="H155" s="26" t="s">
        <v>680</v>
      </c>
      <c r="I155" s="26"/>
      <c r="J155" s="26" t="s">
        <v>14</v>
      </c>
      <c r="K155" s="26" t="s">
        <v>13</v>
      </c>
      <c r="L155" s="55">
        <v>46039.446490833332</v>
      </c>
      <c r="M155" s="26"/>
      <c r="N155" s="4"/>
    </row>
    <row r="156" spans="1:14" ht="75" customHeight="1" thickTop="1" thickBot="1">
      <c r="A156" s="26">
        <v>154</v>
      </c>
      <c r="B156" s="55">
        <v>46039.4450575347</v>
      </c>
      <c r="C156" s="56" t="s">
        <v>394</v>
      </c>
      <c r="D156" s="56" t="s">
        <v>115</v>
      </c>
      <c r="E156" s="26" t="s">
        <v>22</v>
      </c>
      <c r="F156" s="26" t="s">
        <v>412</v>
      </c>
      <c r="G156" s="26" t="s">
        <v>439</v>
      </c>
      <c r="H156" s="26" t="s">
        <v>681</v>
      </c>
      <c r="I156" s="26"/>
      <c r="J156" s="26" t="s">
        <v>14</v>
      </c>
      <c r="K156" s="26" t="s">
        <v>13</v>
      </c>
      <c r="L156" s="55">
        <v>46039.446509120375</v>
      </c>
      <c r="M156" s="26"/>
      <c r="N156" s="4"/>
    </row>
    <row r="157" spans="1:14" ht="75" customHeight="1" thickTop="1" thickBot="1">
      <c r="A157" s="34">
        <v>155</v>
      </c>
      <c r="B157" s="55">
        <v>46039.4461767592</v>
      </c>
      <c r="C157" s="56" t="s">
        <v>394</v>
      </c>
      <c r="D157" s="56" t="s">
        <v>115</v>
      </c>
      <c r="E157" s="26" t="s">
        <v>22</v>
      </c>
      <c r="F157" s="26" t="s">
        <v>411</v>
      </c>
      <c r="G157" s="26" t="s">
        <v>40</v>
      </c>
      <c r="H157" s="26" t="s">
        <v>682</v>
      </c>
      <c r="I157" s="26"/>
      <c r="J157" s="26" t="s">
        <v>14</v>
      </c>
      <c r="K157" s="26" t="s">
        <v>13</v>
      </c>
      <c r="L157" s="55">
        <v>46039.446528078704</v>
      </c>
      <c r="M157" s="26"/>
      <c r="N157" s="4"/>
    </row>
    <row r="158" spans="1:14" ht="75" customHeight="1" thickTop="1" thickBot="1">
      <c r="A158" s="26">
        <v>156</v>
      </c>
      <c r="B158" s="55">
        <v>46039.448567858701</v>
      </c>
      <c r="C158" s="56" t="s">
        <v>394</v>
      </c>
      <c r="D158" s="56" t="s">
        <v>114</v>
      </c>
      <c r="E158" s="26" t="s">
        <v>22</v>
      </c>
      <c r="F158" s="26" t="s">
        <v>405</v>
      </c>
      <c r="G158" s="26" t="s">
        <v>439</v>
      </c>
      <c r="H158" s="26" t="s">
        <v>607</v>
      </c>
      <c r="I158" s="26"/>
      <c r="J158" s="26" t="s">
        <v>16</v>
      </c>
      <c r="K158" s="26" t="s">
        <v>13</v>
      </c>
      <c r="L158" s="55">
        <v>46039.449463726851</v>
      </c>
      <c r="M158" s="26"/>
      <c r="N158" s="4"/>
    </row>
    <row r="159" spans="1:14" ht="75" customHeight="1" thickTop="1" thickBot="1">
      <c r="A159" s="34">
        <v>157</v>
      </c>
      <c r="B159" s="55">
        <v>46039.449350474497</v>
      </c>
      <c r="C159" s="56" t="s">
        <v>394</v>
      </c>
      <c r="D159" s="56" t="s">
        <v>114</v>
      </c>
      <c r="E159" s="26" t="s">
        <v>22</v>
      </c>
      <c r="F159" s="26" t="s">
        <v>405</v>
      </c>
      <c r="G159" s="26" t="s">
        <v>442</v>
      </c>
      <c r="H159" s="26" t="s">
        <v>608</v>
      </c>
      <c r="I159" s="26"/>
      <c r="J159" s="26" t="s">
        <v>16</v>
      </c>
      <c r="K159" s="26" t="s">
        <v>13</v>
      </c>
      <c r="L159" s="55">
        <v>46039.449487048609</v>
      </c>
      <c r="M159" s="26"/>
      <c r="N159" s="4"/>
    </row>
    <row r="160" spans="1:14" ht="75" customHeight="1" thickTop="1" thickBot="1">
      <c r="A160" s="26">
        <v>158</v>
      </c>
      <c r="B160" s="55">
        <v>46040.305353391203</v>
      </c>
      <c r="C160" s="56" t="s">
        <v>394</v>
      </c>
      <c r="D160" s="56" t="s">
        <v>34</v>
      </c>
      <c r="E160" s="26" t="s">
        <v>22</v>
      </c>
      <c r="F160" s="26" t="s">
        <v>499</v>
      </c>
      <c r="G160" s="26" t="s">
        <v>449</v>
      </c>
      <c r="H160" s="26" t="s">
        <v>3383</v>
      </c>
      <c r="I160" s="26"/>
      <c r="J160" s="26" t="s">
        <v>12</v>
      </c>
      <c r="K160" s="26" t="s">
        <v>13</v>
      </c>
      <c r="L160" s="55">
        <v>46040.338298206014</v>
      </c>
      <c r="M160" s="26"/>
      <c r="N160" s="4"/>
    </row>
    <row r="161" spans="1:14" ht="75" customHeight="1" thickTop="1" thickBot="1">
      <c r="A161" s="34">
        <v>159</v>
      </c>
      <c r="B161" s="55">
        <v>46040.316374594899</v>
      </c>
      <c r="C161" s="56" t="s">
        <v>394</v>
      </c>
      <c r="D161" s="56" t="s">
        <v>34</v>
      </c>
      <c r="E161" s="26" t="s">
        <v>22</v>
      </c>
      <c r="F161" s="26" t="s">
        <v>399</v>
      </c>
      <c r="G161" s="26" t="s">
        <v>40</v>
      </c>
      <c r="H161" s="26" t="s">
        <v>3384</v>
      </c>
      <c r="I161" s="26"/>
      <c r="J161" s="26" t="s">
        <v>12</v>
      </c>
      <c r="K161" s="26" t="s">
        <v>13</v>
      </c>
      <c r="L161" s="55">
        <v>46040.338302766206</v>
      </c>
      <c r="M161" s="26"/>
      <c r="N161" s="4"/>
    </row>
    <row r="162" spans="1:14" ht="75" customHeight="1" thickTop="1" thickBot="1">
      <c r="A162" s="26">
        <v>160</v>
      </c>
      <c r="B162" s="55">
        <v>46040.317568611099</v>
      </c>
      <c r="C162" s="56" t="s">
        <v>394</v>
      </c>
      <c r="D162" s="56" t="s">
        <v>34</v>
      </c>
      <c r="E162" s="26" t="s">
        <v>22</v>
      </c>
      <c r="F162" s="26" t="s">
        <v>403</v>
      </c>
      <c r="G162" s="26" t="s">
        <v>40</v>
      </c>
      <c r="H162" s="26" t="s">
        <v>3385</v>
      </c>
      <c r="I162" s="26"/>
      <c r="J162" s="26" t="s">
        <v>12</v>
      </c>
      <c r="K162" s="26" t="s">
        <v>13</v>
      </c>
      <c r="L162" s="55">
        <v>46040.338316249996</v>
      </c>
      <c r="M162" s="26"/>
      <c r="N162" s="4"/>
    </row>
    <row r="163" spans="1:14" ht="75" customHeight="1" thickTop="1" thickBot="1">
      <c r="A163" s="34">
        <v>161</v>
      </c>
      <c r="B163" s="55">
        <v>46040.320163796299</v>
      </c>
      <c r="C163" s="56" t="s">
        <v>394</v>
      </c>
      <c r="D163" s="56" t="s">
        <v>34</v>
      </c>
      <c r="E163" s="26" t="s">
        <v>22</v>
      </c>
      <c r="F163" s="26" t="s">
        <v>500</v>
      </c>
      <c r="G163" s="26" t="s">
        <v>442</v>
      </c>
      <c r="H163" s="26" t="s">
        <v>3386</v>
      </c>
      <c r="I163" s="26"/>
      <c r="J163" s="26" t="s">
        <v>12</v>
      </c>
      <c r="K163" s="26" t="s">
        <v>13</v>
      </c>
      <c r="L163" s="55">
        <v>46040.33832318287</v>
      </c>
      <c r="M163" s="26"/>
      <c r="N163" s="4"/>
    </row>
    <row r="164" spans="1:14" ht="75" customHeight="1" thickTop="1" thickBot="1">
      <c r="A164" s="26">
        <v>162</v>
      </c>
      <c r="B164" s="55">
        <v>46040.320637928198</v>
      </c>
      <c r="C164" s="56" t="s">
        <v>394</v>
      </c>
      <c r="D164" s="56" t="s">
        <v>34</v>
      </c>
      <c r="E164" s="26" t="s">
        <v>22</v>
      </c>
      <c r="F164" s="26" t="s">
        <v>396</v>
      </c>
      <c r="G164" s="26" t="s">
        <v>454</v>
      </c>
      <c r="H164" s="26" t="s">
        <v>501</v>
      </c>
      <c r="I164" s="26"/>
      <c r="J164" s="26" t="s">
        <v>12</v>
      </c>
      <c r="K164" s="26" t="s">
        <v>13</v>
      </c>
      <c r="L164" s="55"/>
      <c r="M164" s="26"/>
      <c r="N164" s="4"/>
    </row>
    <row r="165" spans="1:14" ht="75" customHeight="1" thickTop="1" thickBot="1">
      <c r="A165" s="34">
        <v>163</v>
      </c>
      <c r="B165" s="55">
        <v>46040.321594004599</v>
      </c>
      <c r="C165" s="56" t="s">
        <v>394</v>
      </c>
      <c r="D165" s="56" t="s">
        <v>34</v>
      </c>
      <c r="E165" s="26" t="s">
        <v>22</v>
      </c>
      <c r="F165" s="26" t="s">
        <v>411</v>
      </c>
      <c r="G165" s="26" t="s">
        <v>40</v>
      </c>
      <c r="H165" s="26" t="s">
        <v>3387</v>
      </c>
      <c r="I165" s="26"/>
      <c r="J165" s="26" t="s">
        <v>12</v>
      </c>
      <c r="K165" s="26" t="s">
        <v>13</v>
      </c>
      <c r="L165" s="55">
        <v>46040.338353159721</v>
      </c>
      <c r="M165" s="26"/>
      <c r="N165" s="4"/>
    </row>
    <row r="166" spans="1:14" ht="75" customHeight="1" thickTop="1" thickBot="1">
      <c r="A166" s="26">
        <v>164</v>
      </c>
      <c r="B166" s="55">
        <v>46040.321812094902</v>
      </c>
      <c r="C166" s="56" t="s">
        <v>394</v>
      </c>
      <c r="D166" s="56" t="s">
        <v>34</v>
      </c>
      <c r="E166" s="26" t="s">
        <v>22</v>
      </c>
      <c r="F166" s="26" t="s">
        <v>405</v>
      </c>
      <c r="G166" s="26" t="s">
        <v>40</v>
      </c>
      <c r="H166" s="26" t="s">
        <v>3387</v>
      </c>
      <c r="I166" s="26"/>
      <c r="J166" s="26" t="s">
        <v>12</v>
      </c>
      <c r="K166" s="26" t="s">
        <v>13</v>
      </c>
      <c r="L166" s="55">
        <v>46040.339193900465</v>
      </c>
      <c r="M166" s="26"/>
      <c r="N166" s="4"/>
    </row>
    <row r="167" spans="1:14" ht="75" customHeight="1" thickTop="1" thickBot="1">
      <c r="A167" s="34">
        <v>165</v>
      </c>
      <c r="B167" s="55">
        <v>46040.322059976803</v>
      </c>
      <c r="C167" s="56" t="s">
        <v>394</v>
      </c>
      <c r="D167" s="56" t="s">
        <v>34</v>
      </c>
      <c r="E167" s="26" t="s">
        <v>22</v>
      </c>
      <c r="F167" s="26" t="s">
        <v>413</v>
      </c>
      <c r="G167" s="26" t="s">
        <v>40</v>
      </c>
      <c r="H167" s="26" t="s">
        <v>3387</v>
      </c>
      <c r="I167" s="26"/>
      <c r="J167" s="26" t="s">
        <v>12</v>
      </c>
      <c r="K167" s="26" t="s">
        <v>13</v>
      </c>
      <c r="L167" s="55">
        <v>46040.339203356481</v>
      </c>
      <c r="M167" s="26"/>
      <c r="N167" s="4"/>
    </row>
    <row r="168" spans="1:14" ht="75" customHeight="1" thickTop="1" thickBot="1">
      <c r="A168" s="26">
        <v>166</v>
      </c>
      <c r="B168" s="55">
        <v>46040.322526203701</v>
      </c>
      <c r="C168" s="56" t="s">
        <v>394</v>
      </c>
      <c r="D168" s="56" t="s">
        <v>34</v>
      </c>
      <c r="E168" s="26" t="s">
        <v>22</v>
      </c>
      <c r="F168" s="26" t="s">
        <v>502</v>
      </c>
      <c r="G168" s="26" t="s">
        <v>449</v>
      </c>
      <c r="H168" s="26" t="s">
        <v>503</v>
      </c>
      <c r="I168" s="26"/>
      <c r="J168" s="26" t="s">
        <v>12</v>
      </c>
      <c r="K168" s="26" t="s">
        <v>13</v>
      </c>
      <c r="L168" s="55">
        <v>46040.339207407407</v>
      </c>
      <c r="M168" s="26"/>
      <c r="N168" s="4"/>
    </row>
    <row r="169" spans="1:14" ht="75" customHeight="1" thickTop="1" thickBot="1">
      <c r="A169" s="34">
        <v>167</v>
      </c>
      <c r="B169" s="55">
        <v>46040.323152673598</v>
      </c>
      <c r="C169" s="56" t="s">
        <v>394</v>
      </c>
      <c r="D169" s="56" t="s">
        <v>34</v>
      </c>
      <c r="E169" s="26" t="s">
        <v>22</v>
      </c>
      <c r="F169" s="26" t="s">
        <v>396</v>
      </c>
      <c r="G169" s="26" t="s">
        <v>454</v>
      </c>
      <c r="H169" s="26" t="s">
        <v>3388</v>
      </c>
      <c r="I169" s="26"/>
      <c r="J169" s="26" t="s">
        <v>12</v>
      </c>
      <c r="K169" s="26" t="s">
        <v>13</v>
      </c>
      <c r="L169" s="55">
        <v>46040.339218055553</v>
      </c>
      <c r="M169" s="26"/>
      <c r="N169" s="4"/>
    </row>
    <row r="170" spans="1:14" ht="75" customHeight="1" thickTop="1" thickBot="1">
      <c r="A170" s="26">
        <v>168</v>
      </c>
      <c r="B170" s="55">
        <v>46040.323704085597</v>
      </c>
      <c r="C170" s="56" t="s">
        <v>394</v>
      </c>
      <c r="D170" s="56" t="s">
        <v>34</v>
      </c>
      <c r="E170" s="26" t="s">
        <v>22</v>
      </c>
      <c r="F170" s="26" t="s">
        <v>413</v>
      </c>
      <c r="G170" s="26" t="s">
        <v>454</v>
      </c>
      <c r="H170" s="26" t="s">
        <v>504</v>
      </c>
      <c r="I170" s="26"/>
      <c r="J170" s="26" t="s">
        <v>12</v>
      </c>
      <c r="K170" s="26" t="s">
        <v>13</v>
      </c>
      <c r="L170" s="55">
        <v>46040.339222662034</v>
      </c>
      <c r="M170" s="26"/>
      <c r="N170" s="4"/>
    </row>
    <row r="171" spans="1:14" ht="75" customHeight="1" thickTop="1" thickBot="1">
      <c r="A171" s="34">
        <v>169</v>
      </c>
      <c r="B171" s="55">
        <v>46040.324133449001</v>
      </c>
      <c r="C171" s="56" t="s">
        <v>394</v>
      </c>
      <c r="D171" s="56" t="s">
        <v>34</v>
      </c>
      <c r="E171" s="26" t="s">
        <v>22</v>
      </c>
      <c r="F171" s="26" t="s">
        <v>450</v>
      </c>
      <c r="G171" s="26" t="s">
        <v>449</v>
      </c>
      <c r="H171" s="26" t="s">
        <v>505</v>
      </c>
      <c r="I171" s="26"/>
      <c r="J171" s="26" t="s">
        <v>12</v>
      </c>
      <c r="K171" s="26" t="s">
        <v>13</v>
      </c>
      <c r="L171" s="55">
        <v>46040.339223101852</v>
      </c>
      <c r="M171" s="26"/>
      <c r="N171" s="4"/>
    </row>
    <row r="172" spans="1:14" ht="75" customHeight="1" thickTop="1" thickBot="1">
      <c r="A172" s="26">
        <v>170</v>
      </c>
      <c r="B172" s="55">
        <v>46040.3245729513</v>
      </c>
      <c r="C172" s="56" t="s">
        <v>394</v>
      </c>
      <c r="D172" s="56" t="s">
        <v>34</v>
      </c>
      <c r="E172" s="26" t="s">
        <v>22</v>
      </c>
      <c r="F172" s="26" t="s">
        <v>435</v>
      </c>
      <c r="G172" s="26" t="s">
        <v>40</v>
      </c>
      <c r="H172" s="26" t="s">
        <v>3389</v>
      </c>
      <c r="I172" s="26"/>
      <c r="J172" s="26" t="s">
        <v>12</v>
      </c>
      <c r="K172" s="26" t="s">
        <v>13</v>
      </c>
      <c r="L172" s="55">
        <v>46040.339227523145</v>
      </c>
      <c r="M172" s="26"/>
      <c r="N172" s="4"/>
    </row>
    <row r="173" spans="1:14" ht="75" customHeight="1" thickTop="1" thickBot="1">
      <c r="A173" s="34">
        <v>171</v>
      </c>
      <c r="B173" s="55">
        <v>46040.325722951296</v>
      </c>
      <c r="C173" s="56" t="s">
        <v>394</v>
      </c>
      <c r="D173" s="56" t="s">
        <v>34</v>
      </c>
      <c r="E173" s="26" t="s">
        <v>22</v>
      </c>
      <c r="F173" s="26" t="s">
        <v>401</v>
      </c>
      <c r="G173" s="26" t="s">
        <v>40</v>
      </c>
      <c r="H173" s="26" t="s">
        <v>506</v>
      </c>
      <c r="I173" s="26"/>
      <c r="J173" s="26" t="s">
        <v>12</v>
      </c>
      <c r="K173" s="26" t="s">
        <v>13</v>
      </c>
      <c r="L173" s="55">
        <v>46040.339238437504</v>
      </c>
      <c r="M173" s="26"/>
      <c r="N173" s="4"/>
    </row>
    <row r="174" spans="1:14" ht="75" customHeight="1" thickTop="1" thickBot="1">
      <c r="A174" s="26">
        <v>172</v>
      </c>
      <c r="B174" s="55">
        <v>46040.326042326298</v>
      </c>
      <c r="C174" s="56" t="s">
        <v>394</v>
      </c>
      <c r="D174" s="56" t="s">
        <v>34</v>
      </c>
      <c r="E174" s="26" t="s">
        <v>22</v>
      </c>
      <c r="F174" s="26" t="s">
        <v>413</v>
      </c>
      <c r="G174" s="26" t="s">
        <v>40</v>
      </c>
      <c r="H174" s="26" t="s">
        <v>506</v>
      </c>
      <c r="I174" s="26"/>
      <c r="J174" s="26" t="s">
        <v>12</v>
      </c>
      <c r="K174" s="26" t="s">
        <v>13</v>
      </c>
      <c r="L174" s="55">
        <v>46040.339240173613</v>
      </c>
      <c r="M174" s="26"/>
      <c r="N174" s="4"/>
    </row>
    <row r="175" spans="1:14" ht="75" customHeight="1" thickTop="1" thickBot="1">
      <c r="A175" s="34">
        <v>173</v>
      </c>
      <c r="B175" s="55">
        <v>46040.326886411996</v>
      </c>
      <c r="C175" s="56" t="s">
        <v>394</v>
      </c>
      <c r="D175" s="56" t="s">
        <v>34</v>
      </c>
      <c r="E175" s="26" t="s">
        <v>22</v>
      </c>
      <c r="F175" s="26" t="s">
        <v>405</v>
      </c>
      <c r="G175" s="26" t="s">
        <v>40</v>
      </c>
      <c r="H175" s="26" t="s">
        <v>507</v>
      </c>
      <c r="I175" s="26"/>
      <c r="J175" s="26" t="s">
        <v>12</v>
      </c>
      <c r="K175" s="26" t="s">
        <v>13</v>
      </c>
      <c r="L175" s="55">
        <v>46040.339289027776</v>
      </c>
      <c r="M175" s="26"/>
      <c r="N175" s="4"/>
    </row>
    <row r="176" spans="1:14" ht="75" customHeight="1" thickTop="1" thickBot="1">
      <c r="A176" s="26">
        <v>174</v>
      </c>
      <c r="B176" s="55">
        <v>46040.327435740699</v>
      </c>
      <c r="C176" s="56" t="s">
        <v>394</v>
      </c>
      <c r="D176" s="56" t="s">
        <v>34</v>
      </c>
      <c r="E176" s="26" t="s">
        <v>22</v>
      </c>
      <c r="F176" s="26" t="s">
        <v>411</v>
      </c>
      <c r="G176" s="26" t="s">
        <v>40</v>
      </c>
      <c r="H176" s="26" t="s">
        <v>507</v>
      </c>
      <c r="I176" s="26"/>
      <c r="J176" s="26" t="s">
        <v>12</v>
      </c>
      <c r="K176" s="26" t="s">
        <v>13</v>
      </c>
      <c r="L176" s="55">
        <v>46040.339295682876</v>
      </c>
      <c r="M176" s="26"/>
      <c r="N176" s="4"/>
    </row>
    <row r="177" spans="1:14" ht="75" customHeight="1" thickTop="1" thickBot="1">
      <c r="A177" s="34">
        <v>175</v>
      </c>
      <c r="B177" s="55">
        <v>46040.328663935099</v>
      </c>
      <c r="C177" s="56" t="s">
        <v>394</v>
      </c>
      <c r="D177" s="56" t="s">
        <v>34</v>
      </c>
      <c r="E177" s="26" t="s">
        <v>22</v>
      </c>
      <c r="F177" s="26" t="s">
        <v>412</v>
      </c>
      <c r="G177" s="26" t="s">
        <v>40</v>
      </c>
      <c r="H177" s="26" t="s">
        <v>507</v>
      </c>
      <c r="I177" s="26"/>
      <c r="J177" s="26" t="s">
        <v>12</v>
      </c>
      <c r="K177" s="26" t="s">
        <v>13</v>
      </c>
      <c r="L177" s="55">
        <v>46040.339303194443</v>
      </c>
      <c r="M177" s="26"/>
      <c r="N177" s="4"/>
    </row>
    <row r="178" spans="1:14" ht="75" customHeight="1" thickTop="1" thickBot="1">
      <c r="A178" s="26">
        <v>176</v>
      </c>
      <c r="B178" s="55">
        <v>46040.328990277703</v>
      </c>
      <c r="C178" s="56" t="s">
        <v>394</v>
      </c>
      <c r="D178" s="56" t="s">
        <v>34</v>
      </c>
      <c r="E178" s="26" t="s">
        <v>22</v>
      </c>
      <c r="F178" s="26" t="s">
        <v>413</v>
      </c>
      <c r="G178" s="26" t="s">
        <v>40</v>
      </c>
      <c r="H178" s="26" t="s">
        <v>507</v>
      </c>
      <c r="I178" s="26"/>
      <c r="J178" s="26" t="s">
        <v>12</v>
      </c>
      <c r="K178" s="26" t="s">
        <v>13</v>
      </c>
      <c r="L178" s="55">
        <v>46040.33931116898</v>
      </c>
      <c r="M178" s="26"/>
      <c r="N178" s="4"/>
    </row>
    <row r="179" spans="1:14" ht="75" customHeight="1" thickTop="1" thickBot="1">
      <c r="A179" s="34">
        <v>177</v>
      </c>
      <c r="B179" s="55">
        <v>46040.329332499998</v>
      </c>
      <c r="C179" s="56" t="s">
        <v>394</v>
      </c>
      <c r="D179" s="56" t="s">
        <v>34</v>
      </c>
      <c r="E179" s="26" t="s">
        <v>22</v>
      </c>
      <c r="F179" s="26" t="s">
        <v>508</v>
      </c>
      <c r="G179" s="26" t="s">
        <v>449</v>
      </c>
      <c r="H179" s="26" t="s">
        <v>509</v>
      </c>
      <c r="I179" s="26"/>
      <c r="J179" s="26" t="s">
        <v>12</v>
      </c>
      <c r="K179" s="26" t="s">
        <v>13</v>
      </c>
      <c r="L179" s="55">
        <v>46040.339320208332</v>
      </c>
      <c r="M179" s="26"/>
      <c r="N179" s="4" t="s">
        <v>121</v>
      </c>
    </row>
    <row r="180" spans="1:14" ht="75" customHeight="1" thickTop="1" thickBot="1">
      <c r="A180" s="26">
        <v>178</v>
      </c>
      <c r="B180" s="55">
        <v>46040.3298479976</v>
      </c>
      <c r="C180" s="56" t="s">
        <v>394</v>
      </c>
      <c r="D180" s="56" t="s">
        <v>34</v>
      </c>
      <c r="E180" s="26" t="s">
        <v>22</v>
      </c>
      <c r="F180" s="26" t="s">
        <v>405</v>
      </c>
      <c r="G180" s="26" t="s">
        <v>424</v>
      </c>
      <c r="H180" s="26" t="s">
        <v>3390</v>
      </c>
      <c r="I180" s="26"/>
      <c r="J180" s="26" t="s">
        <v>12</v>
      </c>
      <c r="K180" s="26" t="s">
        <v>13</v>
      </c>
      <c r="L180" s="55">
        <v>46040.339329722221</v>
      </c>
      <c r="M180" s="26"/>
      <c r="N180" s="4" t="s">
        <v>123</v>
      </c>
    </row>
    <row r="181" spans="1:14" ht="75" customHeight="1" thickTop="1" thickBot="1">
      <c r="A181" s="34">
        <v>179</v>
      </c>
      <c r="B181" s="55">
        <v>46040.330330277699</v>
      </c>
      <c r="C181" s="56" t="s">
        <v>394</v>
      </c>
      <c r="D181" s="56" t="s">
        <v>34</v>
      </c>
      <c r="E181" s="26" t="s">
        <v>22</v>
      </c>
      <c r="F181" s="26" t="s">
        <v>411</v>
      </c>
      <c r="G181" s="26" t="s">
        <v>510</v>
      </c>
      <c r="H181" s="26" t="s">
        <v>3391</v>
      </c>
      <c r="I181" s="26"/>
      <c r="J181" s="26" t="s">
        <v>12</v>
      </c>
      <c r="K181" s="26" t="s">
        <v>13</v>
      </c>
      <c r="L181" s="55">
        <v>46040.339334756944</v>
      </c>
      <c r="M181" s="26"/>
      <c r="N181" s="4" t="s">
        <v>121</v>
      </c>
    </row>
    <row r="182" spans="1:14" ht="75" customHeight="1" thickTop="1" thickBot="1">
      <c r="A182" s="26">
        <v>180</v>
      </c>
      <c r="B182" s="55">
        <v>46040.330739074001</v>
      </c>
      <c r="C182" s="56" t="s">
        <v>394</v>
      </c>
      <c r="D182" s="56" t="s">
        <v>34</v>
      </c>
      <c r="E182" s="26" t="s">
        <v>22</v>
      </c>
      <c r="F182" s="26" t="s">
        <v>405</v>
      </c>
      <c r="G182" s="26" t="s">
        <v>511</v>
      </c>
      <c r="H182" s="26" t="s">
        <v>3392</v>
      </c>
      <c r="I182" s="26"/>
      <c r="J182" s="26" t="s">
        <v>12</v>
      </c>
      <c r="K182" s="26" t="s">
        <v>13</v>
      </c>
      <c r="L182" s="55">
        <v>46040.339341724539</v>
      </c>
      <c r="M182" s="26"/>
      <c r="N182" s="4" t="s">
        <v>121</v>
      </c>
    </row>
    <row r="183" spans="1:14" ht="75" customHeight="1" thickTop="1" thickBot="1">
      <c r="A183" s="34">
        <v>181</v>
      </c>
      <c r="B183" s="55">
        <v>46040.331252488402</v>
      </c>
      <c r="C183" s="56" t="s">
        <v>394</v>
      </c>
      <c r="D183" s="56" t="s">
        <v>34</v>
      </c>
      <c r="E183" s="26" t="s">
        <v>22</v>
      </c>
      <c r="F183" s="26" t="s">
        <v>484</v>
      </c>
      <c r="G183" s="26" t="s">
        <v>424</v>
      </c>
      <c r="H183" s="26" t="s">
        <v>512</v>
      </c>
      <c r="I183" s="26"/>
      <c r="J183" s="26" t="s">
        <v>12</v>
      </c>
      <c r="K183" s="26" t="s">
        <v>13</v>
      </c>
      <c r="L183" s="55">
        <v>46040.33935115741</v>
      </c>
      <c r="M183" s="26"/>
      <c r="N183" s="4" t="s">
        <v>121</v>
      </c>
    </row>
    <row r="184" spans="1:14" ht="75" customHeight="1" thickTop="1" thickBot="1">
      <c r="A184" s="26">
        <v>182</v>
      </c>
      <c r="B184" s="55">
        <v>46040.331634259201</v>
      </c>
      <c r="C184" s="56" t="s">
        <v>394</v>
      </c>
      <c r="D184" s="56" t="s">
        <v>34</v>
      </c>
      <c r="E184" s="26" t="s">
        <v>22</v>
      </c>
      <c r="F184" s="26" t="s">
        <v>484</v>
      </c>
      <c r="G184" s="26" t="s">
        <v>442</v>
      </c>
      <c r="H184" s="26" t="s">
        <v>513</v>
      </c>
      <c r="I184" s="26"/>
      <c r="J184" s="26" t="s">
        <v>12</v>
      </c>
      <c r="K184" s="26" t="s">
        <v>13</v>
      </c>
      <c r="L184" s="55">
        <v>46040.339358587968</v>
      </c>
      <c r="M184" s="26"/>
      <c r="N184" s="4" t="s">
        <v>121</v>
      </c>
    </row>
    <row r="185" spans="1:14" ht="75" customHeight="1" thickTop="1" thickBot="1">
      <c r="A185" s="34">
        <v>183</v>
      </c>
      <c r="B185" s="55">
        <v>46040.332078460597</v>
      </c>
      <c r="C185" s="56" t="s">
        <v>394</v>
      </c>
      <c r="D185" s="56" t="s">
        <v>34</v>
      </c>
      <c r="E185" s="26" t="s">
        <v>22</v>
      </c>
      <c r="F185" s="26" t="s">
        <v>59</v>
      </c>
      <c r="G185" s="26" t="s">
        <v>113</v>
      </c>
      <c r="H185" s="26" t="s">
        <v>3393</v>
      </c>
      <c r="I185" s="26"/>
      <c r="J185" s="26" t="s">
        <v>12</v>
      </c>
      <c r="K185" s="26" t="s">
        <v>13</v>
      </c>
      <c r="L185" s="55">
        <v>46040.339359571764</v>
      </c>
      <c r="M185" s="26"/>
      <c r="N185" s="4" t="s">
        <v>121</v>
      </c>
    </row>
    <row r="186" spans="1:14" ht="75" customHeight="1" thickTop="1" thickBot="1">
      <c r="A186" s="26">
        <v>184</v>
      </c>
      <c r="B186" s="55">
        <v>46040.3325800694</v>
      </c>
      <c r="C186" s="56" t="s">
        <v>394</v>
      </c>
      <c r="D186" s="56" t="s">
        <v>34</v>
      </c>
      <c r="E186" s="26" t="s">
        <v>22</v>
      </c>
      <c r="F186" s="26" t="s">
        <v>59</v>
      </c>
      <c r="G186" s="26" t="s">
        <v>113</v>
      </c>
      <c r="H186" s="26" t="s">
        <v>3394</v>
      </c>
      <c r="I186" s="26"/>
      <c r="J186" s="26" t="s">
        <v>12</v>
      </c>
      <c r="K186" s="26" t="s">
        <v>13</v>
      </c>
      <c r="L186" s="55">
        <v>46040.339427141203</v>
      </c>
      <c r="M186" s="26"/>
      <c r="N186" s="4" t="s">
        <v>121</v>
      </c>
    </row>
    <row r="187" spans="1:14" ht="75" customHeight="1" thickTop="1" thickBot="1">
      <c r="A187" s="34">
        <v>185</v>
      </c>
      <c r="B187" s="55">
        <v>46040.333342187398</v>
      </c>
      <c r="C187" s="56" t="s">
        <v>394</v>
      </c>
      <c r="D187" s="56" t="s">
        <v>34</v>
      </c>
      <c r="E187" s="26" t="s">
        <v>22</v>
      </c>
      <c r="F187" s="26" t="s">
        <v>405</v>
      </c>
      <c r="G187" s="26" t="s">
        <v>442</v>
      </c>
      <c r="H187" s="26" t="s">
        <v>514</v>
      </c>
      <c r="I187" s="26"/>
      <c r="J187" s="26" t="s">
        <v>12</v>
      </c>
      <c r="K187" s="26" t="s">
        <v>13</v>
      </c>
      <c r="L187" s="55">
        <v>46040.339404965278</v>
      </c>
      <c r="M187" s="26"/>
      <c r="N187" s="4" t="s">
        <v>121</v>
      </c>
    </row>
    <row r="188" spans="1:14" ht="75" customHeight="1" thickTop="1" thickBot="1">
      <c r="A188" s="26">
        <v>186</v>
      </c>
      <c r="B188" s="55">
        <v>46040.333753784696</v>
      </c>
      <c r="C188" s="56" t="s">
        <v>394</v>
      </c>
      <c r="D188" s="56" t="s">
        <v>34</v>
      </c>
      <c r="E188" s="26" t="s">
        <v>22</v>
      </c>
      <c r="F188" s="26" t="s">
        <v>405</v>
      </c>
      <c r="G188" s="26" t="s">
        <v>427</v>
      </c>
      <c r="H188" s="26" t="s">
        <v>3395</v>
      </c>
      <c r="I188" s="26"/>
      <c r="J188" s="26" t="s">
        <v>12</v>
      </c>
      <c r="K188" s="26" t="s">
        <v>13</v>
      </c>
      <c r="L188" s="55">
        <v>46040.339451678243</v>
      </c>
      <c r="M188" s="26"/>
      <c r="N188" s="4" t="s">
        <v>121</v>
      </c>
    </row>
    <row r="189" spans="1:14" ht="75" customHeight="1" thickTop="1" thickBot="1">
      <c r="A189" s="34">
        <v>187</v>
      </c>
      <c r="B189" s="55">
        <v>46040.334254768502</v>
      </c>
      <c r="C189" s="56" t="s">
        <v>394</v>
      </c>
      <c r="D189" s="56" t="s">
        <v>34</v>
      </c>
      <c r="E189" s="26" t="s">
        <v>22</v>
      </c>
      <c r="F189" s="26" t="s">
        <v>497</v>
      </c>
      <c r="G189" s="26" t="s">
        <v>449</v>
      </c>
      <c r="H189" s="26" t="s">
        <v>515</v>
      </c>
      <c r="I189" s="26"/>
      <c r="J189" s="26" t="s">
        <v>12</v>
      </c>
      <c r="K189" s="26" t="s">
        <v>13</v>
      </c>
      <c r="L189" s="55">
        <v>46040.339458472226</v>
      </c>
      <c r="M189" s="26"/>
      <c r="N189" s="4" t="s">
        <v>124</v>
      </c>
    </row>
    <row r="190" spans="1:14" ht="75" customHeight="1" thickTop="1" thickBot="1">
      <c r="A190" s="26">
        <v>188</v>
      </c>
      <c r="B190" s="55">
        <v>46040.334711342599</v>
      </c>
      <c r="C190" s="56" t="s">
        <v>394</v>
      </c>
      <c r="D190" s="56" t="s">
        <v>34</v>
      </c>
      <c r="E190" s="26" t="s">
        <v>22</v>
      </c>
      <c r="F190" s="26" t="s">
        <v>497</v>
      </c>
      <c r="G190" s="26" t="s">
        <v>449</v>
      </c>
      <c r="H190" s="26" t="s">
        <v>516</v>
      </c>
      <c r="I190" s="26"/>
      <c r="J190" s="26" t="s">
        <v>12</v>
      </c>
      <c r="K190" s="26" t="s">
        <v>13</v>
      </c>
      <c r="L190" s="55">
        <v>46040.339469363425</v>
      </c>
      <c r="M190" s="26"/>
      <c r="N190" s="4" t="s">
        <v>121</v>
      </c>
    </row>
    <row r="191" spans="1:14" ht="75" customHeight="1" thickTop="1" thickBot="1">
      <c r="A191" s="34">
        <v>189</v>
      </c>
      <c r="B191" s="55">
        <v>46040.335179965201</v>
      </c>
      <c r="C191" s="56" t="s">
        <v>394</v>
      </c>
      <c r="D191" s="56" t="s">
        <v>34</v>
      </c>
      <c r="E191" s="26" t="s">
        <v>22</v>
      </c>
      <c r="F191" s="26" t="s">
        <v>405</v>
      </c>
      <c r="G191" s="26" t="s">
        <v>449</v>
      </c>
      <c r="H191" s="26" t="s">
        <v>517</v>
      </c>
      <c r="I191" s="26"/>
      <c r="J191" s="26" t="s">
        <v>12</v>
      </c>
      <c r="K191" s="26" t="s">
        <v>13</v>
      </c>
      <c r="L191" s="55">
        <v>46040.339486504628</v>
      </c>
      <c r="M191" s="26"/>
      <c r="N191" s="4" t="s">
        <v>121</v>
      </c>
    </row>
    <row r="192" spans="1:14" ht="75" customHeight="1" thickTop="1" thickBot="1">
      <c r="A192" s="26">
        <v>190</v>
      </c>
      <c r="B192" s="55">
        <v>46040.335699884199</v>
      </c>
      <c r="C192" s="56" t="s">
        <v>394</v>
      </c>
      <c r="D192" s="56" t="s">
        <v>34</v>
      </c>
      <c r="E192" s="26" t="s">
        <v>22</v>
      </c>
      <c r="F192" s="26" t="s">
        <v>508</v>
      </c>
      <c r="G192" s="26" t="s">
        <v>449</v>
      </c>
      <c r="H192" s="26" t="s">
        <v>3396</v>
      </c>
      <c r="I192" s="26"/>
      <c r="J192" s="26" t="s">
        <v>12</v>
      </c>
      <c r="K192" s="26" t="s">
        <v>13</v>
      </c>
      <c r="L192" s="55">
        <v>46040.339490092592</v>
      </c>
      <c r="M192" s="26"/>
      <c r="N192" s="4" t="s">
        <v>121</v>
      </c>
    </row>
    <row r="193" spans="1:14" ht="75" customHeight="1" thickTop="1" thickBot="1">
      <c r="A193" s="34">
        <v>191</v>
      </c>
      <c r="B193" s="55">
        <v>46040.336732870303</v>
      </c>
      <c r="C193" s="56" t="s">
        <v>394</v>
      </c>
      <c r="D193" s="56" t="s">
        <v>34</v>
      </c>
      <c r="E193" s="26" t="s">
        <v>22</v>
      </c>
      <c r="F193" s="26" t="s">
        <v>518</v>
      </c>
      <c r="G193" s="26" t="s">
        <v>449</v>
      </c>
      <c r="H193" s="26" t="s">
        <v>519</v>
      </c>
      <c r="I193" s="26"/>
      <c r="J193" s="26" t="s">
        <v>12</v>
      </c>
      <c r="K193" s="26" t="s">
        <v>13</v>
      </c>
      <c r="L193" s="55">
        <v>46040.339498113426</v>
      </c>
      <c r="M193" s="26"/>
      <c r="N193" s="4" t="s">
        <v>121</v>
      </c>
    </row>
    <row r="194" spans="1:14" ht="75" customHeight="1" thickTop="1" thickBot="1">
      <c r="A194" s="26">
        <v>192</v>
      </c>
      <c r="B194" s="55">
        <v>46040.402985636501</v>
      </c>
      <c r="C194" s="56" t="s">
        <v>394</v>
      </c>
      <c r="D194" s="56" t="s">
        <v>395</v>
      </c>
      <c r="E194" s="26" t="s">
        <v>21</v>
      </c>
      <c r="F194" s="26" t="s">
        <v>399</v>
      </c>
      <c r="G194" s="26" t="s">
        <v>404</v>
      </c>
      <c r="H194" s="26" t="s">
        <v>609</v>
      </c>
      <c r="I194" s="26"/>
      <c r="J194" s="26" t="s">
        <v>16</v>
      </c>
      <c r="K194" s="26" t="s">
        <v>13</v>
      </c>
      <c r="L194" s="55">
        <v>46040.404782384256</v>
      </c>
      <c r="M194" s="26"/>
      <c r="N194" s="4" t="s">
        <v>121</v>
      </c>
    </row>
    <row r="195" spans="1:14" ht="75" customHeight="1" thickTop="1" thickBot="1">
      <c r="A195" s="34">
        <v>193</v>
      </c>
      <c r="B195" s="55">
        <v>46040.403542812499</v>
      </c>
      <c r="C195" s="56" t="s">
        <v>394</v>
      </c>
      <c r="D195" s="56" t="s">
        <v>114</v>
      </c>
      <c r="E195" s="26" t="s">
        <v>22</v>
      </c>
      <c r="F195" s="26" t="s">
        <v>399</v>
      </c>
      <c r="G195" s="26" t="s">
        <v>442</v>
      </c>
      <c r="H195" s="26" t="s">
        <v>610</v>
      </c>
      <c r="I195" s="26"/>
      <c r="J195" s="26" t="s">
        <v>16</v>
      </c>
      <c r="K195" s="26" t="s">
        <v>13</v>
      </c>
      <c r="L195" s="55">
        <v>46040.404804699079</v>
      </c>
      <c r="M195" s="26"/>
      <c r="N195" s="4" t="s">
        <v>121</v>
      </c>
    </row>
    <row r="196" spans="1:14" ht="75" customHeight="1" thickTop="1" thickBot="1">
      <c r="A196" s="26">
        <v>194</v>
      </c>
      <c r="B196" s="55">
        <v>46040.403949699001</v>
      </c>
      <c r="C196" s="56" t="s">
        <v>394</v>
      </c>
      <c r="D196" s="56" t="s">
        <v>114</v>
      </c>
      <c r="E196" s="26" t="s">
        <v>22</v>
      </c>
      <c r="F196" s="26" t="s">
        <v>399</v>
      </c>
      <c r="G196" s="26" t="s">
        <v>442</v>
      </c>
      <c r="H196" s="26" t="s">
        <v>611</v>
      </c>
      <c r="I196" s="26"/>
      <c r="J196" s="26" t="s">
        <v>16</v>
      </c>
      <c r="K196" s="26" t="s">
        <v>13</v>
      </c>
      <c r="L196" s="55">
        <v>46040.404817893519</v>
      </c>
      <c r="M196" s="26"/>
      <c r="N196" s="4" t="s">
        <v>121</v>
      </c>
    </row>
    <row r="197" spans="1:14" ht="75" customHeight="1" thickTop="1" thickBot="1">
      <c r="A197" s="34">
        <v>195</v>
      </c>
      <c r="B197" s="55">
        <v>46040.4045062152</v>
      </c>
      <c r="C197" s="56" t="s">
        <v>394</v>
      </c>
      <c r="D197" s="56" t="s">
        <v>114</v>
      </c>
      <c r="E197" s="26" t="s">
        <v>22</v>
      </c>
      <c r="F197" s="26" t="s">
        <v>413</v>
      </c>
      <c r="G197" s="26" t="s">
        <v>40</v>
      </c>
      <c r="H197" s="26" t="s">
        <v>612</v>
      </c>
      <c r="I197" s="26"/>
      <c r="J197" s="26" t="s">
        <v>16</v>
      </c>
      <c r="K197" s="26" t="s">
        <v>13</v>
      </c>
      <c r="L197" s="55">
        <v>46040.404850185187</v>
      </c>
      <c r="M197" s="26"/>
      <c r="N197" s="4" t="s">
        <v>121</v>
      </c>
    </row>
    <row r="198" spans="1:14" ht="75" customHeight="1" thickTop="1" thickBot="1">
      <c r="A198" s="26">
        <v>196</v>
      </c>
      <c r="B198" s="55">
        <v>46040.405996875001</v>
      </c>
      <c r="C198" s="56" t="s">
        <v>394</v>
      </c>
      <c r="D198" s="56" t="s">
        <v>395</v>
      </c>
      <c r="E198" s="26" t="s">
        <v>21</v>
      </c>
      <c r="F198" s="26" t="s">
        <v>403</v>
      </c>
      <c r="G198" s="26" t="s">
        <v>446</v>
      </c>
      <c r="H198" s="26" t="s">
        <v>520</v>
      </c>
      <c r="I198" s="26"/>
      <c r="J198" s="26" t="s">
        <v>12</v>
      </c>
      <c r="K198" s="26" t="s">
        <v>13</v>
      </c>
      <c r="L198" s="55">
        <v>46046.39912736111</v>
      </c>
      <c r="M198" s="26"/>
      <c r="N198" s="4" t="s">
        <v>121</v>
      </c>
    </row>
    <row r="199" spans="1:14" ht="75" customHeight="1" thickTop="1" thickBot="1">
      <c r="A199" s="34">
        <v>197</v>
      </c>
      <c r="B199" s="55">
        <v>46040.470959849503</v>
      </c>
      <c r="C199" s="56" t="s">
        <v>394</v>
      </c>
      <c r="D199" s="56" t="s">
        <v>395</v>
      </c>
      <c r="E199" s="26" t="s">
        <v>21</v>
      </c>
      <c r="F199" s="26" t="s">
        <v>405</v>
      </c>
      <c r="G199" s="26" t="s">
        <v>442</v>
      </c>
      <c r="H199" s="26" t="s">
        <v>613</v>
      </c>
      <c r="I199" s="26"/>
      <c r="J199" s="26" t="s">
        <v>16</v>
      </c>
      <c r="K199" s="26" t="s">
        <v>13</v>
      </c>
      <c r="L199" s="55">
        <v>46040.471105763892</v>
      </c>
      <c r="M199" s="26"/>
      <c r="N199" s="4" t="s">
        <v>121</v>
      </c>
    </row>
    <row r="200" spans="1:14" ht="75" customHeight="1" thickTop="1" thickBot="1">
      <c r="A200" s="26">
        <v>198</v>
      </c>
      <c r="B200" s="55">
        <v>46041.382086932797</v>
      </c>
      <c r="C200" s="56" t="s">
        <v>394</v>
      </c>
      <c r="D200" s="56" t="s">
        <v>395</v>
      </c>
      <c r="E200" s="26" t="s">
        <v>21</v>
      </c>
      <c r="F200" s="26" t="s">
        <v>413</v>
      </c>
      <c r="G200" s="26" t="s">
        <v>549</v>
      </c>
      <c r="H200" s="26" t="s">
        <v>614</v>
      </c>
      <c r="I200" s="26"/>
      <c r="J200" s="26" t="s">
        <v>16</v>
      </c>
      <c r="K200" s="26" t="s">
        <v>13</v>
      </c>
      <c r="L200" s="55">
        <v>46041.394758599534</v>
      </c>
      <c r="M200" s="26"/>
      <c r="N200" s="4" t="s">
        <v>121</v>
      </c>
    </row>
    <row r="201" spans="1:14" ht="75" customHeight="1" thickTop="1" thickBot="1">
      <c r="A201" s="34">
        <v>199</v>
      </c>
      <c r="B201" s="55">
        <v>46042.463999525397</v>
      </c>
      <c r="C201" s="56" t="s">
        <v>394</v>
      </c>
      <c r="D201" s="56" t="s">
        <v>395</v>
      </c>
      <c r="E201" s="26" t="s">
        <v>21</v>
      </c>
      <c r="F201" s="26" t="s">
        <v>411</v>
      </c>
      <c r="G201" s="26" t="s">
        <v>521</v>
      </c>
      <c r="H201" s="26" t="s">
        <v>522</v>
      </c>
      <c r="I201" s="26"/>
      <c r="J201" s="26" t="s">
        <v>12</v>
      </c>
      <c r="K201" s="26" t="s">
        <v>13</v>
      </c>
      <c r="L201" s="55">
        <v>46042.485399803241</v>
      </c>
      <c r="M201" s="26"/>
      <c r="N201" s="4" t="s">
        <v>121</v>
      </c>
    </row>
    <row r="202" spans="1:14" ht="75" customHeight="1" thickTop="1" thickBot="1">
      <c r="A202" s="26">
        <v>200</v>
      </c>
      <c r="B202" s="55">
        <v>46042.516913148102</v>
      </c>
      <c r="C202" s="56" t="s">
        <v>394</v>
      </c>
      <c r="D202" s="56" t="s">
        <v>395</v>
      </c>
      <c r="E202" s="26" t="s">
        <v>21</v>
      </c>
      <c r="F202" s="26" t="s">
        <v>399</v>
      </c>
      <c r="G202" s="26" t="s">
        <v>442</v>
      </c>
      <c r="H202" s="26" t="s">
        <v>615</v>
      </c>
      <c r="I202" s="26"/>
      <c r="J202" s="26" t="s">
        <v>16</v>
      </c>
      <c r="K202" s="26" t="s">
        <v>13</v>
      </c>
      <c r="L202" s="55">
        <v>46042.600086828708</v>
      </c>
      <c r="M202" s="26"/>
      <c r="N202" s="4" t="s">
        <v>125</v>
      </c>
    </row>
    <row r="203" spans="1:14" ht="75" customHeight="1" thickTop="1" thickBot="1">
      <c r="A203" s="34">
        <v>201</v>
      </c>
      <c r="B203" s="55">
        <v>46042.537115115701</v>
      </c>
      <c r="C203" s="56" t="s">
        <v>394</v>
      </c>
      <c r="D203" s="56" t="s">
        <v>395</v>
      </c>
      <c r="E203" s="26" t="s">
        <v>21</v>
      </c>
      <c r="F203" s="26" t="s">
        <v>413</v>
      </c>
      <c r="G203" s="26" t="s">
        <v>442</v>
      </c>
      <c r="H203" s="26" t="s">
        <v>3370</v>
      </c>
      <c r="I203" s="26"/>
      <c r="J203" s="26" t="s">
        <v>14</v>
      </c>
      <c r="K203" s="26" t="s">
        <v>13</v>
      </c>
      <c r="L203" s="55">
        <v>46042.600155011576</v>
      </c>
      <c r="M203" s="26"/>
      <c r="N203" s="4" t="s">
        <v>125</v>
      </c>
    </row>
    <row r="204" spans="1:14" ht="75" customHeight="1" thickTop="1" thickBot="1">
      <c r="A204" s="26">
        <v>202</v>
      </c>
      <c r="B204" s="55">
        <v>46042.554827951302</v>
      </c>
      <c r="C204" s="56" t="s">
        <v>394</v>
      </c>
      <c r="D204" s="56" t="s">
        <v>395</v>
      </c>
      <c r="E204" s="26" t="s">
        <v>21</v>
      </c>
      <c r="F204" s="26" t="s">
        <v>403</v>
      </c>
      <c r="G204" s="26" t="s">
        <v>616</v>
      </c>
      <c r="H204" s="26" t="s">
        <v>3397</v>
      </c>
      <c r="I204" s="26"/>
      <c r="J204" s="26" t="s">
        <v>16</v>
      </c>
      <c r="K204" s="26" t="s">
        <v>13</v>
      </c>
      <c r="L204" s="55">
        <v>46046.399483819449</v>
      </c>
      <c r="M204" s="26"/>
      <c r="N204" s="4" t="s">
        <v>126</v>
      </c>
    </row>
    <row r="205" spans="1:14" ht="75" customHeight="1" thickTop="1" thickBot="1">
      <c r="A205" s="34">
        <v>203</v>
      </c>
      <c r="B205" s="55">
        <v>46043.379510949002</v>
      </c>
      <c r="C205" s="56" t="s">
        <v>394</v>
      </c>
      <c r="D205" s="56" t="s">
        <v>395</v>
      </c>
      <c r="E205" s="26" t="s">
        <v>21</v>
      </c>
      <c r="F205" s="26" t="s">
        <v>416</v>
      </c>
      <c r="G205" s="26" t="s">
        <v>442</v>
      </c>
      <c r="H205" s="26" t="s">
        <v>523</v>
      </c>
      <c r="I205" s="26"/>
      <c r="J205" s="26" t="s">
        <v>12</v>
      </c>
      <c r="K205" s="26" t="s">
        <v>13</v>
      </c>
      <c r="L205" s="55">
        <v>46043.540502800926</v>
      </c>
      <c r="M205" s="26"/>
      <c r="N205" s="4" t="s">
        <v>125</v>
      </c>
    </row>
    <row r="206" spans="1:14" ht="75" customHeight="1" thickTop="1" thickBot="1">
      <c r="A206" s="26">
        <v>204</v>
      </c>
      <c r="B206" s="55">
        <v>46043.386663888799</v>
      </c>
      <c r="C206" s="56" t="s">
        <v>394</v>
      </c>
      <c r="D206" s="56" t="s">
        <v>395</v>
      </c>
      <c r="E206" s="26" t="s">
        <v>21</v>
      </c>
      <c r="F206" s="26" t="s">
        <v>399</v>
      </c>
      <c r="G206" s="26" t="s">
        <v>524</v>
      </c>
      <c r="H206" s="26" t="s">
        <v>3336</v>
      </c>
      <c r="I206" s="26"/>
      <c r="J206" s="26" t="s">
        <v>12</v>
      </c>
      <c r="K206" s="26" t="s">
        <v>13</v>
      </c>
      <c r="L206" s="55">
        <v>46043.395576898147</v>
      </c>
      <c r="M206" s="26"/>
      <c r="N206" s="4" t="s">
        <v>121</v>
      </c>
    </row>
    <row r="207" spans="1:14" ht="75" customHeight="1" thickTop="1" thickBot="1">
      <c r="A207" s="34">
        <v>205</v>
      </c>
      <c r="B207" s="55">
        <v>46043.39770478</v>
      </c>
      <c r="C207" s="56" t="s">
        <v>394</v>
      </c>
      <c r="D207" s="56" t="s">
        <v>395</v>
      </c>
      <c r="E207" s="26" t="s">
        <v>21</v>
      </c>
      <c r="F207" s="26" t="s">
        <v>525</v>
      </c>
      <c r="G207" s="26" t="s">
        <v>446</v>
      </c>
      <c r="H207" s="26" t="s">
        <v>3398</v>
      </c>
      <c r="I207" s="26"/>
      <c r="J207" s="26" t="s">
        <v>12</v>
      </c>
      <c r="K207" s="26" t="s">
        <v>13</v>
      </c>
      <c r="L207" s="55">
        <v>46043.408144837958</v>
      </c>
      <c r="M207" s="26"/>
      <c r="N207" s="4" t="s">
        <v>121</v>
      </c>
    </row>
    <row r="208" spans="1:14" ht="75" customHeight="1" thickTop="1" thickBot="1">
      <c r="A208" s="26">
        <v>206</v>
      </c>
      <c r="B208" s="55">
        <v>46043.406373518497</v>
      </c>
      <c r="C208" s="56" t="s">
        <v>394</v>
      </c>
      <c r="D208" s="56" t="s">
        <v>395</v>
      </c>
      <c r="E208" s="26" t="s">
        <v>21</v>
      </c>
      <c r="F208" s="26" t="s">
        <v>617</v>
      </c>
      <c r="G208" s="26" t="s">
        <v>618</v>
      </c>
      <c r="H208" s="26" t="s">
        <v>619</v>
      </c>
      <c r="I208" s="26"/>
      <c r="J208" s="26" t="s">
        <v>16</v>
      </c>
      <c r="K208" s="26" t="s">
        <v>13</v>
      </c>
      <c r="L208" s="55">
        <v>46043.422515011574</v>
      </c>
      <c r="M208" s="26"/>
      <c r="N208" s="4" t="s">
        <v>121</v>
      </c>
    </row>
    <row r="209" spans="1:14" ht="75" customHeight="1" thickTop="1" thickBot="1">
      <c r="A209" s="34">
        <v>207</v>
      </c>
      <c r="B209" s="55">
        <v>46044.517730925902</v>
      </c>
      <c r="C209" s="56" t="s">
        <v>394</v>
      </c>
      <c r="D209" s="56" t="s">
        <v>395</v>
      </c>
      <c r="E209" s="26" t="s">
        <v>21</v>
      </c>
      <c r="F209" s="26" t="s">
        <v>412</v>
      </c>
      <c r="G209" s="26" t="s">
        <v>442</v>
      </c>
      <c r="H209" s="26" t="s">
        <v>526</v>
      </c>
      <c r="I209" s="26"/>
      <c r="J209" s="26" t="s">
        <v>12</v>
      </c>
      <c r="K209" s="26" t="s">
        <v>13</v>
      </c>
      <c r="L209" s="55">
        <v>46046.426588252318</v>
      </c>
      <c r="M209" s="26"/>
      <c r="N209" s="4" t="s">
        <v>121</v>
      </c>
    </row>
    <row r="210" spans="1:14" ht="75" customHeight="1" thickTop="1" thickBot="1">
      <c r="A210" s="26">
        <v>208</v>
      </c>
      <c r="B210" s="55">
        <v>46044.518473472199</v>
      </c>
      <c r="C210" s="56" t="s">
        <v>394</v>
      </c>
      <c r="D210" s="56" t="s">
        <v>395</v>
      </c>
      <c r="E210" s="26" t="s">
        <v>21</v>
      </c>
      <c r="F210" s="26" t="s">
        <v>412</v>
      </c>
      <c r="G210" s="26" t="s">
        <v>683</v>
      </c>
      <c r="H210" s="26" t="s">
        <v>684</v>
      </c>
      <c r="I210" s="26"/>
      <c r="J210" s="26" t="s">
        <v>14</v>
      </c>
      <c r="K210" s="26" t="s">
        <v>13</v>
      </c>
      <c r="L210" s="55">
        <v>46044.541672210646</v>
      </c>
      <c r="M210" s="26"/>
      <c r="N210" s="4" t="s">
        <v>121</v>
      </c>
    </row>
    <row r="211" spans="1:14" ht="75" customHeight="1" thickTop="1" thickBot="1">
      <c r="A211" s="34">
        <v>209</v>
      </c>
      <c r="B211" s="55">
        <v>46044.545301712897</v>
      </c>
      <c r="C211" s="56" t="s">
        <v>394</v>
      </c>
      <c r="D211" s="56" t="s">
        <v>395</v>
      </c>
      <c r="E211" s="26" t="s">
        <v>21</v>
      </c>
      <c r="F211" s="26" t="s">
        <v>399</v>
      </c>
      <c r="G211" s="26" t="s">
        <v>442</v>
      </c>
      <c r="H211" s="26" t="s">
        <v>3399</v>
      </c>
      <c r="I211" s="26"/>
      <c r="J211" s="26" t="s">
        <v>16</v>
      </c>
      <c r="K211" s="26" t="s">
        <v>13</v>
      </c>
      <c r="L211" s="55">
        <v>46044.56435090278</v>
      </c>
      <c r="M211" s="26"/>
      <c r="N211" s="4" t="s">
        <v>121</v>
      </c>
    </row>
    <row r="212" spans="1:14" ht="75" customHeight="1" thickTop="1" thickBot="1">
      <c r="A212" s="26">
        <v>210</v>
      </c>
      <c r="B212" s="55">
        <v>46044.560691307801</v>
      </c>
      <c r="C212" s="56" t="s">
        <v>394</v>
      </c>
      <c r="D212" s="56" t="s">
        <v>395</v>
      </c>
      <c r="E212" s="26" t="s">
        <v>21</v>
      </c>
      <c r="F212" s="26" t="s">
        <v>405</v>
      </c>
      <c r="G212" s="26" t="s">
        <v>442</v>
      </c>
      <c r="H212" s="26" t="s">
        <v>527</v>
      </c>
      <c r="I212" s="26"/>
      <c r="J212" s="26" t="s">
        <v>12</v>
      </c>
      <c r="K212" s="26" t="s">
        <v>13</v>
      </c>
      <c r="L212" s="55">
        <v>46044.561570648148</v>
      </c>
      <c r="M212" s="26"/>
      <c r="N212" s="4" t="s">
        <v>127</v>
      </c>
    </row>
    <row r="213" spans="1:14" ht="75" customHeight="1" thickTop="1" thickBot="1">
      <c r="A213" s="34">
        <v>211</v>
      </c>
      <c r="B213" s="55">
        <v>46046.3991558333</v>
      </c>
      <c r="C213" s="56" t="s">
        <v>394</v>
      </c>
      <c r="D213" s="56" t="s">
        <v>395</v>
      </c>
      <c r="E213" s="26" t="s">
        <v>21</v>
      </c>
      <c r="F213" s="26" t="s">
        <v>401</v>
      </c>
      <c r="G213" s="26" t="s">
        <v>407</v>
      </c>
      <c r="H213" s="26" t="s">
        <v>952</v>
      </c>
      <c r="I213" s="26"/>
      <c r="J213" s="26" t="s">
        <v>15</v>
      </c>
      <c r="K213" s="26" t="s">
        <v>13</v>
      </c>
      <c r="L213" s="55">
        <v>46048.736387187499</v>
      </c>
      <c r="M213" s="26"/>
      <c r="N213" s="4" t="s">
        <v>121</v>
      </c>
    </row>
    <row r="214" spans="1:14" ht="75" customHeight="1" thickTop="1" thickBot="1">
      <c r="A214" s="26">
        <v>212</v>
      </c>
      <c r="B214" s="55">
        <v>46046.408313854103</v>
      </c>
      <c r="C214" s="56" t="s">
        <v>394</v>
      </c>
      <c r="D214" s="56" t="s">
        <v>395</v>
      </c>
      <c r="E214" s="26" t="s">
        <v>21</v>
      </c>
      <c r="F214" s="26" t="s">
        <v>413</v>
      </c>
      <c r="G214" s="26" t="s">
        <v>407</v>
      </c>
      <c r="H214" s="26" t="s">
        <v>3400</v>
      </c>
      <c r="I214" s="26"/>
      <c r="J214" s="26" t="s">
        <v>14</v>
      </c>
      <c r="K214" s="26" t="s">
        <v>13</v>
      </c>
      <c r="L214" s="55">
        <v>46046.584277638889</v>
      </c>
      <c r="M214" s="26"/>
      <c r="N214" s="4" t="s">
        <v>121</v>
      </c>
    </row>
    <row r="215" spans="1:14" ht="75" customHeight="1" thickTop="1" thickBot="1">
      <c r="A215" s="34">
        <v>213</v>
      </c>
      <c r="B215" s="55">
        <v>46046.575852870301</v>
      </c>
      <c r="C215" s="56" t="s">
        <v>394</v>
      </c>
      <c r="D215" s="56" t="s">
        <v>395</v>
      </c>
      <c r="E215" s="26" t="s">
        <v>21</v>
      </c>
      <c r="F215" s="26" t="s">
        <v>399</v>
      </c>
      <c r="G215" s="26" t="s">
        <v>442</v>
      </c>
      <c r="H215" s="26" t="s">
        <v>673</v>
      </c>
      <c r="I215" s="26"/>
      <c r="J215" s="26" t="s">
        <v>14</v>
      </c>
      <c r="K215" s="26" t="s">
        <v>13</v>
      </c>
      <c r="L215" s="55">
        <v>46047.32241054398</v>
      </c>
      <c r="M215" s="26"/>
      <c r="N215" s="4" t="s">
        <v>121</v>
      </c>
    </row>
    <row r="216" spans="1:14" ht="75" customHeight="1" thickTop="1" thickBot="1">
      <c r="A216" s="26">
        <v>214</v>
      </c>
      <c r="B216" s="55">
        <v>46046.576196886497</v>
      </c>
      <c r="C216" s="56" t="s">
        <v>394</v>
      </c>
      <c r="D216" s="56" t="s">
        <v>395</v>
      </c>
      <c r="E216" s="26" t="s">
        <v>21</v>
      </c>
      <c r="F216" s="26" t="s">
        <v>396</v>
      </c>
      <c r="G216" s="26" t="s">
        <v>439</v>
      </c>
      <c r="H216" s="26" t="s">
        <v>685</v>
      </c>
      <c r="I216" s="26"/>
      <c r="J216" s="26" t="s">
        <v>14</v>
      </c>
      <c r="K216" s="26" t="s">
        <v>13</v>
      </c>
      <c r="L216" s="55">
        <v>46048.309063020832</v>
      </c>
      <c r="M216" s="26"/>
      <c r="N216" s="4" t="s">
        <v>121</v>
      </c>
    </row>
    <row r="217" spans="1:14" ht="75" customHeight="1" thickTop="1" thickBot="1">
      <c r="A217" s="34">
        <v>215</v>
      </c>
      <c r="B217" s="55">
        <v>46047.323415185099</v>
      </c>
      <c r="C217" s="56" t="s">
        <v>394</v>
      </c>
      <c r="D217" s="56" t="s">
        <v>395</v>
      </c>
      <c r="E217" s="26" t="s">
        <v>21</v>
      </c>
      <c r="F217" s="26" t="s">
        <v>412</v>
      </c>
      <c r="G217" s="26" t="s">
        <v>407</v>
      </c>
      <c r="H217" s="26" t="s">
        <v>3340</v>
      </c>
      <c r="I217" s="26"/>
      <c r="J217" s="26" t="s">
        <v>12</v>
      </c>
      <c r="K217" s="26" t="s">
        <v>13</v>
      </c>
      <c r="L217" s="55">
        <v>46047.335407881939</v>
      </c>
      <c r="M217" s="26"/>
      <c r="N217" s="4" t="s">
        <v>121</v>
      </c>
    </row>
    <row r="218" spans="1:14" ht="75" customHeight="1" thickTop="1" thickBot="1">
      <c r="A218" s="26">
        <v>216</v>
      </c>
      <c r="B218" s="55">
        <v>46047.328007349497</v>
      </c>
      <c r="C218" s="56" t="s">
        <v>394</v>
      </c>
      <c r="D218" s="56" t="s">
        <v>395</v>
      </c>
      <c r="E218" s="26" t="s">
        <v>21</v>
      </c>
      <c r="F218" s="26" t="s">
        <v>413</v>
      </c>
      <c r="G218" s="26" t="s">
        <v>442</v>
      </c>
      <c r="H218" s="26" t="s">
        <v>3401</v>
      </c>
      <c r="I218" s="26"/>
      <c r="J218" s="26" t="s">
        <v>14</v>
      </c>
      <c r="K218" s="26" t="s">
        <v>13</v>
      </c>
      <c r="L218" s="55">
        <v>46047.346058206022</v>
      </c>
      <c r="M218" s="26"/>
      <c r="N218" s="4" t="s">
        <v>121</v>
      </c>
    </row>
    <row r="219" spans="1:14" ht="75" customHeight="1" thickTop="1" thickBot="1">
      <c r="A219" s="34">
        <v>217</v>
      </c>
      <c r="B219" s="55">
        <v>46047.3372011342</v>
      </c>
      <c r="C219" s="56" t="s">
        <v>394</v>
      </c>
      <c r="D219" s="56" t="s">
        <v>408</v>
      </c>
      <c r="E219" s="26" t="s">
        <v>22</v>
      </c>
      <c r="F219" s="26" t="s">
        <v>405</v>
      </c>
      <c r="G219" s="26" t="s">
        <v>423</v>
      </c>
      <c r="H219" s="26" t="s">
        <v>686</v>
      </c>
      <c r="I219" s="26"/>
      <c r="J219" s="26" t="s">
        <v>14</v>
      </c>
      <c r="K219" s="26" t="s">
        <v>13</v>
      </c>
      <c r="L219" s="55">
        <v>46047.346064675927</v>
      </c>
      <c r="M219" s="26"/>
      <c r="N219" s="4" t="s">
        <v>121</v>
      </c>
    </row>
    <row r="220" spans="1:14" ht="75" customHeight="1" thickTop="1" thickBot="1">
      <c r="A220" s="26">
        <v>218</v>
      </c>
      <c r="B220" s="55">
        <v>46047.337524027702</v>
      </c>
      <c r="C220" s="56" t="s">
        <v>394</v>
      </c>
      <c r="D220" s="56" t="s">
        <v>410</v>
      </c>
      <c r="E220" s="26" t="s">
        <v>22</v>
      </c>
      <c r="F220" s="26" t="s">
        <v>411</v>
      </c>
      <c r="G220" s="26" t="s">
        <v>424</v>
      </c>
      <c r="H220" s="26" t="s">
        <v>686</v>
      </c>
      <c r="I220" s="26"/>
      <c r="J220" s="26" t="s">
        <v>14</v>
      </c>
      <c r="K220" s="26" t="s">
        <v>13</v>
      </c>
      <c r="L220" s="55">
        <v>46047.346086157406</v>
      </c>
      <c r="M220" s="26"/>
      <c r="N220" s="4" t="s">
        <v>121</v>
      </c>
    </row>
    <row r="221" spans="1:14" ht="75" customHeight="1" thickTop="1" thickBot="1">
      <c r="A221" s="34">
        <v>219</v>
      </c>
      <c r="B221" s="55">
        <v>46047.337877835598</v>
      </c>
      <c r="C221" s="56" t="s">
        <v>394</v>
      </c>
      <c r="D221" s="56" t="s">
        <v>410</v>
      </c>
      <c r="E221" s="26" t="s">
        <v>22</v>
      </c>
      <c r="F221" s="26" t="s">
        <v>412</v>
      </c>
      <c r="G221" s="26" t="s">
        <v>424</v>
      </c>
      <c r="H221" s="26" t="s">
        <v>686</v>
      </c>
      <c r="I221" s="26"/>
      <c r="J221" s="26" t="s">
        <v>14</v>
      </c>
      <c r="K221" s="26" t="s">
        <v>13</v>
      </c>
      <c r="L221" s="55">
        <v>46047.346103900461</v>
      </c>
      <c r="M221" s="26"/>
      <c r="N221" s="4" t="s">
        <v>121</v>
      </c>
    </row>
    <row r="222" spans="1:14" ht="75" customHeight="1" thickTop="1" thickBot="1">
      <c r="A222" s="26">
        <v>220</v>
      </c>
      <c r="B222" s="55">
        <v>46047.338244745297</v>
      </c>
      <c r="C222" s="56" t="s">
        <v>394</v>
      </c>
      <c r="D222" s="56" t="s">
        <v>410</v>
      </c>
      <c r="E222" s="26" t="s">
        <v>22</v>
      </c>
      <c r="F222" s="26" t="s">
        <v>396</v>
      </c>
      <c r="G222" s="26" t="s">
        <v>425</v>
      </c>
      <c r="H222" s="26" t="s">
        <v>686</v>
      </c>
      <c r="I222" s="26"/>
      <c r="J222" s="26" t="s">
        <v>14</v>
      </c>
      <c r="K222" s="26" t="s">
        <v>13</v>
      </c>
      <c r="L222" s="55">
        <v>46047.346120682865</v>
      </c>
      <c r="M222" s="26"/>
      <c r="N222" s="4" t="s">
        <v>121</v>
      </c>
    </row>
    <row r="223" spans="1:14" ht="75" customHeight="1" thickTop="1" thickBot="1">
      <c r="A223" s="34">
        <v>221</v>
      </c>
      <c r="B223" s="55">
        <v>46047.338574097201</v>
      </c>
      <c r="C223" s="56" t="s">
        <v>394</v>
      </c>
      <c r="D223" s="56" t="s">
        <v>410</v>
      </c>
      <c r="E223" s="26" t="s">
        <v>22</v>
      </c>
      <c r="F223" s="26" t="s">
        <v>399</v>
      </c>
      <c r="G223" s="26" t="s">
        <v>425</v>
      </c>
      <c r="H223" s="26" t="s">
        <v>686</v>
      </c>
      <c r="I223" s="26"/>
      <c r="J223" s="26" t="s">
        <v>14</v>
      </c>
      <c r="K223" s="26" t="s">
        <v>13</v>
      </c>
      <c r="L223" s="55">
        <v>46047.346150555561</v>
      </c>
      <c r="M223" s="26"/>
      <c r="N223" s="4" t="s">
        <v>121</v>
      </c>
    </row>
    <row r="224" spans="1:14" ht="75" customHeight="1" thickTop="1" thickBot="1">
      <c r="A224" s="26">
        <v>222</v>
      </c>
      <c r="B224" s="55">
        <v>46047.3389715046</v>
      </c>
      <c r="C224" s="56" t="s">
        <v>394</v>
      </c>
      <c r="D224" s="56" t="s">
        <v>410</v>
      </c>
      <c r="E224" s="26" t="s">
        <v>22</v>
      </c>
      <c r="F224" s="26" t="s">
        <v>403</v>
      </c>
      <c r="G224" s="26" t="s">
        <v>425</v>
      </c>
      <c r="H224" s="26" t="s">
        <v>686</v>
      </c>
      <c r="I224" s="26"/>
      <c r="J224" s="26" t="s">
        <v>14</v>
      </c>
      <c r="K224" s="26" t="s">
        <v>13</v>
      </c>
      <c r="L224" s="55">
        <v>46047.346168923614</v>
      </c>
      <c r="M224" s="26"/>
      <c r="N224" s="4" t="s">
        <v>121</v>
      </c>
    </row>
    <row r="225" spans="1:14" ht="75" customHeight="1" thickTop="1" thickBot="1">
      <c r="A225" s="34">
        <v>223</v>
      </c>
      <c r="B225" s="55">
        <v>46047.339331388801</v>
      </c>
      <c r="C225" s="56" t="s">
        <v>394</v>
      </c>
      <c r="D225" s="56" t="s">
        <v>410</v>
      </c>
      <c r="E225" s="26" t="s">
        <v>22</v>
      </c>
      <c r="F225" s="26" t="s">
        <v>401</v>
      </c>
      <c r="G225" s="26" t="s">
        <v>425</v>
      </c>
      <c r="H225" s="26" t="s">
        <v>686</v>
      </c>
      <c r="I225" s="26"/>
      <c r="J225" s="26" t="s">
        <v>14</v>
      </c>
      <c r="K225" s="26" t="s">
        <v>13</v>
      </c>
      <c r="L225" s="55">
        <v>46047.346192824072</v>
      </c>
      <c r="M225" s="26"/>
      <c r="N225" s="4" t="s">
        <v>121</v>
      </c>
    </row>
    <row r="226" spans="1:14" ht="75" customHeight="1" thickTop="1" thickBot="1">
      <c r="A226" s="26">
        <v>224</v>
      </c>
      <c r="B226" s="55">
        <v>46047.339774247601</v>
      </c>
      <c r="C226" s="56" t="s">
        <v>394</v>
      </c>
      <c r="D226" s="56" t="s">
        <v>408</v>
      </c>
      <c r="E226" s="26" t="s">
        <v>22</v>
      </c>
      <c r="F226" s="26" t="s">
        <v>413</v>
      </c>
      <c r="G226" s="26" t="s">
        <v>425</v>
      </c>
      <c r="H226" s="26" t="s">
        <v>686</v>
      </c>
      <c r="I226" s="26"/>
      <c r="J226" s="26" t="s">
        <v>14</v>
      </c>
      <c r="K226" s="26" t="s">
        <v>13</v>
      </c>
      <c r="L226" s="55">
        <v>46047.346203437497</v>
      </c>
      <c r="M226" s="26"/>
      <c r="N226" s="4" t="s">
        <v>121</v>
      </c>
    </row>
    <row r="227" spans="1:14" ht="75" customHeight="1" thickTop="1" thickBot="1">
      <c r="A227" s="34">
        <v>225</v>
      </c>
      <c r="B227" s="55">
        <v>46047.340178159699</v>
      </c>
      <c r="C227" s="56" t="s">
        <v>394</v>
      </c>
      <c r="D227" s="56" t="s">
        <v>408</v>
      </c>
      <c r="E227" s="26" t="s">
        <v>22</v>
      </c>
      <c r="F227" s="26" t="s">
        <v>416</v>
      </c>
      <c r="G227" s="26" t="s">
        <v>425</v>
      </c>
      <c r="H227" s="26" t="s">
        <v>686</v>
      </c>
      <c r="I227" s="26"/>
      <c r="J227" s="26" t="s">
        <v>14</v>
      </c>
      <c r="K227" s="26" t="s">
        <v>13</v>
      </c>
      <c r="L227" s="55">
        <v>46047.34622900463</v>
      </c>
      <c r="M227" s="26"/>
      <c r="N227" s="4" t="s">
        <v>121</v>
      </c>
    </row>
    <row r="228" spans="1:14" ht="75" customHeight="1" thickTop="1" thickBot="1">
      <c r="A228" s="26">
        <v>226</v>
      </c>
      <c r="B228" s="55">
        <v>46047.340505856402</v>
      </c>
      <c r="C228" s="56" t="s">
        <v>394</v>
      </c>
      <c r="D228" s="56" t="s">
        <v>410</v>
      </c>
      <c r="E228" s="26" t="s">
        <v>22</v>
      </c>
      <c r="F228" s="26" t="s">
        <v>417</v>
      </c>
      <c r="G228" s="26" t="s">
        <v>425</v>
      </c>
      <c r="H228" s="26" t="s">
        <v>686</v>
      </c>
      <c r="I228" s="26"/>
      <c r="J228" s="26" t="s">
        <v>14</v>
      </c>
      <c r="K228" s="26" t="s">
        <v>13</v>
      </c>
      <c r="L228" s="55">
        <v>46047.346257048615</v>
      </c>
      <c r="M228" s="26"/>
      <c r="N228" s="4" t="s">
        <v>121</v>
      </c>
    </row>
    <row r="229" spans="1:14" ht="75" customHeight="1" thickTop="1" thickBot="1">
      <c r="A229" s="34">
        <v>227</v>
      </c>
      <c r="B229" s="55">
        <v>46047.347710983799</v>
      </c>
      <c r="C229" s="56" t="s">
        <v>394</v>
      </c>
      <c r="D229" s="56" t="s">
        <v>408</v>
      </c>
      <c r="E229" s="26" t="s">
        <v>22</v>
      </c>
      <c r="F229" s="26" t="s">
        <v>405</v>
      </c>
      <c r="G229" s="26" t="s">
        <v>40</v>
      </c>
      <c r="H229" s="26" t="s">
        <v>409</v>
      </c>
      <c r="I229" s="26"/>
      <c r="J229" s="26" t="s">
        <v>15</v>
      </c>
      <c r="K229" s="26" t="s">
        <v>13</v>
      </c>
      <c r="L229" s="55">
        <v>46047.350062662037</v>
      </c>
      <c r="M229" s="26"/>
      <c r="N229" s="4" t="s">
        <v>121</v>
      </c>
    </row>
    <row r="230" spans="1:14" ht="75" customHeight="1" thickTop="1" thickBot="1">
      <c r="A230" s="26">
        <v>228</v>
      </c>
      <c r="B230" s="55">
        <v>46047.348044097198</v>
      </c>
      <c r="C230" s="56" t="s">
        <v>394</v>
      </c>
      <c r="D230" s="56" t="s">
        <v>410</v>
      </c>
      <c r="E230" s="26" t="s">
        <v>22</v>
      </c>
      <c r="F230" s="26" t="s">
        <v>411</v>
      </c>
      <c r="G230" s="26" t="s">
        <v>40</v>
      </c>
      <c r="H230" s="26" t="s">
        <v>409</v>
      </c>
      <c r="I230" s="26"/>
      <c r="J230" s="26" t="s">
        <v>15</v>
      </c>
      <c r="K230" s="26" t="s">
        <v>13</v>
      </c>
      <c r="L230" s="55">
        <v>46047.350070312503</v>
      </c>
      <c r="M230" s="26"/>
      <c r="N230" s="4" t="s">
        <v>121</v>
      </c>
    </row>
    <row r="231" spans="1:14" ht="75" customHeight="1" thickTop="1" thickBot="1">
      <c r="A231" s="34">
        <v>229</v>
      </c>
      <c r="B231" s="55">
        <v>46047.348379398099</v>
      </c>
      <c r="C231" s="56" t="s">
        <v>394</v>
      </c>
      <c r="D231" s="56" t="s">
        <v>410</v>
      </c>
      <c r="E231" s="26" t="s">
        <v>22</v>
      </c>
      <c r="F231" s="26" t="s">
        <v>412</v>
      </c>
      <c r="G231" s="26" t="s">
        <v>40</v>
      </c>
      <c r="H231" s="26" t="s">
        <v>409</v>
      </c>
      <c r="I231" s="26"/>
      <c r="J231" s="26" t="s">
        <v>15</v>
      </c>
      <c r="K231" s="26" t="s">
        <v>13</v>
      </c>
      <c r="L231" s="55">
        <v>46047.350095092595</v>
      </c>
      <c r="M231" s="26"/>
      <c r="N231" s="4" t="s">
        <v>121</v>
      </c>
    </row>
    <row r="232" spans="1:14" ht="75" customHeight="1" thickTop="1" thickBot="1">
      <c r="A232" s="26">
        <v>230</v>
      </c>
      <c r="B232" s="55">
        <v>46047.348813206001</v>
      </c>
      <c r="C232" s="56" t="s">
        <v>394</v>
      </c>
      <c r="D232" s="56" t="s">
        <v>410</v>
      </c>
      <c r="E232" s="26" t="s">
        <v>22</v>
      </c>
      <c r="F232" s="26" t="s">
        <v>396</v>
      </c>
      <c r="G232" s="26" t="s">
        <v>40</v>
      </c>
      <c r="H232" s="26" t="s">
        <v>409</v>
      </c>
      <c r="I232" s="26"/>
      <c r="J232" s="26" t="s">
        <v>15</v>
      </c>
      <c r="K232" s="26" t="s">
        <v>13</v>
      </c>
      <c r="L232" s="55">
        <v>46047.350114687499</v>
      </c>
      <c r="M232" s="26"/>
      <c r="N232" s="4" t="s">
        <v>128</v>
      </c>
    </row>
    <row r="233" spans="1:14" ht="75" customHeight="1" thickTop="1" thickBot="1">
      <c r="A233" s="34">
        <v>231</v>
      </c>
      <c r="B233" s="55">
        <v>46047.549163668897</v>
      </c>
      <c r="C233" s="56" t="s">
        <v>394</v>
      </c>
      <c r="D233" s="56" t="s">
        <v>395</v>
      </c>
      <c r="E233" s="26" t="s">
        <v>21</v>
      </c>
      <c r="F233" s="26" t="s">
        <v>403</v>
      </c>
      <c r="G233" s="26" t="s">
        <v>404</v>
      </c>
      <c r="H233" s="26" t="s">
        <v>684</v>
      </c>
      <c r="I233" s="26"/>
      <c r="J233" s="26" t="s">
        <v>14</v>
      </c>
      <c r="K233" s="26" t="s">
        <v>13</v>
      </c>
      <c r="L233" s="55">
        <v>46048.308754108795</v>
      </c>
      <c r="M233" s="26"/>
      <c r="N233" s="4" t="s">
        <v>121</v>
      </c>
    </row>
    <row r="234" spans="1:14" ht="75" customHeight="1" thickTop="1" thickBot="1">
      <c r="A234" s="26">
        <v>232</v>
      </c>
      <c r="B234" s="55">
        <v>46047.549795416598</v>
      </c>
      <c r="C234" s="56" t="s">
        <v>394</v>
      </c>
      <c r="D234" s="56" t="s">
        <v>395</v>
      </c>
      <c r="E234" s="26" t="s">
        <v>21</v>
      </c>
      <c r="F234" s="26" t="s">
        <v>403</v>
      </c>
      <c r="G234" s="26" t="s">
        <v>439</v>
      </c>
      <c r="H234" s="26" t="s">
        <v>620</v>
      </c>
      <c r="I234" s="26"/>
      <c r="J234" s="26" t="s">
        <v>16</v>
      </c>
      <c r="K234" s="26" t="s">
        <v>13</v>
      </c>
      <c r="L234" s="55">
        <v>46048.736245914348</v>
      </c>
      <c r="M234" s="26"/>
      <c r="N234" s="4" t="s">
        <v>121</v>
      </c>
    </row>
    <row r="235" spans="1:14" ht="75" customHeight="1" thickTop="1" thickBot="1">
      <c r="A235" s="34">
        <v>233</v>
      </c>
      <c r="B235" s="55">
        <v>46048.3787790856</v>
      </c>
      <c r="C235" s="56" t="s">
        <v>394</v>
      </c>
      <c r="D235" s="56" t="s">
        <v>395</v>
      </c>
      <c r="E235" s="26" t="s">
        <v>21</v>
      </c>
      <c r="F235" s="26" t="s">
        <v>411</v>
      </c>
      <c r="G235" s="26" t="s">
        <v>407</v>
      </c>
      <c r="H235" s="26" t="s">
        <v>1437</v>
      </c>
      <c r="I235" s="26"/>
      <c r="J235" s="26" t="s">
        <v>14</v>
      </c>
      <c r="K235" s="26" t="s">
        <v>13</v>
      </c>
      <c r="L235" s="55">
        <v>46048.736277048607</v>
      </c>
      <c r="M235" s="26"/>
      <c r="N235" s="4" t="s">
        <v>121</v>
      </c>
    </row>
    <row r="236" spans="1:14" ht="75" customHeight="1" thickTop="1" thickBot="1">
      <c r="A236" s="26">
        <v>234</v>
      </c>
      <c r="B236" s="55">
        <v>46048.411661354097</v>
      </c>
      <c r="C236" s="56" t="s">
        <v>394</v>
      </c>
      <c r="D236" s="56" t="s">
        <v>395</v>
      </c>
      <c r="E236" s="26" t="s">
        <v>21</v>
      </c>
      <c r="F236" s="26" t="s">
        <v>413</v>
      </c>
      <c r="G236" s="26" t="s">
        <v>414</v>
      </c>
      <c r="H236" s="26" t="s">
        <v>415</v>
      </c>
      <c r="I236" s="26"/>
      <c r="J236" s="26" t="s">
        <v>15</v>
      </c>
      <c r="K236" s="26" t="s">
        <v>13</v>
      </c>
      <c r="L236" s="55">
        <v>46049.378263136576</v>
      </c>
      <c r="M236" s="26"/>
      <c r="N236" s="4" t="s">
        <v>121</v>
      </c>
    </row>
    <row r="237" spans="1:14" ht="75" customHeight="1" thickTop="1" thickBot="1">
      <c r="A237" s="34">
        <v>235</v>
      </c>
      <c r="B237" s="55">
        <v>46048.571751759198</v>
      </c>
      <c r="C237" s="56" t="s">
        <v>394</v>
      </c>
      <c r="D237" s="56" t="s">
        <v>410</v>
      </c>
      <c r="E237" s="26" t="s">
        <v>22</v>
      </c>
      <c r="F237" s="26" t="s">
        <v>399</v>
      </c>
      <c r="G237" s="26" t="s">
        <v>40</v>
      </c>
      <c r="H237" s="26" t="s">
        <v>409</v>
      </c>
      <c r="I237" s="26"/>
      <c r="J237" s="26" t="s">
        <v>15</v>
      </c>
      <c r="K237" s="26" t="s">
        <v>13</v>
      </c>
      <c r="L237" s="55">
        <v>46048.574415034724</v>
      </c>
      <c r="M237" s="26"/>
      <c r="N237" s="4" t="s">
        <v>121</v>
      </c>
    </row>
    <row r="238" spans="1:14" ht="75" customHeight="1" thickTop="1" thickBot="1">
      <c r="A238" s="26">
        <v>236</v>
      </c>
      <c r="B238" s="55">
        <v>46048.572159247597</v>
      </c>
      <c r="C238" s="56" t="s">
        <v>394</v>
      </c>
      <c r="D238" s="56" t="s">
        <v>410</v>
      </c>
      <c r="E238" s="26" t="s">
        <v>22</v>
      </c>
      <c r="F238" s="26" t="s">
        <v>403</v>
      </c>
      <c r="G238" s="26" t="s">
        <v>40</v>
      </c>
      <c r="H238" s="26" t="s">
        <v>409</v>
      </c>
      <c r="I238" s="26"/>
      <c r="J238" s="26" t="s">
        <v>15</v>
      </c>
      <c r="K238" s="26" t="s">
        <v>13</v>
      </c>
      <c r="L238" s="55">
        <v>46048.574533622683</v>
      </c>
      <c r="M238" s="26"/>
      <c r="N238" s="4" t="s">
        <v>121</v>
      </c>
    </row>
    <row r="239" spans="1:14" ht="75" customHeight="1" thickTop="1" thickBot="1">
      <c r="A239" s="34">
        <v>237</v>
      </c>
      <c r="B239" s="55">
        <v>46048.574442488403</v>
      </c>
      <c r="C239" s="56" t="s">
        <v>394</v>
      </c>
      <c r="D239" s="56" t="s">
        <v>410</v>
      </c>
      <c r="E239" s="26" t="s">
        <v>22</v>
      </c>
      <c r="F239" s="26" t="s">
        <v>401</v>
      </c>
      <c r="G239" s="26" t="s">
        <v>40</v>
      </c>
      <c r="H239" s="26" t="s">
        <v>409</v>
      </c>
      <c r="I239" s="26"/>
      <c r="J239" s="26" t="s">
        <v>15</v>
      </c>
      <c r="K239" s="26" t="s">
        <v>13</v>
      </c>
      <c r="L239" s="55">
        <v>46048.574614733792</v>
      </c>
      <c r="M239" s="26"/>
      <c r="N239" s="4" t="s">
        <v>121</v>
      </c>
    </row>
    <row r="240" spans="1:14" ht="75" customHeight="1" thickTop="1" thickBot="1">
      <c r="A240" s="26">
        <v>238</v>
      </c>
      <c r="B240" s="55">
        <v>46048.574751377302</v>
      </c>
      <c r="C240" s="56" t="s">
        <v>394</v>
      </c>
      <c r="D240" s="56" t="s">
        <v>408</v>
      </c>
      <c r="E240" s="26" t="s">
        <v>22</v>
      </c>
      <c r="F240" s="26" t="s">
        <v>413</v>
      </c>
      <c r="G240" s="26" t="s">
        <v>40</v>
      </c>
      <c r="H240" s="26" t="s">
        <v>409</v>
      </c>
      <c r="I240" s="26"/>
      <c r="J240" s="26" t="s">
        <v>15</v>
      </c>
      <c r="K240" s="26" t="s">
        <v>13</v>
      </c>
      <c r="L240" s="55">
        <v>46048.574893171295</v>
      </c>
      <c r="M240" s="26"/>
      <c r="N240" s="4" t="s">
        <v>121</v>
      </c>
    </row>
    <row r="241" spans="1:14" ht="75" customHeight="1" thickTop="1" thickBot="1">
      <c r="A241" s="34">
        <v>239</v>
      </c>
      <c r="B241" s="55">
        <v>46048.575244074003</v>
      </c>
      <c r="C241" s="56" t="s">
        <v>394</v>
      </c>
      <c r="D241" s="56" t="s">
        <v>410</v>
      </c>
      <c r="E241" s="26" t="s">
        <v>22</v>
      </c>
      <c r="F241" s="26" t="s">
        <v>416</v>
      </c>
      <c r="G241" s="26" t="s">
        <v>40</v>
      </c>
      <c r="H241" s="26" t="s">
        <v>409</v>
      </c>
      <c r="I241" s="26"/>
      <c r="J241" s="26" t="s">
        <v>15</v>
      </c>
      <c r="K241" s="26" t="s">
        <v>13</v>
      </c>
      <c r="L241" s="55">
        <v>46048.575363252312</v>
      </c>
      <c r="M241" s="26"/>
      <c r="N241" s="4"/>
    </row>
    <row r="242" spans="1:14" ht="75" customHeight="1" thickTop="1" thickBot="1">
      <c r="A242" s="26">
        <v>240</v>
      </c>
      <c r="B242" s="55">
        <v>46048.575973495303</v>
      </c>
      <c r="C242" s="56" t="s">
        <v>394</v>
      </c>
      <c r="D242" s="56" t="s">
        <v>408</v>
      </c>
      <c r="E242" s="26" t="s">
        <v>22</v>
      </c>
      <c r="F242" s="26" t="s">
        <v>417</v>
      </c>
      <c r="G242" s="26" t="s">
        <v>40</v>
      </c>
      <c r="H242" s="26" t="s">
        <v>409</v>
      </c>
      <c r="I242" s="26"/>
      <c r="J242" s="26" t="s">
        <v>15</v>
      </c>
      <c r="K242" s="26" t="s">
        <v>13</v>
      </c>
      <c r="L242" s="55">
        <v>46048.576935150464</v>
      </c>
      <c r="M242" s="26"/>
      <c r="N242" s="4"/>
    </row>
    <row r="243" spans="1:14" ht="75" customHeight="1" thickTop="1" thickBot="1">
      <c r="A243" s="34">
        <v>241</v>
      </c>
      <c r="B243" s="55">
        <v>46048.581191249999</v>
      </c>
      <c r="C243" s="56" t="s">
        <v>394</v>
      </c>
      <c r="D243" s="56" t="s">
        <v>408</v>
      </c>
      <c r="E243" s="26" t="s">
        <v>22</v>
      </c>
      <c r="F243" s="26" t="s">
        <v>411</v>
      </c>
      <c r="G243" s="26" t="s">
        <v>418</v>
      </c>
      <c r="H243" s="26" t="s">
        <v>419</v>
      </c>
      <c r="I243" s="26"/>
      <c r="J243" s="26" t="s">
        <v>15</v>
      </c>
      <c r="K243" s="26" t="s">
        <v>13</v>
      </c>
      <c r="L243" s="55">
        <v>46048.585678831019</v>
      </c>
      <c r="M243" s="26"/>
      <c r="N243" s="4"/>
    </row>
    <row r="244" spans="1:14" ht="75" customHeight="1" thickTop="1" thickBot="1">
      <c r="A244" s="26">
        <v>242</v>
      </c>
      <c r="B244" s="55">
        <v>46048.582480404999</v>
      </c>
      <c r="C244" s="56" t="s">
        <v>394</v>
      </c>
      <c r="D244" s="56" t="s">
        <v>410</v>
      </c>
      <c r="E244" s="26" t="s">
        <v>22</v>
      </c>
      <c r="F244" s="26" t="s">
        <v>411</v>
      </c>
      <c r="G244" s="26" t="s">
        <v>420</v>
      </c>
      <c r="H244" s="26" t="s">
        <v>419</v>
      </c>
      <c r="I244" s="26"/>
      <c r="J244" s="26" t="s">
        <v>15</v>
      </c>
      <c r="K244" s="26" t="s">
        <v>13</v>
      </c>
      <c r="L244" s="55">
        <v>46048.585711307867</v>
      </c>
      <c r="M244" s="26"/>
      <c r="N244" s="4"/>
    </row>
    <row r="245" spans="1:14" ht="75" customHeight="1" thickTop="1" thickBot="1">
      <c r="A245" s="34">
        <v>243</v>
      </c>
      <c r="B245" s="55">
        <v>46048.582969340197</v>
      </c>
      <c r="C245" s="56" t="s">
        <v>394</v>
      </c>
      <c r="D245" s="56" t="s">
        <v>410</v>
      </c>
      <c r="E245" s="26" t="s">
        <v>22</v>
      </c>
      <c r="F245" s="26" t="s">
        <v>412</v>
      </c>
      <c r="G245" s="26" t="s">
        <v>421</v>
      </c>
      <c r="H245" s="26" t="s">
        <v>419</v>
      </c>
      <c r="I245" s="26"/>
      <c r="J245" s="26" t="s">
        <v>15</v>
      </c>
      <c r="K245" s="26" t="s">
        <v>13</v>
      </c>
      <c r="L245" s="55">
        <v>46048.585731817133</v>
      </c>
      <c r="M245" s="26"/>
      <c r="N245" s="4"/>
    </row>
    <row r="246" spans="1:14" ht="75" customHeight="1" thickTop="1" thickBot="1">
      <c r="A246" s="26">
        <v>244</v>
      </c>
      <c r="B246" s="55">
        <v>46048.583998819398</v>
      </c>
      <c r="C246" s="56" t="s">
        <v>394</v>
      </c>
      <c r="D246" s="56" t="s">
        <v>410</v>
      </c>
      <c r="E246" s="26" t="s">
        <v>22</v>
      </c>
      <c r="F246" s="26" t="s">
        <v>412</v>
      </c>
      <c r="G246" s="26" t="s">
        <v>422</v>
      </c>
      <c r="H246" s="26" t="s">
        <v>3402</v>
      </c>
      <c r="I246" s="26"/>
      <c r="J246" s="26" t="s">
        <v>15</v>
      </c>
      <c r="K246" s="26" t="s">
        <v>13</v>
      </c>
      <c r="L246" s="55">
        <v>46048.585767442128</v>
      </c>
      <c r="M246" s="26"/>
      <c r="N246" s="4"/>
    </row>
    <row r="247" spans="1:14" ht="75" customHeight="1" thickTop="1" thickBot="1">
      <c r="A247" s="34">
        <v>245</v>
      </c>
      <c r="B247" s="55">
        <v>46048.738922800898</v>
      </c>
      <c r="C247" s="56" t="s">
        <v>394</v>
      </c>
      <c r="D247" s="56" t="s">
        <v>113</v>
      </c>
      <c r="E247" s="26" t="s">
        <v>22</v>
      </c>
      <c r="F247" s="26" t="s">
        <v>396</v>
      </c>
      <c r="G247" s="26" t="s">
        <v>593</v>
      </c>
      <c r="H247" s="26" t="s">
        <v>621</v>
      </c>
      <c r="I247" s="26"/>
      <c r="J247" s="26" t="s">
        <v>16</v>
      </c>
      <c r="K247" s="26" t="s">
        <v>13</v>
      </c>
      <c r="L247" s="55">
        <v>46048.744111608801</v>
      </c>
      <c r="M247" s="26"/>
      <c r="N247" s="4"/>
    </row>
    <row r="248" spans="1:14" ht="75" customHeight="1" thickTop="1" thickBot="1">
      <c r="A248" s="26">
        <v>246</v>
      </c>
      <c r="B248" s="55">
        <v>46048.739805138801</v>
      </c>
      <c r="C248" s="56" t="s">
        <v>394</v>
      </c>
      <c r="D248" s="56" t="s">
        <v>114</v>
      </c>
      <c r="E248" s="26" t="s">
        <v>22</v>
      </c>
      <c r="F248" s="26" t="s">
        <v>399</v>
      </c>
      <c r="G248" s="26" t="s">
        <v>40</v>
      </c>
      <c r="H248" s="26" t="s">
        <v>622</v>
      </c>
      <c r="I248" s="26"/>
      <c r="J248" s="26" t="s">
        <v>16</v>
      </c>
      <c r="K248" s="26" t="s">
        <v>13</v>
      </c>
      <c r="L248" s="55">
        <v>46048.744135821762</v>
      </c>
      <c r="M248" s="26"/>
      <c r="N248" s="4"/>
    </row>
    <row r="249" spans="1:14" ht="75" customHeight="1" thickTop="1" thickBot="1">
      <c r="A249" s="34">
        <v>247</v>
      </c>
      <c r="B249" s="55">
        <v>46048.740915694398</v>
      </c>
      <c r="C249" s="56" t="s">
        <v>394</v>
      </c>
      <c r="D249" s="56" t="s">
        <v>114</v>
      </c>
      <c r="E249" s="26" t="s">
        <v>22</v>
      </c>
      <c r="F249" s="26" t="s">
        <v>396</v>
      </c>
      <c r="G249" s="26" t="s">
        <v>404</v>
      </c>
      <c r="H249" s="26" t="s">
        <v>623</v>
      </c>
      <c r="I249" s="26"/>
      <c r="J249" s="26" t="s">
        <v>16</v>
      </c>
      <c r="K249" s="26" t="s">
        <v>13</v>
      </c>
      <c r="L249" s="55">
        <v>46048.744151087958</v>
      </c>
      <c r="M249" s="26"/>
      <c r="N249" s="4"/>
    </row>
    <row r="250" spans="1:14" ht="75" customHeight="1" thickTop="1" thickBot="1">
      <c r="A250" s="26">
        <v>248</v>
      </c>
      <c r="B250" s="55">
        <v>46048.742319224497</v>
      </c>
      <c r="C250" s="56" t="s">
        <v>394</v>
      </c>
      <c r="D250" s="56" t="s">
        <v>114</v>
      </c>
      <c r="E250" s="26" t="s">
        <v>22</v>
      </c>
      <c r="F250" s="26" t="s">
        <v>396</v>
      </c>
      <c r="G250" s="26" t="s">
        <v>439</v>
      </c>
      <c r="H250" s="26" t="s">
        <v>624</v>
      </c>
      <c r="I250" s="26"/>
      <c r="J250" s="26" t="s">
        <v>16</v>
      </c>
      <c r="K250" s="26" t="s">
        <v>13</v>
      </c>
      <c r="L250" s="55">
        <v>46048.744161967596</v>
      </c>
      <c r="M250" s="26"/>
      <c r="N250" s="4"/>
    </row>
    <row r="251" spans="1:14" ht="75" customHeight="1" thickTop="1" thickBot="1">
      <c r="A251" s="34">
        <v>249</v>
      </c>
      <c r="B251" s="55">
        <v>46048.743062777699</v>
      </c>
      <c r="C251" s="56" t="s">
        <v>394</v>
      </c>
      <c r="D251" s="56" t="s">
        <v>114</v>
      </c>
      <c r="E251" s="26" t="s">
        <v>22</v>
      </c>
      <c r="F251" s="26" t="s">
        <v>413</v>
      </c>
      <c r="G251" s="26" t="s">
        <v>40</v>
      </c>
      <c r="H251" s="26" t="s">
        <v>625</v>
      </c>
      <c r="I251" s="26"/>
      <c r="J251" s="26" t="s">
        <v>16</v>
      </c>
      <c r="K251" s="26" t="s">
        <v>13</v>
      </c>
      <c r="L251" s="55">
        <v>46048.744176296299</v>
      </c>
      <c r="M251" s="26"/>
      <c r="N251" s="4"/>
    </row>
    <row r="252" spans="1:14" ht="75" customHeight="1" thickTop="1" thickBot="1">
      <c r="A252" s="26">
        <v>250</v>
      </c>
      <c r="B252" s="55">
        <v>46049.356156817099</v>
      </c>
      <c r="C252" s="56" t="s">
        <v>394</v>
      </c>
      <c r="D252" s="56" t="s">
        <v>395</v>
      </c>
      <c r="E252" s="26" t="s">
        <v>21</v>
      </c>
      <c r="F252" s="26" t="s">
        <v>413</v>
      </c>
      <c r="G252" s="26" t="s">
        <v>439</v>
      </c>
      <c r="H252" s="26" t="s">
        <v>528</v>
      </c>
      <c r="I252" s="26"/>
      <c r="J252" s="26" t="s">
        <v>12</v>
      </c>
      <c r="K252" s="26" t="s">
        <v>13</v>
      </c>
      <c r="L252" s="55">
        <v>46049.489388993054</v>
      </c>
      <c r="M252" s="26"/>
      <c r="N252" s="4"/>
    </row>
    <row r="253" spans="1:14" ht="75" customHeight="1" thickTop="1" thickBot="1">
      <c r="A253" s="34">
        <v>251</v>
      </c>
      <c r="B253" s="55">
        <v>46049.3885898148</v>
      </c>
      <c r="C253" s="56" t="s">
        <v>394</v>
      </c>
      <c r="D253" s="56" t="s">
        <v>395</v>
      </c>
      <c r="E253" s="26" t="s">
        <v>21</v>
      </c>
      <c r="F253" s="26" t="s">
        <v>626</v>
      </c>
      <c r="G253" s="26" t="s">
        <v>442</v>
      </c>
      <c r="H253" s="26" t="s">
        <v>3403</v>
      </c>
      <c r="I253" s="26"/>
      <c r="J253" s="26" t="s">
        <v>16</v>
      </c>
      <c r="K253" s="26" t="s">
        <v>13</v>
      </c>
      <c r="L253" s="55">
        <v>46049.489845162039</v>
      </c>
      <c r="M253" s="26"/>
      <c r="N253" s="4"/>
    </row>
    <row r="254" spans="1:14" ht="75" customHeight="1" thickTop="1" thickBot="1">
      <c r="A254" s="26">
        <v>252</v>
      </c>
      <c r="B254" s="55">
        <v>46049.4733893171</v>
      </c>
      <c r="C254" s="56" t="s">
        <v>394</v>
      </c>
      <c r="D254" s="56" t="s">
        <v>395</v>
      </c>
      <c r="E254" s="26" t="s">
        <v>21</v>
      </c>
      <c r="F254" s="26" t="s">
        <v>405</v>
      </c>
      <c r="G254" s="26" t="s">
        <v>404</v>
      </c>
      <c r="H254" s="26" t="s">
        <v>684</v>
      </c>
      <c r="I254" s="26"/>
      <c r="J254" s="26" t="s">
        <v>14</v>
      </c>
      <c r="K254" s="26" t="s">
        <v>13</v>
      </c>
      <c r="L254" s="55">
        <v>46049.500017430561</v>
      </c>
      <c r="M254" s="26"/>
      <c r="N254" s="4"/>
    </row>
    <row r="255" spans="1:14" ht="75" customHeight="1" thickTop="1" thickBot="1">
      <c r="A255" s="34">
        <v>253</v>
      </c>
      <c r="B255" s="55">
        <v>46049.589447430502</v>
      </c>
      <c r="C255" s="56" t="s">
        <v>394</v>
      </c>
      <c r="D255" s="56" t="s">
        <v>395</v>
      </c>
      <c r="E255" s="26" t="s">
        <v>21</v>
      </c>
      <c r="F255" s="26" t="s">
        <v>627</v>
      </c>
      <c r="G255" s="26" t="s">
        <v>446</v>
      </c>
      <c r="H255" s="26" t="s">
        <v>628</v>
      </c>
      <c r="I255" s="26"/>
      <c r="J255" s="26" t="s">
        <v>16</v>
      </c>
      <c r="K255" s="26" t="s">
        <v>13</v>
      </c>
      <c r="L255" s="55">
        <v>46049.596591689813</v>
      </c>
      <c r="M255" s="26"/>
      <c r="N255" s="4" t="s">
        <v>129</v>
      </c>
    </row>
    <row r="256" spans="1:14" ht="75" customHeight="1" thickTop="1" thickBot="1">
      <c r="A256" s="26">
        <v>254</v>
      </c>
      <c r="B256" s="55">
        <v>46050.300240879602</v>
      </c>
      <c r="C256" s="56" t="s">
        <v>394</v>
      </c>
      <c r="D256" s="56" t="s">
        <v>114</v>
      </c>
      <c r="E256" s="26" t="s">
        <v>22</v>
      </c>
      <c r="F256" s="26" t="s">
        <v>396</v>
      </c>
      <c r="G256" s="26" t="s">
        <v>404</v>
      </c>
      <c r="H256" s="26" t="s">
        <v>629</v>
      </c>
      <c r="I256" s="26"/>
      <c r="J256" s="26" t="s">
        <v>16</v>
      </c>
      <c r="K256" s="26" t="s">
        <v>13</v>
      </c>
      <c r="L256" s="55">
        <v>46050.420227592593</v>
      </c>
      <c r="M256" s="26"/>
      <c r="N256" s="4" t="s">
        <v>129</v>
      </c>
    </row>
    <row r="257" spans="1:14" ht="75" customHeight="1" thickTop="1" thickBot="1">
      <c r="A257" s="34">
        <v>255</v>
      </c>
      <c r="B257" s="55">
        <v>46050.314689363397</v>
      </c>
      <c r="C257" s="56" t="s">
        <v>394</v>
      </c>
      <c r="D257" s="56" t="s">
        <v>395</v>
      </c>
      <c r="E257" s="26" t="s">
        <v>21</v>
      </c>
      <c r="F257" s="26" t="s">
        <v>598</v>
      </c>
      <c r="G257" s="26" t="s">
        <v>442</v>
      </c>
      <c r="H257" s="26" t="s">
        <v>630</v>
      </c>
      <c r="I257" s="26"/>
      <c r="J257" s="26" t="s">
        <v>16</v>
      </c>
      <c r="K257" s="26" t="s">
        <v>13</v>
      </c>
      <c r="L257" s="55">
        <v>46050.416639039351</v>
      </c>
      <c r="M257" s="26"/>
      <c r="N257" s="4" t="s">
        <v>121</v>
      </c>
    </row>
    <row r="258" spans="1:14" ht="75" customHeight="1" thickTop="1" thickBot="1">
      <c r="A258" s="26">
        <v>256</v>
      </c>
      <c r="B258" s="55">
        <v>46050.435802766202</v>
      </c>
      <c r="C258" s="56" t="s">
        <v>394</v>
      </c>
      <c r="D258" s="56" t="s">
        <v>114</v>
      </c>
      <c r="E258" s="26" t="s">
        <v>22</v>
      </c>
      <c r="F258" s="26" t="s">
        <v>396</v>
      </c>
      <c r="G258" s="26" t="s">
        <v>404</v>
      </c>
      <c r="H258" s="26" t="s">
        <v>631</v>
      </c>
      <c r="I258" s="26"/>
      <c r="J258" s="26" t="s">
        <v>16</v>
      </c>
      <c r="K258" s="26" t="s">
        <v>13</v>
      </c>
      <c r="L258" s="55">
        <v>46050.437358460651</v>
      </c>
      <c r="M258" s="26"/>
      <c r="N258" s="4" t="s">
        <v>121</v>
      </c>
    </row>
    <row r="259" spans="1:14" ht="75" customHeight="1" thickTop="1" thickBot="1">
      <c r="A259" s="34">
        <v>257</v>
      </c>
      <c r="B259" s="55">
        <v>46050.436989861097</v>
      </c>
      <c r="C259" s="56" t="s">
        <v>394</v>
      </c>
      <c r="D259" s="56" t="s">
        <v>113</v>
      </c>
      <c r="E259" s="26" t="s">
        <v>22</v>
      </c>
      <c r="F259" s="26" t="s">
        <v>396</v>
      </c>
      <c r="G259" s="26" t="s">
        <v>439</v>
      </c>
      <c r="H259" s="26" t="s">
        <v>567</v>
      </c>
      <c r="I259" s="26"/>
      <c r="J259" s="26" t="s">
        <v>16</v>
      </c>
      <c r="K259" s="26" t="s">
        <v>13</v>
      </c>
      <c r="L259" s="55">
        <v>46050.43736585648</v>
      </c>
      <c r="M259" s="26"/>
      <c r="N259" s="4" t="s">
        <v>121</v>
      </c>
    </row>
    <row r="260" spans="1:14" ht="75" customHeight="1" thickTop="1" thickBot="1">
      <c r="A260" s="26">
        <v>258</v>
      </c>
      <c r="B260" s="55">
        <v>46050.438800648102</v>
      </c>
      <c r="C260" s="56" t="s">
        <v>394</v>
      </c>
      <c r="D260" s="56" t="s">
        <v>410</v>
      </c>
      <c r="E260" s="26" t="s">
        <v>22</v>
      </c>
      <c r="F260" s="26" t="s">
        <v>405</v>
      </c>
      <c r="G260" s="26" t="s">
        <v>423</v>
      </c>
      <c r="H260" s="26" t="s">
        <v>3404</v>
      </c>
      <c r="I260" s="26"/>
      <c r="J260" s="26" t="s">
        <v>15</v>
      </c>
      <c r="K260" s="26" t="s">
        <v>13</v>
      </c>
      <c r="L260" s="55">
        <v>46050.449041874999</v>
      </c>
      <c r="M260" s="26"/>
      <c r="N260" s="4" t="s">
        <v>121</v>
      </c>
    </row>
    <row r="261" spans="1:14" ht="75" customHeight="1" thickTop="1" thickBot="1">
      <c r="A261" s="34">
        <v>259</v>
      </c>
      <c r="B261" s="55">
        <v>46050.439140983697</v>
      </c>
      <c r="C261" s="56" t="s">
        <v>394</v>
      </c>
      <c r="D261" s="56" t="s">
        <v>410</v>
      </c>
      <c r="E261" s="26" t="s">
        <v>22</v>
      </c>
      <c r="F261" s="26" t="s">
        <v>411</v>
      </c>
      <c r="G261" s="26" t="s">
        <v>424</v>
      </c>
      <c r="H261" s="26" t="s">
        <v>3404</v>
      </c>
      <c r="I261" s="26"/>
      <c r="J261" s="26" t="s">
        <v>15</v>
      </c>
      <c r="K261" s="26" t="s">
        <v>13</v>
      </c>
      <c r="L261" s="55">
        <v>46050.44912016204</v>
      </c>
      <c r="M261" s="26"/>
      <c r="N261" s="4" t="s">
        <v>121</v>
      </c>
    </row>
    <row r="262" spans="1:14" ht="75" customHeight="1" thickTop="1" thickBot="1">
      <c r="A262" s="26">
        <v>260</v>
      </c>
      <c r="B262" s="55">
        <v>46050.4394606481</v>
      </c>
      <c r="C262" s="56" t="s">
        <v>394</v>
      </c>
      <c r="D262" s="56" t="s">
        <v>410</v>
      </c>
      <c r="E262" s="26" t="s">
        <v>22</v>
      </c>
      <c r="F262" s="26" t="s">
        <v>412</v>
      </c>
      <c r="G262" s="26" t="s">
        <v>424</v>
      </c>
      <c r="H262" s="26" t="s">
        <v>3404</v>
      </c>
      <c r="I262" s="26"/>
      <c r="J262" s="26" t="s">
        <v>15</v>
      </c>
      <c r="K262" s="26" t="s">
        <v>13</v>
      </c>
      <c r="L262" s="55">
        <v>46050.449059444443</v>
      </c>
      <c r="M262" s="26"/>
      <c r="N262" s="4" t="s">
        <v>121</v>
      </c>
    </row>
    <row r="263" spans="1:14" ht="75" customHeight="1" thickTop="1" thickBot="1">
      <c r="A263" s="34">
        <v>261</v>
      </c>
      <c r="B263" s="55">
        <v>46050.439729583297</v>
      </c>
      <c r="C263" s="56" t="s">
        <v>394</v>
      </c>
      <c r="D263" s="56" t="s">
        <v>410</v>
      </c>
      <c r="E263" s="26" t="s">
        <v>22</v>
      </c>
      <c r="F263" s="26" t="s">
        <v>396</v>
      </c>
      <c r="G263" s="26" t="s">
        <v>425</v>
      </c>
      <c r="H263" s="26" t="s">
        <v>3404</v>
      </c>
      <c r="I263" s="26"/>
      <c r="J263" s="26" t="s">
        <v>15</v>
      </c>
      <c r="K263" s="26" t="s">
        <v>13</v>
      </c>
      <c r="L263" s="55">
        <v>46050.449092129631</v>
      </c>
      <c r="M263" s="26"/>
      <c r="N263" s="4" t="s">
        <v>121</v>
      </c>
    </row>
    <row r="264" spans="1:14" ht="75" customHeight="1" thickTop="1" thickBot="1">
      <c r="A264" s="26">
        <v>262</v>
      </c>
      <c r="B264" s="55">
        <v>46050.440255486101</v>
      </c>
      <c r="C264" s="56" t="s">
        <v>394</v>
      </c>
      <c r="D264" s="56" t="s">
        <v>410</v>
      </c>
      <c r="E264" s="26" t="s">
        <v>22</v>
      </c>
      <c r="F264" s="26" t="s">
        <v>399</v>
      </c>
      <c r="G264" s="26" t="s">
        <v>425</v>
      </c>
      <c r="H264" s="26" t="s">
        <v>3404</v>
      </c>
      <c r="I264" s="26"/>
      <c r="J264" s="26" t="s">
        <v>16</v>
      </c>
      <c r="K264" s="26" t="s">
        <v>13</v>
      </c>
      <c r="L264" s="55">
        <v>46050.449136006944</v>
      </c>
      <c r="M264" s="26"/>
      <c r="N264" s="4" t="s">
        <v>121</v>
      </c>
    </row>
    <row r="265" spans="1:14" ht="75" customHeight="1" thickTop="1" thickBot="1">
      <c r="A265" s="34">
        <v>263</v>
      </c>
      <c r="B265" s="55">
        <v>46050.440725497603</v>
      </c>
      <c r="C265" s="56" t="s">
        <v>394</v>
      </c>
      <c r="D265" s="56" t="s">
        <v>410</v>
      </c>
      <c r="E265" s="26" t="s">
        <v>22</v>
      </c>
      <c r="F265" s="26" t="s">
        <v>403</v>
      </c>
      <c r="G265" s="26" t="s">
        <v>425</v>
      </c>
      <c r="H265" s="26" t="s">
        <v>3404</v>
      </c>
      <c r="I265" s="26"/>
      <c r="J265" s="26" t="s">
        <v>15</v>
      </c>
      <c r="K265" s="26" t="s">
        <v>13</v>
      </c>
      <c r="L265" s="55">
        <v>46050.449155462964</v>
      </c>
      <c r="M265" s="26"/>
      <c r="N265" s="4" t="s">
        <v>121</v>
      </c>
    </row>
    <row r="266" spans="1:14" ht="75" customHeight="1" thickTop="1" thickBot="1">
      <c r="A266" s="26">
        <v>264</v>
      </c>
      <c r="B266" s="55">
        <v>46050.441000289298</v>
      </c>
      <c r="C266" s="56" t="s">
        <v>394</v>
      </c>
      <c r="D266" s="56" t="s">
        <v>410</v>
      </c>
      <c r="E266" s="26" t="s">
        <v>22</v>
      </c>
      <c r="F266" s="26" t="s">
        <v>401</v>
      </c>
      <c r="G266" s="26" t="s">
        <v>425</v>
      </c>
      <c r="H266" s="26" t="s">
        <v>3404</v>
      </c>
      <c r="I266" s="26"/>
      <c r="J266" s="26" t="s">
        <v>15</v>
      </c>
      <c r="K266" s="26" t="s">
        <v>13</v>
      </c>
      <c r="L266" s="55">
        <v>46050.449183900462</v>
      </c>
      <c r="M266" s="26"/>
      <c r="N266" s="4" t="s">
        <v>121</v>
      </c>
    </row>
    <row r="267" spans="1:14" ht="75" customHeight="1" thickTop="1" thickBot="1">
      <c r="A267" s="34">
        <v>265</v>
      </c>
      <c r="B267" s="55">
        <v>46050.441278611099</v>
      </c>
      <c r="C267" s="56" t="s">
        <v>394</v>
      </c>
      <c r="D267" s="56" t="s">
        <v>410</v>
      </c>
      <c r="E267" s="26" t="s">
        <v>22</v>
      </c>
      <c r="F267" s="26" t="s">
        <v>413</v>
      </c>
      <c r="G267" s="26" t="s">
        <v>425</v>
      </c>
      <c r="H267" s="26" t="s">
        <v>3404</v>
      </c>
      <c r="I267" s="26"/>
      <c r="J267" s="26" t="s">
        <v>15</v>
      </c>
      <c r="K267" s="26" t="s">
        <v>13</v>
      </c>
      <c r="L267" s="55">
        <v>46050.449222719908</v>
      </c>
      <c r="M267" s="26"/>
      <c r="N267" s="4" t="s">
        <v>121</v>
      </c>
    </row>
    <row r="268" spans="1:14" ht="75" customHeight="1" thickTop="1" thickBot="1">
      <c r="A268" s="26">
        <v>266</v>
      </c>
      <c r="B268" s="55">
        <v>46050.441672175897</v>
      </c>
      <c r="C268" s="56" t="s">
        <v>394</v>
      </c>
      <c r="D268" s="56" t="s">
        <v>410</v>
      </c>
      <c r="E268" s="26" t="s">
        <v>22</v>
      </c>
      <c r="F268" s="26" t="s">
        <v>416</v>
      </c>
      <c r="G268" s="26" t="s">
        <v>425</v>
      </c>
      <c r="H268" s="26" t="s">
        <v>3404</v>
      </c>
      <c r="I268" s="26"/>
      <c r="J268" s="26" t="s">
        <v>15</v>
      </c>
      <c r="K268" s="26" t="s">
        <v>13</v>
      </c>
      <c r="L268" s="55">
        <v>46050.449393333329</v>
      </c>
      <c r="M268" s="26"/>
      <c r="N268" s="4" t="s">
        <v>121</v>
      </c>
    </row>
    <row r="269" spans="1:14" ht="75" customHeight="1" thickTop="1" thickBot="1">
      <c r="A269" s="34">
        <v>267</v>
      </c>
      <c r="B269" s="55">
        <v>46050.4419353587</v>
      </c>
      <c r="C269" s="56" t="s">
        <v>394</v>
      </c>
      <c r="D269" s="56" t="s">
        <v>410</v>
      </c>
      <c r="E269" s="26" t="s">
        <v>22</v>
      </c>
      <c r="F269" s="26" t="s">
        <v>417</v>
      </c>
      <c r="G269" s="26" t="s">
        <v>425</v>
      </c>
      <c r="H269" s="26" t="s">
        <v>3404</v>
      </c>
      <c r="I269" s="26"/>
      <c r="J269" s="26" t="s">
        <v>15</v>
      </c>
      <c r="K269" s="26" t="s">
        <v>13</v>
      </c>
      <c r="L269" s="55">
        <v>46050.449401215279</v>
      </c>
      <c r="M269" s="26"/>
      <c r="N269" s="4" t="s">
        <v>121</v>
      </c>
    </row>
    <row r="270" spans="1:14" ht="75" customHeight="1" thickTop="1" thickBot="1">
      <c r="A270" s="26">
        <v>268</v>
      </c>
      <c r="B270" s="55">
        <v>46050.4422978125</v>
      </c>
      <c r="C270" s="56" t="s">
        <v>394</v>
      </c>
      <c r="D270" s="56" t="s">
        <v>410</v>
      </c>
      <c r="E270" s="26" t="s">
        <v>22</v>
      </c>
      <c r="F270" s="26" t="s">
        <v>426</v>
      </c>
      <c r="G270" s="26" t="s">
        <v>427</v>
      </c>
      <c r="H270" s="26" t="s">
        <v>3404</v>
      </c>
      <c r="I270" s="26"/>
      <c r="J270" s="26" t="s">
        <v>15</v>
      </c>
      <c r="K270" s="26" t="s">
        <v>13</v>
      </c>
      <c r="L270" s="55">
        <v>46050.449465081023</v>
      </c>
      <c r="M270" s="26"/>
      <c r="N270" s="4" t="s">
        <v>124</v>
      </c>
    </row>
    <row r="271" spans="1:14" ht="75" customHeight="1" thickTop="1" thickBot="1">
      <c r="A271" s="34">
        <v>269</v>
      </c>
      <c r="B271" s="55">
        <v>46050.4441188657</v>
      </c>
      <c r="C271" s="56" t="s">
        <v>394</v>
      </c>
      <c r="D271" s="56" t="s">
        <v>410</v>
      </c>
      <c r="E271" s="26" t="s">
        <v>22</v>
      </c>
      <c r="F271" s="26" t="s">
        <v>428</v>
      </c>
      <c r="G271" s="26" t="s">
        <v>427</v>
      </c>
      <c r="H271" s="26" t="s">
        <v>429</v>
      </c>
      <c r="I271" s="26"/>
      <c r="J271" s="26" t="s">
        <v>15</v>
      </c>
      <c r="K271" s="26" t="s">
        <v>13</v>
      </c>
      <c r="L271" s="55">
        <v>46050.449512037041</v>
      </c>
      <c r="M271" s="26"/>
      <c r="N271" s="4" t="s">
        <v>121</v>
      </c>
    </row>
    <row r="272" spans="1:14" ht="75" customHeight="1" thickTop="1" thickBot="1">
      <c r="A272" s="26">
        <v>270</v>
      </c>
      <c r="B272" s="55">
        <v>46050.444762453699</v>
      </c>
      <c r="C272" s="56" t="s">
        <v>394</v>
      </c>
      <c r="D272" s="56" t="s">
        <v>410</v>
      </c>
      <c r="E272" s="26" t="s">
        <v>22</v>
      </c>
      <c r="F272" s="26" t="s">
        <v>430</v>
      </c>
      <c r="G272" s="26" t="s">
        <v>427</v>
      </c>
      <c r="H272" s="26" t="s">
        <v>431</v>
      </c>
      <c r="I272" s="26"/>
      <c r="J272" s="26" t="s">
        <v>15</v>
      </c>
      <c r="K272" s="26" t="s">
        <v>13</v>
      </c>
      <c r="L272" s="55">
        <v>46050.449547766199</v>
      </c>
      <c r="M272" s="26"/>
      <c r="N272" s="4" t="s">
        <v>121</v>
      </c>
    </row>
    <row r="273" spans="1:14" ht="75" customHeight="1" thickTop="1" thickBot="1">
      <c r="A273" s="34">
        <v>271</v>
      </c>
      <c r="B273" s="55">
        <v>46050.446969768498</v>
      </c>
      <c r="C273" s="56" t="s">
        <v>394</v>
      </c>
      <c r="D273" s="56" t="s">
        <v>410</v>
      </c>
      <c r="E273" s="26" t="s">
        <v>22</v>
      </c>
      <c r="F273" s="26" t="s">
        <v>405</v>
      </c>
      <c r="G273" s="26" t="s">
        <v>40</v>
      </c>
      <c r="H273" s="26" t="s">
        <v>432</v>
      </c>
      <c r="I273" s="26"/>
      <c r="J273" s="26" t="s">
        <v>15</v>
      </c>
      <c r="K273" s="26" t="s">
        <v>13</v>
      </c>
      <c r="L273" s="55">
        <v>46050.449570162033</v>
      </c>
      <c r="M273" s="26"/>
      <c r="N273" s="4" t="s">
        <v>121</v>
      </c>
    </row>
    <row r="274" spans="1:14" ht="75" customHeight="1" thickTop="1" thickBot="1">
      <c r="A274" s="26">
        <v>272</v>
      </c>
      <c r="B274" s="55">
        <v>46050.447285439797</v>
      </c>
      <c r="C274" s="56" t="s">
        <v>394</v>
      </c>
      <c r="D274" s="56" t="s">
        <v>410</v>
      </c>
      <c r="E274" s="26" t="s">
        <v>22</v>
      </c>
      <c r="F274" s="26" t="s">
        <v>433</v>
      </c>
      <c r="G274" s="26" t="s">
        <v>40</v>
      </c>
      <c r="H274" s="26" t="s">
        <v>432</v>
      </c>
      <c r="I274" s="26"/>
      <c r="J274" s="26" t="s">
        <v>15</v>
      </c>
      <c r="K274" s="26" t="s">
        <v>13</v>
      </c>
      <c r="L274" s="55">
        <v>46050.44964953704</v>
      </c>
      <c r="M274" s="26"/>
      <c r="N274" s="4" t="s">
        <v>121</v>
      </c>
    </row>
    <row r="275" spans="1:14" ht="75" customHeight="1" thickTop="1" thickBot="1">
      <c r="A275" s="34">
        <v>273</v>
      </c>
      <c r="B275" s="55">
        <v>46050.447574317099</v>
      </c>
      <c r="C275" s="56" t="s">
        <v>394</v>
      </c>
      <c r="D275" s="56" t="s">
        <v>410</v>
      </c>
      <c r="E275" s="26" t="s">
        <v>22</v>
      </c>
      <c r="F275" s="26" t="s">
        <v>434</v>
      </c>
      <c r="G275" s="26" t="s">
        <v>40</v>
      </c>
      <c r="H275" s="26" t="s">
        <v>432</v>
      </c>
      <c r="I275" s="26"/>
      <c r="J275" s="26" t="s">
        <v>15</v>
      </c>
      <c r="K275" s="26" t="s">
        <v>13</v>
      </c>
      <c r="L275" s="55">
        <v>46050.449647870366</v>
      </c>
      <c r="M275" s="26"/>
      <c r="N275" s="4" t="s">
        <v>121</v>
      </c>
    </row>
    <row r="276" spans="1:14" ht="75" customHeight="1" thickTop="1" thickBot="1">
      <c r="A276" s="26">
        <v>274</v>
      </c>
      <c r="B276" s="55">
        <v>46050.447984803199</v>
      </c>
      <c r="C276" s="56" t="s">
        <v>394</v>
      </c>
      <c r="D276" s="56" t="s">
        <v>410</v>
      </c>
      <c r="E276" s="26" t="s">
        <v>22</v>
      </c>
      <c r="F276" s="26" t="s">
        <v>435</v>
      </c>
      <c r="G276" s="26" t="s">
        <v>40</v>
      </c>
      <c r="H276" s="26" t="s">
        <v>432</v>
      </c>
      <c r="I276" s="26"/>
      <c r="J276" s="26" t="s">
        <v>15</v>
      </c>
      <c r="K276" s="26" t="s">
        <v>13</v>
      </c>
      <c r="L276" s="55">
        <v>46050.449668263886</v>
      </c>
      <c r="M276" s="26"/>
      <c r="N276" s="4" t="s">
        <v>121</v>
      </c>
    </row>
    <row r="277" spans="1:14" ht="75" customHeight="1" thickTop="1" thickBot="1">
      <c r="A277" s="34">
        <v>275</v>
      </c>
      <c r="B277" s="55">
        <v>46050.448267418898</v>
      </c>
      <c r="C277" s="56" t="s">
        <v>394</v>
      </c>
      <c r="D277" s="56" t="s">
        <v>410</v>
      </c>
      <c r="E277" s="26" t="s">
        <v>22</v>
      </c>
      <c r="F277" s="26" t="s">
        <v>436</v>
      </c>
      <c r="G277" s="26" t="s">
        <v>40</v>
      </c>
      <c r="H277" s="26" t="s">
        <v>432</v>
      </c>
      <c r="I277" s="26"/>
      <c r="J277" s="26" t="s">
        <v>15</v>
      </c>
      <c r="K277" s="26" t="s">
        <v>13</v>
      </c>
      <c r="L277" s="55">
        <v>46050.449860034721</v>
      </c>
      <c r="M277" s="26"/>
      <c r="N277" s="4" t="s">
        <v>121</v>
      </c>
    </row>
    <row r="278" spans="1:14" ht="75" customHeight="1" thickTop="1" thickBot="1">
      <c r="A278" s="26">
        <v>276</v>
      </c>
      <c r="B278" s="55">
        <v>46050.4485657638</v>
      </c>
      <c r="C278" s="56" t="s">
        <v>394</v>
      </c>
      <c r="D278" s="56" t="s">
        <v>410</v>
      </c>
      <c r="E278" s="26" t="s">
        <v>22</v>
      </c>
      <c r="F278" s="26" t="s">
        <v>417</v>
      </c>
      <c r="G278" s="26" t="s">
        <v>40</v>
      </c>
      <c r="H278" s="26" t="s">
        <v>432</v>
      </c>
      <c r="I278" s="26"/>
      <c r="J278" s="26" t="s">
        <v>15</v>
      </c>
      <c r="K278" s="26" t="s">
        <v>13</v>
      </c>
      <c r="L278" s="55">
        <v>46050.449904004628</v>
      </c>
      <c r="M278" s="26"/>
      <c r="N278" s="4" t="s">
        <v>121</v>
      </c>
    </row>
    <row r="279" spans="1:14" ht="75" customHeight="1" thickTop="1" thickBot="1">
      <c r="A279" s="34">
        <v>277</v>
      </c>
      <c r="B279" s="55">
        <v>46050.451908159703</v>
      </c>
      <c r="C279" s="56" t="s">
        <v>394</v>
      </c>
      <c r="D279" s="56" t="s">
        <v>410</v>
      </c>
      <c r="E279" s="26" t="s">
        <v>22</v>
      </c>
      <c r="F279" s="26" t="s">
        <v>405</v>
      </c>
      <c r="G279" s="26" t="s">
        <v>437</v>
      </c>
      <c r="H279" s="26" t="s">
        <v>438</v>
      </c>
      <c r="I279" s="26"/>
      <c r="J279" s="26" t="s">
        <v>15</v>
      </c>
      <c r="K279" s="26" t="s">
        <v>13</v>
      </c>
      <c r="L279" s="55">
        <v>46050.460086493054</v>
      </c>
      <c r="M279" s="26"/>
      <c r="N279" s="4" t="s">
        <v>121</v>
      </c>
    </row>
    <row r="280" spans="1:14" ht="75" customHeight="1" thickTop="1" thickBot="1">
      <c r="A280" s="26">
        <v>278</v>
      </c>
      <c r="B280" s="55">
        <v>46050.4528310069</v>
      </c>
      <c r="C280" s="56" t="s">
        <v>394</v>
      </c>
      <c r="D280" s="56" t="s">
        <v>410</v>
      </c>
      <c r="E280" s="26" t="s">
        <v>22</v>
      </c>
      <c r="F280" s="26" t="s">
        <v>412</v>
      </c>
      <c r="G280" s="26" t="s">
        <v>439</v>
      </c>
      <c r="H280" s="26" t="s">
        <v>438</v>
      </c>
      <c r="I280" s="26"/>
      <c r="J280" s="26" t="s">
        <v>15</v>
      </c>
      <c r="K280" s="26" t="s">
        <v>13</v>
      </c>
      <c r="L280" s="55">
        <v>46050.460106608793</v>
      </c>
      <c r="M280" s="26"/>
      <c r="N280" s="4" t="s">
        <v>121</v>
      </c>
    </row>
    <row r="281" spans="1:14" ht="75" customHeight="1" thickTop="1" thickBot="1">
      <c r="A281" s="34">
        <v>279</v>
      </c>
      <c r="B281" s="55">
        <v>46050.453097500002</v>
      </c>
      <c r="C281" s="56" t="s">
        <v>394</v>
      </c>
      <c r="D281" s="56" t="s">
        <v>410</v>
      </c>
      <c r="E281" s="26" t="s">
        <v>22</v>
      </c>
      <c r="F281" s="26" t="s">
        <v>401</v>
      </c>
      <c r="G281" s="26" t="s">
        <v>440</v>
      </c>
      <c r="H281" s="26" t="s">
        <v>438</v>
      </c>
      <c r="I281" s="26"/>
      <c r="J281" s="26" t="s">
        <v>15</v>
      </c>
      <c r="K281" s="26" t="s">
        <v>13</v>
      </c>
      <c r="L281" s="55">
        <v>46050.460132256943</v>
      </c>
      <c r="M281" s="26"/>
      <c r="N281" s="4" t="s">
        <v>121</v>
      </c>
    </row>
    <row r="282" spans="1:14" ht="75" customHeight="1" thickTop="1" thickBot="1">
      <c r="A282" s="26">
        <v>280</v>
      </c>
      <c r="B282" s="55">
        <v>46050.453443599501</v>
      </c>
      <c r="C282" s="56" t="s">
        <v>394</v>
      </c>
      <c r="D282" s="56" t="s">
        <v>410</v>
      </c>
      <c r="E282" s="26" t="s">
        <v>22</v>
      </c>
      <c r="F282" s="26" t="s">
        <v>413</v>
      </c>
      <c r="G282" s="26" t="s">
        <v>439</v>
      </c>
      <c r="H282" s="26" t="s">
        <v>438</v>
      </c>
      <c r="I282" s="26"/>
      <c r="J282" s="26" t="s">
        <v>15</v>
      </c>
      <c r="K282" s="26" t="s">
        <v>13</v>
      </c>
      <c r="L282" s="55">
        <v>46050.460158414353</v>
      </c>
      <c r="M282" s="26"/>
      <c r="N282" s="4" t="s">
        <v>121</v>
      </c>
    </row>
    <row r="283" spans="1:14" ht="75" customHeight="1" thickTop="1" thickBot="1">
      <c r="A283" s="34">
        <v>281</v>
      </c>
      <c r="B283" s="55">
        <v>46050.454306631902</v>
      </c>
      <c r="C283" s="56" t="s">
        <v>394</v>
      </c>
      <c r="D283" s="56" t="s">
        <v>410</v>
      </c>
      <c r="E283" s="26" t="s">
        <v>22</v>
      </c>
      <c r="F283" s="26" t="s">
        <v>401</v>
      </c>
      <c r="G283" s="26" t="s">
        <v>404</v>
      </c>
      <c r="H283" s="26" t="s">
        <v>3405</v>
      </c>
      <c r="I283" s="26"/>
      <c r="J283" s="26" t="s">
        <v>15</v>
      </c>
      <c r="K283" s="26" t="s">
        <v>13</v>
      </c>
      <c r="L283" s="55"/>
      <c r="M283" s="26"/>
      <c r="N283" s="4" t="s">
        <v>121</v>
      </c>
    </row>
    <row r="284" spans="1:14" ht="75" customHeight="1" thickTop="1" thickBot="1">
      <c r="A284" s="26">
        <v>282</v>
      </c>
      <c r="B284" s="55">
        <v>46050.455319722198</v>
      </c>
      <c r="C284" s="56" t="s">
        <v>394</v>
      </c>
      <c r="D284" s="56" t="s">
        <v>410</v>
      </c>
      <c r="E284" s="26" t="s">
        <v>22</v>
      </c>
      <c r="F284" s="26" t="s">
        <v>399</v>
      </c>
      <c r="G284" s="26" t="s">
        <v>404</v>
      </c>
      <c r="H284" s="26" t="s">
        <v>3405</v>
      </c>
      <c r="I284" s="26"/>
      <c r="J284" s="26" t="s">
        <v>15</v>
      </c>
      <c r="K284" s="26" t="s">
        <v>13</v>
      </c>
      <c r="L284" s="55"/>
      <c r="M284" s="26"/>
      <c r="N284" s="4" t="s">
        <v>121</v>
      </c>
    </row>
    <row r="285" spans="1:14" ht="75" customHeight="1" thickTop="1" thickBot="1">
      <c r="A285" s="34">
        <v>283</v>
      </c>
      <c r="B285" s="55">
        <v>46050.456127233701</v>
      </c>
      <c r="C285" s="56" t="s">
        <v>394</v>
      </c>
      <c r="D285" s="56" t="s">
        <v>410</v>
      </c>
      <c r="E285" s="26" t="s">
        <v>22</v>
      </c>
      <c r="F285" s="26" t="s">
        <v>401</v>
      </c>
      <c r="G285" s="26" t="s">
        <v>441</v>
      </c>
      <c r="H285" s="26" t="s">
        <v>3406</v>
      </c>
      <c r="I285" s="26"/>
      <c r="J285" s="26" t="s">
        <v>15</v>
      </c>
      <c r="K285" s="26" t="s">
        <v>13</v>
      </c>
      <c r="L285" s="55"/>
      <c r="M285" s="26"/>
      <c r="N285" s="4" t="s">
        <v>121</v>
      </c>
    </row>
    <row r="286" spans="1:14" ht="75" customHeight="1" thickTop="1" thickBot="1">
      <c r="A286" s="26">
        <v>284</v>
      </c>
      <c r="B286" s="55">
        <v>46050.456810682801</v>
      </c>
      <c r="C286" s="56" t="s">
        <v>394</v>
      </c>
      <c r="D286" s="56" t="s">
        <v>410</v>
      </c>
      <c r="E286" s="26" t="s">
        <v>22</v>
      </c>
      <c r="F286" s="26" t="s">
        <v>405</v>
      </c>
      <c r="G286" s="26" t="s">
        <v>442</v>
      </c>
      <c r="H286" s="26" t="s">
        <v>3407</v>
      </c>
      <c r="I286" s="26"/>
      <c r="J286" s="26" t="s">
        <v>15</v>
      </c>
      <c r="K286" s="26" t="s">
        <v>13</v>
      </c>
      <c r="L286" s="55"/>
      <c r="M286" s="26"/>
      <c r="N286" s="4" t="s">
        <v>121</v>
      </c>
    </row>
    <row r="287" spans="1:14" ht="75" customHeight="1" thickTop="1" thickBot="1">
      <c r="A287" s="34">
        <v>285</v>
      </c>
      <c r="B287" s="55">
        <v>46050.4603092939</v>
      </c>
      <c r="C287" s="56" t="s">
        <v>394</v>
      </c>
      <c r="D287" s="56" t="s">
        <v>410</v>
      </c>
      <c r="E287" s="26" t="s">
        <v>22</v>
      </c>
      <c r="F287" s="26" t="s">
        <v>405</v>
      </c>
      <c r="G287" s="26" t="s">
        <v>439</v>
      </c>
      <c r="H287" s="26" t="s">
        <v>443</v>
      </c>
      <c r="I287" s="26"/>
      <c r="J287" s="26" t="s">
        <v>15</v>
      </c>
      <c r="K287" s="26" t="s">
        <v>13</v>
      </c>
      <c r="L287" s="55"/>
      <c r="M287" s="26"/>
      <c r="N287" s="4" t="s">
        <v>121</v>
      </c>
    </row>
    <row r="288" spans="1:14" ht="75" customHeight="1" thickTop="1" thickBot="1">
      <c r="A288" s="26">
        <v>286</v>
      </c>
      <c r="B288" s="55">
        <v>46051.327769583302</v>
      </c>
      <c r="C288" s="56" t="s">
        <v>394</v>
      </c>
      <c r="D288" s="56" t="s">
        <v>395</v>
      </c>
      <c r="E288" s="26" t="s">
        <v>21</v>
      </c>
      <c r="F288" s="26" t="s">
        <v>632</v>
      </c>
      <c r="G288" s="26" t="s">
        <v>633</v>
      </c>
      <c r="H288" s="26" t="s">
        <v>634</v>
      </c>
      <c r="I288" s="26"/>
      <c r="J288" s="26" t="s">
        <v>16</v>
      </c>
      <c r="K288" s="26" t="s">
        <v>13</v>
      </c>
      <c r="L288" s="55">
        <v>46051.330829699073</v>
      </c>
      <c r="M288" s="26"/>
      <c r="N288" s="4" t="s">
        <v>130</v>
      </c>
    </row>
    <row r="289" spans="1:14" ht="75" customHeight="1" thickTop="1" thickBot="1">
      <c r="A289" s="34">
        <v>287</v>
      </c>
      <c r="B289" s="55">
        <v>46051.3335320486</v>
      </c>
      <c r="C289" s="56" t="s">
        <v>394</v>
      </c>
      <c r="D289" s="56" t="s">
        <v>395</v>
      </c>
      <c r="E289" s="26" t="s">
        <v>21</v>
      </c>
      <c r="F289" s="26" t="s">
        <v>413</v>
      </c>
      <c r="G289" s="26" t="s">
        <v>442</v>
      </c>
      <c r="H289" s="26" t="s">
        <v>687</v>
      </c>
      <c r="I289" s="26"/>
      <c r="J289" s="26" t="s">
        <v>14</v>
      </c>
      <c r="K289" s="26" t="s">
        <v>13</v>
      </c>
      <c r="L289" s="55">
        <v>46051.345777789349</v>
      </c>
      <c r="M289" s="26"/>
      <c r="N289" s="4" t="s">
        <v>130</v>
      </c>
    </row>
    <row r="290" spans="1:14" ht="75" customHeight="1" thickTop="1" thickBot="1">
      <c r="A290" s="26">
        <v>288</v>
      </c>
      <c r="B290" s="55">
        <v>46051.3338532407</v>
      </c>
      <c r="C290" s="56" t="s">
        <v>394</v>
      </c>
      <c r="D290" s="56" t="s">
        <v>114</v>
      </c>
      <c r="E290" s="26" t="s">
        <v>22</v>
      </c>
      <c r="F290" s="26" t="s">
        <v>635</v>
      </c>
      <c r="G290" s="26" t="s">
        <v>636</v>
      </c>
      <c r="H290" s="26" t="s">
        <v>637</v>
      </c>
      <c r="I290" s="26"/>
      <c r="J290" s="26" t="s">
        <v>16</v>
      </c>
      <c r="K290" s="26" t="s">
        <v>13</v>
      </c>
      <c r="L290" s="55">
        <v>46051.336411215278</v>
      </c>
      <c r="M290" s="26"/>
      <c r="N290" s="4" t="s">
        <v>121</v>
      </c>
    </row>
    <row r="291" spans="1:14" ht="75" customHeight="1" thickTop="1" thickBot="1">
      <c r="A291" s="34">
        <v>289</v>
      </c>
      <c r="B291" s="55">
        <v>46051.335694779998</v>
      </c>
      <c r="C291" s="56" t="s">
        <v>394</v>
      </c>
      <c r="D291" s="56" t="s">
        <v>114</v>
      </c>
      <c r="E291" s="26" t="s">
        <v>22</v>
      </c>
      <c r="F291" s="26" t="s">
        <v>403</v>
      </c>
      <c r="G291" s="26" t="s">
        <v>404</v>
      </c>
      <c r="H291" s="26" t="s">
        <v>638</v>
      </c>
      <c r="I291" s="26"/>
      <c r="J291" s="26" t="s">
        <v>16</v>
      </c>
      <c r="K291" s="26" t="s">
        <v>13</v>
      </c>
      <c r="L291" s="55">
        <v>46051.336444328699</v>
      </c>
      <c r="M291" s="26"/>
      <c r="N291" s="4" t="s">
        <v>121</v>
      </c>
    </row>
    <row r="292" spans="1:14" ht="75" customHeight="1" thickTop="1" thickBot="1">
      <c r="A292" s="26">
        <v>290</v>
      </c>
      <c r="B292" s="55">
        <v>46051.3362858564</v>
      </c>
      <c r="C292" s="56" t="s">
        <v>394</v>
      </c>
      <c r="D292" s="56" t="s">
        <v>114</v>
      </c>
      <c r="E292" s="26" t="s">
        <v>22</v>
      </c>
      <c r="F292" s="26" t="s">
        <v>403</v>
      </c>
      <c r="G292" s="26" t="s">
        <v>439</v>
      </c>
      <c r="H292" s="26" t="s">
        <v>631</v>
      </c>
      <c r="I292" s="26"/>
      <c r="J292" s="26" t="s">
        <v>16</v>
      </c>
      <c r="K292" s="26" t="s">
        <v>13</v>
      </c>
      <c r="L292" s="55">
        <v>46051.336453298616</v>
      </c>
      <c r="M292" s="26"/>
      <c r="N292" s="4" t="s">
        <v>121</v>
      </c>
    </row>
    <row r="293" spans="1:14" ht="75" customHeight="1" thickTop="1" thickBot="1">
      <c r="A293" s="34">
        <v>291</v>
      </c>
      <c r="B293" s="55">
        <v>46051.3377562268</v>
      </c>
      <c r="C293" s="56" t="s">
        <v>394</v>
      </c>
      <c r="D293" s="56" t="s">
        <v>395</v>
      </c>
      <c r="E293" s="26" t="s">
        <v>21</v>
      </c>
      <c r="F293" s="26" t="s">
        <v>639</v>
      </c>
      <c r="G293" s="26" t="s">
        <v>442</v>
      </c>
      <c r="H293" s="26" t="s">
        <v>640</v>
      </c>
      <c r="I293" s="26"/>
      <c r="J293" s="26" t="s">
        <v>16</v>
      </c>
      <c r="K293" s="26" t="s">
        <v>13</v>
      </c>
      <c r="L293" s="55">
        <v>46051.339530208337</v>
      </c>
      <c r="M293" s="26"/>
      <c r="N293" s="4" t="s">
        <v>121</v>
      </c>
    </row>
    <row r="294" spans="1:14" ht="75" customHeight="1" thickTop="1" thickBot="1">
      <c r="A294" s="26">
        <v>292</v>
      </c>
      <c r="B294" s="55">
        <v>46051.339041886502</v>
      </c>
      <c r="C294" s="56" t="s">
        <v>394</v>
      </c>
      <c r="D294" s="56" t="s">
        <v>34</v>
      </c>
      <c r="E294" s="26" t="s">
        <v>22</v>
      </c>
      <c r="F294" s="26" t="s">
        <v>412</v>
      </c>
      <c r="G294" s="26" t="s">
        <v>529</v>
      </c>
      <c r="H294" s="26" t="s">
        <v>3408</v>
      </c>
      <c r="I294" s="26"/>
      <c r="J294" s="26" t="s">
        <v>12</v>
      </c>
      <c r="K294" s="26" t="s">
        <v>13</v>
      </c>
      <c r="L294" s="55">
        <v>46051.353913043982</v>
      </c>
      <c r="M294" s="26"/>
      <c r="N294" s="4" t="s">
        <v>121</v>
      </c>
    </row>
    <row r="295" spans="1:14" ht="75" customHeight="1" thickTop="1" thickBot="1">
      <c r="A295" s="34">
        <v>293</v>
      </c>
      <c r="B295" s="55">
        <v>46051.3394048958</v>
      </c>
      <c r="C295" s="56" t="s">
        <v>394</v>
      </c>
      <c r="D295" s="56" t="s">
        <v>395</v>
      </c>
      <c r="E295" s="26" t="s">
        <v>21</v>
      </c>
      <c r="F295" s="26" t="s">
        <v>639</v>
      </c>
      <c r="G295" s="26" t="s">
        <v>442</v>
      </c>
      <c r="H295" s="26" t="s">
        <v>641</v>
      </c>
      <c r="I295" s="26"/>
      <c r="J295" s="26" t="s">
        <v>16</v>
      </c>
      <c r="K295" s="26" t="s">
        <v>13</v>
      </c>
      <c r="L295" s="55"/>
      <c r="M295" s="26"/>
      <c r="N295" s="4" t="s">
        <v>121</v>
      </c>
    </row>
    <row r="296" spans="1:14" ht="75" customHeight="1" thickTop="1" thickBot="1">
      <c r="A296" s="26">
        <v>294</v>
      </c>
      <c r="B296" s="55">
        <v>46051.340512789298</v>
      </c>
      <c r="C296" s="56" t="s">
        <v>394</v>
      </c>
      <c r="D296" s="56" t="s">
        <v>34</v>
      </c>
      <c r="E296" s="26" t="s">
        <v>22</v>
      </c>
      <c r="F296" s="26" t="s">
        <v>59</v>
      </c>
      <c r="G296" s="26" t="s">
        <v>530</v>
      </c>
      <c r="H296" s="26" t="s">
        <v>531</v>
      </c>
      <c r="I296" s="26"/>
      <c r="J296" s="26" t="s">
        <v>12</v>
      </c>
      <c r="K296" s="26" t="s">
        <v>13</v>
      </c>
      <c r="L296" s="55">
        <v>46051.353954363425</v>
      </c>
      <c r="M296" s="26"/>
      <c r="N296" s="4" t="s">
        <v>121</v>
      </c>
    </row>
    <row r="297" spans="1:14" ht="75" customHeight="1" thickTop="1" thickBot="1">
      <c r="A297" s="34">
        <v>295</v>
      </c>
      <c r="B297" s="55">
        <v>46051.340907175902</v>
      </c>
      <c r="C297" s="56" t="s">
        <v>394</v>
      </c>
      <c r="D297" s="56" t="s">
        <v>34</v>
      </c>
      <c r="E297" s="26" t="s">
        <v>22</v>
      </c>
      <c r="F297" s="26" t="s">
        <v>405</v>
      </c>
      <c r="G297" s="26" t="s">
        <v>442</v>
      </c>
      <c r="H297" s="26" t="s">
        <v>532</v>
      </c>
      <c r="I297" s="26"/>
      <c r="J297" s="26" t="s">
        <v>12</v>
      </c>
      <c r="K297" s="26" t="s">
        <v>13</v>
      </c>
      <c r="L297" s="55">
        <v>46051.354047303241</v>
      </c>
      <c r="M297" s="26"/>
      <c r="N297" s="4" t="s">
        <v>121</v>
      </c>
    </row>
    <row r="298" spans="1:14" ht="75" customHeight="1" thickTop="1" thickBot="1">
      <c r="A298" s="26">
        <v>296</v>
      </c>
      <c r="B298" s="55">
        <v>46051.341534328698</v>
      </c>
      <c r="C298" s="56" t="s">
        <v>394</v>
      </c>
      <c r="D298" s="56" t="s">
        <v>34</v>
      </c>
      <c r="E298" s="26" t="s">
        <v>22</v>
      </c>
      <c r="F298" s="26" t="s">
        <v>533</v>
      </c>
      <c r="G298" s="26" t="s">
        <v>404</v>
      </c>
      <c r="H298" s="26" t="s">
        <v>3409</v>
      </c>
      <c r="I298" s="26"/>
      <c r="J298" s="26" t="s">
        <v>12</v>
      </c>
      <c r="K298" s="26" t="s">
        <v>13</v>
      </c>
      <c r="L298" s="55">
        <v>46051.354082407408</v>
      </c>
      <c r="M298" s="26"/>
      <c r="N298" s="4" t="s">
        <v>121</v>
      </c>
    </row>
    <row r="299" spans="1:14" ht="75" customHeight="1" thickTop="1" thickBot="1">
      <c r="A299" s="34">
        <v>297</v>
      </c>
      <c r="B299" s="55">
        <v>46051.342039490701</v>
      </c>
      <c r="C299" s="56" t="s">
        <v>394</v>
      </c>
      <c r="D299" s="56" t="s">
        <v>34</v>
      </c>
      <c r="E299" s="26" t="s">
        <v>22</v>
      </c>
      <c r="F299" s="26" t="s">
        <v>497</v>
      </c>
      <c r="G299" s="26" t="s">
        <v>449</v>
      </c>
      <c r="H299" s="26" t="s">
        <v>3410</v>
      </c>
      <c r="I299" s="26"/>
      <c r="J299" s="26" t="s">
        <v>12</v>
      </c>
      <c r="K299" s="26" t="s">
        <v>13</v>
      </c>
      <c r="L299" s="55">
        <v>46051.354159016206</v>
      </c>
      <c r="M299" s="26"/>
      <c r="N299" s="4" t="s">
        <v>121</v>
      </c>
    </row>
    <row r="300" spans="1:14" ht="75" customHeight="1" thickTop="1" thickBot="1">
      <c r="A300" s="26">
        <v>298</v>
      </c>
      <c r="B300" s="55">
        <v>46051.342737106403</v>
      </c>
      <c r="C300" s="56" t="s">
        <v>394</v>
      </c>
      <c r="D300" s="56" t="s">
        <v>34</v>
      </c>
      <c r="E300" s="26" t="s">
        <v>22</v>
      </c>
      <c r="F300" s="26" t="s">
        <v>411</v>
      </c>
      <c r="G300" s="26" t="s">
        <v>418</v>
      </c>
      <c r="H300" s="26" t="s">
        <v>3411</v>
      </c>
      <c r="I300" s="26"/>
      <c r="J300" s="26" t="s">
        <v>12</v>
      </c>
      <c r="K300" s="26" t="s">
        <v>13</v>
      </c>
      <c r="L300" s="55">
        <v>46051.354320486113</v>
      </c>
      <c r="M300" s="26"/>
      <c r="N300" s="4" t="s">
        <v>121</v>
      </c>
    </row>
    <row r="301" spans="1:14" ht="75" customHeight="1" thickTop="1" thickBot="1">
      <c r="A301" s="34">
        <v>299</v>
      </c>
      <c r="B301" s="55">
        <v>46051.343284201299</v>
      </c>
      <c r="C301" s="56" t="s">
        <v>394</v>
      </c>
      <c r="D301" s="56" t="s">
        <v>34</v>
      </c>
      <c r="E301" s="26" t="s">
        <v>22</v>
      </c>
      <c r="F301" s="26" t="s">
        <v>534</v>
      </c>
      <c r="G301" s="26" t="s">
        <v>449</v>
      </c>
      <c r="H301" s="26" t="s">
        <v>3412</v>
      </c>
      <c r="I301" s="26"/>
      <c r="J301" s="26" t="s">
        <v>12</v>
      </c>
      <c r="K301" s="26" t="s">
        <v>13</v>
      </c>
      <c r="L301" s="55">
        <v>46051.354375601848</v>
      </c>
      <c r="M301" s="26"/>
      <c r="N301" s="4" t="s">
        <v>121</v>
      </c>
    </row>
    <row r="302" spans="1:14" ht="75" customHeight="1" thickTop="1" thickBot="1">
      <c r="A302" s="26">
        <v>300</v>
      </c>
      <c r="B302" s="55">
        <v>46051.344689282399</v>
      </c>
      <c r="C302" s="56" t="s">
        <v>394</v>
      </c>
      <c r="D302" s="56" t="s">
        <v>34</v>
      </c>
      <c r="E302" s="26" t="s">
        <v>22</v>
      </c>
      <c r="F302" s="26" t="s">
        <v>396</v>
      </c>
      <c r="G302" s="26" t="s">
        <v>442</v>
      </c>
      <c r="H302" s="26" t="s">
        <v>3413</v>
      </c>
      <c r="I302" s="26"/>
      <c r="J302" s="26" t="s">
        <v>12</v>
      </c>
      <c r="K302" s="26" t="s">
        <v>13</v>
      </c>
      <c r="L302" s="55">
        <v>46051.354418842588</v>
      </c>
      <c r="M302" s="26"/>
      <c r="N302" s="4" t="s">
        <v>121</v>
      </c>
    </row>
    <row r="303" spans="1:14" ht="75" customHeight="1" thickTop="1" thickBot="1">
      <c r="A303" s="34">
        <v>301</v>
      </c>
      <c r="B303" s="55">
        <v>46051.346042916601</v>
      </c>
      <c r="C303" s="56" t="s">
        <v>394</v>
      </c>
      <c r="D303" s="56" t="s">
        <v>34</v>
      </c>
      <c r="E303" s="26" t="s">
        <v>22</v>
      </c>
      <c r="F303" s="26" t="s">
        <v>535</v>
      </c>
      <c r="G303" s="26" t="s">
        <v>449</v>
      </c>
      <c r="H303" s="26" t="s">
        <v>536</v>
      </c>
      <c r="I303" s="26"/>
      <c r="J303" s="26" t="s">
        <v>12</v>
      </c>
      <c r="K303" s="26" t="s">
        <v>13</v>
      </c>
      <c r="L303" s="55">
        <v>46051.354464571763</v>
      </c>
      <c r="M303" s="26"/>
      <c r="N303" s="4" t="s">
        <v>121</v>
      </c>
    </row>
    <row r="304" spans="1:14" ht="75" customHeight="1" thickTop="1" thickBot="1">
      <c r="A304" s="26">
        <v>302</v>
      </c>
      <c r="B304" s="55">
        <v>46051.347307279997</v>
      </c>
      <c r="C304" s="56" t="s">
        <v>394</v>
      </c>
      <c r="D304" s="56" t="s">
        <v>34</v>
      </c>
      <c r="E304" s="26" t="s">
        <v>22</v>
      </c>
      <c r="F304" s="26" t="s">
        <v>399</v>
      </c>
      <c r="G304" s="26" t="s">
        <v>537</v>
      </c>
      <c r="H304" s="26" t="s">
        <v>538</v>
      </c>
      <c r="I304" s="26"/>
      <c r="J304" s="26" t="s">
        <v>12</v>
      </c>
      <c r="K304" s="26" t="s">
        <v>13</v>
      </c>
      <c r="L304" s="55">
        <v>46051.354498645829</v>
      </c>
      <c r="M304" s="26"/>
      <c r="N304" s="4" t="s">
        <v>121</v>
      </c>
    </row>
    <row r="305" spans="1:14" ht="75" customHeight="1" thickTop="1" thickBot="1">
      <c r="A305" s="34">
        <v>303</v>
      </c>
      <c r="B305" s="55">
        <v>46051.347720879603</v>
      </c>
      <c r="C305" s="56" t="s">
        <v>394</v>
      </c>
      <c r="D305" s="56" t="s">
        <v>34</v>
      </c>
      <c r="E305" s="26" t="s">
        <v>22</v>
      </c>
      <c r="F305" s="26" t="s">
        <v>450</v>
      </c>
      <c r="G305" s="26" t="s">
        <v>449</v>
      </c>
      <c r="H305" s="26" t="s">
        <v>539</v>
      </c>
      <c r="I305" s="26"/>
      <c r="J305" s="26" t="s">
        <v>12</v>
      </c>
      <c r="K305" s="26" t="s">
        <v>13</v>
      </c>
      <c r="L305" s="55">
        <v>46051.35453788194</v>
      </c>
      <c r="M305" s="26"/>
      <c r="N305" s="4" t="s">
        <v>121</v>
      </c>
    </row>
    <row r="306" spans="1:14" ht="75" customHeight="1" thickTop="1" thickBot="1">
      <c r="A306" s="26">
        <v>304</v>
      </c>
      <c r="B306" s="55">
        <v>46051.348809351803</v>
      </c>
      <c r="C306" s="56" t="s">
        <v>394</v>
      </c>
      <c r="D306" s="56" t="s">
        <v>34</v>
      </c>
      <c r="E306" s="26" t="s">
        <v>22</v>
      </c>
      <c r="F306" s="26" t="s">
        <v>399</v>
      </c>
      <c r="G306" s="26" t="s">
        <v>540</v>
      </c>
      <c r="H306" s="26" t="s">
        <v>541</v>
      </c>
      <c r="I306" s="26"/>
      <c r="J306" s="26" t="s">
        <v>12</v>
      </c>
      <c r="K306" s="26" t="s">
        <v>13</v>
      </c>
      <c r="L306" s="55">
        <v>46051.354583622684</v>
      </c>
      <c r="M306" s="26"/>
      <c r="N306" s="4" t="s">
        <v>121</v>
      </c>
    </row>
    <row r="307" spans="1:14" ht="75" customHeight="1" thickTop="1" thickBot="1">
      <c r="A307" s="34">
        <v>305</v>
      </c>
      <c r="B307" s="55">
        <v>46051.3492039583</v>
      </c>
      <c r="C307" s="56" t="s">
        <v>394</v>
      </c>
      <c r="D307" s="56" t="s">
        <v>34</v>
      </c>
      <c r="E307" s="26" t="s">
        <v>22</v>
      </c>
      <c r="F307" s="26" t="s">
        <v>405</v>
      </c>
      <c r="G307" s="26" t="s">
        <v>542</v>
      </c>
      <c r="H307" s="26" t="s">
        <v>543</v>
      </c>
      <c r="I307" s="26"/>
      <c r="J307" s="26" t="s">
        <v>12</v>
      </c>
      <c r="K307" s="26" t="s">
        <v>13</v>
      </c>
      <c r="L307" s="55">
        <v>46051.354615000004</v>
      </c>
      <c r="M307" s="26"/>
      <c r="N307" s="4" t="s">
        <v>121</v>
      </c>
    </row>
    <row r="308" spans="1:14" ht="75" customHeight="1" thickTop="1" thickBot="1">
      <c r="A308" s="26">
        <v>306</v>
      </c>
      <c r="B308" s="55">
        <v>46051.349698854101</v>
      </c>
      <c r="C308" s="56" t="s">
        <v>394</v>
      </c>
      <c r="D308" s="56" t="s">
        <v>34</v>
      </c>
      <c r="E308" s="26" t="s">
        <v>22</v>
      </c>
      <c r="F308" s="26" t="s">
        <v>416</v>
      </c>
      <c r="G308" s="26" t="s">
        <v>544</v>
      </c>
      <c r="H308" s="26" t="s">
        <v>545</v>
      </c>
      <c r="I308" s="26"/>
      <c r="J308" s="26" t="s">
        <v>12</v>
      </c>
      <c r="K308" s="26" t="s">
        <v>13</v>
      </c>
      <c r="L308" s="55">
        <v>46051.354657962962</v>
      </c>
      <c r="M308" s="26"/>
      <c r="N308" s="4" t="s">
        <v>121</v>
      </c>
    </row>
    <row r="309" spans="1:14" ht="75" customHeight="1" thickTop="1" thickBot="1">
      <c r="A309" s="34">
        <v>307</v>
      </c>
      <c r="B309" s="55">
        <v>46051.3505281365</v>
      </c>
      <c r="C309" s="56" t="s">
        <v>394</v>
      </c>
      <c r="D309" s="56" t="s">
        <v>34</v>
      </c>
      <c r="E309" s="26" t="s">
        <v>22</v>
      </c>
      <c r="F309" s="26" t="s">
        <v>546</v>
      </c>
      <c r="G309" s="26" t="s">
        <v>547</v>
      </c>
      <c r="H309" s="26" t="s">
        <v>548</v>
      </c>
      <c r="I309" s="26"/>
      <c r="J309" s="26" t="s">
        <v>12</v>
      </c>
      <c r="K309" s="26" t="s">
        <v>13</v>
      </c>
      <c r="L309" s="55">
        <v>46051.354716782407</v>
      </c>
      <c r="M309" s="26"/>
      <c r="N309" s="4" t="s">
        <v>121</v>
      </c>
    </row>
    <row r="310" spans="1:14" ht="75" customHeight="1" thickTop="1" thickBot="1">
      <c r="A310" s="26">
        <v>308</v>
      </c>
      <c r="B310" s="55">
        <v>46051.351056805499</v>
      </c>
      <c r="C310" s="56" t="s">
        <v>394</v>
      </c>
      <c r="D310" s="56" t="s">
        <v>34</v>
      </c>
      <c r="E310" s="26" t="s">
        <v>22</v>
      </c>
      <c r="F310" s="26" t="s">
        <v>396</v>
      </c>
      <c r="G310" s="26" t="s">
        <v>537</v>
      </c>
      <c r="H310" s="26" t="s">
        <v>3414</v>
      </c>
      <c r="I310" s="26"/>
      <c r="J310" s="26" t="s">
        <v>12</v>
      </c>
      <c r="K310" s="26" t="s">
        <v>13</v>
      </c>
      <c r="L310" s="55">
        <v>46051.354762499999</v>
      </c>
      <c r="M310" s="26"/>
      <c r="N310" s="4" t="s">
        <v>121</v>
      </c>
    </row>
    <row r="311" spans="1:14" ht="75" customHeight="1" thickTop="1" thickBot="1">
      <c r="A311" s="34">
        <v>309</v>
      </c>
      <c r="B311" s="55">
        <v>46051.351422395797</v>
      </c>
      <c r="C311" s="56" t="s">
        <v>394</v>
      </c>
      <c r="D311" s="56" t="s">
        <v>34</v>
      </c>
      <c r="E311" s="26" t="s">
        <v>22</v>
      </c>
      <c r="F311" s="26" t="s">
        <v>396</v>
      </c>
      <c r="G311" s="26" t="s">
        <v>442</v>
      </c>
      <c r="H311" s="26" t="s">
        <v>3415</v>
      </c>
      <c r="I311" s="26"/>
      <c r="J311" s="26" t="s">
        <v>12</v>
      </c>
      <c r="K311" s="26" t="s">
        <v>13</v>
      </c>
      <c r="L311" s="55">
        <v>46051.354949594912</v>
      </c>
      <c r="M311" s="26"/>
      <c r="N311" s="4" t="s">
        <v>121</v>
      </c>
    </row>
    <row r="312" spans="1:14" ht="75" customHeight="1" thickTop="1" thickBot="1">
      <c r="A312" s="26">
        <v>310</v>
      </c>
      <c r="B312" s="55">
        <v>46051.351879675902</v>
      </c>
      <c r="C312" s="56" t="s">
        <v>394</v>
      </c>
      <c r="D312" s="56" t="s">
        <v>34</v>
      </c>
      <c r="E312" s="26" t="s">
        <v>22</v>
      </c>
      <c r="F312" s="26" t="s">
        <v>396</v>
      </c>
      <c r="G312" s="26" t="s">
        <v>442</v>
      </c>
      <c r="H312" s="26" t="s">
        <v>3416</v>
      </c>
      <c r="I312" s="26"/>
      <c r="J312" s="26" t="s">
        <v>12</v>
      </c>
      <c r="K312" s="26" t="s">
        <v>13</v>
      </c>
      <c r="L312" s="55">
        <v>46051.35502372685</v>
      </c>
      <c r="M312" s="26"/>
      <c r="N312" s="4" t="s">
        <v>121</v>
      </c>
    </row>
    <row r="313" spans="1:14" ht="75" customHeight="1" thickTop="1" thickBot="1">
      <c r="A313" s="34">
        <v>311</v>
      </c>
      <c r="B313" s="55">
        <v>46051.352266562499</v>
      </c>
      <c r="C313" s="56" t="s">
        <v>394</v>
      </c>
      <c r="D313" s="56" t="s">
        <v>34</v>
      </c>
      <c r="E313" s="26" t="s">
        <v>22</v>
      </c>
      <c r="F313" s="26" t="s">
        <v>416</v>
      </c>
      <c r="G313" s="26" t="s">
        <v>549</v>
      </c>
      <c r="H313" s="26" t="s">
        <v>3417</v>
      </c>
      <c r="I313" s="26"/>
      <c r="J313" s="26" t="s">
        <v>12</v>
      </c>
      <c r="K313" s="26" t="s">
        <v>13</v>
      </c>
      <c r="L313" s="55">
        <v>46051.354984224541</v>
      </c>
      <c r="M313" s="26"/>
      <c r="N313" s="4" t="s">
        <v>121</v>
      </c>
    </row>
    <row r="314" spans="1:14" ht="75" customHeight="1" thickTop="1" thickBot="1">
      <c r="A314" s="26">
        <v>312</v>
      </c>
      <c r="B314" s="55">
        <v>46051.3525830324</v>
      </c>
      <c r="C314" s="56" t="s">
        <v>394</v>
      </c>
      <c r="D314" s="56" t="s">
        <v>34</v>
      </c>
      <c r="E314" s="26" t="s">
        <v>22</v>
      </c>
      <c r="F314" s="26" t="s">
        <v>405</v>
      </c>
      <c r="G314" s="26" t="s">
        <v>406</v>
      </c>
      <c r="H314" s="26" t="s">
        <v>3418</v>
      </c>
      <c r="I314" s="26"/>
      <c r="J314" s="26" t="s">
        <v>12</v>
      </c>
      <c r="K314" s="26" t="s">
        <v>13</v>
      </c>
      <c r="L314" s="55">
        <v>46051.354996458336</v>
      </c>
      <c r="M314" s="26"/>
      <c r="N314" s="4" t="s">
        <v>121</v>
      </c>
    </row>
    <row r="315" spans="1:14" ht="75" customHeight="1" thickTop="1" thickBot="1">
      <c r="A315" s="34">
        <v>313</v>
      </c>
      <c r="B315" s="55">
        <v>46051.352979884199</v>
      </c>
      <c r="C315" s="56" t="s">
        <v>394</v>
      </c>
      <c r="D315" s="56" t="s">
        <v>34</v>
      </c>
      <c r="E315" s="26" t="s">
        <v>22</v>
      </c>
      <c r="F315" s="26" t="s">
        <v>396</v>
      </c>
      <c r="G315" s="26" t="s">
        <v>442</v>
      </c>
      <c r="H315" s="26" t="s">
        <v>550</v>
      </c>
      <c r="I315" s="26"/>
      <c r="J315" s="26" t="s">
        <v>12</v>
      </c>
      <c r="K315" s="26" t="s">
        <v>13</v>
      </c>
      <c r="L315" s="55">
        <v>46051.35500674769</v>
      </c>
      <c r="M315" s="26"/>
      <c r="N315" s="4" t="s">
        <v>121</v>
      </c>
    </row>
    <row r="316" spans="1:14" ht="75" customHeight="1" thickTop="1" thickBot="1">
      <c r="A316" s="26">
        <v>314</v>
      </c>
      <c r="B316" s="55">
        <v>46051.353323379597</v>
      </c>
      <c r="C316" s="56" t="s">
        <v>394</v>
      </c>
      <c r="D316" s="56" t="s">
        <v>34</v>
      </c>
      <c r="E316" s="26" t="s">
        <v>22</v>
      </c>
      <c r="F316" s="26" t="s">
        <v>497</v>
      </c>
      <c r="G316" s="26" t="s">
        <v>449</v>
      </c>
      <c r="H316" s="26" t="s">
        <v>551</v>
      </c>
      <c r="I316" s="26"/>
      <c r="J316" s="26" t="s">
        <v>12</v>
      </c>
      <c r="K316" s="26" t="s">
        <v>13</v>
      </c>
      <c r="L316" s="55">
        <v>46051.355011215273</v>
      </c>
      <c r="M316" s="26"/>
      <c r="N316" s="4" t="s">
        <v>121</v>
      </c>
    </row>
    <row r="317" spans="1:14" ht="75" customHeight="1" thickTop="1" thickBot="1">
      <c r="A317" s="34">
        <v>315</v>
      </c>
      <c r="B317" s="55">
        <v>46051.380395138804</v>
      </c>
      <c r="C317" s="56" t="s">
        <v>394</v>
      </c>
      <c r="D317" s="56" t="s">
        <v>395</v>
      </c>
      <c r="E317" s="26" t="s">
        <v>22</v>
      </c>
      <c r="F317" s="26" t="s">
        <v>413</v>
      </c>
      <c r="G317" s="26" t="s">
        <v>446</v>
      </c>
      <c r="H317" s="26" t="s">
        <v>3419</v>
      </c>
      <c r="I317" s="26"/>
      <c r="J317" s="26" t="s">
        <v>14</v>
      </c>
      <c r="K317" s="26" t="s">
        <v>13</v>
      </c>
      <c r="L317" s="55">
        <v>46051.422696585651</v>
      </c>
      <c r="M317" s="26"/>
      <c r="N317" s="4" t="s">
        <v>121</v>
      </c>
    </row>
    <row r="318" spans="1:14" ht="75" customHeight="1" thickTop="1" thickBot="1">
      <c r="A318" s="26">
        <v>316</v>
      </c>
      <c r="B318" s="55">
        <v>46051.395719641201</v>
      </c>
      <c r="C318" s="56" t="s">
        <v>394</v>
      </c>
      <c r="D318" s="56" t="s">
        <v>395</v>
      </c>
      <c r="E318" s="26" t="s">
        <v>21</v>
      </c>
      <c r="F318" s="26" t="s">
        <v>642</v>
      </c>
      <c r="G318" s="26" t="s">
        <v>446</v>
      </c>
      <c r="H318" s="26" t="s">
        <v>643</v>
      </c>
      <c r="I318" s="26"/>
      <c r="J318" s="26" t="s">
        <v>16</v>
      </c>
      <c r="K318" s="26" t="s">
        <v>13</v>
      </c>
      <c r="L318" s="55">
        <v>46051.448349247687</v>
      </c>
      <c r="M318" s="26"/>
      <c r="N318" s="4" t="s">
        <v>121</v>
      </c>
    </row>
    <row r="319" spans="1:14" ht="75" customHeight="1" thickTop="1" thickBot="1">
      <c r="A319" s="34">
        <v>317</v>
      </c>
      <c r="B319" s="55">
        <v>46051.580661724503</v>
      </c>
      <c r="C319" s="56" t="s">
        <v>394</v>
      </c>
      <c r="D319" s="56" t="s">
        <v>410</v>
      </c>
      <c r="E319" s="26" t="s">
        <v>22</v>
      </c>
      <c r="F319" s="26" t="s">
        <v>401</v>
      </c>
      <c r="G319" s="26" t="s">
        <v>439</v>
      </c>
      <c r="H319" s="26" t="s">
        <v>688</v>
      </c>
      <c r="I319" s="26"/>
      <c r="J319" s="26" t="s">
        <v>14</v>
      </c>
      <c r="K319" s="26" t="s">
        <v>13</v>
      </c>
      <c r="L319" s="55"/>
      <c r="M319" s="26"/>
      <c r="N319" s="4" t="s">
        <v>121</v>
      </c>
    </row>
    <row r="320" spans="1:14" ht="75" customHeight="1" thickTop="1" thickBot="1">
      <c r="A320" s="26">
        <v>318</v>
      </c>
      <c r="B320" s="55">
        <v>46051.5812883912</v>
      </c>
      <c r="C320" s="56" t="s">
        <v>394</v>
      </c>
      <c r="D320" s="56" t="s">
        <v>410</v>
      </c>
      <c r="E320" s="26" t="s">
        <v>22</v>
      </c>
      <c r="F320" s="26" t="s">
        <v>401</v>
      </c>
      <c r="G320" s="26" t="s">
        <v>40</v>
      </c>
      <c r="H320" s="26" t="s">
        <v>689</v>
      </c>
      <c r="I320" s="26"/>
      <c r="J320" s="26" t="s">
        <v>14</v>
      </c>
      <c r="K320" s="26" t="s">
        <v>13</v>
      </c>
      <c r="L320" s="55"/>
      <c r="M320" s="26"/>
      <c r="N320" s="4" t="s">
        <v>121</v>
      </c>
    </row>
    <row r="321" spans="1:14" ht="75" customHeight="1" thickTop="1" thickBot="1">
      <c r="A321" s="34">
        <v>319</v>
      </c>
      <c r="B321" s="55">
        <v>46051.582122187399</v>
      </c>
      <c r="C321" s="56" t="s">
        <v>394</v>
      </c>
      <c r="D321" s="56" t="s">
        <v>410</v>
      </c>
      <c r="E321" s="26" t="s">
        <v>22</v>
      </c>
      <c r="F321" s="26" t="s">
        <v>405</v>
      </c>
      <c r="G321" s="26" t="s">
        <v>442</v>
      </c>
      <c r="H321" s="26" t="s">
        <v>3420</v>
      </c>
      <c r="I321" s="26"/>
      <c r="J321" s="26" t="s">
        <v>14</v>
      </c>
      <c r="K321" s="26" t="s">
        <v>13</v>
      </c>
      <c r="L321" s="55"/>
      <c r="M321" s="26"/>
      <c r="N321" s="4" t="s">
        <v>121</v>
      </c>
    </row>
    <row r="322" spans="1:14" s="25" customFormat="1" ht="75" customHeight="1" thickTop="1" thickBot="1">
      <c r="A322" s="26">
        <v>320</v>
      </c>
      <c r="B322" s="55">
        <v>46051.583321898099</v>
      </c>
      <c r="C322" s="56" t="s">
        <v>394</v>
      </c>
      <c r="D322" s="56" t="s">
        <v>410</v>
      </c>
      <c r="E322" s="26" t="s">
        <v>22</v>
      </c>
      <c r="F322" s="26" t="s">
        <v>405</v>
      </c>
      <c r="G322" s="26" t="s">
        <v>404</v>
      </c>
      <c r="H322" s="26" t="s">
        <v>3420</v>
      </c>
      <c r="I322" s="26"/>
      <c r="J322" s="26" t="s">
        <v>14</v>
      </c>
      <c r="K322" s="26" t="s">
        <v>13</v>
      </c>
      <c r="L322" s="55"/>
      <c r="M322" s="26"/>
      <c r="N322" s="4"/>
    </row>
    <row r="323" spans="1:14" ht="75" customHeight="1" thickTop="1" thickBot="1">
      <c r="A323" s="34">
        <v>321</v>
      </c>
      <c r="B323" s="55">
        <v>46051.583699872601</v>
      </c>
      <c r="C323" s="56" t="s">
        <v>394</v>
      </c>
      <c r="D323" s="56" t="s">
        <v>410</v>
      </c>
      <c r="E323" s="26" t="s">
        <v>22</v>
      </c>
      <c r="F323" s="26" t="s">
        <v>405</v>
      </c>
      <c r="G323" s="26" t="s">
        <v>404</v>
      </c>
      <c r="H323" s="26" t="s">
        <v>3420</v>
      </c>
      <c r="I323" s="26"/>
      <c r="J323" s="26" t="s">
        <v>14</v>
      </c>
      <c r="K323" s="26" t="s">
        <v>13</v>
      </c>
      <c r="L323" s="55"/>
      <c r="M323" s="26"/>
      <c r="N323" s="29"/>
    </row>
    <row r="324" spans="1:14" ht="75" customHeight="1" thickTop="1" thickBot="1">
      <c r="A324" s="26">
        <v>322</v>
      </c>
      <c r="B324" s="55">
        <v>46051.5842800463</v>
      </c>
      <c r="C324" s="56" t="s">
        <v>394</v>
      </c>
      <c r="D324" s="56" t="s">
        <v>410</v>
      </c>
      <c r="E324" s="26" t="s">
        <v>22</v>
      </c>
      <c r="F324" s="26" t="s">
        <v>405</v>
      </c>
      <c r="G324" s="26" t="s">
        <v>437</v>
      </c>
      <c r="H324" s="26" t="s">
        <v>3421</v>
      </c>
      <c r="I324" s="26"/>
      <c r="J324" s="26" t="s">
        <v>14</v>
      </c>
      <c r="K324" s="26" t="s">
        <v>13</v>
      </c>
      <c r="L324" s="55"/>
      <c r="M324" s="26"/>
      <c r="N324" s="29"/>
    </row>
    <row r="325" spans="1:14" ht="75" customHeight="1" thickTop="1" thickBot="1">
      <c r="A325" s="34">
        <v>323</v>
      </c>
      <c r="B325" s="55">
        <v>46051.584737453697</v>
      </c>
      <c r="C325" s="56" t="s">
        <v>394</v>
      </c>
      <c r="D325" s="56" t="s">
        <v>410</v>
      </c>
      <c r="E325" s="26" t="s">
        <v>22</v>
      </c>
      <c r="F325" s="26" t="s">
        <v>396</v>
      </c>
      <c r="G325" s="26" t="s">
        <v>549</v>
      </c>
      <c r="H325" s="26" t="s">
        <v>3422</v>
      </c>
      <c r="I325" s="26"/>
      <c r="J325" s="26" t="s">
        <v>14</v>
      </c>
      <c r="K325" s="26" t="s">
        <v>13</v>
      </c>
      <c r="L325" s="55"/>
      <c r="M325" s="26"/>
      <c r="N325" s="29"/>
    </row>
    <row r="326" spans="1:14" ht="75" customHeight="1" thickTop="1" thickBot="1">
      <c r="A326" s="26">
        <v>324</v>
      </c>
      <c r="B326" s="55">
        <v>46051.585207361102</v>
      </c>
      <c r="C326" s="56" t="s">
        <v>394</v>
      </c>
      <c r="D326" s="56" t="s">
        <v>410</v>
      </c>
      <c r="E326" s="26" t="s">
        <v>22</v>
      </c>
      <c r="F326" s="26" t="s">
        <v>433</v>
      </c>
      <c r="G326" s="26" t="s">
        <v>40</v>
      </c>
      <c r="H326" s="26" t="s">
        <v>690</v>
      </c>
      <c r="I326" s="26"/>
      <c r="J326" s="26" t="s">
        <v>14</v>
      </c>
      <c r="K326" s="26" t="s">
        <v>13</v>
      </c>
      <c r="L326" s="55"/>
      <c r="M326" s="26"/>
      <c r="N326" s="29"/>
    </row>
    <row r="327" spans="1:14" ht="75" customHeight="1" thickTop="1" thickBot="1">
      <c r="A327" s="34">
        <v>325</v>
      </c>
      <c r="B327" s="55">
        <v>46051.585469224498</v>
      </c>
      <c r="C327" s="56" t="s">
        <v>394</v>
      </c>
      <c r="D327" s="56" t="s">
        <v>410</v>
      </c>
      <c r="E327" s="26" t="s">
        <v>22</v>
      </c>
      <c r="F327" s="26" t="s">
        <v>434</v>
      </c>
      <c r="G327" s="26" t="s">
        <v>40</v>
      </c>
      <c r="H327" s="26" t="s">
        <v>690</v>
      </c>
      <c r="I327" s="26"/>
      <c r="J327" s="26" t="s">
        <v>14</v>
      </c>
      <c r="K327" s="26" t="s">
        <v>13</v>
      </c>
      <c r="L327" s="55"/>
      <c r="M327" s="26"/>
      <c r="N327" s="29"/>
    </row>
    <row r="328" spans="1:14" ht="75" customHeight="1" thickTop="1" thickBot="1">
      <c r="A328" s="26">
        <v>326</v>
      </c>
      <c r="B328" s="55">
        <v>46051.585716168898</v>
      </c>
      <c r="C328" s="56" t="s">
        <v>394</v>
      </c>
      <c r="D328" s="56" t="s">
        <v>410</v>
      </c>
      <c r="E328" s="26" t="s">
        <v>22</v>
      </c>
      <c r="F328" s="26" t="s">
        <v>435</v>
      </c>
      <c r="G328" s="26" t="s">
        <v>40</v>
      </c>
      <c r="H328" s="26" t="s">
        <v>690</v>
      </c>
      <c r="I328" s="26"/>
      <c r="J328" s="26" t="s">
        <v>14</v>
      </c>
      <c r="K328" s="26" t="s">
        <v>13</v>
      </c>
      <c r="L328" s="55"/>
      <c r="M328" s="26"/>
      <c r="N328" s="29"/>
    </row>
    <row r="329" spans="1:14" ht="75" customHeight="1" thickTop="1" thickBot="1">
      <c r="A329" s="34">
        <v>327</v>
      </c>
      <c r="B329" s="55">
        <v>46051.585976770803</v>
      </c>
      <c r="C329" s="56" t="s">
        <v>394</v>
      </c>
      <c r="D329" s="56" t="s">
        <v>410</v>
      </c>
      <c r="E329" s="26" t="s">
        <v>22</v>
      </c>
      <c r="F329" s="26" t="s">
        <v>436</v>
      </c>
      <c r="G329" s="26" t="s">
        <v>40</v>
      </c>
      <c r="H329" s="26" t="s">
        <v>690</v>
      </c>
      <c r="I329" s="26"/>
      <c r="J329" s="26" t="s">
        <v>14</v>
      </c>
      <c r="K329" s="26" t="s">
        <v>13</v>
      </c>
      <c r="L329" s="55"/>
      <c r="M329" s="26"/>
      <c r="N329" s="29"/>
    </row>
    <row r="330" spans="1:14" ht="75" customHeight="1" thickTop="1" thickBot="1">
      <c r="A330" s="26">
        <v>328</v>
      </c>
      <c r="B330" s="55">
        <v>46051.586271400403</v>
      </c>
      <c r="C330" s="56" t="s">
        <v>394</v>
      </c>
      <c r="D330" s="56" t="s">
        <v>410</v>
      </c>
      <c r="E330" s="26" t="s">
        <v>22</v>
      </c>
      <c r="F330" s="26" t="s">
        <v>417</v>
      </c>
      <c r="G330" s="26" t="s">
        <v>40</v>
      </c>
      <c r="H330" s="26" t="s">
        <v>690</v>
      </c>
      <c r="I330" s="26"/>
      <c r="J330" s="26" t="s">
        <v>14</v>
      </c>
      <c r="K330" s="26" t="s">
        <v>13</v>
      </c>
      <c r="L330" s="55"/>
      <c r="M330" s="26"/>
      <c r="N330" s="29"/>
    </row>
    <row r="331" spans="1:14" ht="75" customHeight="1" thickTop="1" thickBot="1">
      <c r="A331" s="34">
        <v>329</v>
      </c>
      <c r="B331" s="55">
        <v>46051.586885856399</v>
      </c>
      <c r="C331" s="56" t="s">
        <v>394</v>
      </c>
      <c r="D331" s="56" t="s">
        <v>410</v>
      </c>
      <c r="E331" s="26" t="s">
        <v>22</v>
      </c>
      <c r="F331" s="26" t="s">
        <v>691</v>
      </c>
      <c r="G331" s="26" t="s">
        <v>40</v>
      </c>
      <c r="H331" s="26" t="s">
        <v>692</v>
      </c>
      <c r="I331" s="26"/>
      <c r="J331" s="26" t="s">
        <v>14</v>
      </c>
      <c r="K331" s="26" t="s">
        <v>13</v>
      </c>
      <c r="L331" s="55"/>
      <c r="M331" s="26"/>
      <c r="N331" s="29"/>
    </row>
    <row r="332" spans="1:14" ht="75" customHeight="1" thickTop="1" thickBot="1">
      <c r="A332" s="26">
        <v>330</v>
      </c>
      <c r="B332" s="55">
        <v>46051.587611180497</v>
      </c>
      <c r="C332" s="56" t="s">
        <v>394</v>
      </c>
      <c r="D332" s="56" t="s">
        <v>410</v>
      </c>
      <c r="E332" s="26" t="s">
        <v>22</v>
      </c>
      <c r="F332" s="26" t="s">
        <v>693</v>
      </c>
      <c r="G332" s="26" t="s">
        <v>40</v>
      </c>
      <c r="H332" s="26" t="s">
        <v>694</v>
      </c>
      <c r="I332" s="26"/>
      <c r="J332" s="26" t="s">
        <v>14</v>
      </c>
      <c r="K332" s="26" t="s">
        <v>13</v>
      </c>
      <c r="L332" s="55"/>
      <c r="M332" s="26"/>
      <c r="N332" s="29"/>
    </row>
    <row r="333" spans="1:14" ht="75" customHeight="1" thickTop="1" thickBot="1">
      <c r="A333" s="34">
        <v>331</v>
      </c>
      <c r="B333" s="55">
        <v>46051.588254212897</v>
      </c>
      <c r="C333" s="56" t="s">
        <v>394</v>
      </c>
      <c r="D333" s="56" t="s">
        <v>410</v>
      </c>
      <c r="E333" s="26" t="s">
        <v>22</v>
      </c>
      <c r="F333" s="26" t="s">
        <v>693</v>
      </c>
      <c r="G333" s="26" t="s">
        <v>40</v>
      </c>
      <c r="H333" s="26" t="s">
        <v>695</v>
      </c>
      <c r="I333" s="26"/>
      <c r="J333" s="26" t="s">
        <v>14</v>
      </c>
      <c r="K333" s="26" t="s">
        <v>13</v>
      </c>
      <c r="L333" s="55"/>
      <c r="M333" s="26"/>
      <c r="N333" s="29"/>
    </row>
    <row r="334" spans="1:14" ht="75" customHeight="1" thickTop="1" thickBot="1">
      <c r="A334" s="26">
        <v>332</v>
      </c>
      <c r="B334" s="55">
        <v>46051.588789236099</v>
      </c>
      <c r="C334" s="56" t="s">
        <v>394</v>
      </c>
      <c r="D334" s="56" t="s">
        <v>410</v>
      </c>
      <c r="E334" s="26" t="s">
        <v>22</v>
      </c>
      <c r="F334" s="26" t="s">
        <v>433</v>
      </c>
      <c r="G334" s="26" t="s">
        <v>696</v>
      </c>
      <c r="H334" s="26" t="s">
        <v>697</v>
      </c>
      <c r="I334" s="26"/>
      <c r="J334" s="26" t="s">
        <v>14</v>
      </c>
      <c r="K334" s="26" t="s">
        <v>13</v>
      </c>
      <c r="L334" s="55">
        <v>46051.589697731484</v>
      </c>
      <c r="M334" s="26"/>
      <c r="N334" s="29"/>
    </row>
    <row r="335" spans="1:14" ht="75" customHeight="1" thickTop="1" thickBot="1">
      <c r="A335" s="34">
        <v>333</v>
      </c>
      <c r="B335" s="55">
        <v>46053.358330601797</v>
      </c>
      <c r="C335" s="56" t="s">
        <v>394</v>
      </c>
      <c r="D335" s="56" t="s">
        <v>395</v>
      </c>
      <c r="E335" s="26" t="s">
        <v>21</v>
      </c>
      <c r="F335" s="26" t="s">
        <v>405</v>
      </c>
      <c r="G335" s="26" t="s">
        <v>439</v>
      </c>
      <c r="H335" s="26" t="s">
        <v>444</v>
      </c>
      <c r="I335" s="26"/>
      <c r="J335" s="26" t="s">
        <v>15</v>
      </c>
      <c r="K335" s="26" t="s">
        <v>13</v>
      </c>
      <c r="L335" s="55">
        <v>46053.471625868056</v>
      </c>
      <c r="M335" s="26"/>
      <c r="N335" s="29"/>
    </row>
    <row r="336" spans="1:14" ht="75" customHeight="1" thickTop="1" thickBot="1">
      <c r="A336" s="26">
        <v>334</v>
      </c>
      <c r="B336" s="55">
        <v>46053.451199363401</v>
      </c>
      <c r="C336" s="56" t="s">
        <v>394</v>
      </c>
      <c r="D336" s="56" t="s">
        <v>395</v>
      </c>
      <c r="E336" s="26" t="s">
        <v>21</v>
      </c>
      <c r="F336" s="26" t="s">
        <v>416</v>
      </c>
      <c r="G336" s="26" t="s">
        <v>404</v>
      </c>
      <c r="H336" s="26" t="s">
        <v>445</v>
      </c>
      <c r="I336" s="26"/>
      <c r="J336" s="26" t="s">
        <v>15</v>
      </c>
      <c r="K336" s="26" t="s">
        <v>13</v>
      </c>
      <c r="L336" s="55">
        <v>46053.471753090278</v>
      </c>
      <c r="M336" s="26"/>
      <c r="N336" s="29"/>
    </row>
    <row r="337" spans="1:14" ht="75" customHeight="1" thickTop="1" thickBot="1">
      <c r="A337" s="34">
        <v>335</v>
      </c>
      <c r="B337" s="55">
        <v>46053.531558900402</v>
      </c>
      <c r="C337" s="56" t="s">
        <v>394</v>
      </c>
      <c r="D337" s="56" t="s">
        <v>395</v>
      </c>
      <c r="E337" s="26" t="s">
        <v>21</v>
      </c>
      <c r="F337" s="26" t="s">
        <v>403</v>
      </c>
      <c r="G337" s="26" t="s">
        <v>404</v>
      </c>
      <c r="H337" s="26" t="s">
        <v>555</v>
      </c>
      <c r="I337" s="26"/>
      <c r="J337" s="26" t="s">
        <v>16</v>
      </c>
      <c r="K337" s="26" t="s">
        <v>13</v>
      </c>
      <c r="L337" s="55">
        <v>46055.295111238425</v>
      </c>
      <c r="M337" s="26"/>
      <c r="N337" s="29"/>
    </row>
    <row r="338" spans="1:14" ht="75" customHeight="1" thickTop="1" thickBot="1">
      <c r="A338" s="26">
        <v>336</v>
      </c>
      <c r="B338" s="55">
        <v>46054.369647430503</v>
      </c>
      <c r="C338" s="56" t="s">
        <v>394</v>
      </c>
      <c r="D338" s="56" t="s">
        <v>395</v>
      </c>
      <c r="E338" s="26" t="s">
        <v>21</v>
      </c>
      <c r="F338" s="26" t="s">
        <v>403</v>
      </c>
      <c r="G338" s="26" t="s">
        <v>442</v>
      </c>
      <c r="H338" s="26" t="s">
        <v>644</v>
      </c>
      <c r="I338" s="26"/>
      <c r="J338" s="26" t="s">
        <v>16</v>
      </c>
      <c r="K338" s="26" t="s">
        <v>13</v>
      </c>
      <c r="L338" s="55">
        <v>46055.295230636577</v>
      </c>
      <c r="M338" s="26"/>
      <c r="N338" s="29"/>
    </row>
    <row r="339" spans="1:14" ht="75" customHeight="1" thickTop="1" thickBot="1">
      <c r="A339" s="34">
        <v>337</v>
      </c>
      <c r="B339" s="55">
        <v>46054.391652650404</v>
      </c>
      <c r="C339" s="56" t="s">
        <v>394</v>
      </c>
      <c r="D339" s="56" t="s">
        <v>395</v>
      </c>
      <c r="E339" s="26" t="s">
        <v>21</v>
      </c>
      <c r="F339" s="26" t="s">
        <v>405</v>
      </c>
      <c r="G339" s="26" t="s">
        <v>552</v>
      </c>
      <c r="H339" s="26" t="s">
        <v>553</v>
      </c>
      <c r="I339" s="26"/>
      <c r="J339" s="26" t="s">
        <v>12</v>
      </c>
      <c r="K339" s="26" t="s">
        <v>13</v>
      </c>
      <c r="L339" s="55">
        <v>46054.412022094912</v>
      </c>
      <c r="M339" s="26"/>
      <c r="N339" s="29"/>
    </row>
    <row r="340" spans="1:14" ht="75" customHeight="1" thickTop="1" thickBot="1">
      <c r="A340" s="26">
        <v>338</v>
      </c>
      <c r="B340" s="55">
        <v>46054.498682939797</v>
      </c>
      <c r="C340" s="56" t="s">
        <v>394</v>
      </c>
      <c r="D340" s="56" t="s">
        <v>395</v>
      </c>
      <c r="E340" s="26" t="s">
        <v>21</v>
      </c>
      <c r="F340" s="26" t="s">
        <v>413</v>
      </c>
      <c r="G340" s="26" t="s">
        <v>442</v>
      </c>
      <c r="H340" s="26" t="s">
        <v>554</v>
      </c>
      <c r="I340" s="26"/>
      <c r="J340" s="26" t="s">
        <v>12</v>
      </c>
      <c r="K340" s="26" t="s">
        <v>13</v>
      </c>
      <c r="L340" s="55">
        <v>46055.294302939816</v>
      </c>
      <c r="M340" s="26"/>
      <c r="N340" s="29"/>
    </row>
    <row r="341" spans="1:14" ht="75" customHeight="1" thickTop="1" thickBot="1">
      <c r="A341" s="34">
        <v>339</v>
      </c>
      <c r="B341" s="55">
        <v>46054.498682939797</v>
      </c>
      <c r="C341" s="56" t="s">
        <v>394</v>
      </c>
      <c r="D341" s="56" t="s">
        <v>395</v>
      </c>
      <c r="E341" s="26" t="s">
        <v>21</v>
      </c>
      <c r="F341" s="26" t="s">
        <v>413</v>
      </c>
      <c r="G341" s="26" t="s">
        <v>442</v>
      </c>
      <c r="H341" s="26" t="s">
        <v>554</v>
      </c>
      <c r="I341" s="26"/>
      <c r="J341" s="26" t="s">
        <v>12</v>
      </c>
      <c r="K341" s="26" t="s">
        <v>13</v>
      </c>
      <c r="L341" s="55">
        <v>46023.497539930555</v>
      </c>
      <c r="M341" s="26"/>
      <c r="N341" s="29"/>
    </row>
    <row r="342" spans="1:14" ht="75" customHeight="1" thickTop="1" thickBot="1">
      <c r="A342" s="26">
        <v>340</v>
      </c>
      <c r="B342" s="55">
        <v>46055.431139779997</v>
      </c>
      <c r="C342" s="56" t="s">
        <v>394</v>
      </c>
      <c r="D342" s="56" t="s">
        <v>395</v>
      </c>
      <c r="E342" s="26" t="s">
        <v>21</v>
      </c>
      <c r="F342" s="26" t="s">
        <v>405</v>
      </c>
      <c r="G342" s="26" t="s">
        <v>442</v>
      </c>
      <c r="H342" s="26" t="s">
        <v>715</v>
      </c>
      <c r="I342" s="26"/>
      <c r="J342" s="26" t="s">
        <v>12</v>
      </c>
      <c r="K342" s="26" t="s">
        <v>13</v>
      </c>
      <c r="L342" s="55">
        <v>46055.520549907407</v>
      </c>
      <c r="M342" s="26"/>
      <c r="N342" s="29"/>
    </row>
    <row r="343" spans="1:14" ht="75" customHeight="1" thickTop="1" thickBot="1">
      <c r="A343" s="34">
        <v>341</v>
      </c>
      <c r="B343" s="55">
        <v>46055.508066099501</v>
      </c>
      <c r="C343" s="56" t="s">
        <v>394</v>
      </c>
      <c r="D343" s="56" t="s">
        <v>395</v>
      </c>
      <c r="E343" s="26" t="s">
        <v>21</v>
      </c>
      <c r="F343" s="26" t="s">
        <v>416</v>
      </c>
      <c r="G343" s="26" t="s">
        <v>442</v>
      </c>
      <c r="H343" s="26" t="s">
        <v>698</v>
      </c>
      <c r="I343" s="26"/>
      <c r="J343" s="26" t="s">
        <v>15</v>
      </c>
      <c r="K343" s="26" t="s">
        <v>13</v>
      </c>
      <c r="L343" s="55">
        <v>46055.518759756946</v>
      </c>
      <c r="M343" s="26"/>
      <c r="N343" s="29"/>
    </row>
    <row r="344" spans="1:14" ht="75" customHeight="1" thickTop="1" thickBot="1">
      <c r="A344" s="26">
        <v>342</v>
      </c>
      <c r="B344" s="55">
        <v>46055.521698286997</v>
      </c>
      <c r="C344" s="56" t="s">
        <v>394</v>
      </c>
      <c r="D344" s="56" t="s">
        <v>395</v>
      </c>
      <c r="E344" s="26" t="s">
        <v>21</v>
      </c>
      <c r="F344" s="26" t="s">
        <v>497</v>
      </c>
      <c r="G344" s="26" t="s">
        <v>442</v>
      </c>
      <c r="H344" s="26" t="s">
        <v>716</v>
      </c>
      <c r="I344" s="26"/>
      <c r="J344" s="26" t="s">
        <v>12</v>
      </c>
      <c r="K344" s="26" t="s">
        <v>717</v>
      </c>
      <c r="L344" s="55">
        <v>46056.318122731478</v>
      </c>
      <c r="M344" s="26" t="s">
        <v>116</v>
      </c>
      <c r="N344" s="29"/>
    </row>
    <row r="345" spans="1:14" ht="75" customHeight="1" thickTop="1" thickBot="1">
      <c r="A345" s="34">
        <v>343</v>
      </c>
      <c r="B345" s="55">
        <v>46056.343825300901</v>
      </c>
      <c r="C345" s="56" t="s">
        <v>394</v>
      </c>
      <c r="D345" s="56" t="s">
        <v>395</v>
      </c>
      <c r="E345" s="26" t="s">
        <v>21</v>
      </c>
      <c r="F345" s="26" t="s">
        <v>399</v>
      </c>
      <c r="G345" s="26" t="s">
        <v>442</v>
      </c>
      <c r="H345" s="26" t="s">
        <v>580</v>
      </c>
      <c r="I345" s="26"/>
      <c r="J345" s="26" t="s">
        <v>16</v>
      </c>
      <c r="K345" s="26" t="s">
        <v>13</v>
      </c>
      <c r="L345" s="55">
        <v>46056.55967959491</v>
      </c>
      <c r="M345" s="26"/>
      <c r="N345" s="29"/>
    </row>
    <row r="346" spans="1:14" ht="75" customHeight="1" thickTop="1" thickBot="1">
      <c r="A346" s="26">
        <v>344</v>
      </c>
      <c r="B346" s="55">
        <v>46056.344525729102</v>
      </c>
      <c r="C346" s="56" t="s">
        <v>394</v>
      </c>
      <c r="D346" s="56" t="s">
        <v>395</v>
      </c>
      <c r="E346" s="26" t="s">
        <v>21</v>
      </c>
      <c r="F346" s="26" t="s">
        <v>399</v>
      </c>
      <c r="G346" s="26" t="s">
        <v>442</v>
      </c>
      <c r="H346" s="26" t="s">
        <v>718</v>
      </c>
      <c r="I346" s="26"/>
      <c r="J346" s="26" t="s">
        <v>12</v>
      </c>
      <c r="K346" s="26" t="s">
        <v>13</v>
      </c>
      <c r="L346" s="55">
        <v>46056.559693206014</v>
      </c>
      <c r="M346" s="26"/>
      <c r="N346" s="29"/>
    </row>
    <row r="347" spans="1:14" ht="75" customHeight="1" thickTop="1" thickBot="1">
      <c r="A347" s="34">
        <v>345</v>
      </c>
      <c r="B347" s="55">
        <v>46056.465570474502</v>
      </c>
      <c r="C347" s="56" t="s">
        <v>394</v>
      </c>
      <c r="D347" s="56" t="s">
        <v>395</v>
      </c>
      <c r="E347" s="26" t="s">
        <v>21</v>
      </c>
      <c r="F347" s="26" t="s">
        <v>399</v>
      </c>
      <c r="G347" s="26" t="s">
        <v>442</v>
      </c>
      <c r="H347" s="26" t="s">
        <v>908</v>
      </c>
      <c r="I347" s="26"/>
      <c r="J347" s="26" t="s">
        <v>14</v>
      </c>
      <c r="K347" s="26" t="s">
        <v>13</v>
      </c>
      <c r="L347" s="55">
        <v>46056.511020277772</v>
      </c>
      <c r="M347" s="26"/>
      <c r="N347" s="29"/>
    </row>
    <row r="348" spans="1:14" ht="75" customHeight="1" thickTop="1" thickBot="1">
      <c r="A348" s="26">
        <v>346</v>
      </c>
      <c r="B348" s="55">
        <v>46058.563926886498</v>
      </c>
      <c r="C348" s="56" t="s">
        <v>394</v>
      </c>
      <c r="D348" s="56" t="s">
        <v>395</v>
      </c>
      <c r="E348" s="26" t="s">
        <v>21</v>
      </c>
      <c r="F348" s="26" t="s">
        <v>639</v>
      </c>
      <c r="G348" s="26" t="s">
        <v>442</v>
      </c>
      <c r="H348" s="26" t="s">
        <v>813</v>
      </c>
      <c r="I348" s="26"/>
      <c r="J348" s="26" t="s">
        <v>16</v>
      </c>
      <c r="K348" s="26" t="s">
        <v>13</v>
      </c>
      <c r="L348" s="55"/>
      <c r="M348" s="26"/>
      <c r="N348" s="29"/>
    </row>
    <row r="349" spans="1:14" ht="75" customHeight="1" thickTop="1" thickBot="1">
      <c r="A349" s="34">
        <v>347</v>
      </c>
      <c r="B349" s="55">
        <v>46058.564949583299</v>
      </c>
      <c r="C349" s="56" t="s">
        <v>394</v>
      </c>
      <c r="D349" s="56" t="s">
        <v>395</v>
      </c>
      <c r="E349" s="26" t="s">
        <v>21</v>
      </c>
      <c r="F349" s="26" t="s">
        <v>639</v>
      </c>
      <c r="G349" s="26" t="s">
        <v>442</v>
      </c>
      <c r="H349" s="26" t="s">
        <v>814</v>
      </c>
      <c r="I349" s="26"/>
      <c r="J349" s="26" t="s">
        <v>16</v>
      </c>
      <c r="K349" s="26" t="s">
        <v>13</v>
      </c>
      <c r="L349" s="55"/>
      <c r="M349" s="26"/>
      <c r="N349" s="29"/>
    </row>
    <row r="350" spans="1:14" ht="75" customHeight="1" thickTop="1" thickBot="1">
      <c r="A350" s="26">
        <v>348</v>
      </c>
      <c r="B350" s="55">
        <v>46058.565694074001</v>
      </c>
      <c r="C350" s="56" t="s">
        <v>394</v>
      </c>
      <c r="D350" s="56" t="s">
        <v>395</v>
      </c>
      <c r="E350" s="26" t="s">
        <v>21</v>
      </c>
      <c r="F350" s="26" t="s">
        <v>815</v>
      </c>
      <c r="G350" s="26" t="s">
        <v>442</v>
      </c>
      <c r="H350" s="26" t="s">
        <v>816</v>
      </c>
      <c r="I350" s="26"/>
      <c r="J350" s="26" t="s">
        <v>16</v>
      </c>
      <c r="K350" s="26" t="s">
        <v>13</v>
      </c>
      <c r="L350" s="55"/>
      <c r="M350" s="26"/>
      <c r="N350" s="29"/>
    </row>
    <row r="351" spans="1:14" ht="75" customHeight="1" thickTop="1" thickBot="1">
      <c r="A351" s="34">
        <v>349</v>
      </c>
      <c r="B351" s="55">
        <v>46058.5664958333</v>
      </c>
      <c r="C351" s="56" t="s">
        <v>394</v>
      </c>
      <c r="D351" s="56" t="s">
        <v>395</v>
      </c>
      <c r="E351" s="26" t="s">
        <v>21</v>
      </c>
      <c r="F351" s="26" t="s">
        <v>639</v>
      </c>
      <c r="G351" s="26" t="s">
        <v>442</v>
      </c>
      <c r="H351" s="26" t="s">
        <v>817</v>
      </c>
      <c r="I351" s="26"/>
      <c r="J351" s="26" t="s">
        <v>16</v>
      </c>
      <c r="K351" s="26" t="s">
        <v>13</v>
      </c>
      <c r="L351" s="55"/>
      <c r="M351" s="26"/>
      <c r="N351" s="29"/>
    </row>
    <row r="352" spans="1:14" ht="75" customHeight="1" thickTop="1" thickBot="1">
      <c r="A352" s="26">
        <v>350</v>
      </c>
      <c r="B352" s="55">
        <v>46058.567306747602</v>
      </c>
      <c r="C352" s="56" t="s">
        <v>394</v>
      </c>
      <c r="D352" s="56" t="s">
        <v>395</v>
      </c>
      <c r="E352" s="26" t="s">
        <v>21</v>
      </c>
      <c r="F352" s="26" t="s">
        <v>639</v>
      </c>
      <c r="G352" s="26" t="s">
        <v>442</v>
      </c>
      <c r="H352" s="26" t="s">
        <v>818</v>
      </c>
      <c r="I352" s="26"/>
      <c r="J352" s="26" t="s">
        <v>16</v>
      </c>
      <c r="K352" s="26" t="s">
        <v>13</v>
      </c>
      <c r="L352" s="55"/>
      <c r="M352" s="26"/>
      <c r="N352" s="29"/>
    </row>
    <row r="353" spans="1:14" ht="75" customHeight="1" thickTop="1" thickBot="1">
      <c r="A353" s="34">
        <v>351</v>
      </c>
      <c r="B353" s="55">
        <v>46058.567988032402</v>
      </c>
      <c r="C353" s="56" t="s">
        <v>394</v>
      </c>
      <c r="D353" s="56" t="s">
        <v>395</v>
      </c>
      <c r="E353" s="26" t="s">
        <v>21</v>
      </c>
      <c r="F353" s="26" t="s">
        <v>819</v>
      </c>
      <c r="G353" s="26" t="s">
        <v>442</v>
      </c>
      <c r="H353" s="26" t="s">
        <v>820</v>
      </c>
      <c r="I353" s="26"/>
      <c r="J353" s="26" t="s">
        <v>16</v>
      </c>
      <c r="K353" s="26" t="s">
        <v>13</v>
      </c>
      <c r="L353" s="55"/>
      <c r="M353" s="26"/>
      <c r="N353" s="29"/>
    </row>
    <row r="354" spans="1:14" ht="75" customHeight="1" thickTop="1" thickBot="1">
      <c r="A354" s="26">
        <v>352</v>
      </c>
      <c r="B354" s="55">
        <v>46058.569652210601</v>
      </c>
      <c r="C354" s="56" t="s">
        <v>394</v>
      </c>
      <c r="D354" s="56" t="s">
        <v>114</v>
      </c>
      <c r="E354" s="26" t="s">
        <v>22</v>
      </c>
      <c r="F354" s="26" t="s">
        <v>399</v>
      </c>
      <c r="G354" s="26" t="s">
        <v>556</v>
      </c>
      <c r="H354" s="26" t="s">
        <v>821</v>
      </c>
      <c r="I354" s="26"/>
      <c r="J354" s="26" t="s">
        <v>16</v>
      </c>
      <c r="K354" s="26" t="s">
        <v>13</v>
      </c>
      <c r="L354" s="55"/>
      <c r="M354" s="26"/>
      <c r="N354" s="29"/>
    </row>
    <row r="355" spans="1:14" ht="75" customHeight="1" thickTop="1" thickBot="1">
      <c r="A355" s="34">
        <v>353</v>
      </c>
      <c r="B355" s="55">
        <v>46058.5701079629</v>
      </c>
      <c r="C355" s="56" t="s">
        <v>394</v>
      </c>
      <c r="D355" s="56" t="s">
        <v>114</v>
      </c>
      <c r="E355" s="26" t="s">
        <v>22</v>
      </c>
      <c r="F355" s="26" t="s">
        <v>396</v>
      </c>
      <c r="G355" s="26" t="s">
        <v>549</v>
      </c>
      <c r="H355" s="26" t="s">
        <v>821</v>
      </c>
      <c r="I355" s="26"/>
      <c r="J355" s="26" t="s">
        <v>16</v>
      </c>
      <c r="K355" s="26" t="s">
        <v>13</v>
      </c>
      <c r="L355" s="55"/>
      <c r="M355" s="26"/>
      <c r="N355" s="29"/>
    </row>
    <row r="356" spans="1:14" ht="75" customHeight="1" thickTop="1" thickBot="1">
      <c r="A356" s="26">
        <v>354</v>
      </c>
      <c r="B356" s="55">
        <v>46058.570748194397</v>
      </c>
      <c r="C356" s="56" t="s">
        <v>394</v>
      </c>
      <c r="D356" s="56" t="s">
        <v>114</v>
      </c>
      <c r="E356" s="26" t="s">
        <v>22</v>
      </c>
      <c r="F356" s="26" t="s">
        <v>396</v>
      </c>
      <c r="G356" s="26" t="s">
        <v>556</v>
      </c>
      <c r="H356" s="26" t="s">
        <v>822</v>
      </c>
      <c r="I356" s="26"/>
      <c r="J356" s="26" t="s">
        <v>16</v>
      </c>
      <c r="K356" s="26" t="s">
        <v>13</v>
      </c>
      <c r="L356" s="55"/>
      <c r="M356" s="26"/>
      <c r="N356" s="29"/>
    </row>
    <row r="357" spans="1:14" ht="75" customHeight="1" thickTop="1" thickBot="1">
      <c r="A357" s="34">
        <v>355</v>
      </c>
      <c r="B357" s="55">
        <v>46058.571332569401</v>
      </c>
      <c r="C357" s="56" t="s">
        <v>394</v>
      </c>
      <c r="D357" s="56" t="s">
        <v>114</v>
      </c>
      <c r="E357" s="26" t="s">
        <v>22</v>
      </c>
      <c r="F357" s="26" t="s">
        <v>399</v>
      </c>
      <c r="G357" s="26" t="s">
        <v>556</v>
      </c>
      <c r="H357" s="26" t="s">
        <v>823</v>
      </c>
      <c r="I357" s="26"/>
      <c r="J357" s="26" t="s">
        <v>16</v>
      </c>
      <c r="K357" s="26" t="s">
        <v>13</v>
      </c>
      <c r="L357" s="55"/>
      <c r="M357" s="26"/>
      <c r="N357" s="29"/>
    </row>
    <row r="358" spans="1:14" ht="75" customHeight="1" thickTop="1" thickBot="1">
      <c r="A358" s="26">
        <v>356</v>
      </c>
      <c r="B358" s="55">
        <v>46058.573342731397</v>
      </c>
      <c r="C358" s="56" t="s">
        <v>394</v>
      </c>
      <c r="D358" s="56" t="s">
        <v>115</v>
      </c>
      <c r="E358" s="26" t="s">
        <v>22</v>
      </c>
      <c r="F358" s="26" t="s">
        <v>403</v>
      </c>
      <c r="G358" s="26" t="s">
        <v>424</v>
      </c>
      <c r="H358" s="26" t="s">
        <v>909</v>
      </c>
      <c r="I358" s="26"/>
      <c r="J358" s="26" t="s">
        <v>14</v>
      </c>
      <c r="K358" s="26" t="s">
        <v>13</v>
      </c>
      <c r="L358" s="55"/>
      <c r="M358" s="26"/>
      <c r="N358" s="29"/>
    </row>
    <row r="359" spans="1:14" ht="75" customHeight="1" thickTop="1" thickBot="1">
      <c r="A359" s="34">
        <v>357</v>
      </c>
      <c r="B359" s="55">
        <v>46058.574506238401</v>
      </c>
      <c r="C359" s="56" t="s">
        <v>394</v>
      </c>
      <c r="D359" s="56" t="s">
        <v>115</v>
      </c>
      <c r="E359" s="26" t="s">
        <v>22</v>
      </c>
      <c r="F359" s="26" t="s">
        <v>396</v>
      </c>
      <c r="G359" s="26" t="s">
        <v>40</v>
      </c>
      <c r="H359" s="26" t="s">
        <v>682</v>
      </c>
      <c r="I359" s="26"/>
      <c r="J359" s="26" t="s">
        <v>14</v>
      </c>
      <c r="K359" s="26" t="s">
        <v>13</v>
      </c>
      <c r="L359" s="55"/>
      <c r="M359" s="26"/>
    </row>
    <row r="360" spans="1:14" ht="75" customHeight="1" thickTop="1" thickBot="1">
      <c r="A360" s="26">
        <v>358</v>
      </c>
      <c r="B360" s="55">
        <v>46058.575991411999</v>
      </c>
      <c r="C360" s="56" t="s">
        <v>394</v>
      </c>
      <c r="D360" s="56" t="s">
        <v>115</v>
      </c>
      <c r="E360" s="26" t="s">
        <v>22</v>
      </c>
      <c r="F360" s="26" t="s">
        <v>396</v>
      </c>
      <c r="G360" s="26" t="s">
        <v>40</v>
      </c>
      <c r="H360" s="26" t="s">
        <v>910</v>
      </c>
      <c r="I360" s="26"/>
      <c r="J360" s="26" t="s">
        <v>14</v>
      </c>
      <c r="K360" s="26" t="s">
        <v>13</v>
      </c>
      <c r="L360" s="55"/>
      <c r="M360" s="26"/>
    </row>
    <row r="361" spans="1:14" ht="75" customHeight="1" thickTop="1" thickBot="1">
      <c r="A361" s="34">
        <v>359</v>
      </c>
      <c r="B361" s="55">
        <v>46058.576636620302</v>
      </c>
      <c r="C361" s="56" t="s">
        <v>394</v>
      </c>
      <c r="D361" s="56" t="s">
        <v>115</v>
      </c>
      <c r="E361" s="26" t="s">
        <v>22</v>
      </c>
      <c r="F361" s="26" t="s">
        <v>399</v>
      </c>
      <c r="G361" s="26" t="s">
        <v>40</v>
      </c>
      <c r="H361" s="26" t="s">
        <v>910</v>
      </c>
      <c r="I361" s="26"/>
      <c r="J361" s="26" t="s">
        <v>14</v>
      </c>
      <c r="K361" s="26" t="s">
        <v>13</v>
      </c>
      <c r="L361" s="55"/>
      <c r="M361" s="26"/>
    </row>
    <row r="362" spans="1:14" ht="75" customHeight="1" thickTop="1" thickBot="1">
      <c r="A362" s="26">
        <v>360</v>
      </c>
      <c r="B362" s="55">
        <v>46058.580537627298</v>
      </c>
      <c r="C362" s="56" t="s">
        <v>394</v>
      </c>
      <c r="D362" s="56" t="s">
        <v>115</v>
      </c>
      <c r="E362" s="26" t="s">
        <v>22</v>
      </c>
      <c r="F362" s="26" t="s">
        <v>396</v>
      </c>
      <c r="G362" s="26" t="s">
        <v>440</v>
      </c>
      <c r="H362" s="26" t="s">
        <v>911</v>
      </c>
      <c r="I362" s="26"/>
      <c r="J362" s="26" t="s">
        <v>14</v>
      </c>
      <c r="K362" s="26" t="s">
        <v>13</v>
      </c>
      <c r="L362" s="55"/>
      <c r="M362" s="26"/>
    </row>
    <row r="363" spans="1:14" ht="75" customHeight="1" thickTop="1" thickBot="1">
      <c r="A363" s="34">
        <v>361</v>
      </c>
      <c r="B363" s="55">
        <v>46058.580933032397</v>
      </c>
      <c r="C363" s="56" t="s">
        <v>394</v>
      </c>
      <c r="D363" s="56" t="s">
        <v>115</v>
      </c>
      <c r="E363" s="26" t="s">
        <v>22</v>
      </c>
      <c r="F363" s="26" t="s">
        <v>399</v>
      </c>
      <c r="G363" s="26" t="s">
        <v>424</v>
      </c>
      <c r="H363" s="26" t="s">
        <v>911</v>
      </c>
      <c r="I363" s="26"/>
      <c r="J363" s="26" t="s">
        <v>14</v>
      </c>
      <c r="K363" s="26" t="s">
        <v>13</v>
      </c>
      <c r="L363" s="55"/>
      <c r="M363" s="26"/>
    </row>
    <row r="364" spans="1:14" ht="75" customHeight="1" thickTop="1" thickBot="1">
      <c r="A364" s="26">
        <v>362</v>
      </c>
      <c r="B364" s="55">
        <v>46058.581562592502</v>
      </c>
      <c r="C364" s="56" t="s">
        <v>394</v>
      </c>
      <c r="D364" s="56" t="s">
        <v>115</v>
      </c>
      <c r="E364" s="26" t="s">
        <v>22</v>
      </c>
      <c r="F364" s="26" t="s">
        <v>403</v>
      </c>
      <c r="G364" s="26" t="s">
        <v>912</v>
      </c>
      <c r="H364" s="26" t="s">
        <v>913</v>
      </c>
      <c r="I364" s="26"/>
      <c r="J364" s="26" t="s">
        <v>14</v>
      </c>
      <c r="K364" s="26" t="s">
        <v>13</v>
      </c>
      <c r="L364" s="55"/>
      <c r="M364" s="26"/>
    </row>
    <row r="365" spans="1:14" ht="75" customHeight="1" thickTop="1" thickBot="1">
      <c r="A365" s="34">
        <v>363</v>
      </c>
      <c r="B365" s="55">
        <v>46058.582280242998</v>
      </c>
      <c r="C365" s="56" t="s">
        <v>394</v>
      </c>
      <c r="D365" s="56" t="s">
        <v>115</v>
      </c>
      <c r="E365" s="26" t="s">
        <v>22</v>
      </c>
      <c r="F365" s="26" t="s">
        <v>399</v>
      </c>
      <c r="G365" s="26" t="s">
        <v>593</v>
      </c>
      <c r="H365" s="26" t="s">
        <v>914</v>
      </c>
      <c r="I365" s="26"/>
      <c r="J365" s="26" t="s">
        <v>14</v>
      </c>
      <c r="K365" s="26" t="s">
        <v>13</v>
      </c>
      <c r="L365" s="55"/>
      <c r="M365" s="26"/>
    </row>
    <row r="366" spans="1:14" ht="75" customHeight="1" thickTop="1" thickBot="1">
      <c r="A366" s="26">
        <v>364</v>
      </c>
      <c r="B366" s="55">
        <v>46058.583962777702</v>
      </c>
      <c r="C366" s="56" t="s">
        <v>394</v>
      </c>
      <c r="D366" s="56" t="s">
        <v>115</v>
      </c>
      <c r="E366" s="26" t="s">
        <v>22</v>
      </c>
      <c r="F366" s="26" t="s">
        <v>399</v>
      </c>
      <c r="G366" s="26" t="s">
        <v>593</v>
      </c>
      <c r="H366" s="26" t="s">
        <v>915</v>
      </c>
      <c r="I366" s="26"/>
      <c r="J366" s="26" t="s">
        <v>14</v>
      </c>
      <c r="K366" s="26" t="s">
        <v>13</v>
      </c>
      <c r="L366" s="55"/>
      <c r="M366" s="26"/>
    </row>
    <row r="367" spans="1:14" ht="75" customHeight="1" thickTop="1" thickBot="1">
      <c r="A367" s="34">
        <v>365</v>
      </c>
      <c r="B367" s="55">
        <v>46058.586670358702</v>
      </c>
      <c r="C367" s="56" t="s">
        <v>394</v>
      </c>
      <c r="D367" s="56" t="s">
        <v>115</v>
      </c>
      <c r="E367" s="26" t="s">
        <v>22</v>
      </c>
      <c r="F367" s="26" t="s">
        <v>416</v>
      </c>
      <c r="G367" s="26" t="s">
        <v>404</v>
      </c>
      <c r="H367" s="26" t="s">
        <v>916</v>
      </c>
      <c r="I367" s="26"/>
      <c r="J367" s="26" t="s">
        <v>14</v>
      </c>
      <c r="K367" s="26" t="s">
        <v>13</v>
      </c>
      <c r="L367" s="55"/>
      <c r="M367" s="26"/>
    </row>
    <row r="368" spans="1:14" ht="75" customHeight="1" thickTop="1" thickBot="1">
      <c r="A368" s="26">
        <v>366</v>
      </c>
      <c r="B368" s="55">
        <v>46058.587925786996</v>
      </c>
      <c r="C368" s="56" t="s">
        <v>394</v>
      </c>
      <c r="D368" s="56" t="s">
        <v>115</v>
      </c>
      <c r="E368" s="26" t="s">
        <v>22</v>
      </c>
      <c r="F368" s="26" t="s">
        <v>411</v>
      </c>
      <c r="G368" s="26" t="s">
        <v>40</v>
      </c>
      <c r="H368" s="26" t="s">
        <v>682</v>
      </c>
      <c r="I368" s="26"/>
      <c r="J368" s="26" t="s">
        <v>14</v>
      </c>
      <c r="K368" s="26" t="s">
        <v>13</v>
      </c>
      <c r="L368" s="55"/>
      <c r="M368" s="26"/>
    </row>
    <row r="369" spans="1:13" ht="75" customHeight="1" thickTop="1" thickBot="1">
      <c r="A369" s="34">
        <v>367</v>
      </c>
      <c r="B369" s="55">
        <v>46058.593066319401</v>
      </c>
      <c r="C369" s="56" t="s">
        <v>394</v>
      </c>
      <c r="D369" s="56" t="s">
        <v>115</v>
      </c>
      <c r="E369" s="26" t="s">
        <v>22</v>
      </c>
      <c r="F369" s="26" t="s">
        <v>399</v>
      </c>
      <c r="G369" s="26" t="s">
        <v>556</v>
      </c>
      <c r="H369" s="26" t="s">
        <v>917</v>
      </c>
      <c r="I369" s="26"/>
      <c r="J369" s="26" t="s">
        <v>14</v>
      </c>
      <c r="K369" s="26" t="s">
        <v>13</v>
      </c>
      <c r="L369" s="55"/>
      <c r="M369" s="26"/>
    </row>
    <row r="370" spans="1:13" ht="75" customHeight="1" thickTop="1" thickBot="1">
      <c r="A370" s="26">
        <v>368</v>
      </c>
      <c r="B370" s="55">
        <v>46058.594158009197</v>
      </c>
      <c r="C370" s="56" t="s">
        <v>394</v>
      </c>
      <c r="D370" s="56" t="s">
        <v>115</v>
      </c>
      <c r="E370" s="26" t="s">
        <v>22</v>
      </c>
      <c r="F370" s="26" t="s">
        <v>413</v>
      </c>
      <c r="G370" s="26" t="s">
        <v>40</v>
      </c>
      <c r="H370" s="26" t="s">
        <v>918</v>
      </c>
      <c r="I370" s="26"/>
      <c r="J370" s="26" t="s">
        <v>14</v>
      </c>
      <c r="K370" s="26" t="s">
        <v>13</v>
      </c>
      <c r="L370" s="55"/>
      <c r="M370" s="26"/>
    </row>
    <row r="371" spans="1:13" ht="75" customHeight="1" thickTop="1" thickBot="1">
      <c r="A371" s="34">
        <v>369</v>
      </c>
      <c r="B371" s="55">
        <v>46058.594741504603</v>
      </c>
      <c r="C371" s="56" t="s">
        <v>394</v>
      </c>
      <c r="D371" s="56" t="s">
        <v>115</v>
      </c>
      <c r="E371" s="26" t="s">
        <v>22</v>
      </c>
      <c r="F371" s="26" t="s">
        <v>413</v>
      </c>
      <c r="G371" s="26" t="s">
        <v>40</v>
      </c>
      <c r="H371" s="26" t="s">
        <v>919</v>
      </c>
      <c r="I371" s="26"/>
      <c r="J371" s="26" t="s">
        <v>14</v>
      </c>
      <c r="K371" s="26" t="s">
        <v>13</v>
      </c>
      <c r="L371" s="55"/>
      <c r="M371" s="26"/>
    </row>
    <row r="372" spans="1:13" ht="75" customHeight="1" thickTop="1" thickBot="1">
      <c r="A372" s="26">
        <v>370</v>
      </c>
      <c r="B372" s="55">
        <v>46058.5955143518</v>
      </c>
      <c r="C372" s="56" t="s">
        <v>394</v>
      </c>
      <c r="D372" s="56" t="s">
        <v>115</v>
      </c>
      <c r="E372" s="26" t="s">
        <v>22</v>
      </c>
      <c r="F372" s="26" t="s">
        <v>401</v>
      </c>
      <c r="G372" s="26" t="s">
        <v>40</v>
      </c>
      <c r="H372" s="26" t="s">
        <v>682</v>
      </c>
      <c r="I372" s="26"/>
      <c r="J372" s="26" t="s">
        <v>14</v>
      </c>
      <c r="K372" s="26" t="s">
        <v>13</v>
      </c>
      <c r="L372" s="55"/>
      <c r="M372" s="26"/>
    </row>
    <row r="373" spans="1:13" ht="75" customHeight="1" thickTop="1" thickBot="1">
      <c r="A373" s="34">
        <v>371</v>
      </c>
      <c r="B373" s="55">
        <v>46058.596348692103</v>
      </c>
      <c r="C373" s="56" t="s">
        <v>394</v>
      </c>
      <c r="D373" s="56" t="s">
        <v>115</v>
      </c>
      <c r="E373" s="26" t="s">
        <v>22</v>
      </c>
      <c r="F373" s="26" t="s">
        <v>412</v>
      </c>
      <c r="G373" s="26" t="s">
        <v>40</v>
      </c>
      <c r="H373" s="26" t="s">
        <v>920</v>
      </c>
      <c r="I373" s="26"/>
      <c r="J373" s="26" t="s">
        <v>14</v>
      </c>
      <c r="K373" s="26" t="s">
        <v>13</v>
      </c>
      <c r="L373" s="55"/>
      <c r="M373" s="26"/>
    </row>
    <row r="374" spans="1:13" ht="75" customHeight="1" thickTop="1" thickBot="1">
      <c r="A374" s="26">
        <v>372</v>
      </c>
      <c r="B374" s="55">
        <v>46058.598512627301</v>
      </c>
      <c r="C374" s="56" t="s">
        <v>394</v>
      </c>
      <c r="D374" s="56" t="s">
        <v>115</v>
      </c>
      <c r="E374" s="26" t="s">
        <v>22</v>
      </c>
      <c r="F374" s="26" t="s">
        <v>413</v>
      </c>
      <c r="G374" s="26" t="s">
        <v>40</v>
      </c>
      <c r="H374" s="26" t="s">
        <v>921</v>
      </c>
      <c r="I374" s="26"/>
      <c r="J374" s="26" t="s">
        <v>14</v>
      </c>
      <c r="K374" s="26" t="s">
        <v>13</v>
      </c>
      <c r="L374" s="55"/>
      <c r="M374" s="26"/>
    </row>
    <row r="375" spans="1:13" ht="75" customHeight="1" thickTop="1" thickBot="1">
      <c r="A375" s="34">
        <v>373</v>
      </c>
      <c r="B375" s="55">
        <v>46058.599263680502</v>
      </c>
      <c r="C375" s="56" t="s">
        <v>394</v>
      </c>
      <c r="D375" s="56" t="s">
        <v>115</v>
      </c>
      <c r="E375" s="26" t="s">
        <v>22</v>
      </c>
      <c r="F375" s="26" t="s">
        <v>399</v>
      </c>
      <c r="G375" s="26" t="s">
        <v>40</v>
      </c>
      <c r="H375" s="26" t="s">
        <v>682</v>
      </c>
      <c r="I375" s="26"/>
      <c r="J375" s="26" t="s">
        <v>14</v>
      </c>
      <c r="K375" s="26" t="s">
        <v>13</v>
      </c>
      <c r="L375" s="55"/>
      <c r="M375" s="26"/>
    </row>
    <row r="376" spans="1:13" ht="75" customHeight="1" thickTop="1" thickBot="1">
      <c r="A376" s="26">
        <v>374</v>
      </c>
      <c r="B376" s="55">
        <v>46058.600438101799</v>
      </c>
      <c r="C376" s="56" t="s">
        <v>394</v>
      </c>
      <c r="D376" s="56" t="s">
        <v>115</v>
      </c>
      <c r="E376" s="26" t="s">
        <v>22</v>
      </c>
      <c r="F376" s="26" t="s">
        <v>434</v>
      </c>
      <c r="G376" s="26" t="s">
        <v>40</v>
      </c>
      <c r="H376" s="26" t="s">
        <v>922</v>
      </c>
      <c r="I376" s="26"/>
      <c r="J376" s="26" t="s">
        <v>14</v>
      </c>
      <c r="K376" s="26" t="s">
        <v>13</v>
      </c>
      <c r="L376" s="55"/>
      <c r="M376" s="26"/>
    </row>
    <row r="377" spans="1:13" ht="75" customHeight="1" thickTop="1" thickBot="1">
      <c r="A377" s="34">
        <v>375</v>
      </c>
      <c r="B377" s="55">
        <v>46060.399768622599</v>
      </c>
      <c r="C377" s="56" t="s">
        <v>394</v>
      </c>
      <c r="D377" s="56" t="s">
        <v>395</v>
      </c>
      <c r="E377" s="26" t="s">
        <v>21</v>
      </c>
      <c r="F377" s="26" t="s">
        <v>413</v>
      </c>
      <c r="G377" s="26" t="s">
        <v>602</v>
      </c>
      <c r="H377" s="26" t="s">
        <v>824</v>
      </c>
      <c r="I377" s="26"/>
      <c r="J377" s="26" t="s">
        <v>16</v>
      </c>
      <c r="K377" s="26" t="s">
        <v>13</v>
      </c>
      <c r="L377" s="55">
        <v>46062.582360196757</v>
      </c>
      <c r="M377" s="26"/>
    </row>
    <row r="378" spans="1:13" ht="75" customHeight="1" thickTop="1" thickBot="1">
      <c r="A378" s="26">
        <v>376</v>
      </c>
      <c r="B378" s="55">
        <v>46060.519175115704</v>
      </c>
      <c r="C378" s="56" t="s">
        <v>394</v>
      </c>
      <c r="D378" s="56" t="s">
        <v>395</v>
      </c>
      <c r="E378" s="26" t="s">
        <v>21</v>
      </c>
      <c r="F378" s="26" t="s">
        <v>396</v>
      </c>
      <c r="G378" s="26" t="s">
        <v>442</v>
      </c>
      <c r="H378" s="26" t="s">
        <v>825</v>
      </c>
      <c r="I378" s="26"/>
      <c r="J378" s="26" t="s">
        <v>16</v>
      </c>
      <c r="K378" s="26" t="s">
        <v>13</v>
      </c>
      <c r="L378" s="55">
        <v>46061.569132638891</v>
      </c>
      <c r="M378" s="26"/>
    </row>
    <row r="379" spans="1:13" ht="75" customHeight="1" thickTop="1" thickBot="1">
      <c r="A379" s="34">
        <v>377</v>
      </c>
      <c r="B379" s="55">
        <v>46060.519833587903</v>
      </c>
      <c r="C379" s="56" t="s">
        <v>394</v>
      </c>
      <c r="D379" s="56" t="s">
        <v>395</v>
      </c>
      <c r="E379" s="26" t="s">
        <v>21</v>
      </c>
      <c r="F379" s="26" t="s">
        <v>396</v>
      </c>
      <c r="G379" s="26" t="s">
        <v>602</v>
      </c>
      <c r="H379" s="26" t="s">
        <v>3423</v>
      </c>
      <c r="I379" s="26"/>
      <c r="J379" s="26" t="s">
        <v>16</v>
      </c>
      <c r="K379" s="26" t="s">
        <v>13</v>
      </c>
      <c r="L379" s="55">
        <v>46061.569156446756</v>
      </c>
      <c r="M379" s="26"/>
    </row>
    <row r="380" spans="1:13" ht="75" customHeight="1" thickTop="1" thickBot="1">
      <c r="A380" s="26">
        <v>378</v>
      </c>
      <c r="B380" s="55">
        <v>46060.5206197222</v>
      </c>
      <c r="C380" s="56" t="s">
        <v>394</v>
      </c>
      <c r="D380" s="56" t="s">
        <v>395</v>
      </c>
      <c r="E380" s="26" t="s">
        <v>21</v>
      </c>
      <c r="F380" s="26" t="s">
        <v>396</v>
      </c>
      <c r="G380" s="26" t="s">
        <v>442</v>
      </c>
      <c r="H380" s="26" t="s">
        <v>826</v>
      </c>
      <c r="I380" s="26"/>
      <c r="J380" s="26" t="s">
        <v>16</v>
      </c>
      <c r="K380" s="26" t="s">
        <v>13</v>
      </c>
      <c r="L380" s="55">
        <v>46062.58232212963</v>
      </c>
      <c r="M380" s="26"/>
    </row>
    <row r="381" spans="1:13" ht="75" customHeight="1" thickTop="1" thickBot="1">
      <c r="A381" s="34">
        <v>379</v>
      </c>
      <c r="B381" s="55">
        <v>46060.521409571702</v>
      </c>
      <c r="C381" s="56" t="s">
        <v>394</v>
      </c>
      <c r="D381" s="56" t="s">
        <v>395</v>
      </c>
      <c r="E381" s="26" t="s">
        <v>21</v>
      </c>
      <c r="F381" s="26" t="s">
        <v>396</v>
      </c>
      <c r="G381" s="26" t="s">
        <v>442</v>
      </c>
      <c r="H381" s="26" t="s">
        <v>719</v>
      </c>
      <c r="I381" s="26"/>
      <c r="J381" s="26" t="s">
        <v>12</v>
      </c>
      <c r="K381" s="26" t="s">
        <v>13</v>
      </c>
      <c r="L381" s="55">
        <v>46061.312323379629</v>
      </c>
      <c r="M381" s="26"/>
    </row>
    <row r="382" spans="1:13" ht="75" customHeight="1" thickTop="1" thickBot="1">
      <c r="A382" s="26">
        <v>380</v>
      </c>
      <c r="B382" s="55">
        <v>46060.522029687498</v>
      </c>
      <c r="C382" s="56" t="s">
        <v>394</v>
      </c>
      <c r="D382" s="56" t="s">
        <v>395</v>
      </c>
      <c r="E382" s="26" t="s">
        <v>21</v>
      </c>
      <c r="F382" s="26" t="s">
        <v>396</v>
      </c>
      <c r="G382" s="26" t="s">
        <v>404</v>
      </c>
      <c r="H382" s="26" t="s">
        <v>827</v>
      </c>
      <c r="I382" s="26"/>
      <c r="J382" s="26" t="s">
        <v>16</v>
      </c>
      <c r="K382" s="26" t="s">
        <v>13</v>
      </c>
      <c r="L382" s="55">
        <v>46061.56965542824</v>
      </c>
      <c r="M382" s="26"/>
    </row>
    <row r="383" spans="1:13" ht="75" customHeight="1" thickTop="1" thickBot="1">
      <c r="A383" s="34">
        <v>381</v>
      </c>
      <c r="B383" s="55">
        <v>46060.5225852777</v>
      </c>
      <c r="C383" s="56" t="s">
        <v>394</v>
      </c>
      <c r="D383" s="56" t="s">
        <v>395</v>
      </c>
      <c r="E383" s="26" t="s">
        <v>21</v>
      </c>
      <c r="F383" s="26" t="s">
        <v>405</v>
      </c>
      <c r="G383" s="26" t="s">
        <v>404</v>
      </c>
      <c r="H383" s="26" t="s">
        <v>720</v>
      </c>
      <c r="I383" s="26"/>
      <c r="J383" s="26" t="s">
        <v>12</v>
      </c>
      <c r="K383" s="26" t="s">
        <v>13</v>
      </c>
      <c r="L383" s="55">
        <v>46062.408888032413</v>
      </c>
      <c r="M383" s="26"/>
    </row>
    <row r="384" spans="1:13" ht="75" customHeight="1" thickTop="1" thickBot="1">
      <c r="A384" s="26">
        <v>382</v>
      </c>
      <c r="B384" s="55">
        <v>46061.307762835597</v>
      </c>
      <c r="C384" s="56" t="s">
        <v>394</v>
      </c>
      <c r="D384" s="56" t="s">
        <v>34</v>
      </c>
      <c r="E384" s="26" t="s">
        <v>22</v>
      </c>
      <c r="F384" s="26" t="s">
        <v>508</v>
      </c>
      <c r="G384" s="26" t="s">
        <v>449</v>
      </c>
      <c r="H384" s="26" t="s">
        <v>721</v>
      </c>
      <c r="I384" s="26"/>
      <c r="J384" s="26" t="s">
        <v>12</v>
      </c>
      <c r="K384" s="26" t="s">
        <v>13</v>
      </c>
      <c r="L384" s="55">
        <v>46061.310642118056</v>
      </c>
      <c r="M384" s="26"/>
    </row>
    <row r="385" spans="1:13" ht="75" customHeight="1" thickTop="1" thickBot="1">
      <c r="A385" s="34">
        <v>383</v>
      </c>
      <c r="B385" s="55">
        <v>46061.308809409697</v>
      </c>
      <c r="C385" s="56" t="s">
        <v>394</v>
      </c>
      <c r="D385" s="56" t="s">
        <v>34</v>
      </c>
      <c r="E385" s="26" t="s">
        <v>22</v>
      </c>
      <c r="F385" s="26" t="s">
        <v>484</v>
      </c>
      <c r="G385" s="26" t="s">
        <v>722</v>
      </c>
      <c r="H385" s="26" t="s">
        <v>3424</v>
      </c>
      <c r="I385" s="26"/>
      <c r="J385" s="26" t="s">
        <v>12</v>
      </c>
      <c r="K385" s="26" t="s">
        <v>13</v>
      </c>
      <c r="L385" s="55">
        <v>46061.310551770832</v>
      </c>
      <c r="M385" s="26"/>
    </row>
    <row r="386" spans="1:13" ht="75" customHeight="1" thickTop="1" thickBot="1">
      <c r="A386" s="26">
        <v>384</v>
      </c>
      <c r="B386" s="55">
        <v>46061.3090710416</v>
      </c>
      <c r="C386" s="56" t="s">
        <v>394</v>
      </c>
      <c r="D386" s="56" t="s">
        <v>34</v>
      </c>
      <c r="E386" s="26" t="s">
        <v>22</v>
      </c>
      <c r="F386" s="26" t="s">
        <v>484</v>
      </c>
      <c r="G386" s="26" t="s">
        <v>442</v>
      </c>
      <c r="H386" s="26" t="s">
        <v>3425</v>
      </c>
      <c r="I386" s="26"/>
      <c r="J386" s="26" t="s">
        <v>12</v>
      </c>
      <c r="K386" s="26" t="s">
        <v>13</v>
      </c>
      <c r="L386" s="55">
        <v>46061.310368935185</v>
      </c>
      <c r="M386" s="26"/>
    </row>
    <row r="387" spans="1:13" ht="75" customHeight="1" thickTop="1" thickBot="1">
      <c r="A387" s="34">
        <v>385</v>
      </c>
      <c r="B387" s="55">
        <v>46061.309898576299</v>
      </c>
      <c r="C387" s="56" t="s">
        <v>394</v>
      </c>
      <c r="D387" s="56" t="s">
        <v>34</v>
      </c>
      <c r="E387" s="26" t="s">
        <v>22</v>
      </c>
      <c r="F387" s="26" t="s">
        <v>412</v>
      </c>
      <c r="G387" s="26" t="s">
        <v>442</v>
      </c>
      <c r="H387" s="26" t="s">
        <v>3426</v>
      </c>
      <c r="I387" s="26"/>
      <c r="J387" s="26" t="s">
        <v>12</v>
      </c>
      <c r="K387" s="26" t="s">
        <v>13</v>
      </c>
      <c r="L387" s="55">
        <v>46061.3102396412</v>
      </c>
      <c r="M387" s="26"/>
    </row>
    <row r="388" spans="1:13" ht="75" customHeight="1" thickTop="1" thickBot="1">
      <c r="A388" s="26">
        <v>386</v>
      </c>
      <c r="B388" s="55">
        <v>46061.310574131901</v>
      </c>
      <c r="C388" s="56" t="s">
        <v>394</v>
      </c>
      <c r="D388" s="56" t="s">
        <v>34</v>
      </c>
      <c r="E388" s="26" t="s">
        <v>22</v>
      </c>
      <c r="F388" s="26" t="s">
        <v>401</v>
      </c>
      <c r="G388" s="26" t="s">
        <v>723</v>
      </c>
      <c r="H388" s="26" t="s">
        <v>724</v>
      </c>
      <c r="I388" s="26"/>
      <c r="J388" s="26" t="s">
        <v>12</v>
      </c>
      <c r="K388" s="26" t="s">
        <v>13</v>
      </c>
      <c r="L388" s="55">
        <v>46061.311891296296</v>
      </c>
      <c r="M388" s="26"/>
    </row>
    <row r="389" spans="1:13" ht="75" customHeight="1" thickTop="1" thickBot="1">
      <c r="A389" s="34">
        <v>387</v>
      </c>
      <c r="B389" s="55">
        <v>46061.313667499999</v>
      </c>
      <c r="C389" s="56" t="s">
        <v>394</v>
      </c>
      <c r="D389" s="56" t="s">
        <v>34</v>
      </c>
      <c r="E389" s="26" t="s">
        <v>22</v>
      </c>
      <c r="F389" s="26" t="s">
        <v>399</v>
      </c>
      <c r="G389" s="26" t="s">
        <v>442</v>
      </c>
      <c r="H389" s="26" t="s">
        <v>725</v>
      </c>
      <c r="I389" s="26"/>
      <c r="J389" s="26" t="s">
        <v>12</v>
      </c>
      <c r="K389" s="26" t="s">
        <v>13</v>
      </c>
      <c r="L389" s="55">
        <v>46061.326526631943</v>
      </c>
      <c r="M389" s="26"/>
    </row>
    <row r="390" spans="1:13" ht="75" customHeight="1" thickTop="1" thickBot="1">
      <c r="A390" s="26">
        <v>388</v>
      </c>
      <c r="B390" s="55">
        <v>46061.314449803198</v>
      </c>
      <c r="C390" s="56" t="s">
        <v>394</v>
      </c>
      <c r="D390" s="56" t="s">
        <v>34</v>
      </c>
      <c r="E390" s="26" t="s">
        <v>22</v>
      </c>
      <c r="F390" s="26" t="s">
        <v>405</v>
      </c>
      <c r="G390" s="26" t="s">
        <v>726</v>
      </c>
      <c r="H390" s="26" t="s">
        <v>727</v>
      </c>
      <c r="I390" s="26"/>
      <c r="J390" s="26" t="s">
        <v>12</v>
      </c>
      <c r="K390" s="26" t="s">
        <v>13</v>
      </c>
      <c r="L390" s="55">
        <v>46061.326579953704</v>
      </c>
      <c r="M390" s="26"/>
    </row>
    <row r="391" spans="1:13" ht="75" customHeight="1" thickTop="1" thickBot="1">
      <c r="A391" s="34">
        <v>389</v>
      </c>
      <c r="B391" s="55">
        <v>46061.315706238398</v>
      </c>
      <c r="C391" s="56" t="s">
        <v>394</v>
      </c>
      <c r="D391" s="56" t="s">
        <v>34</v>
      </c>
      <c r="E391" s="26" t="s">
        <v>22</v>
      </c>
      <c r="F391" s="26" t="s">
        <v>405</v>
      </c>
      <c r="G391" s="26" t="s">
        <v>442</v>
      </c>
      <c r="H391" s="26" t="s">
        <v>3427</v>
      </c>
      <c r="I391" s="26"/>
      <c r="J391" s="26" t="s">
        <v>12</v>
      </c>
      <c r="K391" s="26" t="s">
        <v>13</v>
      </c>
      <c r="L391" s="55">
        <v>46061.326607592593</v>
      </c>
      <c r="M391" s="26"/>
    </row>
    <row r="392" spans="1:13" ht="75" customHeight="1" thickTop="1" thickBot="1">
      <c r="A392" s="26">
        <v>390</v>
      </c>
      <c r="B392" s="55">
        <v>46061.316087129599</v>
      </c>
      <c r="C392" s="56" t="s">
        <v>394</v>
      </c>
      <c r="D392" s="56" t="s">
        <v>34</v>
      </c>
      <c r="E392" s="26" t="s">
        <v>22</v>
      </c>
      <c r="F392" s="26" t="s">
        <v>728</v>
      </c>
      <c r="G392" s="26" t="s">
        <v>427</v>
      </c>
      <c r="H392" s="26" t="s">
        <v>729</v>
      </c>
      <c r="I392" s="26"/>
      <c r="J392" s="26" t="s">
        <v>12</v>
      </c>
      <c r="K392" s="26" t="s">
        <v>13</v>
      </c>
      <c r="L392" s="55">
        <v>46061.326633472221</v>
      </c>
      <c r="M392" s="26"/>
    </row>
    <row r="393" spans="1:13" ht="75" customHeight="1" thickTop="1" thickBot="1">
      <c r="A393" s="34">
        <v>391</v>
      </c>
      <c r="B393" s="55">
        <v>46061.316634942101</v>
      </c>
      <c r="C393" s="56" t="s">
        <v>394</v>
      </c>
      <c r="D393" s="56" t="s">
        <v>34</v>
      </c>
      <c r="E393" s="26" t="s">
        <v>22</v>
      </c>
      <c r="F393" s="26" t="s">
        <v>399</v>
      </c>
      <c r="G393" s="26" t="s">
        <v>537</v>
      </c>
      <c r="H393" s="26" t="s">
        <v>3428</v>
      </c>
      <c r="I393" s="26"/>
      <c r="J393" s="26" t="s">
        <v>12</v>
      </c>
      <c r="K393" s="26" t="s">
        <v>13</v>
      </c>
      <c r="L393" s="55">
        <v>46061.326649143521</v>
      </c>
      <c r="M393" s="26"/>
    </row>
    <row r="394" spans="1:13" ht="75" customHeight="1" thickTop="1" thickBot="1">
      <c r="A394" s="26">
        <v>392</v>
      </c>
      <c r="B394" s="55">
        <v>46061.317360451299</v>
      </c>
      <c r="C394" s="56" t="s">
        <v>394</v>
      </c>
      <c r="D394" s="56" t="s">
        <v>34</v>
      </c>
      <c r="E394" s="26" t="s">
        <v>22</v>
      </c>
      <c r="F394" s="26" t="s">
        <v>396</v>
      </c>
      <c r="G394" s="26" t="s">
        <v>730</v>
      </c>
      <c r="H394" s="26" t="s">
        <v>731</v>
      </c>
      <c r="I394" s="26"/>
      <c r="J394" s="26" t="s">
        <v>12</v>
      </c>
      <c r="K394" s="26" t="s">
        <v>13</v>
      </c>
      <c r="L394" s="55">
        <v>46061.326658090278</v>
      </c>
      <c r="M394" s="26"/>
    </row>
    <row r="395" spans="1:13" ht="75" customHeight="1" thickTop="1" thickBot="1">
      <c r="A395" s="34">
        <v>393</v>
      </c>
      <c r="B395" s="55">
        <v>46061.319498263802</v>
      </c>
      <c r="C395" s="56" t="s">
        <v>394</v>
      </c>
      <c r="D395" s="56" t="s">
        <v>34</v>
      </c>
      <c r="E395" s="26" t="s">
        <v>22</v>
      </c>
      <c r="F395" s="26" t="s">
        <v>403</v>
      </c>
      <c r="G395" s="26" t="s">
        <v>449</v>
      </c>
      <c r="H395" s="26" t="s">
        <v>732</v>
      </c>
      <c r="I395" s="26"/>
      <c r="J395" s="26" t="s">
        <v>12</v>
      </c>
      <c r="K395" s="26" t="s">
        <v>13</v>
      </c>
      <c r="L395" s="55">
        <v>46061.326850231482</v>
      </c>
      <c r="M395" s="26"/>
    </row>
    <row r="396" spans="1:13" ht="75" customHeight="1" thickTop="1" thickBot="1">
      <c r="A396" s="26">
        <v>394</v>
      </c>
      <c r="B396" s="55">
        <v>46061.319948715201</v>
      </c>
      <c r="C396" s="56" t="s">
        <v>394</v>
      </c>
      <c r="D396" s="56" t="s">
        <v>34</v>
      </c>
      <c r="E396" s="26" t="s">
        <v>22</v>
      </c>
      <c r="F396" s="26" t="s">
        <v>401</v>
      </c>
      <c r="G396" s="26" t="s">
        <v>449</v>
      </c>
      <c r="H396" s="26" t="s">
        <v>3429</v>
      </c>
      <c r="I396" s="26"/>
      <c r="J396" s="26" t="s">
        <v>12</v>
      </c>
      <c r="K396" s="26" t="s">
        <v>13</v>
      </c>
      <c r="L396" s="55">
        <v>46061.326670949071</v>
      </c>
      <c r="M396" s="26"/>
    </row>
    <row r="397" spans="1:13" ht="75" customHeight="1" thickTop="1" thickBot="1">
      <c r="A397" s="34">
        <v>395</v>
      </c>
      <c r="B397" s="55">
        <v>46061.320633726798</v>
      </c>
      <c r="C397" s="56" t="s">
        <v>394</v>
      </c>
      <c r="D397" s="56" t="s">
        <v>34</v>
      </c>
      <c r="E397" s="26" t="s">
        <v>22</v>
      </c>
      <c r="F397" s="26" t="s">
        <v>411</v>
      </c>
      <c r="G397" s="26" t="s">
        <v>733</v>
      </c>
      <c r="H397" s="26" t="s">
        <v>734</v>
      </c>
      <c r="I397" s="26"/>
      <c r="J397" s="26" t="s">
        <v>12</v>
      </c>
      <c r="K397" s="26" t="s">
        <v>13</v>
      </c>
      <c r="L397" s="55">
        <v>46061.326682199069</v>
      </c>
      <c r="M397" s="26"/>
    </row>
    <row r="398" spans="1:13" ht="75" customHeight="1" thickTop="1" thickBot="1">
      <c r="A398" s="26">
        <v>396</v>
      </c>
      <c r="B398" s="55">
        <v>46061.321186284702</v>
      </c>
      <c r="C398" s="56" t="s">
        <v>394</v>
      </c>
      <c r="D398" s="56" t="s">
        <v>34</v>
      </c>
      <c r="E398" s="26" t="s">
        <v>22</v>
      </c>
      <c r="F398" s="26" t="s">
        <v>59</v>
      </c>
      <c r="G398" s="26" t="s">
        <v>735</v>
      </c>
      <c r="H398" s="26" t="s">
        <v>736</v>
      </c>
      <c r="I398" s="26"/>
      <c r="J398" s="26" t="s">
        <v>12</v>
      </c>
      <c r="K398" s="26" t="s">
        <v>13</v>
      </c>
      <c r="L398" s="55">
        <v>46061.326694444448</v>
      </c>
      <c r="M398" s="26"/>
    </row>
    <row r="399" spans="1:13" ht="75" customHeight="1" thickTop="1" thickBot="1">
      <c r="A399" s="34">
        <v>397</v>
      </c>
      <c r="B399" s="55">
        <v>46061.3214925231</v>
      </c>
      <c r="C399" s="56" t="s">
        <v>394</v>
      </c>
      <c r="D399" s="56" t="s">
        <v>34</v>
      </c>
      <c r="E399" s="26" t="s">
        <v>22</v>
      </c>
      <c r="F399" s="26" t="s">
        <v>737</v>
      </c>
      <c r="G399" s="26" t="s">
        <v>442</v>
      </c>
      <c r="H399" s="26" t="s">
        <v>738</v>
      </c>
      <c r="I399" s="26"/>
      <c r="J399" s="26" t="s">
        <v>12</v>
      </c>
      <c r="K399" s="26" t="s">
        <v>13</v>
      </c>
      <c r="L399" s="55">
        <v>46061.326715625</v>
      </c>
      <c r="M399" s="26"/>
    </row>
    <row r="400" spans="1:13" ht="75" customHeight="1" thickTop="1" thickBot="1">
      <c r="A400" s="26">
        <v>398</v>
      </c>
      <c r="B400" s="55">
        <v>46061.322036134203</v>
      </c>
      <c r="C400" s="56" t="s">
        <v>394</v>
      </c>
      <c r="D400" s="56" t="s">
        <v>34</v>
      </c>
      <c r="E400" s="26" t="s">
        <v>22</v>
      </c>
      <c r="F400" s="26" t="s">
        <v>405</v>
      </c>
      <c r="G400" s="26" t="s">
        <v>739</v>
      </c>
      <c r="H400" s="26" t="s">
        <v>740</v>
      </c>
      <c r="I400" s="26"/>
      <c r="J400" s="26" t="s">
        <v>12</v>
      </c>
      <c r="K400" s="26" t="s">
        <v>13</v>
      </c>
      <c r="L400" s="55">
        <v>46061.326717476855</v>
      </c>
      <c r="M400" s="26"/>
    </row>
    <row r="401" spans="1:13" ht="75" customHeight="1" thickTop="1" thickBot="1">
      <c r="A401" s="34">
        <v>399</v>
      </c>
      <c r="B401" s="55">
        <v>46061.322530844896</v>
      </c>
      <c r="C401" s="56" t="s">
        <v>394</v>
      </c>
      <c r="D401" s="56" t="s">
        <v>34</v>
      </c>
      <c r="E401" s="26" t="s">
        <v>22</v>
      </c>
      <c r="F401" s="26" t="s">
        <v>741</v>
      </c>
      <c r="G401" s="26" t="s">
        <v>449</v>
      </c>
      <c r="H401" s="26" t="s">
        <v>742</v>
      </c>
      <c r="I401" s="26"/>
      <c r="J401" s="26" t="s">
        <v>12</v>
      </c>
      <c r="K401" s="26" t="s">
        <v>13</v>
      </c>
      <c r="L401" s="55">
        <v>46061.326734062503</v>
      </c>
      <c r="M401" s="26"/>
    </row>
    <row r="402" spans="1:13" ht="75" customHeight="1" thickTop="1" thickBot="1">
      <c r="A402" s="26">
        <v>400</v>
      </c>
      <c r="B402" s="55">
        <v>46061.323266562496</v>
      </c>
      <c r="C402" s="56" t="s">
        <v>394</v>
      </c>
      <c r="D402" s="56" t="s">
        <v>34</v>
      </c>
      <c r="E402" s="26" t="s">
        <v>22</v>
      </c>
      <c r="F402" s="26" t="s">
        <v>412</v>
      </c>
      <c r="G402" s="26" t="s">
        <v>449</v>
      </c>
      <c r="H402" s="26" t="s">
        <v>3430</v>
      </c>
      <c r="I402" s="26"/>
      <c r="J402" s="26" t="s">
        <v>12</v>
      </c>
      <c r="K402" s="26" t="s">
        <v>13</v>
      </c>
      <c r="L402" s="55">
        <v>46061.3267328125</v>
      </c>
      <c r="M402" s="26"/>
    </row>
    <row r="403" spans="1:13" ht="75" customHeight="1" thickTop="1" thickBot="1">
      <c r="A403" s="34">
        <v>401</v>
      </c>
      <c r="B403" s="55">
        <v>46061.323692847203</v>
      </c>
      <c r="C403" s="56" t="s">
        <v>394</v>
      </c>
      <c r="D403" s="56" t="s">
        <v>34</v>
      </c>
      <c r="E403" s="26" t="s">
        <v>22</v>
      </c>
      <c r="F403" s="26" t="s">
        <v>412</v>
      </c>
      <c r="G403" s="26" t="s">
        <v>449</v>
      </c>
      <c r="H403" s="26" t="s">
        <v>743</v>
      </c>
      <c r="I403" s="26"/>
      <c r="J403" s="26" t="s">
        <v>12</v>
      </c>
      <c r="K403" s="26" t="s">
        <v>13</v>
      </c>
      <c r="L403" s="55">
        <v>46061.326745474536</v>
      </c>
      <c r="M403" s="26"/>
    </row>
    <row r="404" spans="1:13" ht="75" customHeight="1" thickTop="1" thickBot="1">
      <c r="A404" s="26">
        <v>402</v>
      </c>
      <c r="B404" s="55">
        <v>46061.324382835599</v>
      </c>
      <c r="C404" s="56" t="s">
        <v>394</v>
      </c>
      <c r="D404" s="56" t="s">
        <v>34</v>
      </c>
      <c r="E404" s="26" t="s">
        <v>22</v>
      </c>
      <c r="F404" s="26" t="s">
        <v>411</v>
      </c>
      <c r="G404" s="26" t="s">
        <v>40</v>
      </c>
      <c r="H404" s="26" t="s">
        <v>744</v>
      </c>
      <c r="I404" s="26"/>
      <c r="J404" s="26" t="s">
        <v>12</v>
      </c>
      <c r="K404" s="26" t="s">
        <v>13</v>
      </c>
      <c r="L404" s="55">
        <v>46061.326808773149</v>
      </c>
      <c r="M404" s="26"/>
    </row>
    <row r="405" spans="1:13" ht="75" customHeight="1" thickTop="1" thickBot="1">
      <c r="A405" s="34">
        <v>403</v>
      </c>
      <c r="B405" s="55">
        <v>46061.324913159697</v>
      </c>
      <c r="C405" s="56" t="s">
        <v>394</v>
      </c>
      <c r="D405" s="56" t="s">
        <v>34</v>
      </c>
      <c r="E405" s="26" t="s">
        <v>22</v>
      </c>
      <c r="F405" s="26" t="s">
        <v>403</v>
      </c>
      <c r="G405" s="26" t="s">
        <v>745</v>
      </c>
      <c r="H405" s="26" t="s">
        <v>746</v>
      </c>
      <c r="I405" s="26"/>
      <c r="J405" s="26" t="s">
        <v>12</v>
      </c>
      <c r="K405" s="26" t="s">
        <v>13</v>
      </c>
      <c r="L405" s="55">
        <v>46061.326756030088</v>
      </c>
      <c r="M405" s="26"/>
    </row>
    <row r="406" spans="1:13" ht="75" customHeight="1" thickTop="1" thickBot="1">
      <c r="A406" s="26">
        <v>404</v>
      </c>
      <c r="B406" s="55">
        <v>46061.325381215203</v>
      </c>
      <c r="C406" s="56" t="s">
        <v>394</v>
      </c>
      <c r="D406" s="56" t="s">
        <v>34</v>
      </c>
      <c r="E406" s="26" t="s">
        <v>22</v>
      </c>
      <c r="F406" s="26" t="s">
        <v>413</v>
      </c>
      <c r="G406" s="26" t="s">
        <v>449</v>
      </c>
      <c r="H406" s="26" t="s">
        <v>747</v>
      </c>
      <c r="I406" s="26"/>
      <c r="J406" s="26" t="s">
        <v>12</v>
      </c>
      <c r="K406" s="26" t="s">
        <v>13</v>
      </c>
      <c r="L406" s="55">
        <v>46061.326771307868</v>
      </c>
      <c r="M406" s="26"/>
    </row>
    <row r="407" spans="1:13" ht="75" customHeight="1" thickTop="1" thickBot="1">
      <c r="A407" s="34">
        <v>405</v>
      </c>
      <c r="B407" s="55">
        <v>46061.325990161997</v>
      </c>
      <c r="C407" s="56" t="s">
        <v>394</v>
      </c>
      <c r="D407" s="56" t="s">
        <v>34</v>
      </c>
      <c r="E407" s="26" t="s">
        <v>22</v>
      </c>
      <c r="F407" s="26" t="s">
        <v>59</v>
      </c>
      <c r="G407" s="26" t="s">
        <v>113</v>
      </c>
      <c r="H407" s="26" t="s">
        <v>748</v>
      </c>
      <c r="I407" s="26"/>
      <c r="J407" s="26" t="s">
        <v>12</v>
      </c>
      <c r="K407" s="26" t="s">
        <v>13</v>
      </c>
      <c r="L407" s="55">
        <v>46061.326777685186</v>
      </c>
      <c r="M407" s="26"/>
    </row>
    <row r="408" spans="1:13" ht="75" customHeight="1" thickTop="1" thickBot="1">
      <c r="A408" s="26">
        <v>406</v>
      </c>
      <c r="B408" s="55">
        <v>46061.331007685098</v>
      </c>
      <c r="C408" s="56" t="s">
        <v>394</v>
      </c>
      <c r="D408" s="56" t="s">
        <v>395</v>
      </c>
      <c r="E408" s="26" t="s">
        <v>21</v>
      </c>
      <c r="F408" s="26" t="s">
        <v>447</v>
      </c>
      <c r="G408" s="26" t="s">
        <v>442</v>
      </c>
      <c r="H408" s="26" t="s">
        <v>490</v>
      </c>
      <c r="I408" s="26"/>
      <c r="J408" s="26" t="s">
        <v>12</v>
      </c>
      <c r="K408" s="26" t="s">
        <v>717</v>
      </c>
      <c r="L408" s="55">
        <v>46061.333744166666</v>
      </c>
      <c r="M408" s="26" t="s">
        <v>117</v>
      </c>
    </row>
    <row r="409" spans="1:13" ht="75" customHeight="1" thickTop="1" thickBot="1">
      <c r="A409" s="34">
        <v>407</v>
      </c>
      <c r="B409" s="55">
        <v>46062.504316886501</v>
      </c>
      <c r="C409" s="56" t="s">
        <v>394</v>
      </c>
      <c r="D409" s="56" t="s">
        <v>395</v>
      </c>
      <c r="E409" s="26" t="s">
        <v>21</v>
      </c>
      <c r="F409" s="26" t="s">
        <v>399</v>
      </c>
      <c r="G409" s="26" t="s">
        <v>404</v>
      </c>
      <c r="H409" s="26" t="s">
        <v>923</v>
      </c>
      <c r="I409" s="26"/>
      <c r="J409" s="26" t="s">
        <v>14</v>
      </c>
      <c r="K409" s="26" t="s">
        <v>13</v>
      </c>
      <c r="L409" s="55">
        <v>46067.404781296296</v>
      </c>
      <c r="M409" s="26"/>
    </row>
    <row r="410" spans="1:13" ht="75" customHeight="1" thickTop="1" thickBot="1">
      <c r="A410" s="26">
        <v>408</v>
      </c>
      <c r="B410" s="55">
        <v>46062.504985358799</v>
      </c>
      <c r="C410" s="56" t="s">
        <v>394</v>
      </c>
      <c r="D410" s="56" t="s">
        <v>395</v>
      </c>
      <c r="E410" s="26" t="s">
        <v>21</v>
      </c>
      <c r="F410" s="26" t="s">
        <v>413</v>
      </c>
      <c r="G410" s="26" t="s">
        <v>602</v>
      </c>
      <c r="H410" s="26" t="s">
        <v>924</v>
      </c>
      <c r="I410" s="26"/>
      <c r="J410" s="26" t="s">
        <v>14</v>
      </c>
      <c r="K410" s="26" t="s">
        <v>13</v>
      </c>
      <c r="L410" s="55">
        <v>46064.391372118058</v>
      </c>
      <c r="M410" s="26"/>
    </row>
    <row r="411" spans="1:13" ht="75" customHeight="1" thickTop="1" thickBot="1">
      <c r="A411" s="34">
        <v>409</v>
      </c>
      <c r="B411" s="55">
        <v>46063.694681817098</v>
      </c>
      <c r="C411" s="56" t="s">
        <v>394</v>
      </c>
      <c r="D411" s="56" t="s">
        <v>395</v>
      </c>
      <c r="E411" s="26" t="s">
        <v>21</v>
      </c>
      <c r="F411" s="26" t="s">
        <v>412</v>
      </c>
      <c r="G411" s="26" t="s">
        <v>404</v>
      </c>
      <c r="H411" s="26" t="s">
        <v>3431</v>
      </c>
      <c r="I411" s="26"/>
      <c r="J411" s="26" t="s">
        <v>16</v>
      </c>
      <c r="K411" s="26" t="s">
        <v>13</v>
      </c>
      <c r="L411" s="55">
        <v>46064.527004143514</v>
      </c>
      <c r="M411" s="26"/>
    </row>
    <row r="412" spans="1:13" ht="75" customHeight="1" thickTop="1" thickBot="1">
      <c r="A412" s="26">
        <v>410</v>
      </c>
      <c r="B412" s="55">
        <v>46063.695156736103</v>
      </c>
      <c r="C412" s="56" t="s">
        <v>394</v>
      </c>
      <c r="D412" s="56" t="s">
        <v>395</v>
      </c>
      <c r="E412" s="26" t="s">
        <v>21</v>
      </c>
      <c r="F412" s="26" t="s">
        <v>412</v>
      </c>
      <c r="G412" s="26" t="s">
        <v>828</v>
      </c>
      <c r="H412" s="26" t="s">
        <v>830</v>
      </c>
      <c r="I412" s="26"/>
      <c r="J412" s="26" t="s">
        <v>16</v>
      </c>
      <c r="K412" s="26" t="s">
        <v>13</v>
      </c>
      <c r="L412" s="55">
        <v>46064.527006956021</v>
      </c>
      <c r="M412" s="26"/>
    </row>
    <row r="413" spans="1:13" ht="75" customHeight="1" thickTop="1" thickBot="1">
      <c r="A413" s="34">
        <v>411</v>
      </c>
      <c r="B413" s="55">
        <v>46063.695757280097</v>
      </c>
      <c r="C413" s="56" t="s">
        <v>394</v>
      </c>
      <c r="D413" s="56" t="s">
        <v>395</v>
      </c>
      <c r="E413" s="26" t="s">
        <v>21</v>
      </c>
      <c r="F413" s="26" t="s">
        <v>412</v>
      </c>
      <c r="G413" s="26" t="s">
        <v>829</v>
      </c>
      <c r="H413" s="26" t="s">
        <v>830</v>
      </c>
      <c r="I413" s="26"/>
      <c r="J413" s="26" t="s">
        <v>16</v>
      </c>
      <c r="K413" s="26" t="s">
        <v>13</v>
      </c>
      <c r="L413" s="55">
        <v>46064.527048773147</v>
      </c>
      <c r="M413" s="26"/>
    </row>
    <row r="414" spans="1:13" ht="75" customHeight="1" thickTop="1" thickBot="1">
      <c r="A414" s="26">
        <v>412</v>
      </c>
      <c r="B414" s="55">
        <v>46064.354397615702</v>
      </c>
      <c r="C414" s="56" t="s">
        <v>394</v>
      </c>
      <c r="D414" s="56" t="s">
        <v>395</v>
      </c>
      <c r="E414" s="26" t="s">
        <v>21</v>
      </c>
      <c r="F414" s="26" t="s">
        <v>411</v>
      </c>
      <c r="G414" s="26" t="s">
        <v>442</v>
      </c>
      <c r="H414" s="26" t="s">
        <v>3432</v>
      </c>
      <c r="I414" s="26"/>
      <c r="J414" s="26" t="s">
        <v>14</v>
      </c>
      <c r="K414" s="26" t="s">
        <v>13</v>
      </c>
      <c r="L414" s="55">
        <v>46064.52704616898</v>
      </c>
      <c r="M414" s="26"/>
    </row>
    <row r="415" spans="1:13" ht="75" customHeight="1" thickTop="1" thickBot="1">
      <c r="A415" s="34">
        <v>413</v>
      </c>
      <c r="B415" s="55">
        <v>46064.414519571699</v>
      </c>
      <c r="C415" s="56" t="s">
        <v>394</v>
      </c>
      <c r="D415" s="56" t="s">
        <v>395</v>
      </c>
      <c r="E415" s="26" t="s">
        <v>21</v>
      </c>
      <c r="F415" s="26" t="s">
        <v>401</v>
      </c>
      <c r="G415" s="26" t="s">
        <v>442</v>
      </c>
      <c r="H415" s="26" t="s">
        <v>933</v>
      </c>
      <c r="I415" s="26"/>
      <c r="J415" s="26" t="s">
        <v>14</v>
      </c>
      <c r="K415" s="26" t="s">
        <v>13</v>
      </c>
      <c r="L415" s="55">
        <v>46065.328356111109</v>
      </c>
      <c r="M415" s="26"/>
    </row>
    <row r="416" spans="1:13" ht="75" customHeight="1" thickTop="1" thickBot="1">
      <c r="A416" s="26">
        <v>414</v>
      </c>
      <c r="B416" s="55">
        <v>46064.414985925898</v>
      </c>
      <c r="C416" s="56" t="s">
        <v>394</v>
      </c>
      <c r="D416" s="56" t="s">
        <v>395</v>
      </c>
      <c r="E416" s="26" t="s">
        <v>21</v>
      </c>
      <c r="F416" s="26" t="s">
        <v>401</v>
      </c>
      <c r="G416" s="26" t="s">
        <v>442</v>
      </c>
      <c r="H416" s="26" t="s">
        <v>925</v>
      </c>
      <c r="I416" s="26"/>
      <c r="J416" s="26" t="s">
        <v>14</v>
      </c>
      <c r="K416" s="26" t="s">
        <v>13</v>
      </c>
      <c r="L416" s="55">
        <v>46064.573483900458</v>
      </c>
      <c r="M416" s="26"/>
    </row>
    <row r="417" spans="1:13" ht="75" customHeight="1" thickTop="1" thickBot="1">
      <c r="A417" s="34">
        <v>415</v>
      </c>
      <c r="B417" s="55">
        <v>46064.415526724501</v>
      </c>
      <c r="C417" s="56" t="s">
        <v>394</v>
      </c>
      <c r="D417" s="56" t="s">
        <v>395</v>
      </c>
      <c r="E417" s="26" t="s">
        <v>21</v>
      </c>
      <c r="F417" s="26" t="s">
        <v>401</v>
      </c>
      <c r="G417" s="26" t="s">
        <v>441</v>
      </c>
      <c r="H417" s="26" t="s">
        <v>926</v>
      </c>
      <c r="I417" s="26"/>
      <c r="J417" s="26" t="s">
        <v>14</v>
      </c>
      <c r="K417" s="26" t="s">
        <v>13</v>
      </c>
      <c r="L417" s="55">
        <v>46064.573545613428</v>
      </c>
      <c r="M417" s="26"/>
    </row>
    <row r="418" spans="1:13" ht="75" customHeight="1" thickTop="1" thickBot="1">
      <c r="A418" s="26">
        <v>416</v>
      </c>
      <c r="B418" s="55">
        <v>46064.416182291599</v>
      </c>
      <c r="C418" s="56" t="s">
        <v>394</v>
      </c>
      <c r="D418" s="56" t="s">
        <v>395</v>
      </c>
      <c r="E418" s="26" t="s">
        <v>21</v>
      </c>
      <c r="F418" s="26" t="s">
        <v>401</v>
      </c>
      <c r="G418" s="26" t="s">
        <v>404</v>
      </c>
      <c r="H418" s="26" t="s">
        <v>927</v>
      </c>
      <c r="I418" s="26"/>
      <c r="J418" s="26" t="s">
        <v>14</v>
      </c>
      <c r="K418" s="26" t="s">
        <v>13</v>
      </c>
      <c r="L418" s="55">
        <v>46064.778620196761</v>
      </c>
      <c r="M418" s="26"/>
    </row>
    <row r="419" spans="1:13" ht="75" customHeight="1" thickTop="1" thickBot="1">
      <c r="A419" s="34">
        <v>417</v>
      </c>
      <c r="B419" s="55">
        <v>46064.417084467503</v>
      </c>
      <c r="C419" s="56" t="s">
        <v>394</v>
      </c>
      <c r="D419" s="56" t="s">
        <v>395</v>
      </c>
      <c r="E419" s="26" t="s">
        <v>21</v>
      </c>
      <c r="F419" s="26" t="s">
        <v>401</v>
      </c>
      <c r="G419" s="26" t="s">
        <v>928</v>
      </c>
      <c r="H419" s="26" t="s">
        <v>929</v>
      </c>
      <c r="I419" s="26"/>
      <c r="J419" s="26" t="s">
        <v>14</v>
      </c>
      <c r="K419" s="26" t="s">
        <v>13</v>
      </c>
      <c r="L419" s="55">
        <v>46064.573691365746</v>
      </c>
      <c r="M419" s="26"/>
    </row>
    <row r="420" spans="1:13" ht="75" customHeight="1" thickTop="1" thickBot="1">
      <c r="A420" s="26">
        <v>418</v>
      </c>
      <c r="B420" s="55">
        <v>46064.4175776388</v>
      </c>
      <c r="C420" s="56" t="s">
        <v>394</v>
      </c>
      <c r="D420" s="56" t="s">
        <v>395</v>
      </c>
      <c r="E420" s="26" t="s">
        <v>21</v>
      </c>
      <c r="F420" s="26" t="s">
        <v>401</v>
      </c>
      <c r="G420" s="26" t="s">
        <v>442</v>
      </c>
      <c r="H420" s="26" t="s">
        <v>527</v>
      </c>
      <c r="I420" s="26"/>
      <c r="J420" s="26" t="s">
        <v>12</v>
      </c>
      <c r="K420" s="26" t="s">
        <v>13</v>
      </c>
      <c r="L420" s="55">
        <v>46064.566022615742</v>
      </c>
      <c r="M420" s="26"/>
    </row>
    <row r="421" spans="1:13" ht="75" customHeight="1" thickTop="1" thickBot="1">
      <c r="A421" s="34">
        <v>419</v>
      </c>
      <c r="B421" s="55">
        <v>46064.418458344902</v>
      </c>
      <c r="C421" s="56" t="s">
        <v>394</v>
      </c>
      <c r="D421" s="56" t="s">
        <v>395</v>
      </c>
      <c r="E421" s="26" t="s">
        <v>21</v>
      </c>
      <c r="F421" s="26" t="s">
        <v>401</v>
      </c>
      <c r="G421" s="26" t="s">
        <v>439</v>
      </c>
      <c r="H421" s="26" t="s">
        <v>831</v>
      </c>
      <c r="I421" s="26"/>
      <c r="J421" s="26" t="s">
        <v>16</v>
      </c>
      <c r="K421" s="26" t="s">
        <v>13</v>
      </c>
      <c r="L421" s="55">
        <v>46064.566173229163</v>
      </c>
      <c r="M421" s="26"/>
    </row>
    <row r="422" spans="1:13" ht="75" customHeight="1" thickTop="1" thickBot="1">
      <c r="A422" s="26">
        <v>420</v>
      </c>
      <c r="B422" s="55">
        <v>46064.4192793865</v>
      </c>
      <c r="C422" s="56" t="s">
        <v>394</v>
      </c>
      <c r="D422" s="56" t="s">
        <v>395</v>
      </c>
      <c r="E422" s="26" t="s">
        <v>21</v>
      </c>
      <c r="F422" s="26" t="s">
        <v>403</v>
      </c>
      <c r="G422" s="26" t="s">
        <v>439</v>
      </c>
      <c r="H422" s="26" t="s">
        <v>832</v>
      </c>
      <c r="I422" s="26"/>
      <c r="J422" s="26" t="s">
        <v>16</v>
      </c>
      <c r="K422" s="26" t="s">
        <v>13</v>
      </c>
      <c r="L422" s="55"/>
      <c r="M422" s="26"/>
    </row>
    <row r="423" spans="1:13" ht="75" customHeight="1" thickTop="1" thickBot="1">
      <c r="A423" s="34">
        <v>421</v>
      </c>
      <c r="B423" s="55">
        <v>46064.462097523101</v>
      </c>
      <c r="C423" s="56" t="s">
        <v>394</v>
      </c>
      <c r="D423" s="56" t="s">
        <v>395</v>
      </c>
      <c r="E423" s="26" t="s">
        <v>21</v>
      </c>
      <c r="F423" s="26" t="s">
        <v>405</v>
      </c>
      <c r="G423" s="26" t="s">
        <v>930</v>
      </c>
      <c r="H423" s="26" t="s">
        <v>931</v>
      </c>
      <c r="I423" s="26"/>
      <c r="J423" s="26" t="s">
        <v>14</v>
      </c>
      <c r="K423" s="26" t="s">
        <v>17</v>
      </c>
      <c r="L423" s="55">
        <v>46071.324474236113</v>
      </c>
      <c r="M423" s="26"/>
    </row>
    <row r="424" spans="1:13" ht="75" customHeight="1" thickTop="1" thickBot="1">
      <c r="A424" s="26">
        <v>422</v>
      </c>
      <c r="B424" s="55">
        <v>46064.5690646527</v>
      </c>
      <c r="C424" s="56" t="s">
        <v>394</v>
      </c>
      <c r="D424" s="56" t="s">
        <v>395</v>
      </c>
      <c r="E424" s="26" t="s">
        <v>21</v>
      </c>
      <c r="F424" s="26" t="s">
        <v>405</v>
      </c>
      <c r="G424" s="26" t="s">
        <v>442</v>
      </c>
      <c r="H424" s="26" t="s">
        <v>833</v>
      </c>
      <c r="I424" s="26"/>
      <c r="J424" s="26" t="s">
        <v>16</v>
      </c>
      <c r="K424" s="26" t="s">
        <v>13</v>
      </c>
      <c r="L424" s="55">
        <v>46064.573188958333</v>
      </c>
      <c r="M424" s="26"/>
    </row>
    <row r="425" spans="1:13" ht="75" customHeight="1" thickTop="1" thickBot="1">
      <c r="A425" s="34">
        <v>423</v>
      </c>
      <c r="B425" s="55">
        <v>46064.569585208301</v>
      </c>
      <c r="C425" s="56" t="s">
        <v>394</v>
      </c>
      <c r="D425" s="56" t="s">
        <v>395</v>
      </c>
      <c r="E425" s="26" t="s">
        <v>21</v>
      </c>
      <c r="F425" s="26" t="s">
        <v>405</v>
      </c>
      <c r="G425" s="26" t="s">
        <v>442</v>
      </c>
      <c r="H425" s="26" t="s">
        <v>834</v>
      </c>
      <c r="I425" s="26"/>
      <c r="J425" s="26" t="s">
        <v>16</v>
      </c>
      <c r="K425" s="26" t="s">
        <v>13</v>
      </c>
      <c r="L425" s="55">
        <v>46064.573203761574</v>
      </c>
      <c r="M425" s="26"/>
    </row>
    <row r="426" spans="1:13" ht="75" customHeight="1" thickTop="1" thickBot="1">
      <c r="A426" s="26">
        <v>424</v>
      </c>
      <c r="B426" s="55">
        <v>46064.570881574</v>
      </c>
      <c r="C426" s="56" t="s">
        <v>394</v>
      </c>
      <c r="D426" s="56" t="s">
        <v>395</v>
      </c>
      <c r="E426" s="26" t="s">
        <v>21</v>
      </c>
      <c r="F426" s="26" t="s">
        <v>405</v>
      </c>
      <c r="G426" s="26" t="s">
        <v>442</v>
      </c>
      <c r="H426" s="26" t="s">
        <v>835</v>
      </c>
      <c r="I426" s="26"/>
      <c r="J426" s="26" t="s">
        <v>16</v>
      </c>
      <c r="K426" s="26" t="s">
        <v>13</v>
      </c>
      <c r="L426" s="55">
        <v>46064.573224467589</v>
      </c>
      <c r="M426" s="26"/>
    </row>
    <row r="427" spans="1:13" ht="75" customHeight="1" thickTop="1" thickBot="1">
      <c r="A427" s="34">
        <v>425</v>
      </c>
      <c r="B427" s="55">
        <v>46064.5715990393</v>
      </c>
      <c r="C427" s="56" t="s">
        <v>394</v>
      </c>
      <c r="D427" s="56" t="s">
        <v>114</v>
      </c>
      <c r="E427" s="26" t="s">
        <v>22</v>
      </c>
      <c r="F427" s="26" t="s">
        <v>396</v>
      </c>
      <c r="G427" s="26" t="s">
        <v>836</v>
      </c>
      <c r="H427" s="26" t="s">
        <v>837</v>
      </c>
      <c r="I427" s="26"/>
      <c r="J427" s="26" t="s">
        <v>16</v>
      </c>
      <c r="K427" s="26" t="s">
        <v>13</v>
      </c>
      <c r="L427" s="55">
        <v>46064.573239953708</v>
      </c>
      <c r="M427" s="26"/>
    </row>
    <row r="428" spans="1:13" ht="75" customHeight="1" thickTop="1" thickBot="1">
      <c r="A428" s="26">
        <v>426</v>
      </c>
      <c r="B428" s="55">
        <v>46064.575542511498</v>
      </c>
      <c r="C428" s="56" t="s">
        <v>394</v>
      </c>
      <c r="D428" s="56" t="s">
        <v>114</v>
      </c>
      <c r="E428" s="26" t="s">
        <v>22</v>
      </c>
      <c r="F428" s="26" t="s">
        <v>411</v>
      </c>
      <c r="G428" s="26" t="s">
        <v>40</v>
      </c>
      <c r="H428" s="26" t="s">
        <v>838</v>
      </c>
      <c r="I428" s="26"/>
      <c r="J428" s="26" t="s">
        <v>16</v>
      </c>
      <c r="K428" s="26" t="s">
        <v>13</v>
      </c>
      <c r="L428" s="55">
        <v>46064.575639398143</v>
      </c>
      <c r="M428" s="26"/>
    </row>
    <row r="429" spans="1:13" ht="75" customHeight="1" thickTop="1" thickBot="1">
      <c r="A429" s="34">
        <v>427</v>
      </c>
      <c r="B429" s="55">
        <v>46064.5766365046</v>
      </c>
      <c r="C429" s="56" t="s">
        <v>394</v>
      </c>
      <c r="D429" s="56" t="s">
        <v>114</v>
      </c>
      <c r="E429" s="26" t="s">
        <v>22</v>
      </c>
      <c r="F429" s="26" t="s">
        <v>396</v>
      </c>
      <c r="G429" s="26" t="s">
        <v>839</v>
      </c>
      <c r="H429" s="26" t="s">
        <v>840</v>
      </c>
      <c r="I429" s="26"/>
      <c r="J429" s="26" t="s">
        <v>16</v>
      </c>
      <c r="K429" s="26" t="s">
        <v>13</v>
      </c>
      <c r="L429" s="55">
        <v>46064.57776378472</v>
      </c>
      <c r="M429" s="26"/>
    </row>
    <row r="430" spans="1:13" ht="75" customHeight="1" thickTop="1" thickBot="1">
      <c r="A430" s="26">
        <v>428</v>
      </c>
      <c r="B430" s="55">
        <v>46064.577375069399</v>
      </c>
      <c r="C430" s="56" t="s">
        <v>394</v>
      </c>
      <c r="D430" s="56" t="s">
        <v>114</v>
      </c>
      <c r="E430" s="26" t="s">
        <v>22</v>
      </c>
      <c r="F430" s="26" t="s">
        <v>403</v>
      </c>
      <c r="G430" s="26" t="s">
        <v>839</v>
      </c>
      <c r="H430" s="26" t="s">
        <v>841</v>
      </c>
      <c r="I430" s="26"/>
      <c r="J430" s="26" t="s">
        <v>16</v>
      </c>
      <c r="K430" s="26" t="s">
        <v>13</v>
      </c>
      <c r="L430" s="55">
        <v>46064.577786469905</v>
      </c>
      <c r="M430" s="26"/>
    </row>
    <row r="431" spans="1:13" ht="75" customHeight="1" thickTop="1" thickBot="1">
      <c r="A431" s="34">
        <v>429</v>
      </c>
      <c r="B431" s="55">
        <v>46067.336533634203</v>
      </c>
      <c r="C431" s="56" t="s">
        <v>394</v>
      </c>
      <c r="D431" s="56" t="s">
        <v>395</v>
      </c>
      <c r="E431" s="26" t="s">
        <v>21</v>
      </c>
      <c r="F431" s="26" t="s">
        <v>396</v>
      </c>
      <c r="G431" s="26" t="s">
        <v>439</v>
      </c>
      <c r="H431" s="26" t="s">
        <v>1484</v>
      </c>
      <c r="I431" s="26"/>
      <c r="J431" s="26" t="s">
        <v>14</v>
      </c>
      <c r="K431" s="26" t="s">
        <v>13</v>
      </c>
      <c r="L431" s="55">
        <v>46067.404576157409</v>
      </c>
      <c r="M431" s="26"/>
    </row>
    <row r="432" spans="1:13" ht="75" customHeight="1" thickTop="1" thickBot="1">
      <c r="A432" s="26">
        <v>430</v>
      </c>
      <c r="B432" s="55">
        <v>46067.402754536997</v>
      </c>
      <c r="C432" s="56" t="s">
        <v>394</v>
      </c>
      <c r="D432" s="56" t="s">
        <v>395</v>
      </c>
      <c r="E432" s="26" t="s">
        <v>21</v>
      </c>
      <c r="F432" s="26" t="s">
        <v>598</v>
      </c>
      <c r="G432" s="26" t="s">
        <v>442</v>
      </c>
      <c r="H432" s="26" t="s">
        <v>932</v>
      </c>
      <c r="I432" s="26"/>
      <c r="J432" s="26" t="s">
        <v>14</v>
      </c>
      <c r="K432" s="26" t="s">
        <v>13</v>
      </c>
      <c r="L432" s="55">
        <v>46067.421632488426</v>
      </c>
      <c r="M432" s="26"/>
    </row>
    <row r="433" spans="1:13" ht="75" customHeight="1" thickTop="1" thickBot="1">
      <c r="A433" s="34">
        <v>431</v>
      </c>
      <c r="B433" s="55">
        <v>46067.448222083302</v>
      </c>
      <c r="C433" s="56" t="s">
        <v>394</v>
      </c>
      <c r="D433" s="56" t="s">
        <v>114</v>
      </c>
      <c r="E433" s="26" t="s">
        <v>22</v>
      </c>
      <c r="F433" s="26" t="s">
        <v>399</v>
      </c>
      <c r="G433" s="26" t="s">
        <v>404</v>
      </c>
      <c r="H433" s="26" t="s">
        <v>842</v>
      </c>
      <c r="I433" s="26"/>
      <c r="J433" s="26" t="s">
        <v>16</v>
      </c>
      <c r="K433" s="26" t="s">
        <v>13</v>
      </c>
      <c r="L433" s="55"/>
      <c r="M433" s="26"/>
    </row>
    <row r="434" spans="1:13" ht="75" customHeight="1" thickTop="1" thickBot="1">
      <c r="A434" s="26">
        <v>432</v>
      </c>
      <c r="B434" s="55">
        <v>46067.4512895023</v>
      </c>
      <c r="C434" s="56" t="s">
        <v>394</v>
      </c>
      <c r="D434" s="56" t="s">
        <v>114</v>
      </c>
      <c r="E434" s="26" t="s">
        <v>22</v>
      </c>
      <c r="F434" s="26" t="s">
        <v>399</v>
      </c>
      <c r="G434" s="26" t="s">
        <v>442</v>
      </c>
      <c r="H434" s="26" t="s">
        <v>843</v>
      </c>
      <c r="I434" s="26"/>
      <c r="J434" s="26" t="s">
        <v>16</v>
      </c>
      <c r="K434" s="26" t="s">
        <v>13</v>
      </c>
      <c r="L434" s="55"/>
      <c r="M434" s="26"/>
    </row>
    <row r="435" spans="1:13" ht="75" customHeight="1" thickTop="1" thickBot="1">
      <c r="A435" s="34">
        <v>433</v>
      </c>
      <c r="B435" s="55">
        <v>46067.452110011502</v>
      </c>
      <c r="C435" s="56" t="s">
        <v>394</v>
      </c>
      <c r="D435" s="56" t="s">
        <v>114</v>
      </c>
      <c r="E435" s="26" t="s">
        <v>22</v>
      </c>
      <c r="F435" s="26" t="s">
        <v>399</v>
      </c>
      <c r="G435" s="26" t="s">
        <v>439</v>
      </c>
      <c r="H435" s="26" t="s">
        <v>844</v>
      </c>
      <c r="I435" s="26"/>
      <c r="J435" s="26" t="s">
        <v>16</v>
      </c>
      <c r="K435" s="26" t="s">
        <v>13</v>
      </c>
      <c r="L435" s="55"/>
      <c r="M435" s="26"/>
    </row>
    <row r="436" spans="1:13" ht="75" customHeight="1" thickTop="1" thickBot="1">
      <c r="A436" s="26">
        <v>434</v>
      </c>
      <c r="B436" s="55">
        <v>46067.452578935103</v>
      </c>
      <c r="C436" s="56" t="s">
        <v>394</v>
      </c>
      <c r="D436" s="56" t="s">
        <v>114</v>
      </c>
      <c r="E436" s="26" t="s">
        <v>22</v>
      </c>
      <c r="F436" s="26" t="s">
        <v>399</v>
      </c>
      <c r="G436" s="26" t="s">
        <v>404</v>
      </c>
      <c r="H436" s="26" t="s">
        <v>611</v>
      </c>
      <c r="I436" s="26"/>
      <c r="J436" s="26" t="s">
        <v>16</v>
      </c>
      <c r="K436" s="26" t="s">
        <v>13</v>
      </c>
      <c r="L436" s="55"/>
      <c r="M436" s="26"/>
    </row>
    <row r="437" spans="1:13" ht="75" customHeight="1" thickTop="1" thickBot="1">
      <c r="A437" s="34">
        <v>435</v>
      </c>
      <c r="B437" s="55">
        <v>46067.453085000001</v>
      </c>
      <c r="C437" s="56" t="s">
        <v>394</v>
      </c>
      <c r="D437" s="56" t="s">
        <v>114</v>
      </c>
      <c r="E437" s="26" t="s">
        <v>22</v>
      </c>
      <c r="F437" s="26" t="s">
        <v>399</v>
      </c>
      <c r="G437" s="26" t="s">
        <v>404</v>
      </c>
      <c r="H437" s="26" t="s">
        <v>638</v>
      </c>
      <c r="I437" s="26"/>
      <c r="J437" s="26" t="s">
        <v>16</v>
      </c>
      <c r="K437" s="26" t="s">
        <v>13</v>
      </c>
      <c r="L437" s="55"/>
      <c r="M437" s="26"/>
    </row>
    <row r="438" spans="1:13" ht="75" customHeight="1" thickTop="1" thickBot="1">
      <c r="A438" s="26">
        <v>436</v>
      </c>
      <c r="B438" s="55">
        <v>46067.453737650401</v>
      </c>
      <c r="C438" s="56" t="s">
        <v>394</v>
      </c>
      <c r="D438" s="56" t="s">
        <v>114</v>
      </c>
      <c r="E438" s="26" t="s">
        <v>22</v>
      </c>
      <c r="F438" s="26" t="s">
        <v>403</v>
      </c>
      <c r="G438" s="26" t="s">
        <v>442</v>
      </c>
      <c r="H438" s="26" t="s">
        <v>845</v>
      </c>
      <c r="I438" s="26"/>
      <c r="J438" s="26" t="s">
        <v>16</v>
      </c>
      <c r="K438" s="26" t="s">
        <v>13</v>
      </c>
      <c r="L438" s="55"/>
      <c r="M438" s="26"/>
    </row>
    <row r="439" spans="1:13" ht="75" customHeight="1" thickTop="1" thickBot="1">
      <c r="A439" s="34">
        <v>437</v>
      </c>
      <c r="B439" s="55">
        <v>46067.454517152699</v>
      </c>
      <c r="C439" s="56" t="s">
        <v>394</v>
      </c>
      <c r="D439" s="56" t="s">
        <v>114</v>
      </c>
      <c r="E439" s="26" t="s">
        <v>22</v>
      </c>
      <c r="F439" s="26" t="s">
        <v>403</v>
      </c>
      <c r="G439" s="26" t="s">
        <v>404</v>
      </c>
      <c r="H439" s="26" t="s">
        <v>846</v>
      </c>
      <c r="I439" s="26"/>
      <c r="J439" s="26" t="s">
        <v>16</v>
      </c>
      <c r="K439" s="26" t="s">
        <v>13</v>
      </c>
      <c r="L439" s="55"/>
      <c r="M439" s="26"/>
    </row>
    <row r="440" spans="1:13" ht="75" customHeight="1" thickTop="1" thickBot="1">
      <c r="A440" s="26">
        <v>438</v>
      </c>
      <c r="B440" s="55">
        <v>46067.455191932801</v>
      </c>
      <c r="C440" s="56" t="s">
        <v>394</v>
      </c>
      <c r="D440" s="56" t="s">
        <v>395</v>
      </c>
      <c r="E440" s="26" t="s">
        <v>22</v>
      </c>
      <c r="F440" s="26" t="s">
        <v>403</v>
      </c>
      <c r="G440" s="26" t="s">
        <v>439</v>
      </c>
      <c r="H440" s="26" t="s">
        <v>847</v>
      </c>
      <c r="I440" s="26"/>
      <c r="J440" s="26" t="s">
        <v>16</v>
      </c>
      <c r="K440" s="26" t="s">
        <v>13</v>
      </c>
      <c r="L440" s="55"/>
      <c r="M440" s="26"/>
    </row>
    <row r="441" spans="1:13" ht="75" customHeight="1" thickTop="1" thickBot="1">
      <c r="A441" s="34">
        <v>439</v>
      </c>
      <c r="B441" s="55">
        <v>46067.456000636499</v>
      </c>
      <c r="C441" s="56" t="s">
        <v>394</v>
      </c>
      <c r="D441" s="56" t="s">
        <v>114</v>
      </c>
      <c r="E441" s="26" t="s">
        <v>22</v>
      </c>
      <c r="F441" s="26" t="s">
        <v>405</v>
      </c>
      <c r="G441" s="26" t="s">
        <v>442</v>
      </c>
      <c r="H441" s="26" t="s">
        <v>848</v>
      </c>
      <c r="I441" s="26"/>
      <c r="J441" s="26" t="s">
        <v>16</v>
      </c>
      <c r="K441" s="26" t="s">
        <v>13</v>
      </c>
      <c r="L441" s="55"/>
      <c r="M441" s="26"/>
    </row>
    <row r="442" spans="1:13" ht="75" customHeight="1" thickTop="1" thickBot="1">
      <c r="A442" s="26">
        <v>440</v>
      </c>
      <c r="B442" s="55">
        <v>46067.456821342501</v>
      </c>
      <c r="C442" s="56" t="s">
        <v>394</v>
      </c>
      <c r="D442" s="56" t="s">
        <v>114</v>
      </c>
      <c r="E442" s="26" t="s">
        <v>22</v>
      </c>
      <c r="F442" s="26" t="s">
        <v>405</v>
      </c>
      <c r="G442" s="26" t="s">
        <v>442</v>
      </c>
      <c r="H442" s="26" t="s">
        <v>849</v>
      </c>
      <c r="I442" s="26"/>
      <c r="J442" s="26" t="s">
        <v>16</v>
      </c>
      <c r="K442" s="26" t="s">
        <v>13</v>
      </c>
      <c r="L442" s="55"/>
      <c r="M442" s="26"/>
    </row>
    <row r="443" spans="1:13" ht="75" customHeight="1" thickTop="1" thickBot="1">
      <c r="A443" s="34">
        <v>441</v>
      </c>
      <c r="B443" s="55">
        <v>46067.4573175115</v>
      </c>
      <c r="C443" s="56" t="s">
        <v>394</v>
      </c>
      <c r="D443" s="56" t="s">
        <v>114</v>
      </c>
      <c r="E443" s="26" t="s">
        <v>22</v>
      </c>
      <c r="F443" s="26" t="s">
        <v>413</v>
      </c>
      <c r="G443" s="26" t="s">
        <v>404</v>
      </c>
      <c r="H443" s="26" t="s">
        <v>849</v>
      </c>
      <c r="I443" s="26"/>
      <c r="J443" s="26" t="s">
        <v>16</v>
      </c>
      <c r="K443" s="26" t="s">
        <v>13</v>
      </c>
      <c r="L443" s="55"/>
      <c r="M443" s="26"/>
    </row>
    <row r="444" spans="1:13" ht="75" customHeight="1" thickTop="1" thickBot="1">
      <c r="A444" s="26">
        <v>442</v>
      </c>
      <c r="B444" s="55">
        <v>46067.457999444399</v>
      </c>
      <c r="C444" s="56" t="s">
        <v>394</v>
      </c>
      <c r="D444" s="56" t="s">
        <v>114</v>
      </c>
      <c r="E444" s="26" t="s">
        <v>22</v>
      </c>
      <c r="F444" s="26" t="s">
        <v>639</v>
      </c>
      <c r="G444" s="26" t="s">
        <v>404</v>
      </c>
      <c r="H444" s="26" t="s">
        <v>850</v>
      </c>
      <c r="I444" s="26"/>
      <c r="J444" s="26" t="s">
        <v>16</v>
      </c>
      <c r="K444" s="26" t="s">
        <v>13</v>
      </c>
      <c r="L444" s="55"/>
      <c r="M444" s="26"/>
    </row>
    <row r="445" spans="1:13" ht="75" customHeight="1" thickTop="1" thickBot="1">
      <c r="A445" s="34">
        <v>443</v>
      </c>
      <c r="B445" s="55">
        <v>46067.458557742997</v>
      </c>
      <c r="C445" s="56" t="s">
        <v>394</v>
      </c>
      <c r="D445" s="56" t="s">
        <v>114</v>
      </c>
      <c r="E445" s="26" t="s">
        <v>22</v>
      </c>
      <c r="F445" s="26" t="s">
        <v>401</v>
      </c>
      <c r="G445" s="26" t="s">
        <v>442</v>
      </c>
      <c r="H445" s="26" t="s">
        <v>851</v>
      </c>
      <c r="I445" s="26"/>
      <c r="J445" s="26" t="s">
        <v>16</v>
      </c>
      <c r="K445" s="26" t="s">
        <v>13</v>
      </c>
      <c r="L445" s="55"/>
      <c r="M445" s="26"/>
    </row>
    <row r="446" spans="1:13" ht="75" customHeight="1" thickTop="1" thickBot="1">
      <c r="A446" s="26">
        <v>444</v>
      </c>
      <c r="B446" s="55">
        <v>46067.459855694397</v>
      </c>
      <c r="C446" s="56" t="s">
        <v>394</v>
      </c>
      <c r="D446" s="56" t="s">
        <v>114</v>
      </c>
      <c r="E446" s="26" t="s">
        <v>22</v>
      </c>
      <c r="F446" s="26" t="s">
        <v>401</v>
      </c>
      <c r="G446" s="26" t="s">
        <v>427</v>
      </c>
      <c r="H446" s="26" t="s">
        <v>852</v>
      </c>
      <c r="I446" s="26"/>
      <c r="J446" s="26" t="s">
        <v>16</v>
      </c>
      <c r="K446" s="26" t="s">
        <v>13</v>
      </c>
      <c r="L446" s="55"/>
      <c r="M446" s="26"/>
    </row>
    <row r="447" spans="1:13" ht="75" customHeight="1" thickTop="1" thickBot="1">
      <c r="A447" s="34">
        <v>445</v>
      </c>
      <c r="B447" s="55">
        <v>46067.460688564803</v>
      </c>
      <c r="C447" s="56" t="s">
        <v>394</v>
      </c>
      <c r="D447" s="56" t="s">
        <v>114</v>
      </c>
      <c r="E447" s="26" t="s">
        <v>22</v>
      </c>
      <c r="F447" s="26" t="s">
        <v>401</v>
      </c>
      <c r="G447" s="26" t="s">
        <v>404</v>
      </c>
      <c r="H447" s="26" t="s">
        <v>853</v>
      </c>
      <c r="I447" s="26"/>
      <c r="J447" s="26" t="s">
        <v>16</v>
      </c>
      <c r="K447" s="26" t="s">
        <v>13</v>
      </c>
      <c r="L447" s="55"/>
      <c r="M447" s="26"/>
    </row>
    <row r="448" spans="1:13" ht="75" customHeight="1" thickTop="1" thickBot="1">
      <c r="A448" s="26">
        <v>446</v>
      </c>
      <c r="B448" s="55">
        <v>46067.462096979099</v>
      </c>
      <c r="C448" s="56" t="s">
        <v>394</v>
      </c>
      <c r="D448" s="56" t="s">
        <v>114</v>
      </c>
      <c r="E448" s="26" t="s">
        <v>22</v>
      </c>
      <c r="F448" s="26" t="s">
        <v>411</v>
      </c>
      <c r="G448" s="26" t="s">
        <v>854</v>
      </c>
      <c r="H448" s="26" t="s">
        <v>855</v>
      </c>
      <c r="I448" s="26"/>
      <c r="J448" s="26" t="s">
        <v>16</v>
      </c>
      <c r="K448" s="26" t="s">
        <v>13</v>
      </c>
      <c r="L448" s="55"/>
      <c r="M448" s="26"/>
    </row>
    <row r="449" spans="1:13" ht="75" customHeight="1" thickTop="1" thickBot="1">
      <c r="A449" s="34">
        <v>447</v>
      </c>
      <c r="B449" s="55">
        <v>46067.462808333301</v>
      </c>
      <c r="C449" s="56" t="s">
        <v>394</v>
      </c>
      <c r="D449" s="56" t="s">
        <v>114</v>
      </c>
      <c r="E449" s="26" t="s">
        <v>22</v>
      </c>
      <c r="F449" s="26" t="s">
        <v>411</v>
      </c>
      <c r="G449" s="26" t="s">
        <v>854</v>
      </c>
      <c r="H449" s="26" t="s">
        <v>856</v>
      </c>
      <c r="I449" s="26"/>
      <c r="J449" s="26" t="s">
        <v>16</v>
      </c>
      <c r="K449" s="26" t="s">
        <v>13</v>
      </c>
      <c r="L449" s="55"/>
      <c r="M449" s="26"/>
    </row>
    <row r="450" spans="1:13" ht="75" customHeight="1" thickTop="1" thickBot="1">
      <c r="A450" s="26">
        <v>448</v>
      </c>
      <c r="B450" s="55">
        <v>46067.463618911999</v>
      </c>
      <c r="C450" s="56" t="s">
        <v>394</v>
      </c>
      <c r="D450" s="56" t="s">
        <v>114</v>
      </c>
      <c r="E450" s="26" t="s">
        <v>22</v>
      </c>
      <c r="F450" s="26" t="s">
        <v>411</v>
      </c>
      <c r="G450" s="26" t="s">
        <v>857</v>
      </c>
      <c r="H450" s="26" t="s">
        <v>858</v>
      </c>
      <c r="I450" s="26"/>
      <c r="J450" s="26" t="s">
        <v>16</v>
      </c>
      <c r="K450" s="26" t="s">
        <v>13</v>
      </c>
      <c r="L450" s="55"/>
      <c r="M450" s="26"/>
    </row>
    <row r="451" spans="1:13" ht="75" customHeight="1" thickTop="1" thickBot="1">
      <c r="A451" s="34">
        <v>449</v>
      </c>
      <c r="B451" s="55">
        <v>46068.312492766199</v>
      </c>
      <c r="C451" s="56" t="s">
        <v>394</v>
      </c>
      <c r="D451" s="56" t="s">
        <v>395</v>
      </c>
      <c r="E451" s="26" t="s">
        <v>21</v>
      </c>
      <c r="F451" s="26" t="s">
        <v>413</v>
      </c>
      <c r="G451" s="26" t="s">
        <v>442</v>
      </c>
      <c r="H451" s="26" t="s">
        <v>749</v>
      </c>
      <c r="I451" s="26"/>
      <c r="J451" s="26" t="s">
        <v>12</v>
      </c>
      <c r="K451" s="26" t="s">
        <v>750</v>
      </c>
      <c r="L451" s="55">
        <v>46068.482417453706</v>
      </c>
      <c r="M451" s="26" t="s">
        <v>118</v>
      </c>
    </row>
    <row r="452" spans="1:13" ht="75" customHeight="1" thickTop="1" thickBot="1">
      <c r="A452" s="26">
        <v>450</v>
      </c>
      <c r="B452" s="55">
        <v>46068.383328529999</v>
      </c>
      <c r="C452" s="56" t="s">
        <v>394</v>
      </c>
      <c r="D452" s="56" t="s">
        <v>395</v>
      </c>
      <c r="E452" s="26" t="s">
        <v>21</v>
      </c>
      <c r="F452" s="26" t="s">
        <v>411</v>
      </c>
      <c r="G452" s="26" t="s">
        <v>442</v>
      </c>
      <c r="H452" s="26" t="s">
        <v>933</v>
      </c>
      <c r="I452" s="26"/>
      <c r="J452" s="26" t="s">
        <v>14</v>
      </c>
      <c r="K452" s="26" t="s">
        <v>13</v>
      </c>
      <c r="L452" s="55">
        <v>46068.450741793982</v>
      </c>
      <c r="M452" s="26"/>
    </row>
    <row r="453" spans="1:13" ht="75" customHeight="1" thickTop="1" thickBot="1">
      <c r="A453" s="34">
        <v>451</v>
      </c>
      <c r="B453" s="55">
        <v>46068.472791979097</v>
      </c>
      <c r="C453" s="56" t="s">
        <v>394</v>
      </c>
      <c r="D453" s="56" t="s">
        <v>34</v>
      </c>
      <c r="E453" s="26" t="s">
        <v>22</v>
      </c>
      <c r="F453" s="26" t="s">
        <v>396</v>
      </c>
      <c r="G453" s="26" t="s">
        <v>565</v>
      </c>
      <c r="H453" s="26" t="s">
        <v>751</v>
      </c>
      <c r="I453" s="26"/>
      <c r="J453" s="26" t="s">
        <v>12</v>
      </c>
      <c r="K453" s="26" t="s">
        <v>13</v>
      </c>
      <c r="L453" s="55">
        <v>46068.481058391204</v>
      </c>
      <c r="M453" s="26"/>
    </row>
    <row r="454" spans="1:13" ht="75" customHeight="1" thickTop="1" thickBot="1">
      <c r="A454" s="26">
        <v>452</v>
      </c>
      <c r="B454" s="55">
        <v>46068.4730068055</v>
      </c>
      <c r="C454" s="56" t="s">
        <v>394</v>
      </c>
      <c r="D454" s="56" t="s">
        <v>395</v>
      </c>
      <c r="E454" s="26" t="s">
        <v>21</v>
      </c>
      <c r="F454" s="26" t="s">
        <v>411</v>
      </c>
      <c r="G454" s="26" t="s">
        <v>442</v>
      </c>
      <c r="H454" s="26" t="s">
        <v>752</v>
      </c>
      <c r="I454" s="26"/>
      <c r="J454" s="26" t="s">
        <v>12</v>
      </c>
      <c r="K454" s="26" t="s">
        <v>13</v>
      </c>
      <c r="L454" s="55">
        <v>46068.481115000002</v>
      </c>
      <c r="M454" s="26"/>
    </row>
    <row r="455" spans="1:13" ht="75" customHeight="1" thickTop="1" thickBot="1">
      <c r="A455" s="34">
        <v>453</v>
      </c>
      <c r="B455" s="55">
        <v>46068.473552858799</v>
      </c>
      <c r="C455" s="56" t="s">
        <v>394</v>
      </c>
      <c r="D455" s="56" t="s">
        <v>34</v>
      </c>
      <c r="E455" s="26" t="s">
        <v>22</v>
      </c>
      <c r="F455" s="26" t="s">
        <v>502</v>
      </c>
      <c r="G455" s="26" t="s">
        <v>449</v>
      </c>
      <c r="H455" s="26" t="s">
        <v>753</v>
      </c>
      <c r="I455" s="26"/>
      <c r="J455" s="26" t="s">
        <v>12</v>
      </c>
      <c r="K455" s="26" t="s">
        <v>13</v>
      </c>
      <c r="L455" s="55">
        <v>46068.481085856482</v>
      </c>
      <c r="M455" s="26"/>
    </row>
    <row r="456" spans="1:13" ht="75" customHeight="1" thickTop="1" thickBot="1">
      <c r="A456" s="26">
        <v>454</v>
      </c>
      <c r="B456" s="55">
        <v>46068.4739584606</v>
      </c>
      <c r="C456" s="56" t="s">
        <v>394</v>
      </c>
      <c r="D456" s="56" t="s">
        <v>34</v>
      </c>
      <c r="E456" s="26" t="s">
        <v>22</v>
      </c>
      <c r="F456" s="26" t="s">
        <v>754</v>
      </c>
      <c r="G456" s="26" t="s">
        <v>537</v>
      </c>
      <c r="H456" s="26" t="s">
        <v>3433</v>
      </c>
      <c r="I456" s="26"/>
      <c r="J456" s="26" t="s">
        <v>12</v>
      </c>
      <c r="K456" s="26" t="s">
        <v>13</v>
      </c>
      <c r="L456" s="55">
        <v>46068.481174537039</v>
      </c>
      <c r="M456" s="26"/>
    </row>
    <row r="457" spans="1:13" ht="75" customHeight="1" thickTop="1" thickBot="1">
      <c r="A457" s="34">
        <v>455</v>
      </c>
      <c r="B457" s="55">
        <v>46068.474242870303</v>
      </c>
      <c r="C457" s="56" t="s">
        <v>394</v>
      </c>
      <c r="D457" s="56" t="s">
        <v>34</v>
      </c>
      <c r="E457" s="26" t="s">
        <v>22</v>
      </c>
      <c r="F457" s="26" t="s">
        <v>737</v>
      </c>
      <c r="G457" s="26" t="s">
        <v>549</v>
      </c>
      <c r="H457" s="26" t="s">
        <v>3434</v>
      </c>
      <c r="I457" s="26"/>
      <c r="J457" s="26" t="s">
        <v>12</v>
      </c>
      <c r="K457" s="26" t="s">
        <v>13</v>
      </c>
      <c r="L457" s="55">
        <v>46068.481155162037</v>
      </c>
      <c r="M457" s="26"/>
    </row>
    <row r="458" spans="1:13" ht="75" customHeight="1" thickTop="1" thickBot="1">
      <c r="A458" s="26">
        <v>456</v>
      </c>
      <c r="B458" s="55">
        <v>46068.474627997603</v>
      </c>
      <c r="C458" s="56" t="s">
        <v>394</v>
      </c>
      <c r="D458" s="56" t="s">
        <v>34</v>
      </c>
      <c r="E458" s="26" t="s">
        <v>22</v>
      </c>
      <c r="F458" s="26" t="s">
        <v>411</v>
      </c>
      <c r="G458" s="26" t="s">
        <v>439</v>
      </c>
      <c r="H458" s="26" t="s">
        <v>3435</v>
      </c>
      <c r="I458" s="26"/>
      <c r="J458" s="26" t="s">
        <v>12</v>
      </c>
      <c r="K458" s="26" t="s">
        <v>13</v>
      </c>
      <c r="L458" s="55">
        <v>46068.48120869213</v>
      </c>
      <c r="M458" s="26"/>
    </row>
    <row r="459" spans="1:13" ht="75" customHeight="1" thickTop="1" thickBot="1">
      <c r="A459" s="34">
        <v>457</v>
      </c>
      <c r="B459" s="55">
        <v>46068.475304166597</v>
      </c>
      <c r="C459" s="56" t="s">
        <v>394</v>
      </c>
      <c r="D459" s="56" t="s">
        <v>34</v>
      </c>
      <c r="E459" s="26" t="s">
        <v>22</v>
      </c>
      <c r="F459" s="26" t="s">
        <v>755</v>
      </c>
      <c r="G459" s="26" t="s">
        <v>756</v>
      </c>
      <c r="H459" s="26" t="s">
        <v>3436</v>
      </c>
      <c r="I459" s="26"/>
      <c r="J459" s="26" t="s">
        <v>12</v>
      </c>
      <c r="K459" s="26" t="s">
        <v>13</v>
      </c>
      <c r="L459" s="55">
        <v>46068.4812321875</v>
      </c>
      <c r="M459" s="26"/>
    </row>
    <row r="460" spans="1:13" ht="75" customHeight="1" thickTop="1" thickBot="1">
      <c r="A460" s="26">
        <v>458</v>
      </c>
      <c r="B460" s="55">
        <v>46068.475933645801</v>
      </c>
      <c r="C460" s="56" t="s">
        <v>394</v>
      </c>
      <c r="D460" s="56" t="s">
        <v>34</v>
      </c>
      <c r="E460" s="26" t="s">
        <v>22</v>
      </c>
      <c r="F460" s="26" t="s">
        <v>405</v>
      </c>
      <c r="G460" s="26" t="s">
        <v>757</v>
      </c>
      <c r="H460" s="26" t="s">
        <v>758</v>
      </c>
      <c r="I460" s="26"/>
      <c r="J460" s="26" t="s">
        <v>12</v>
      </c>
      <c r="K460" s="26" t="s">
        <v>13</v>
      </c>
      <c r="L460" s="55">
        <v>46068.481358124998</v>
      </c>
      <c r="M460" s="26"/>
    </row>
    <row r="461" spans="1:13" ht="75" customHeight="1" thickTop="1" thickBot="1">
      <c r="A461" s="34">
        <v>459</v>
      </c>
      <c r="B461" s="55">
        <v>46068.476526956001</v>
      </c>
      <c r="C461" s="56" t="s">
        <v>394</v>
      </c>
      <c r="D461" s="56" t="s">
        <v>34</v>
      </c>
      <c r="E461" s="26" t="s">
        <v>22</v>
      </c>
      <c r="F461" s="26" t="s">
        <v>411</v>
      </c>
      <c r="G461" s="26" t="s">
        <v>40</v>
      </c>
      <c r="H461" s="26" t="s">
        <v>759</v>
      </c>
      <c r="I461" s="26"/>
      <c r="J461" s="26" t="s">
        <v>12</v>
      </c>
      <c r="K461" s="26" t="s">
        <v>13</v>
      </c>
      <c r="L461" s="55">
        <v>46068.481384687504</v>
      </c>
      <c r="M461" s="26"/>
    </row>
    <row r="462" spans="1:13" ht="75" customHeight="1" thickTop="1" thickBot="1">
      <c r="A462" s="26">
        <v>460</v>
      </c>
      <c r="B462" s="55">
        <v>46068.476965080998</v>
      </c>
      <c r="C462" s="56" t="s">
        <v>394</v>
      </c>
      <c r="D462" s="56" t="s">
        <v>34</v>
      </c>
      <c r="E462" s="26" t="s">
        <v>22</v>
      </c>
      <c r="F462" s="26" t="s">
        <v>405</v>
      </c>
      <c r="G462" s="26" t="s">
        <v>760</v>
      </c>
      <c r="H462" s="26" t="s">
        <v>761</v>
      </c>
      <c r="I462" s="26"/>
      <c r="J462" s="26" t="s">
        <v>12</v>
      </c>
      <c r="K462" s="26" t="s">
        <v>13</v>
      </c>
      <c r="L462" s="55">
        <v>46068.481407789353</v>
      </c>
      <c r="M462" s="26"/>
    </row>
    <row r="463" spans="1:13" ht="75" customHeight="1" thickTop="1" thickBot="1">
      <c r="A463" s="34">
        <v>461</v>
      </c>
      <c r="B463" s="55">
        <v>46068.477565694397</v>
      </c>
      <c r="C463" s="56" t="s">
        <v>394</v>
      </c>
      <c r="D463" s="56" t="s">
        <v>34</v>
      </c>
      <c r="E463" s="26" t="s">
        <v>22</v>
      </c>
      <c r="F463" s="26" t="s">
        <v>411</v>
      </c>
      <c r="G463" s="26" t="s">
        <v>442</v>
      </c>
      <c r="H463" s="26" t="s">
        <v>762</v>
      </c>
      <c r="I463" s="26"/>
      <c r="J463" s="26" t="s">
        <v>12</v>
      </c>
      <c r="K463" s="26" t="s">
        <v>13</v>
      </c>
      <c r="L463" s="55">
        <v>46068.481436365742</v>
      </c>
      <c r="M463" s="26"/>
    </row>
    <row r="464" spans="1:13" ht="75" customHeight="1" thickTop="1" thickBot="1">
      <c r="A464" s="26">
        <v>462</v>
      </c>
      <c r="B464" s="55">
        <v>46068.478401597204</v>
      </c>
      <c r="C464" s="56" t="s">
        <v>394</v>
      </c>
      <c r="D464" s="56" t="s">
        <v>34</v>
      </c>
      <c r="E464" s="26" t="s">
        <v>22</v>
      </c>
      <c r="F464" s="26" t="s">
        <v>396</v>
      </c>
      <c r="G464" s="26" t="s">
        <v>442</v>
      </c>
      <c r="H464" s="26" t="s">
        <v>3437</v>
      </c>
      <c r="I464" s="26"/>
      <c r="J464" s="26" t="s">
        <v>12</v>
      </c>
      <c r="K464" s="26" t="s">
        <v>13</v>
      </c>
      <c r="L464" s="55">
        <v>46068.481460451389</v>
      </c>
      <c r="M464" s="26"/>
    </row>
    <row r="465" spans="1:13" ht="75" customHeight="1" thickTop="1" thickBot="1">
      <c r="A465" s="34">
        <v>463</v>
      </c>
      <c r="B465" s="55">
        <v>46068.478690752301</v>
      </c>
      <c r="C465" s="56" t="s">
        <v>394</v>
      </c>
      <c r="D465" s="56" t="s">
        <v>34</v>
      </c>
      <c r="E465" s="26" t="s">
        <v>22</v>
      </c>
      <c r="F465" s="26" t="s">
        <v>737</v>
      </c>
      <c r="G465" s="26" t="s">
        <v>442</v>
      </c>
      <c r="H465" s="26" t="s">
        <v>763</v>
      </c>
      <c r="I465" s="26"/>
      <c r="J465" s="26" t="s">
        <v>12</v>
      </c>
      <c r="K465" s="26" t="s">
        <v>13</v>
      </c>
      <c r="L465" s="55">
        <v>46068.481739768518</v>
      </c>
      <c r="M465" s="26"/>
    </row>
    <row r="466" spans="1:13" ht="75" customHeight="1" thickTop="1" thickBot="1">
      <c r="A466" s="26">
        <v>464</v>
      </c>
      <c r="B466" s="55">
        <v>46068.479069988403</v>
      </c>
      <c r="C466" s="56" t="s">
        <v>394</v>
      </c>
      <c r="D466" s="56" t="s">
        <v>34</v>
      </c>
      <c r="E466" s="26" t="s">
        <v>22</v>
      </c>
      <c r="F466" s="26" t="s">
        <v>403</v>
      </c>
      <c r="G466" s="26" t="s">
        <v>549</v>
      </c>
      <c r="H466" s="26" t="s">
        <v>764</v>
      </c>
      <c r="I466" s="26"/>
      <c r="J466" s="26" t="s">
        <v>12</v>
      </c>
      <c r="K466" s="26" t="s">
        <v>13</v>
      </c>
      <c r="L466" s="55">
        <v>46068.481776759261</v>
      </c>
      <c r="M466" s="26"/>
    </row>
    <row r="467" spans="1:13" ht="75" customHeight="1" thickTop="1" thickBot="1">
      <c r="A467" s="34">
        <v>465</v>
      </c>
      <c r="B467" s="55">
        <v>46068.480798807803</v>
      </c>
      <c r="C467" s="56" t="s">
        <v>394</v>
      </c>
      <c r="D467" s="56" t="s">
        <v>34</v>
      </c>
      <c r="E467" s="26" t="s">
        <v>22</v>
      </c>
      <c r="F467" s="26" t="s">
        <v>411</v>
      </c>
      <c r="G467" s="26" t="s">
        <v>442</v>
      </c>
      <c r="H467" s="26" t="s">
        <v>765</v>
      </c>
      <c r="I467" s="26"/>
      <c r="J467" s="26" t="s">
        <v>12</v>
      </c>
      <c r="K467" s="26" t="s">
        <v>13</v>
      </c>
      <c r="L467" s="55">
        <v>46068.481819988425</v>
      </c>
      <c r="M467" s="26"/>
    </row>
    <row r="468" spans="1:13" ht="75" customHeight="1" thickTop="1" thickBot="1">
      <c r="A468" s="26">
        <v>466</v>
      </c>
      <c r="B468" s="55">
        <v>46068.481232951301</v>
      </c>
      <c r="C468" s="56" t="s">
        <v>394</v>
      </c>
      <c r="D468" s="56" t="s">
        <v>34</v>
      </c>
      <c r="E468" s="26" t="s">
        <v>22</v>
      </c>
      <c r="F468" s="26" t="s">
        <v>401</v>
      </c>
      <c r="G468" s="26" t="s">
        <v>449</v>
      </c>
      <c r="H468" s="26" t="s">
        <v>766</v>
      </c>
      <c r="I468" s="26"/>
      <c r="J468" s="26" t="s">
        <v>12</v>
      </c>
      <c r="K468" s="26" t="s">
        <v>13</v>
      </c>
      <c r="L468" s="55">
        <v>46068.481797280096</v>
      </c>
      <c r="M468" s="26"/>
    </row>
    <row r="469" spans="1:13" ht="75" customHeight="1" thickTop="1" thickBot="1">
      <c r="A469" s="34">
        <v>467</v>
      </c>
      <c r="B469" s="55">
        <v>46068.481582395798</v>
      </c>
      <c r="C469" s="56" t="s">
        <v>394</v>
      </c>
      <c r="D469" s="56" t="s">
        <v>34</v>
      </c>
      <c r="E469" s="26" t="s">
        <v>22</v>
      </c>
      <c r="F469" s="26" t="s">
        <v>433</v>
      </c>
      <c r="G469" s="26" t="s">
        <v>404</v>
      </c>
      <c r="H469" s="26" t="s">
        <v>767</v>
      </c>
      <c r="I469" s="26"/>
      <c r="J469" s="26" t="s">
        <v>12</v>
      </c>
      <c r="K469" s="26" t="s">
        <v>13</v>
      </c>
      <c r="L469" s="55">
        <v>46068.481846354167</v>
      </c>
      <c r="M469" s="26"/>
    </row>
    <row r="470" spans="1:13" ht="75" customHeight="1" thickTop="1" thickBot="1">
      <c r="A470" s="26">
        <v>468</v>
      </c>
      <c r="B470" s="55">
        <v>46068.481791296297</v>
      </c>
      <c r="C470" s="56" t="s">
        <v>394</v>
      </c>
      <c r="D470" s="56" t="s">
        <v>34</v>
      </c>
      <c r="E470" s="26" t="s">
        <v>22</v>
      </c>
      <c r="F470" s="26" t="s">
        <v>405</v>
      </c>
      <c r="G470" s="26" t="s">
        <v>404</v>
      </c>
      <c r="H470" s="26" t="s">
        <v>768</v>
      </c>
      <c r="I470" s="26"/>
      <c r="J470" s="26" t="s">
        <v>12</v>
      </c>
      <c r="K470" s="26" t="s">
        <v>13</v>
      </c>
      <c r="L470" s="55">
        <v>46068.482110185185</v>
      </c>
      <c r="M470" s="26"/>
    </row>
    <row r="471" spans="1:13" ht="75" customHeight="1" thickTop="1" thickBot="1">
      <c r="A471" s="34">
        <v>469</v>
      </c>
      <c r="B471" s="55">
        <v>46068.482748125003</v>
      </c>
      <c r="C471" s="56" t="s">
        <v>394</v>
      </c>
      <c r="D471" s="56" t="s">
        <v>34</v>
      </c>
      <c r="E471" s="26" t="s">
        <v>22</v>
      </c>
      <c r="F471" s="26" t="s">
        <v>412</v>
      </c>
      <c r="G471" s="26" t="s">
        <v>769</v>
      </c>
      <c r="H471" s="26" t="s">
        <v>3438</v>
      </c>
      <c r="I471" s="26"/>
      <c r="J471" s="26" t="s">
        <v>12</v>
      </c>
      <c r="K471" s="26" t="s">
        <v>13</v>
      </c>
      <c r="L471" s="55">
        <v>46068.481865648151</v>
      </c>
      <c r="M471" s="26"/>
    </row>
    <row r="472" spans="1:13" ht="75" customHeight="1" thickTop="1" thickBot="1">
      <c r="A472" s="26">
        <v>470</v>
      </c>
      <c r="B472" s="55">
        <v>46068.483397673597</v>
      </c>
      <c r="C472" s="56" t="s">
        <v>394</v>
      </c>
      <c r="D472" s="56" t="s">
        <v>34</v>
      </c>
      <c r="E472" s="26" t="s">
        <v>22</v>
      </c>
      <c r="F472" s="26" t="s">
        <v>405</v>
      </c>
      <c r="G472" s="26" t="s">
        <v>770</v>
      </c>
      <c r="H472" s="26" t="s">
        <v>771</v>
      </c>
      <c r="I472" s="26"/>
      <c r="J472" s="26" t="s">
        <v>12</v>
      </c>
      <c r="K472" s="26" t="s">
        <v>13</v>
      </c>
      <c r="L472" s="55">
        <v>46068.484559780089</v>
      </c>
      <c r="M472" s="26"/>
    </row>
    <row r="473" spans="1:13" ht="75" customHeight="1" thickTop="1" thickBot="1">
      <c r="A473" s="34">
        <v>471</v>
      </c>
      <c r="B473" s="55">
        <v>46068.484657268498</v>
      </c>
      <c r="C473" s="56" t="s">
        <v>394</v>
      </c>
      <c r="D473" s="56" t="s">
        <v>34</v>
      </c>
      <c r="E473" s="26" t="s">
        <v>22</v>
      </c>
      <c r="F473" s="26" t="s">
        <v>411</v>
      </c>
      <c r="G473" s="26" t="s">
        <v>420</v>
      </c>
      <c r="H473" s="26" t="s">
        <v>772</v>
      </c>
      <c r="I473" s="26"/>
      <c r="J473" s="26" t="s">
        <v>12</v>
      </c>
      <c r="K473" s="26" t="s">
        <v>13</v>
      </c>
      <c r="L473" s="55">
        <v>46068.484732048615</v>
      </c>
      <c r="M473" s="26"/>
    </row>
    <row r="474" spans="1:13" ht="75" customHeight="1" thickTop="1" thickBot="1">
      <c r="A474" s="26">
        <v>472</v>
      </c>
      <c r="B474" s="55">
        <v>46068.486072141197</v>
      </c>
      <c r="C474" s="56" t="s">
        <v>394</v>
      </c>
      <c r="D474" s="56" t="s">
        <v>34</v>
      </c>
      <c r="E474" s="26" t="s">
        <v>22</v>
      </c>
      <c r="F474" s="26" t="s">
        <v>401</v>
      </c>
      <c r="G474" s="26" t="s">
        <v>449</v>
      </c>
      <c r="H474" s="26" t="s">
        <v>3439</v>
      </c>
      <c r="I474" s="26"/>
      <c r="J474" s="26" t="s">
        <v>12</v>
      </c>
      <c r="K474" s="26" t="s">
        <v>13</v>
      </c>
      <c r="L474" s="55">
        <v>46068.506110358794</v>
      </c>
      <c r="M474" s="26"/>
    </row>
    <row r="475" spans="1:13" ht="75" customHeight="1" thickTop="1" thickBot="1">
      <c r="A475" s="34">
        <v>473</v>
      </c>
      <c r="B475" s="55">
        <v>46068.489328900403</v>
      </c>
      <c r="C475" s="56" t="s">
        <v>394</v>
      </c>
      <c r="D475" s="56" t="s">
        <v>34</v>
      </c>
      <c r="E475" s="26" t="s">
        <v>22</v>
      </c>
      <c r="F475" s="26" t="s">
        <v>411</v>
      </c>
      <c r="G475" s="26" t="s">
        <v>773</v>
      </c>
      <c r="H475" s="26" t="s">
        <v>774</v>
      </c>
      <c r="I475" s="26"/>
      <c r="J475" s="26" t="s">
        <v>12</v>
      </c>
      <c r="K475" s="26" t="s">
        <v>13</v>
      </c>
      <c r="L475" s="55">
        <v>46068.506121481478</v>
      </c>
      <c r="M475" s="26"/>
    </row>
    <row r="476" spans="1:13" ht="75" customHeight="1" thickTop="1" thickBot="1">
      <c r="A476" s="26">
        <v>474</v>
      </c>
      <c r="B476" s="55">
        <v>46068.497286759201</v>
      </c>
      <c r="C476" s="56" t="s">
        <v>394</v>
      </c>
      <c r="D476" s="56" t="s">
        <v>34</v>
      </c>
      <c r="E476" s="26" t="s">
        <v>22</v>
      </c>
      <c r="F476" s="26" t="s">
        <v>411</v>
      </c>
      <c r="G476" s="26" t="s">
        <v>775</v>
      </c>
      <c r="H476" s="26" t="s">
        <v>3440</v>
      </c>
      <c r="I476" s="26"/>
      <c r="J476" s="26" t="s">
        <v>12</v>
      </c>
      <c r="K476" s="26" t="s">
        <v>13</v>
      </c>
      <c r="L476" s="55">
        <v>46068.506131145834</v>
      </c>
      <c r="M476" s="26"/>
    </row>
    <row r="477" spans="1:13" ht="75" customHeight="1" thickTop="1" thickBot="1">
      <c r="A477" s="34">
        <v>475</v>
      </c>
      <c r="B477" s="55">
        <v>46068.497819305499</v>
      </c>
      <c r="C477" s="56" t="s">
        <v>394</v>
      </c>
      <c r="D477" s="56" t="s">
        <v>34</v>
      </c>
      <c r="E477" s="26" t="s">
        <v>22</v>
      </c>
      <c r="F477" s="26" t="s">
        <v>401</v>
      </c>
      <c r="G477" s="26" t="s">
        <v>454</v>
      </c>
      <c r="H477" s="26" t="s">
        <v>776</v>
      </c>
      <c r="I477" s="26"/>
      <c r="J477" s="26" t="s">
        <v>12</v>
      </c>
      <c r="K477" s="26" t="s">
        <v>13</v>
      </c>
      <c r="L477" s="55">
        <v>46068.506167592597</v>
      </c>
      <c r="M477" s="26"/>
    </row>
    <row r="478" spans="1:13" ht="75" customHeight="1" thickTop="1" thickBot="1">
      <c r="A478" s="26">
        <v>476</v>
      </c>
      <c r="B478" s="55">
        <v>46068.499656504602</v>
      </c>
      <c r="C478" s="56" t="s">
        <v>394</v>
      </c>
      <c r="D478" s="56" t="s">
        <v>34</v>
      </c>
      <c r="E478" s="26" t="s">
        <v>22</v>
      </c>
      <c r="F478" s="26" t="s">
        <v>413</v>
      </c>
      <c r="G478" s="26" t="s">
        <v>549</v>
      </c>
      <c r="H478" s="26" t="s">
        <v>777</v>
      </c>
      <c r="I478" s="26"/>
      <c r="J478" s="26" t="s">
        <v>12</v>
      </c>
      <c r="K478" s="26" t="s">
        <v>13</v>
      </c>
      <c r="L478" s="55">
        <v>46068.506149733796</v>
      </c>
      <c r="M478" s="26"/>
    </row>
    <row r="479" spans="1:13" ht="75" customHeight="1" thickTop="1" thickBot="1">
      <c r="A479" s="34">
        <v>477</v>
      </c>
      <c r="B479" s="55">
        <v>46068.500001736102</v>
      </c>
      <c r="C479" s="56" t="s">
        <v>394</v>
      </c>
      <c r="D479" s="56" t="s">
        <v>34</v>
      </c>
      <c r="E479" s="26" t="s">
        <v>22</v>
      </c>
      <c r="F479" s="26" t="s">
        <v>401</v>
      </c>
      <c r="G479" s="26" t="s">
        <v>442</v>
      </c>
      <c r="H479" s="26" t="s">
        <v>3441</v>
      </c>
      <c r="I479" s="26"/>
      <c r="J479" s="26" t="s">
        <v>12</v>
      </c>
      <c r="K479" s="26" t="s">
        <v>13</v>
      </c>
      <c r="L479" s="55">
        <v>46068.506191990746</v>
      </c>
      <c r="M479" s="26"/>
    </row>
    <row r="480" spans="1:13" ht="75" customHeight="1" thickTop="1" thickBot="1">
      <c r="A480" s="26">
        <v>478</v>
      </c>
      <c r="B480" s="55">
        <v>46068.500276458297</v>
      </c>
      <c r="C480" s="56" t="s">
        <v>394</v>
      </c>
      <c r="D480" s="56" t="s">
        <v>34</v>
      </c>
      <c r="E480" s="26" t="s">
        <v>22</v>
      </c>
      <c r="F480" s="26" t="s">
        <v>413</v>
      </c>
      <c r="G480" s="26" t="s">
        <v>442</v>
      </c>
      <c r="H480" s="26" t="s">
        <v>3442</v>
      </c>
      <c r="I480" s="26"/>
      <c r="J480" s="26" t="s">
        <v>12</v>
      </c>
      <c r="K480" s="26" t="s">
        <v>13</v>
      </c>
      <c r="L480" s="55">
        <v>46068.506223634264</v>
      </c>
      <c r="M480" s="26"/>
    </row>
    <row r="481" spans="1:13" ht="75" customHeight="1" thickTop="1" thickBot="1">
      <c r="A481" s="34">
        <v>479</v>
      </c>
      <c r="B481" s="55">
        <v>46068.500559236098</v>
      </c>
      <c r="C481" s="56" t="s">
        <v>394</v>
      </c>
      <c r="D481" s="56" t="s">
        <v>34</v>
      </c>
      <c r="E481" s="26" t="s">
        <v>22</v>
      </c>
      <c r="F481" s="26" t="s">
        <v>401</v>
      </c>
      <c r="G481" s="26" t="s">
        <v>442</v>
      </c>
      <c r="H481" s="26" t="s">
        <v>778</v>
      </c>
      <c r="I481" s="26"/>
      <c r="J481" s="26" t="s">
        <v>12</v>
      </c>
      <c r="K481" s="26" t="s">
        <v>13</v>
      </c>
      <c r="L481" s="55">
        <v>46068.506230671293</v>
      </c>
      <c r="M481" s="26"/>
    </row>
    <row r="482" spans="1:13" ht="75" customHeight="1" thickTop="1" thickBot="1">
      <c r="A482" s="26">
        <v>480</v>
      </c>
      <c r="B482" s="55">
        <v>46068.500895069403</v>
      </c>
      <c r="C482" s="56" t="s">
        <v>394</v>
      </c>
      <c r="D482" s="56" t="s">
        <v>34</v>
      </c>
      <c r="E482" s="26" t="s">
        <v>22</v>
      </c>
      <c r="F482" s="26" t="s">
        <v>399</v>
      </c>
      <c r="G482" s="26" t="s">
        <v>442</v>
      </c>
      <c r="H482" s="26" t="s">
        <v>779</v>
      </c>
      <c r="I482" s="26"/>
      <c r="J482" s="26" t="s">
        <v>12</v>
      </c>
      <c r="K482" s="26" t="s">
        <v>13</v>
      </c>
      <c r="L482" s="55">
        <v>46068.506235891204</v>
      </c>
      <c r="M482" s="26"/>
    </row>
    <row r="483" spans="1:13" ht="75" customHeight="1" thickTop="1" thickBot="1">
      <c r="A483" s="34">
        <v>481</v>
      </c>
      <c r="B483" s="55">
        <v>46068.5014339236</v>
      </c>
      <c r="C483" s="56" t="s">
        <v>394</v>
      </c>
      <c r="D483" s="56" t="s">
        <v>34</v>
      </c>
      <c r="E483" s="26" t="s">
        <v>22</v>
      </c>
      <c r="F483" s="26" t="s">
        <v>413</v>
      </c>
      <c r="G483" s="26" t="s">
        <v>442</v>
      </c>
      <c r="H483" s="26" t="s">
        <v>3443</v>
      </c>
      <c r="I483" s="26"/>
      <c r="J483" s="26" t="s">
        <v>12</v>
      </c>
      <c r="K483" s="26" t="s">
        <v>13</v>
      </c>
      <c r="L483" s="55">
        <v>46068.50624771991</v>
      </c>
      <c r="M483" s="26"/>
    </row>
    <row r="484" spans="1:13" ht="75" customHeight="1" thickTop="1" thickBot="1">
      <c r="A484" s="26">
        <v>482</v>
      </c>
      <c r="B484" s="55">
        <v>46068.501869085601</v>
      </c>
      <c r="C484" s="56" t="s">
        <v>394</v>
      </c>
      <c r="D484" s="56" t="s">
        <v>34</v>
      </c>
      <c r="E484" s="26" t="s">
        <v>22</v>
      </c>
      <c r="F484" s="26" t="s">
        <v>405</v>
      </c>
      <c r="G484" s="26" t="s">
        <v>449</v>
      </c>
      <c r="H484" s="26" t="s">
        <v>780</v>
      </c>
      <c r="I484" s="26"/>
      <c r="J484" s="26" t="s">
        <v>12</v>
      </c>
      <c r="K484" s="26" t="s">
        <v>13</v>
      </c>
      <c r="L484" s="55">
        <v>46068.506275347223</v>
      </c>
      <c r="M484" s="26"/>
    </row>
    <row r="485" spans="1:13" ht="75" customHeight="1" thickTop="1" thickBot="1">
      <c r="A485" s="34">
        <v>483</v>
      </c>
      <c r="B485" s="55">
        <v>46068.502061631902</v>
      </c>
      <c r="C485" s="56" t="s">
        <v>394</v>
      </c>
      <c r="D485" s="56" t="s">
        <v>34</v>
      </c>
      <c r="E485" s="26" t="s">
        <v>22</v>
      </c>
      <c r="F485" s="26" t="s">
        <v>411</v>
      </c>
      <c r="G485" s="26" t="s">
        <v>449</v>
      </c>
      <c r="H485" s="26" t="s">
        <v>780</v>
      </c>
      <c r="I485" s="26"/>
      <c r="J485" s="26" t="s">
        <v>12</v>
      </c>
      <c r="K485" s="26" t="s">
        <v>13</v>
      </c>
      <c r="L485" s="55">
        <v>46068.5062716088</v>
      </c>
      <c r="M485" s="26"/>
    </row>
    <row r="486" spans="1:13" ht="75" customHeight="1" thickTop="1" thickBot="1">
      <c r="A486" s="26">
        <v>484</v>
      </c>
      <c r="B486" s="55">
        <v>46068.502579780099</v>
      </c>
      <c r="C486" s="56" t="s">
        <v>394</v>
      </c>
      <c r="D486" s="56" t="s">
        <v>34</v>
      </c>
      <c r="E486" s="26" t="s">
        <v>22</v>
      </c>
      <c r="F486" s="26" t="s">
        <v>412</v>
      </c>
      <c r="G486" s="26" t="s">
        <v>449</v>
      </c>
      <c r="H486" s="26" t="s">
        <v>780</v>
      </c>
      <c r="I486" s="26"/>
      <c r="J486" s="26" t="s">
        <v>12</v>
      </c>
      <c r="K486" s="26" t="s">
        <v>13</v>
      </c>
      <c r="L486" s="55">
        <v>46068.506290138888</v>
      </c>
      <c r="M486" s="26"/>
    </row>
    <row r="487" spans="1:13" ht="75" customHeight="1" thickTop="1" thickBot="1">
      <c r="A487" s="34">
        <v>485</v>
      </c>
      <c r="B487" s="55">
        <v>46068.502738634197</v>
      </c>
      <c r="C487" s="56" t="s">
        <v>394</v>
      </c>
      <c r="D487" s="56" t="s">
        <v>34</v>
      </c>
      <c r="E487" s="26" t="s">
        <v>22</v>
      </c>
      <c r="F487" s="26" t="s">
        <v>396</v>
      </c>
      <c r="G487" s="26" t="s">
        <v>449</v>
      </c>
      <c r="H487" s="26" t="s">
        <v>780</v>
      </c>
      <c r="I487" s="26"/>
      <c r="J487" s="26" t="s">
        <v>12</v>
      </c>
      <c r="K487" s="26" t="s">
        <v>13</v>
      </c>
      <c r="L487" s="55">
        <v>46068.506309837961</v>
      </c>
      <c r="M487" s="26"/>
    </row>
    <row r="488" spans="1:13" ht="75" customHeight="1" thickTop="1" thickBot="1">
      <c r="A488" s="26">
        <v>486</v>
      </c>
      <c r="B488" s="55">
        <v>46068.503017453702</v>
      </c>
      <c r="C488" s="56" t="s">
        <v>394</v>
      </c>
      <c r="D488" s="56" t="s">
        <v>34</v>
      </c>
      <c r="E488" s="26" t="s">
        <v>22</v>
      </c>
      <c r="F488" s="26" t="s">
        <v>399</v>
      </c>
      <c r="G488" s="26" t="s">
        <v>449</v>
      </c>
      <c r="H488" s="26" t="s">
        <v>780</v>
      </c>
      <c r="I488" s="26"/>
      <c r="J488" s="26" t="s">
        <v>12</v>
      </c>
      <c r="K488" s="26" t="s">
        <v>13</v>
      </c>
      <c r="L488" s="55">
        <v>46068.506311203702</v>
      </c>
      <c r="M488" s="26"/>
    </row>
    <row r="489" spans="1:13" ht="75" customHeight="1" thickTop="1" thickBot="1">
      <c r="A489" s="34">
        <v>487</v>
      </c>
      <c r="B489" s="55">
        <v>46068.503190185103</v>
      </c>
      <c r="C489" s="56" t="s">
        <v>394</v>
      </c>
      <c r="D489" s="56" t="s">
        <v>34</v>
      </c>
      <c r="E489" s="26" t="s">
        <v>22</v>
      </c>
      <c r="F489" s="26" t="s">
        <v>403</v>
      </c>
      <c r="G489" s="26" t="s">
        <v>449</v>
      </c>
      <c r="H489" s="26" t="s">
        <v>780</v>
      </c>
      <c r="I489" s="26"/>
      <c r="J489" s="26" t="s">
        <v>12</v>
      </c>
      <c r="K489" s="26" t="s">
        <v>13</v>
      </c>
      <c r="L489" s="55">
        <v>46068.506320509259</v>
      </c>
      <c r="M489" s="26"/>
    </row>
    <row r="490" spans="1:13" ht="75" customHeight="1" thickTop="1" thickBot="1">
      <c r="A490" s="26">
        <v>488</v>
      </c>
      <c r="B490" s="55">
        <v>46068.503436307801</v>
      </c>
      <c r="C490" s="56" t="s">
        <v>394</v>
      </c>
      <c r="D490" s="56" t="s">
        <v>34</v>
      </c>
      <c r="E490" s="26" t="s">
        <v>22</v>
      </c>
      <c r="F490" s="26" t="s">
        <v>401</v>
      </c>
      <c r="G490" s="26" t="s">
        <v>442</v>
      </c>
      <c r="H490" s="26" t="s">
        <v>780</v>
      </c>
      <c r="I490" s="26"/>
      <c r="J490" s="26" t="s">
        <v>12</v>
      </c>
      <c r="K490" s="26" t="s">
        <v>13</v>
      </c>
      <c r="L490" s="55">
        <v>46068.506335474536</v>
      </c>
      <c r="M490" s="26"/>
    </row>
    <row r="491" spans="1:13" ht="75" customHeight="1" thickTop="1" thickBot="1">
      <c r="A491" s="34">
        <v>489</v>
      </c>
      <c r="B491" s="55">
        <v>46068.504696840202</v>
      </c>
      <c r="C491" s="56" t="s">
        <v>394</v>
      </c>
      <c r="D491" s="56" t="s">
        <v>34</v>
      </c>
      <c r="E491" s="26" t="s">
        <v>22</v>
      </c>
      <c r="F491" s="26" t="s">
        <v>413</v>
      </c>
      <c r="G491" s="26" t="s">
        <v>449</v>
      </c>
      <c r="H491" s="26" t="s">
        <v>780</v>
      </c>
      <c r="I491" s="26"/>
      <c r="J491" s="26" t="s">
        <v>12</v>
      </c>
      <c r="K491" s="26" t="s">
        <v>13</v>
      </c>
      <c r="L491" s="55">
        <v>46068.506347662042</v>
      </c>
      <c r="M491" s="26"/>
    </row>
    <row r="492" spans="1:13" ht="75" customHeight="1" thickTop="1" thickBot="1">
      <c r="A492" s="26">
        <v>490</v>
      </c>
      <c r="B492" s="55">
        <v>46068.504893229103</v>
      </c>
      <c r="C492" s="56" t="s">
        <v>394</v>
      </c>
      <c r="D492" s="56" t="s">
        <v>34</v>
      </c>
      <c r="E492" s="26" t="s">
        <v>22</v>
      </c>
      <c r="F492" s="26" t="s">
        <v>416</v>
      </c>
      <c r="G492" s="26" t="s">
        <v>449</v>
      </c>
      <c r="H492" s="26" t="s">
        <v>780</v>
      </c>
      <c r="I492" s="26"/>
      <c r="J492" s="26" t="s">
        <v>12</v>
      </c>
      <c r="K492" s="26" t="s">
        <v>13</v>
      </c>
      <c r="L492" s="55">
        <v>46068.506354120371</v>
      </c>
      <c r="M492" s="26"/>
    </row>
    <row r="493" spans="1:13" ht="75" customHeight="1" thickTop="1" thickBot="1">
      <c r="A493" s="34">
        <v>491</v>
      </c>
      <c r="B493" s="55">
        <v>46068.505137951302</v>
      </c>
      <c r="C493" s="56" t="s">
        <v>394</v>
      </c>
      <c r="D493" s="56" t="s">
        <v>34</v>
      </c>
      <c r="E493" s="26" t="s">
        <v>22</v>
      </c>
      <c r="F493" s="26" t="s">
        <v>447</v>
      </c>
      <c r="G493" s="26" t="s">
        <v>449</v>
      </c>
      <c r="H493" s="26" t="s">
        <v>780</v>
      </c>
      <c r="I493" s="26"/>
      <c r="J493" s="26" t="s">
        <v>12</v>
      </c>
      <c r="K493" s="26" t="s">
        <v>13</v>
      </c>
      <c r="L493" s="55">
        <v>46068.506367754628</v>
      </c>
      <c r="M493" s="26"/>
    </row>
    <row r="494" spans="1:13" ht="75" customHeight="1" thickTop="1" thickBot="1">
      <c r="A494" s="26">
        <v>492</v>
      </c>
      <c r="B494" s="55">
        <v>46068.505541261497</v>
      </c>
      <c r="C494" s="56" t="s">
        <v>394</v>
      </c>
      <c r="D494" s="56" t="s">
        <v>34</v>
      </c>
      <c r="E494" s="26" t="s">
        <v>22</v>
      </c>
      <c r="F494" s="26" t="s">
        <v>401</v>
      </c>
      <c r="G494" s="26" t="s">
        <v>442</v>
      </c>
      <c r="H494" s="26" t="s">
        <v>779</v>
      </c>
      <c r="I494" s="26"/>
      <c r="J494" s="26" t="s">
        <v>12</v>
      </c>
      <c r="K494" s="26" t="s">
        <v>13</v>
      </c>
      <c r="L494" s="55">
        <v>46068.506375613426</v>
      </c>
      <c r="M494" s="26"/>
    </row>
    <row r="495" spans="1:13" ht="75" customHeight="1" thickTop="1" thickBot="1">
      <c r="A495" s="34">
        <v>493</v>
      </c>
      <c r="B495" s="55">
        <v>46068.534105393497</v>
      </c>
      <c r="C495" s="56" t="s">
        <v>394</v>
      </c>
      <c r="D495" s="56" t="s">
        <v>395</v>
      </c>
      <c r="E495" s="26" t="s">
        <v>21</v>
      </c>
      <c r="F495" s="26" t="s">
        <v>416</v>
      </c>
      <c r="G495" s="26" t="s">
        <v>442</v>
      </c>
      <c r="H495" s="26" t="s">
        <v>859</v>
      </c>
      <c r="I495" s="26"/>
      <c r="J495" s="26" t="s">
        <v>16</v>
      </c>
      <c r="K495" s="26" t="s">
        <v>13</v>
      </c>
      <c r="L495" s="55">
        <v>46068.554261168982</v>
      </c>
      <c r="M495" s="26"/>
    </row>
    <row r="496" spans="1:13" ht="75" customHeight="1" thickTop="1" thickBot="1">
      <c r="A496" s="26">
        <v>494</v>
      </c>
      <c r="B496" s="55">
        <v>46069.311450300898</v>
      </c>
      <c r="C496" s="56" t="s">
        <v>394</v>
      </c>
      <c r="D496" s="56" t="s">
        <v>699</v>
      </c>
      <c r="E496" s="26" t="s">
        <v>22</v>
      </c>
      <c r="F496" s="26" t="s">
        <v>405</v>
      </c>
      <c r="G496" s="26" t="s">
        <v>700</v>
      </c>
      <c r="H496" s="26" t="s">
        <v>3444</v>
      </c>
      <c r="I496" s="26"/>
      <c r="J496" s="26" t="s">
        <v>15</v>
      </c>
      <c r="K496" s="26" t="s">
        <v>13</v>
      </c>
      <c r="L496" s="55"/>
      <c r="M496" s="26"/>
    </row>
    <row r="497" spans="1:13" ht="75" customHeight="1" thickTop="1" thickBot="1">
      <c r="A497" s="34">
        <v>495</v>
      </c>
      <c r="B497" s="55">
        <v>46069.311731180504</v>
      </c>
      <c r="C497" s="56" t="s">
        <v>394</v>
      </c>
      <c r="D497" s="56" t="s">
        <v>699</v>
      </c>
      <c r="E497" s="26" t="s">
        <v>22</v>
      </c>
      <c r="F497" s="26" t="s">
        <v>405</v>
      </c>
      <c r="G497" s="26" t="s">
        <v>701</v>
      </c>
      <c r="H497" s="26" t="s">
        <v>3444</v>
      </c>
      <c r="I497" s="26"/>
      <c r="J497" s="26" t="s">
        <v>15</v>
      </c>
      <c r="K497" s="26" t="s">
        <v>13</v>
      </c>
      <c r="L497" s="55"/>
      <c r="M497" s="26"/>
    </row>
    <row r="498" spans="1:13" ht="75" customHeight="1" thickTop="1" thickBot="1">
      <c r="A498" s="26">
        <v>496</v>
      </c>
      <c r="B498" s="55">
        <v>46069.3121160995</v>
      </c>
      <c r="C498" s="56" t="s">
        <v>394</v>
      </c>
      <c r="D498" s="56" t="s">
        <v>699</v>
      </c>
      <c r="E498" s="26" t="s">
        <v>22</v>
      </c>
      <c r="F498" s="26" t="s">
        <v>411</v>
      </c>
      <c r="G498" s="26" t="s">
        <v>424</v>
      </c>
      <c r="H498" s="26" t="s">
        <v>3444</v>
      </c>
      <c r="I498" s="26"/>
      <c r="J498" s="26" t="s">
        <v>15</v>
      </c>
      <c r="K498" s="26" t="s">
        <v>13</v>
      </c>
      <c r="L498" s="55"/>
      <c r="M498" s="26"/>
    </row>
    <row r="499" spans="1:13" ht="75" customHeight="1" thickTop="1" thickBot="1">
      <c r="A499" s="34">
        <v>497</v>
      </c>
      <c r="B499" s="55">
        <v>46069.312389016202</v>
      </c>
      <c r="C499" s="56" t="s">
        <v>394</v>
      </c>
      <c r="D499" s="56" t="s">
        <v>699</v>
      </c>
      <c r="E499" s="26" t="s">
        <v>22</v>
      </c>
      <c r="F499" s="26" t="s">
        <v>412</v>
      </c>
      <c r="G499" s="26" t="s">
        <v>424</v>
      </c>
      <c r="H499" s="26" t="s">
        <v>3444</v>
      </c>
      <c r="I499" s="26"/>
      <c r="J499" s="26" t="s">
        <v>15</v>
      </c>
      <c r="K499" s="26" t="s">
        <v>13</v>
      </c>
      <c r="L499" s="55"/>
      <c r="M499" s="26"/>
    </row>
    <row r="500" spans="1:13" ht="75" customHeight="1" thickTop="1" thickBot="1">
      <c r="A500" s="26">
        <v>498</v>
      </c>
      <c r="B500" s="55">
        <v>46069.313369074</v>
      </c>
      <c r="C500" s="56" t="s">
        <v>394</v>
      </c>
      <c r="D500" s="56" t="s">
        <v>699</v>
      </c>
      <c r="E500" s="26" t="s">
        <v>22</v>
      </c>
      <c r="F500" s="26" t="s">
        <v>396</v>
      </c>
      <c r="G500" s="26" t="s">
        <v>424</v>
      </c>
      <c r="H500" s="26" t="s">
        <v>3444</v>
      </c>
      <c r="I500" s="26"/>
      <c r="J500" s="26" t="s">
        <v>15</v>
      </c>
      <c r="K500" s="26" t="s">
        <v>13</v>
      </c>
      <c r="L500" s="55"/>
      <c r="M500" s="26"/>
    </row>
    <row r="501" spans="1:13" ht="75" customHeight="1" thickTop="1" thickBot="1">
      <c r="A501" s="34">
        <v>499</v>
      </c>
      <c r="B501" s="55">
        <v>46069.313654502301</v>
      </c>
      <c r="C501" s="56" t="s">
        <v>394</v>
      </c>
      <c r="D501" s="56" t="s">
        <v>699</v>
      </c>
      <c r="E501" s="26" t="s">
        <v>22</v>
      </c>
      <c r="F501" s="26" t="s">
        <v>399</v>
      </c>
      <c r="G501" s="26" t="s">
        <v>424</v>
      </c>
      <c r="H501" s="26" t="s">
        <v>3444</v>
      </c>
      <c r="I501" s="26"/>
      <c r="J501" s="26" t="s">
        <v>15</v>
      </c>
      <c r="K501" s="26" t="s">
        <v>13</v>
      </c>
      <c r="L501" s="55"/>
      <c r="M501" s="26"/>
    </row>
    <row r="502" spans="1:13" ht="75" customHeight="1" thickTop="1" thickBot="1">
      <c r="A502" s="26">
        <v>500</v>
      </c>
      <c r="B502" s="55">
        <v>46069.317167303197</v>
      </c>
      <c r="C502" s="56" t="s">
        <v>394</v>
      </c>
      <c r="D502" s="56" t="s">
        <v>699</v>
      </c>
      <c r="E502" s="26" t="s">
        <v>22</v>
      </c>
      <c r="F502" s="26" t="s">
        <v>403</v>
      </c>
      <c r="G502" s="26" t="s">
        <v>424</v>
      </c>
      <c r="H502" s="26" t="s">
        <v>3444</v>
      </c>
      <c r="I502" s="26"/>
      <c r="J502" s="26" t="s">
        <v>16</v>
      </c>
      <c r="K502" s="26" t="s">
        <v>13</v>
      </c>
      <c r="L502" s="55"/>
      <c r="M502" s="26"/>
    </row>
    <row r="503" spans="1:13" ht="75" customHeight="1" thickTop="1" thickBot="1">
      <c r="A503" s="34">
        <v>501</v>
      </c>
      <c r="B503" s="55">
        <v>46069.318134016197</v>
      </c>
      <c r="C503" s="56" t="s">
        <v>394</v>
      </c>
      <c r="D503" s="56" t="s">
        <v>699</v>
      </c>
      <c r="E503" s="26" t="s">
        <v>22</v>
      </c>
      <c r="F503" s="26" t="s">
        <v>401</v>
      </c>
      <c r="G503" s="26" t="s">
        <v>424</v>
      </c>
      <c r="H503" s="26" t="s">
        <v>3444</v>
      </c>
      <c r="I503" s="26"/>
      <c r="J503" s="26" t="s">
        <v>15</v>
      </c>
      <c r="K503" s="26" t="s">
        <v>13</v>
      </c>
      <c r="L503" s="55"/>
      <c r="M503" s="26"/>
    </row>
    <row r="504" spans="1:13" ht="75" customHeight="1" thickTop="1" thickBot="1">
      <c r="A504" s="26">
        <v>502</v>
      </c>
      <c r="B504" s="55">
        <v>46069.318664976803</v>
      </c>
      <c r="C504" s="56" t="s">
        <v>394</v>
      </c>
      <c r="D504" s="56" t="s">
        <v>699</v>
      </c>
      <c r="E504" s="26" t="s">
        <v>22</v>
      </c>
      <c r="F504" s="26" t="s">
        <v>413</v>
      </c>
      <c r="G504" s="26" t="s">
        <v>424</v>
      </c>
      <c r="H504" s="26" t="s">
        <v>3444</v>
      </c>
      <c r="I504" s="26"/>
      <c r="J504" s="26" t="s">
        <v>15</v>
      </c>
      <c r="K504" s="26" t="s">
        <v>13</v>
      </c>
      <c r="L504" s="55"/>
      <c r="M504" s="26"/>
    </row>
    <row r="505" spans="1:13" ht="75" customHeight="1" thickTop="1" thickBot="1">
      <c r="A505" s="34">
        <v>503</v>
      </c>
      <c r="B505" s="55">
        <v>46069.318677743002</v>
      </c>
      <c r="C505" s="56" t="s">
        <v>394</v>
      </c>
      <c r="D505" s="56" t="s">
        <v>395</v>
      </c>
      <c r="E505" s="26" t="s">
        <v>21</v>
      </c>
      <c r="F505" s="26" t="s">
        <v>396</v>
      </c>
      <c r="G505" s="26" t="s">
        <v>442</v>
      </c>
      <c r="H505" s="26" t="s">
        <v>1484</v>
      </c>
      <c r="I505" s="26"/>
      <c r="J505" s="26" t="s">
        <v>14</v>
      </c>
      <c r="K505" s="26" t="s">
        <v>13</v>
      </c>
      <c r="L505" s="55">
        <v>46069.394094745367</v>
      </c>
      <c r="M505" s="26"/>
    </row>
    <row r="506" spans="1:13" ht="75" customHeight="1" thickTop="1" thickBot="1">
      <c r="A506" s="26">
        <v>504</v>
      </c>
      <c r="B506" s="55">
        <v>46069.319277546303</v>
      </c>
      <c r="C506" s="56" t="s">
        <v>394</v>
      </c>
      <c r="D506" s="56" t="s">
        <v>699</v>
      </c>
      <c r="E506" s="26" t="s">
        <v>22</v>
      </c>
      <c r="F506" s="26" t="s">
        <v>416</v>
      </c>
      <c r="G506" s="26" t="s">
        <v>424</v>
      </c>
      <c r="H506" s="26" t="s">
        <v>3444</v>
      </c>
      <c r="I506" s="26"/>
      <c r="J506" s="26" t="s">
        <v>15</v>
      </c>
      <c r="K506" s="26" t="s">
        <v>13</v>
      </c>
      <c r="L506" s="55">
        <v>46069.324284201386</v>
      </c>
      <c r="M506" s="26"/>
    </row>
    <row r="507" spans="1:13" ht="75" customHeight="1" thickTop="1" thickBot="1">
      <c r="A507" s="34">
        <v>505</v>
      </c>
      <c r="B507" s="55">
        <v>46069.319543379599</v>
      </c>
      <c r="C507" s="56" t="s">
        <v>394</v>
      </c>
      <c r="D507" s="56" t="s">
        <v>699</v>
      </c>
      <c r="E507" s="26" t="s">
        <v>22</v>
      </c>
      <c r="F507" s="26" t="s">
        <v>417</v>
      </c>
      <c r="G507" s="26" t="s">
        <v>424</v>
      </c>
      <c r="H507" s="26" t="s">
        <v>3444</v>
      </c>
      <c r="I507" s="26"/>
      <c r="J507" s="26" t="s">
        <v>15</v>
      </c>
      <c r="K507" s="26" t="s">
        <v>13</v>
      </c>
      <c r="L507" s="55"/>
      <c r="M507" s="26"/>
    </row>
    <row r="508" spans="1:13" ht="75" customHeight="1" thickTop="1" thickBot="1">
      <c r="A508" s="26">
        <v>506</v>
      </c>
      <c r="B508" s="55">
        <v>46069.320041099498</v>
      </c>
      <c r="C508" s="56" t="s">
        <v>394</v>
      </c>
      <c r="D508" s="56" t="s">
        <v>115</v>
      </c>
      <c r="E508" s="26" t="s">
        <v>22</v>
      </c>
      <c r="F508" s="26" t="s">
        <v>411</v>
      </c>
      <c r="G508" s="26" t="s">
        <v>40</v>
      </c>
      <c r="H508" s="26" t="s">
        <v>702</v>
      </c>
      <c r="I508" s="26"/>
      <c r="J508" s="26" t="s">
        <v>14</v>
      </c>
      <c r="K508" s="26" t="s">
        <v>13</v>
      </c>
      <c r="L508" s="55"/>
      <c r="M508" s="26"/>
    </row>
    <row r="509" spans="1:13" ht="75" customHeight="1" thickTop="1" thickBot="1">
      <c r="A509" s="34">
        <v>507</v>
      </c>
      <c r="B509" s="55">
        <v>46069.320244027702</v>
      </c>
      <c r="C509" s="56" t="s">
        <v>394</v>
      </c>
      <c r="D509" s="56" t="s">
        <v>699</v>
      </c>
      <c r="E509" s="26" t="s">
        <v>22</v>
      </c>
      <c r="F509" s="26" t="s">
        <v>412</v>
      </c>
      <c r="G509" s="26" t="s">
        <v>40</v>
      </c>
      <c r="H509" s="26" t="s">
        <v>702</v>
      </c>
      <c r="I509" s="26"/>
      <c r="J509" s="26" t="s">
        <v>15</v>
      </c>
      <c r="K509" s="26" t="s">
        <v>13</v>
      </c>
      <c r="L509" s="55"/>
      <c r="M509" s="26"/>
    </row>
    <row r="510" spans="1:13" ht="75" customHeight="1" thickTop="1" thickBot="1">
      <c r="A510" s="26">
        <v>508</v>
      </c>
      <c r="B510" s="55">
        <v>46069.320490520797</v>
      </c>
      <c r="C510" s="56" t="s">
        <v>394</v>
      </c>
      <c r="D510" s="56" t="s">
        <v>115</v>
      </c>
      <c r="E510" s="26" t="s">
        <v>22</v>
      </c>
      <c r="F510" s="26" t="s">
        <v>396</v>
      </c>
      <c r="G510" s="26" t="s">
        <v>40</v>
      </c>
      <c r="H510" s="26" t="s">
        <v>702</v>
      </c>
      <c r="I510" s="26"/>
      <c r="J510" s="26" t="s">
        <v>14</v>
      </c>
      <c r="K510" s="26" t="s">
        <v>13</v>
      </c>
      <c r="L510" s="55"/>
      <c r="M510" s="26"/>
    </row>
    <row r="511" spans="1:13" ht="75" customHeight="1" thickTop="1" thickBot="1">
      <c r="A511" s="34">
        <v>509</v>
      </c>
      <c r="B511" s="55">
        <v>46069.3207779398</v>
      </c>
      <c r="C511" s="56" t="s">
        <v>394</v>
      </c>
      <c r="D511" s="56" t="s">
        <v>115</v>
      </c>
      <c r="E511" s="26" t="s">
        <v>22</v>
      </c>
      <c r="F511" s="26" t="s">
        <v>399</v>
      </c>
      <c r="G511" s="26" t="s">
        <v>40</v>
      </c>
      <c r="H511" s="26" t="s">
        <v>702</v>
      </c>
      <c r="I511" s="26"/>
      <c r="J511" s="26" t="s">
        <v>14</v>
      </c>
      <c r="K511" s="26" t="s">
        <v>13</v>
      </c>
      <c r="L511" s="55"/>
      <c r="M511" s="26"/>
    </row>
    <row r="512" spans="1:13" ht="75" customHeight="1" thickTop="1" thickBot="1">
      <c r="A512" s="26">
        <v>510</v>
      </c>
      <c r="B512" s="55">
        <v>46069.320998807802</v>
      </c>
      <c r="C512" s="56" t="s">
        <v>394</v>
      </c>
      <c r="D512" s="56" t="s">
        <v>115</v>
      </c>
      <c r="E512" s="26" t="s">
        <v>22</v>
      </c>
      <c r="F512" s="26" t="s">
        <v>403</v>
      </c>
      <c r="G512" s="26" t="s">
        <v>40</v>
      </c>
      <c r="H512" s="26" t="s">
        <v>702</v>
      </c>
      <c r="I512" s="26"/>
      <c r="J512" s="26" t="s">
        <v>14</v>
      </c>
      <c r="K512" s="26" t="s">
        <v>13</v>
      </c>
      <c r="L512" s="55"/>
      <c r="M512" s="26"/>
    </row>
    <row r="513" spans="1:13" ht="75" customHeight="1" thickTop="1" thickBot="1">
      <c r="A513" s="34">
        <v>511</v>
      </c>
      <c r="B513" s="55">
        <v>46069.321247685097</v>
      </c>
      <c r="C513" s="56" t="s">
        <v>394</v>
      </c>
      <c r="D513" s="56" t="s">
        <v>115</v>
      </c>
      <c r="E513" s="26" t="s">
        <v>22</v>
      </c>
      <c r="F513" s="26" t="s">
        <v>401</v>
      </c>
      <c r="G513" s="26" t="s">
        <v>40</v>
      </c>
      <c r="H513" s="26" t="s">
        <v>702</v>
      </c>
      <c r="I513" s="26"/>
      <c r="J513" s="26" t="s">
        <v>14</v>
      </c>
      <c r="K513" s="26" t="s">
        <v>13</v>
      </c>
      <c r="L513" s="55"/>
      <c r="M513" s="26"/>
    </row>
    <row r="514" spans="1:13" ht="75" customHeight="1" thickTop="1" thickBot="1">
      <c r="A514" s="26">
        <v>512</v>
      </c>
      <c r="B514" s="55">
        <v>46069.3220822453</v>
      </c>
      <c r="C514" s="56" t="s">
        <v>394</v>
      </c>
      <c r="D514" s="56" t="s">
        <v>115</v>
      </c>
      <c r="E514" s="26" t="s">
        <v>22</v>
      </c>
      <c r="F514" s="26" t="s">
        <v>413</v>
      </c>
      <c r="G514" s="26" t="s">
        <v>40</v>
      </c>
      <c r="H514" s="26" t="s">
        <v>702</v>
      </c>
      <c r="I514" s="26"/>
      <c r="J514" s="26" t="s">
        <v>14</v>
      </c>
      <c r="K514" s="26" t="s">
        <v>13</v>
      </c>
      <c r="L514" s="55"/>
      <c r="M514" s="26"/>
    </row>
    <row r="515" spans="1:13" ht="75" customHeight="1" thickTop="1" thickBot="1">
      <c r="A515" s="34">
        <v>513</v>
      </c>
      <c r="B515" s="55">
        <v>46069.3223860648</v>
      </c>
      <c r="C515" s="56" t="s">
        <v>394</v>
      </c>
      <c r="D515" s="56" t="s">
        <v>115</v>
      </c>
      <c r="E515" s="26" t="s">
        <v>22</v>
      </c>
      <c r="F515" s="26" t="s">
        <v>416</v>
      </c>
      <c r="G515" s="26" t="s">
        <v>40</v>
      </c>
      <c r="H515" s="26" t="s">
        <v>702</v>
      </c>
      <c r="I515" s="26"/>
      <c r="J515" s="26" t="s">
        <v>14</v>
      </c>
      <c r="K515" s="26" t="s">
        <v>13</v>
      </c>
      <c r="L515" s="55"/>
      <c r="M515" s="26"/>
    </row>
    <row r="516" spans="1:13" ht="75" customHeight="1" thickTop="1" thickBot="1">
      <c r="A516" s="26">
        <v>514</v>
      </c>
      <c r="B516" s="55">
        <v>46069.322938981401</v>
      </c>
      <c r="C516" s="56" t="s">
        <v>394</v>
      </c>
      <c r="D516" s="56" t="s">
        <v>115</v>
      </c>
      <c r="E516" s="26" t="s">
        <v>22</v>
      </c>
      <c r="F516" s="26" t="s">
        <v>417</v>
      </c>
      <c r="G516" s="26" t="s">
        <v>40</v>
      </c>
      <c r="H516" s="26" t="s">
        <v>702</v>
      </c>
      <c r="I516" s="26"/>
      <c r="J516" s="26" t="s">
        <v>14</v>
      </c>
      <c r="K516" s="26" t="s">
        <v>13</v>
      </c>
      <c r="L516" s="55">
        <v>46069.324406423606</v>
      </c>
      <c r="M516" s="26"/>
    </row>
    <row r="517" spans="1:13" ht="75" customHeight="1" thickTop="1" thickBot="1">
      <c r="A517" s="34">
        <v>515</v>
      </c>
      <c r="B517" s="55">
        <v>46070.340094340201</v>
      </c>
      <c r="C517" s="56" t="s">
        <v>394</v>
      </c>
      <c r="D517" s="56" t="s">
        <v>395</v>
      </c>
      <c r="E517" s="26" t="s">
        <v>21</v>
      </c>
      <c r="F517" s="26" t="s">
        <v>413</v>
      </c>
      <c r="G517" s="26" t="s">
        <v>442</v>
      </c>
      <c r="H517" s="26" t="s">
        <v>860</v>
      </c>
      <c r="I517" s="26"/>
      <c r="J517" s="26" t="s">
        <v>16</v>
      </c>
      <c r="K517" s="26" t="s">
        <v>13</v>
      </c>
      <c r="L517" s="55">
        <v>46070.504169131949</v>
      </c>
      <c r="M517" s="26"/>
    </row>
    <row r="518" spans="1:13" ht="75" customHeight="1" thickTop="1" thickBot="1">
      <c r="A518" s="26">
        <v>516</v>
      </c>
      <c r="B518" s="55">
        <v>46070.444407789299</v>
      </c>
      <c r="C518" s="56" t="s">
        <v>394</v>
      </c>
      <c r="D518" s="56" t="s">
        <v>395</v>
      </c>
      <c r="E518" s="26" t="s">
        <v>21</v>
      </c>
      <c r="F518" s="26" t="s">
        <v>405</v>
      </c>
      <c r="G518" s="26" t="s">
        <v>703</v>
      </c>
      <c r="H518" s="26" t="s">
        <v>704</v>
      </c>
      <c r="I518" s="26"/>
      <c r="J518" s="26" t="s">
        <v>15</v>
      </c>
      <c r="K518" s="26" t="s">
        <v>13</v>
      </c>
      <c r="L518" s="55">
        <v>46070.472565324075</v>
      </c>
      <c r="M518" s="26"/>
    </row>
    <row r="519" spans="1:13" ht="75" customHeight="1" thickTop="1" thickBot="1">
      <c r="A519" s="34">
        <v>517</v>
      </c>
      <c r="B519" s="55">
        <v>46070.489798518502</v>
      </c>
      <c r="C519" s="56" t="s">
        <v>394</v>
      </c>
      <c r="D519" s="56" t="s">
        <v>395</v>
      </c>
      <c r="E519" s="26" t="s">
        <v>21</v>
      </c>
      <c r="F519" s="26" t="s">
        <v>401</v>
      </c>
      <c r="G519" s="26" t="s">
        <v>442</v>
      </c>
      <c r="H519" s="26" t="s">
        <v>705</v>
      </c>
      <c r="I519" s="26"/>
      <c r="J519" s="26" t="s">
        <v>15</v>
      </c>
      <c r="K519" s="26" t="s">
        <v>13</v>
      </c>
      <c r="L519" s="55">
        <v>46070.531546423612</v>
      </c>
      <c r="M519" s="26"/>
    </row>
    <row r="520" spans="1:13" ht="75" customHeight="1" thickTop="1" thickBot="1">
      <c r="A520" s="26">
        <v>518</v>
      </c>
      <c r="B520" s="55">
        <v>46071.327899409698</v>
      </c>
      <c r="C520" s="56" t="s">
        <v>394</v>
      </c>
      <c r="D520" s="56" t="s">
        <v>395</v>
      </c>
      <c r="E520" s="26" t="s">
        <v>21</v>
      </c>
      <c r="F520" s="26" t="s">
        <v>413</v>
      </c>
      <c r="G520" s="26" t="s">
        <v>442</v>
      </c>
      <c r="H520" s="26" t="s">
        <v>3445</v>
      </c>
      <c r="I520" s="26"/>
      <c r="J520" s="26" t="s">
        <v>14</v>
      </c>
      <c r="K520" s="26" t="s">
        <v>13</v>
      </c>
      <c r="L520" s="55">
        <v>46074.320656574069</v>
      </c>
      <c r="M520" s="26"/>
    </row>
    <row r="521" spans="1:13" ht="75" customHeight="1" thickTop="1" thickBot="1">
      <c r="A521" s="34">
        <v>519</v>
      </c>
      <c r="B521" s="55">
        <v>46071.352183344898</v>
      </c>
      <c r="C521" s="56" t="s">
        <v>394</v>
      </c>
      <c r="D521" s="56" t="s">
        <v>113</v>
      </c>
      <c r="E521" s="26" t="s">
        <v>22</v>
      </c>
      <c r="F521" s="26" t="s">
        <v>399</v>
      </c>
      <c r="G521" s="26" t="s">
        <v>861</v>
      </c>
      <c r="H521" s="26" t="s">
        <v>862</v>
      </c>
      <c r="I521" s="26"/>
      <c r="J521" s="26" t="s">
        <v>16</v>
      </c>
      <c r="K521" s="26" t="s">
        <v>13</v>
      </c>
      <c r="L521" s="55">
        <v>46071.354329502312</v>
      </c>
      <c r="M521" s="26"/>
    </row>
    <row r="522" spans="1:13" ht="75" customHeight="1" thickTop="1" thickBot="1">
      <c r="A522" s="26">
        <v>520</v>
      </c>
      <c r="B522" s="55">
        <v>46071.354080034696</v>
      </c>
      <c r="C522" s="56" t="s">
        <v>394</v>
      </c>
      <c r="D522" s="56" t="s">
        <v>113</v>
      </c>
      <c r="E522" s="26" t="s">
        <v>22</v>
      </c>
      <c r="F522" s="26" t="s">
        <v>396</v>
      </c>
      <c r="G522" s="26" t="s">
        <v>863</v>
      </c>
      <c r="H522" s="26" t="s">
        <v>864</v>
      </c>
      <c r="I522" s="26"/>
      <c r="J522" s="26" t="s">
        <v>16</v>
      </c>
      <c r="K522" s="26" t="s">
        <v>13</v>
      </c>
      <c r="L522" s="55">
        <v>46071.354345752319</v>
      </c>
      <c r="M522" s="26"/>
    </row>
    <row r="523" spans="1:13" ht="75" customHeight="1" thickTop="1" thickBot="1">
      <c r="A523" s="34">
        <v>521</v>
      </c>
      <c r="B523" s="55">
        <v>46071.382759629603</v>
      </c>
      <c r="C523" s="56" t="s">
        <v>394</v>
      </c>
      <c r="D523" s="56" t="s">
        <v>395</v>
      </c>
      <c r="E523" s="26" t="s">
        <v>21</v>
      </c>
      <c r="F523" s="26" t="s">
        <v>413</v>
      </c>
      <c r="G523" s="26" t="s">
        <v>442</v>
      </c>
      <c r="H523" s="26" t="s">
        <v>3446</v>
      </c>
      <c r="I523" s="26"/>
      <c r="J523" s="26" t="s">
        <v>12</v>
      </c>
      <c r="K523" s="26" t="s">
        <v>750</v>
      </c>
      <c r="L523" s="55">
        <v>46072.051717905095</v>
      </c>
      <c r="M523" s="26" t="s">
        <v>119</v>
      </c>
    </row>
    <row r="524" spans="1:13" ht="75" customHeight="1" thickTop="1" thickBot="1">
      <c r="A524" s="26">
        <v>522</v>
      </c>
      <c r="B524" s="55">
        <v>46071.390990717598</v>
      </c>
      <c r="C524" s="56" t="s">
        <v>394</v>
      </c>
      <c r="D524" s="56" t="s">
        <v>395</v>
      </c>
      <c r="E524" s="26" t="s">
        <v>21</v>
      </c>
      <c r="F524" s="26" t="s">
        <v>411</v>
      </c>
      <c r="G524" s="26" t="s">
        <v>442</v>
      </c>
      <c r="H524" s="26" t="s">
        <v>865</v>
      </c>
      <c r="I524" s="26"/>
      <c r="J524" s="26" t="s">
        <v>16</v>
      </c>
      <c r="K524" s="26" t="s">
        <v>13</v>
      </c>
      <c r="L524" s="55">
        <v>46072.513450266204</v>
      </c>
      <c r="M524" s="26"/>
    </row>
    <row r="525" spans="1:13" ht="75" customHeight="1" thickTop="1" thickBot="1">
      <c r="A525" s="34">
        <v>523</v>
      </c>
      <c r="B525" s="55">
        <v>46071.410236805503</v>
      </c>
      <c r="C525" s="56" t="s">
        <v>394</v>
      </c>
      <c r="D525" s="56" t="s">
        <v>395</v>
      </c>
      <c r="E525" s="26" t="s">
        <v>21</v>
      </c>
      <c r="F525" s="26" t="s">
        <v>412</v>
      </c>
      <c r="G525" s="26" t="s">
        <v>866</v>
      </c>
      <c r="H525" s="26" t="s">
        <v>867</v>
      </c>
      <c r="I525" s="26"/>
      <c r="J525" s="26" t="s">
        <v>16</v>
      </c>
      <c r="K525" s="26" t="s">
        <v>13</v>
      </c>
      <c r="L525" s="55">
        <v>46071.452844328705</v>
      </c>
      <c r="M525" s="26"/>
    </row>
    <row r="526" spans="1:13" ht="75" customHeight="1" thickTop="1" thickBot="1">
      <c r="A526" s="26">
        <v>524</v>
      </c>
      <c r="B526" s="55">
        <v>46071.414616724498</v>
      </c>
      <c r="C526" s="56" t="s">
        <v>394</v>
      </c>
      <c r="D526" s="56" t="s">
        <v>395</v>
      </c>
      <c r="E526" s="26" t="s">
        <v>21</v>
      </c>
      <c r="F526" s="26" t="s">
        <v>399</v>
      </c>
      <c r="G526" s="26" t="s">
        <v>442</v>
      </c>
      <c r="H526" s="26" t="s">
        <v>934</v>
      </c>
      <c r="I526" s="26"/>
      <c r="J526" s="26" t="s">
        <v>14</v>
      </c>
      <c r="K526" s="26" t="s">
        <v>13</v>
      </c>
      <c r="L526" s="55">
        <v>46072.372808148153</v>
      </c>
      <c r="M526" s="26"/>
    </row>
    <row r="527" spans="1:13" ht="75" customHeight="1" thickTop="1" thickBot="1">
      <c r="A527" s="34">
        <v>525</v>
      </c>
      <c r="B527" s="55">
        <v>46071.431339305498</v>
      </c>
      <c r="C527" s="56" t="s">
        <v>394</v>
      </c>
      <c r="D527" s="56" t="s">
        <v>395</v>
      </c>
      <c r="E527" s="26" t="s">
        <v>21</v>
      </c>
      <c r="F527" s="26" t="s">
        <v>399</v>
      </c>
      <c r="G527" s="26" t="s">
        <v>935</v>
      </c>
      <c r="H527" s="26" t="s">
        <v>936</v>
      </c>
      <c r="I527" s="26"/>
      <c r="J527" s="26" t="s">
        <v>14</v>
      </c>
      <c r="K527" s="26" t="s">
        <v>13</v>
      </c>
      <c r="L527" s="55">
        <v>46071.45358400463</v>
      </c>
      <c r="M527" s="26"/>
    </row>
    <row r="528" spans="1:13" ht="75" customHeight="1" thickTop="1" thickBot="1">
      <c r="A528" s="26">
        <v>526</v>
      </c>
      <c r="B528" s="55">
        <v>46071.496760844901</v>
      </c>
      <c r="C528" s="56" t="s">
        <v>394</v>
      </c>
      <c r="D528" s="56" t="s">
        <v>395</v>
      </c>
      <c r="E528" s="26" t="s">
        <v>21</v>
      </c>
      <c r="F528" s="26" t="s">
        <v>416</v>
      </c>
      <c r="G528" s="26" t="s">
        <v>602</v>
      </c>
      <c r="H528" s="26" t="s">
        <v>868</v>
      </c>
      <c r="I528" s="26"/>
      <c r="J528" s="26" t="s">
        <v>16</v>
      </c>
      <c r="K528" s="26" t="s">
        <v>13</v>
      </c>
      <c r="L528" s="55">
        <v>46072.467702152775</v>
      </c>
      <c r="M528" s="26"/>
    </row>
    <row r="529" spans="1:13" ht="75" customHeight="1" thickTop="1" thickBot="1">
      <c r="A529" s="34">
        <v>527</v>
      </c>
      <c r="B529" s="55">
        <v>46072.367704536999</v>
      </c>
      <c r="C529" s="56" t="s">
        <v>394</v>
      </c>
      <c r="D529" s="56" t="s">
        <v>395</v>
      </c>
      <c r="E529" s="26" t="s">
        <v>21</v>
      </c>
      <c r="F529" s="26" t="s">
        <v>399</v>
      </c>
      <c r="G529" s="26" t="s">
        <v>442</v>
      </c>
      <c r="H529" s="26" t="s">
        <v>869</v>
      </c>
      <c r="I529" s="26"/>
      <c r="J529" s="26" t="s">
        <v>16</v>
      </c>
      <c r="K529" s="26" t="s">
        <v>13</v>
      </c>
      <c r="L529" s="55">
        <v>46072.429671956023</v>
      </c>
      <c r="M529" s="26"/>
    </row>
    <row r="530" spans="1:13" ht="75" customHeight="1" thickTop="1" thickBot="1">
      <c r="A530" s="26">
        <v>528</v>
      </c>
      <c r="B530" s="55">
        <v>46072.3682147453</v>
      </c>
      <c r="C530" s="56" t="s">
        <v>394</v>
      </c>
      <c r="D530" s="56" t="s">
        <v>395</v>
      </c>
      <c r="E530" s="26" t="s">
        <v>21</v>
      </c>
      <c r="F530" s="26" t="s">
        <v>399</v>
      </c>
      <c r="G530" s="26" t="s">
        <v>442</v>
      </c>
      <c r="H530" s="26" t="s">
        <v>870</v>
      </c>
      <c r="I530" s="26"/>
      <c r="J530" s="26" t="s">
        <v>16</v>
      </c>
      <c r="K530" s="26" t="s">
        <v>13</v>
      </c>
      <c r="L530" s="55">
        <v>46072.430321238426</v>
      </c>
      <c r="M530" s="26"/>
    </row>
    <row r="531" spans="1:13" ht="75" customHeight="1" thickTop="1" thickBot="1">
      <c r="A531" s="34">
        <v>529</v>
      </c>
      <c r="B531" s="55">
        <v>46072.3686706597</v>
      </c>
      <c r="C531" s="56" t="s">
        <v>394</v>
      </c>
      <c r="D531" s="56" t="s">
        <v>395</v>
      </c>
      <c r="E531" s="26" t="s">
        <v>21</v>
      </c>
      <c r="F531" s="26" t="s">
        <v>399</v>
      </c>
      <c r="G531" s="26" t="s">
        <v>442</v>
      </c>
      <c r="H531" s="26" t="s">
        <v>937</v>
      </c>
      <c r="I531" s="26"/>
      <c r="J531" s="26" t="s">
        <v>14</v>
      </c>
      <c r="K531" s="26" t="s">
        <v>13</v>
      </c>
      <c r="L531" s="55">
        <v>46072.512931631944</v>
      </c>
      <c r="M531" s="26"/>
    </row>
    <row r="532" spans="1:13" ht="75" customHeight="1" thickTop="1" thickBot="1">
      <c r="A532" s="26">
        <v>530</v>
      </c>
      <c r="B532" s="55">
        <v>46072.3690681597</v>
      </c>
      <c r="C532" s="56" t="s">
        <v>394</v>
      </c>
      <c r="D532" s="56" t="s">
        <v>395</v>
      </c>
      <c r="E532" s="26" t="s">
        <v>21</v>
      </c>
      <c r="F532" s="26" t="s">
        <v>396</v>
      </c>
      <c r="G532" s="26" t="s">
        <v>442</v>
      </c>
      <c r="H532" s="26" t="s">
        <v>553</v>
      </c>
      <c r="I532" s="26"/>
      <c r="J532" s="26" t="s">
        <v>12</v>
      </c>
      <c r="K532" s="26" t="s">
        <v>13</v>
      </c>
      <c r="L532" s="55">
        <v>46076.319890497689</v>
      </c>
      <c r="M532" s="26"/>
    </row>
    <row r="533" spans="1:13" ht="75" customHeight="1" thickTop="1" thickBot="1">
      <c r="A533" s="34">
        <v>531</v>
      </c>
      <c r="B533" s="55">
        <v>46072.373020867999</v>
      </c>
      <c r="C533" s="56" t="s">
        <v>394</v>
      </c>
      <c r="D533" s="56" t="s">
        <v>395</v>
      </c>
      <c r="E533" s="26" t="s">
        <v>21</v>
      </c>
      <c r="F533" s="26" t="s">
        <v>416</v>
      </c>
      <c r="G533" s="26" t="s">
        <v>442</v>
      </c>
      <c r="H533" s="26" t="s">
        <v>933</v>
      </c>
      <c r="I533" s="26"/>
      <c r="J533" s="26" t="s">
        <v>14</v>
      </c>
      <c r="K533" s="26" t="s">
        <v>13</v>
      </c>
      <c r="L533" s="55">
        <v>46072.512749895832</v>
      </c>
      <c r="M533" s="26"/>
    </row>
    <row r="534" spans="1:13" ht="75" customHeight="1" thickTop="1" thickBot="1">
      <c r="A534" s="26">
        <v>532</v>
      </c>
      <c r="B534" s="55">
        <v>46072.381108009198</v>
      </c>
      <c r="C534" s="56" t="s">
        <v>394</v>
      </c>
      <c r="D534" s="56" t="s">
        <v>395</v>
      </c>
      <c r="E534" s="26" t="s">
        <v>21</v>
      </c>
      <c r="F534" s="26" t="s">
        <v>401</v>
      </c>
      <c r="G534" s="26" t="s">
        <v>442</v>
      </c>
      <c r="H534" s="26" t="s">
        <v>3447</v>
      </c>
      <c r="I534" s="26"/>
      <c r="J534" s="26" t="s">
        <v>16</v>
      </c>
      <c r="K534" s="26" t="s">
        <v>13</v>
      </c>
      <c r="L534" s="55">
        <v>46072.43024494213</v>
      </c>
      <c r="M534" s="26"/>
    </row>
    <row r="535" spans="1:13" ht="75" customHeight="1" thickTop="1" thickBot="1">
      <c r="A535" s="34">
        <v>533</v>
      </c>
      <c r="B535" s="55">
        <v>46072.390732824002</v>
      </c>
      <c r="C535" s="56" t="s">
        <v>394</v>
      </c>
      <c r="D535" s="56" t="s">
        <v>395</v>
      </c>
      <c r="E535" s="26" t="s">
        <v>21</v>
      </c>
      <c r="F535" s="26" t="s">
        <v>411</v>
      </c>
      <c r="G535" s="26" t="s">
        <v>442</v>
      </c>
      <c r="H535" s="26" t="s">
        <v>871</v>
      </c>
      <c r="I535" s="26"/>
      <c r="J535" s="26" t="s">
        <v>16</v>
      </c>
      <c r="K535" s="26" t="s">
        <v>13</v>
      </c>
      <c r="L535" s="55">
        <v>46072.514358541666</v>
      </c>
      <c r="M535" s="26"/>
    </row>
    <row r="536" spans="1:13" ht="75" customHeight="1" thickTop="1" thickBot="1">
      <c r="A536" s="26">
        <v>534</v>
      </c>
      <c r="B536" s="55">
        <v>46072.442051018501</v>
      </c>
      <c r="C536" s="56" t="s">
        <v>394</v>
      </c>
      <c r="D536" s="56" t="s">
        <v>395</v>
      </c>
      <c r="E536" s="26" t="s">
        <v>21</v>
      </c>
      <c r="F536" s="26" t="s">
        <v>411</v>
      </c>
      <c r="G536" s="26" t="s">
        <v>442</v>
      </c>
      <c r="H536" s="26" t="s">
        <v>872</v>
      </c>
      <c r="I536" s="26"/>
      <c r="J536" s="26" t="s">
        <v>16</v>
      </c>
      <c r="K536" s="26" t="s">
        <v>13</v>
      </c>
      <c r="L536" s="55">
        <v>46072.514404085647</v>
      </c>
      <c r="M536" s="26"/>
    </row>
    <row r="537" spans="1:13" ht="75" customHeight="1" thickTop="1" thickBot="1">
      <c r="A537" s="34">
        <v>535</v>
      </c>
      <c r="B537" s="55">
        <v>46072.5179755555</v>
      </c>
      <c r="C537" s="56" t="s">
        <v>394</v>
      </c>
      <c r="D537" s="56" t="s">
        <v>395</v>
      </c>
      <c r="E537" s="26" t="s">
        <v>21</v>
      </c>
      <c r="F537" s="26" t="s">
        <v>399</v>
      </c>
      <c r="G537" s="26" t="s">
        <v>404</v>
      </c>
      <c r="H537" s="26" t="s">
        <v>873</v>
      </c>
      <c r="I537" s="26"/>
      <c r="J537" s="26" t="s">
        <v>16</v>
      </c>
      <c r="K537" s="26" t="s">
        <v>13</v>
      </c>
      <c r="L537" s="55">
        <v>46072.518425937495</v>
      </c>
      <c r="M537" s="26"/>
    </row>
    <row r="538" spans="1:13" ht="75" customHeight="1" thickTop="1" thickBot="1">
      <c r="A538" s="26">
        <v>536</v>
      </c>
      <c r="B538" s="55">
        <v>46072.518307384198</v>
      </c>
      <c r="C538" s="56" t="s">
        <v>394</v>
      </c>
      <c r="D538" s="56" t="s">
        <v>395</v>
      </c>
      <c r="E538" s="26" t="s">
        <v>21</v>
      </c>
      <c r="F538" s="26" t="s">
        <v>399</v>
      </c>
      <c r="G538" s="26" t="s">
        <v>439</v>
      </c>
      <c r="H538" s="26" t="s">
        <v>874</v>
      </c>
      <c r="I538" s="26"/>
      <c r="J538" s="26" t="s">
        <v>16</v>
      </c>
      <c r="K538" s="26" t="s">
        <v>13</v>
      </c>
      <c r="L538" s="55">
        <v>46072.518442592591</v>
      </c>
      <c r="M538" s="26"/>
    </row>
    <row r="539" spans="1:13" ht="75" customHeight="1" thickTop="1" thickBot="1">
      <c r="A539" s="34">
        <v>537</v>
      </c>
      <c r="B539" s="55">
        <v>46072.519613020799</v>
      </c>
      <c r="C539" s="56" t="s">
        <v>394</v>
      </c>
      <c r="D539" s="56" t="s">
        <v>395</v>
      </c>
      <c r="E539" s="26" t="s">
        <v>21</v>
      </c>
      <c r="F539" s="26" t="s">
        <v>401</v>
      </c>
      <c r="G539" s="26" t="s">
        <v>404</v>
      </c>
      <c r="H539" s="26" t="s">
        <v>875</v>
      </c>
      <c r="I539" s="26"/>
      <c r="J539" s="26" t="s">
        <v>16</v>
      </c>
      <c r="K539" s="26" t="s">
        <v>13</v>
      </c>
      <c r="L539" s="55">
        <v>46072.522156041668</v>
      </c>
      <c r="M539" s="26"/>
    </row>
    <row r="540" spans="1:13" ht="75" customHeight="1" thickTop="1" thickBot="1">
      <c r="A540" s="26">
        <v>538</v>
      </c>
      <c r="B540" s="55">
        <v>46074.368426631903</v>
      </c>
      <c r="C540" s="56" t="s">
        <v>394</v>
      </c>
      <c r="D540" s="56" t="s">
        <v>395</v>
      </c>
      <c r="E540" s="26" t="s">
        <v>21</v>
      </c>
      <c r="F540" s="26" t="s">
        <v>405</v>
      </c>
      <c r="G540" s="26" t="s">
        <v>439</v>
      </c>
      <c r="H540" s="26" t="s">
        <v>876</v>
      </c>
      <c r="I540" s="26"/>
      <c r="J540" s="26" t="s">
        <v>16</v>
      </c>
      <c r="K540" s="26" t="s">
        <v>13</v>
      </c>
      <c r="L540" s="55">
        <v>46074.53294798611</v>
      </c>
      <c r="M540" s="26"/>
    </row>
    <row r="541" spans="1:13" ht="75" customHeight="1" thickTop="1" thickBot="1">
      <c r="A541" s="34">
        <v>539</v>
      </c>
      <c r="B541" s="55">
        <v>46074.404207777698</v>
      </c>
      <c r="C541" s="56" t="s">
        <v>394</v>
      </c>
      <c r="D541" s="56" t="s">
        <v>395</v>
      </c>
      <c r="E541" s="26" t="s">
        <v>21</v>
      </c>
      <c r="F541" s="26" t="s">
        <v>497</v>
      </c>
      <c r="G541" s="26" t="s">
        <v>877</v>
      </c>
      <c r="H541" s="26" t="s">
        <v>878</v>
      </c>
      <c r="I541" s="26"/>
      <c r="J541" s="26" t="s">
        <v>16</v>
      </c>
      <c r="K541" s="26" t="s">
        <v>13</v>
      </c>
      <c r="L541" s="55">
        <v>46074.580306041666</v>
      </c>
      <c r="M541" s="26"/>
    </row>
    <row r="542" spans="1:13" ht="75" customHeight="1" thickTop="1" thickBot="1">
      <c r="A542" s="26">
        <v>540</v>
      </c>
      <c r="B542" s="55">
        <v>46074.580570567101</v>
      </c>
      <c r="C542" s="56" t="s">
        <v>394</v>
      </c>
      <c r="D542" s="56" t="s">
        <v>395</v>
      </c>
      <c r="E542" s="26" t="s">
        <v>21</v>
      </c>
      <c r="F542" s="26" t="s">
        <v>879</v>
      </c>
      <c r="G542" s="26" t="s">
        <v>880</v>
      </c>
      <c r="H542" s="26" t="s">
        <v>881</v>
      </c>
      <c r="I542" s="26"/>
      <c r="J542" s="26" t="s">
        <v>16</v>
      </c>
      <c r="K542" s="26" t="s">
        <v>13</v>
      </c>
      <c r="L542" s="55">
        <v>46076.492683391203</v>
      </c>
      <c r="M542" s="26"/>
    </row>
    <row r="543" spans="1:13" ht="75" customHeight="1" thickTop="1" thickBot="1">
      <c r="A543" s="34">
        <v>541</v>
      </c>
      <c r="B543" s="55">
        <v>46075.332994687502</v>
      </c>
      <c r="C543" s="56" t="s">
        <v>394</v>
      </c>
      <c r="D543" s="56" t="s">
        <v>395</v>
      </c>
      <c r="E543" s="26" t="s">
        <v>21</v>
      </c>
      <c r="F543" s="26" t="s">
        <v>413</v>
      </c>
      <c r="G543" s="26" t="s">
        <v>446</v>
      </c>
      <c r="H543" s="26" t="s">
        <v>938</v>
      </c>
      <c r="I543" s="26"/>
      <c r="J543" s="26" t="s">
        <v>14</v>
      </c>
      <c r="K543" s="26" t="s">
        <v>13</v>
      </c>
      <c r="L543" s="55">
        <v>46075.360525104166</v>
      </c>
      <c r="M543" s="26"/>
    </row>
    <row r="544" spans="1:13" ht="75" customHeight="1" thickTop="1" thickBot="1">
      <c r="A544" s="26">
        <v>542</v>
      </c>
      <c r="B544" s="55">
        <v>46075.377044201297</v>
      </c>
      <c r="C544" s="56" t="s">
        <v>394</v>
      </c>
      <c r="D544" s="56" t="s">
        <v>395</v>
      </c>
      <c r="E544" s="26" t="s">
        <v>21</v>
      </c>
      <c r="F544" s="26" t="s">
        <v>401</v>
      </c>
      <c r="G544" s="26" t="s">
        <v>882</v>
      </c>
      <c r="H544" s="26" t="s">
        <v>3448</v>
      </c>
      <c r="I544" s="26"/>
      <c r="J544" s="26" t="s">
        <v>16</v>
      </c>
      <c r="K544" s="26" t="s">
        <v>13</v>
      </c>
      <c r="L544" s="55">
        <v>46076.423847546292</v>
      </c>
      <c r="M544" s="26"/>
    </row>
    <row r="545" spans="1:13" ht="75" customHeight="1" thickTop="1" thickBot="1">
      <c r="A545" s="34">
        <v>543</v>
      </c>
      <c r="B545" s="55">
        <v>46075.399638194402</v>
      </c>
      <c r="C545" s="56" t="s">
        <v>394</v>
      </c>
      <c r="D545" s="56" t="s">
        <v>395</v>
      </c>
      <c r="E545" s="26" t="s">
        <v>21</v>
      </c>
      <c r="F545" s="26" t="s">
        <v>411</v>
      </c>
      <c r="G545" s="26" t="s">
        <v>442</v>
      </c>
      <c r="H545" s="26" t="s">
        <v>883</v>
      </c>
      <c r="I545" s="26"/>
      <c r="J545" s="26" t="s">
        <v>16</v>
      </c>
      <c r="K545" s="26" t="s">
        <v>13</v>
      </c>
      <c r="L545" s="55">
        <v>46075.508240277777</v>
      </c>
      <c r="M545" s="26"/>
    </row>
    <row r="546" spans="1:13" ht="75" customHeight="1" thickTop="1" thickBot="1">
      <c r="A546" s="26">
        <v>544</v>
      </c>
      <c r="B546" s="55">
        <v>46075.414262488397</v>
      </c>
      <c r="C546" s="56" t="s">
        <v>394</v>
      </c>
      <c r="D546" s="56" t="s">
        <v>395</v>
      </c>
      <c r="E546" s="26" t="s">
        <v>21</v>
      </c>
      <c r="F546" s="26" t="s">
        <v>396</v>
      </c>
      <c r="G546" s="26" t="s">
        <v>442</v>
      </c>
      <c r="H546" s="26" t="s">
        <v>490</v>
      </c>
      <c r="I546" s="26"/>
      <c r="J546" s="26" t="s">
        <v>12</v>
      </c>
      <c r="K546" s="26" t="s">
        <v>13</v>
      </c>
      <c r="L546" s="55">
        <v>46075.506682407402</v>
      </c>
      <c r="M546" s="26"/>
    </row>
    <row r="547" spans="1:13" ht="75" customHeight="1" thickTop="1" thickBot="1">
      <c r="A547" s="34">
        <v>545</v>
      </c>
      <c r="B547" s="55">
        <v>46075.458019328697</v>
      </c>
      <c r="C547" s="56" t="s">
        <v>394</v>
      </c>
      <c r="D547" s="56" t="s">
        <v>395</v>
      </c>
      <c r="E547" s="26" t="s">
        <v>21</v>
      </c>
      <c r="F547" s="26" t="s">
        <v>497</v>
      </c>
      <c r="G547" s="26" t="s">
        <v>884</v>
      </c>
      <c r="H547" s="26" t="s">
        <v>3449</v>
      </c>
      <c r="I547" s="26"/>
      <c r="J547" s="26" t="s">
        <v>16</v>
      </c>
      <c r="K547" s="26" t="s">
        <v>13</v>
      </c>
      <c r="L547" s="55">
        <v>46076.423717523146</v>
      </c>
      <c r="M547" s="26"/>
    </row>
    <row r="548" spans="1:13" ht="75" customHeight="1" thickTop="1" thickBot="1">
      <c r="A548" s="26">
        <v>546</v>
      </c>
      <c r="B548" s="55">
        <v>46075.565876643501</v>
      </c>
      <c r="C548" s="56" t="s">
        <v>394</v>
      </c>
      <c r="D548" s="56" t="s">
        <v>395</v>
      </c>
      <c r="E548" s="26" t="s">
        <v>21</v>
      </c>
      <c r="F548" s="26" t="s">
        <v>481</v>
      </c>
      <c r="G548" s="26" t="s">
        <v>549</v>
      </c>
      <c r="H548" s="26" t="s">
        <v>885</v>
      </c>
      <c r="I548" s="26"/>
      <c r="J548" s="26" t="s">
        <v>16</v>
      </c>
      <c r="K548" s="26" t="s">
        <v>13</v>
      </c>
      <c r="L548" s="55">
        <v>46076.317423020839</v>
      </c>
      <c r="M548" s="26"/>
    </row>
    <row r="549" spans="1:13" ht="75" customHeight="1" thickTop="1" thickBot="1">
      <c r="A549" s="34">
        <v>547</v>
      </c>
      <c r="B549" s="55">
        <v>46076.309831064798</v>
      </c>
      <c r="C549" s="56" t="s">
        <v>394</v>
      </c>
      <c r="D549" s="56" t="s">
        <v>395</v>
      </c>
      <c r="E549" s="26" t="s">
        <v>21</v>
      </c>
      <c r="F549" s="26" t="s">
        <v>413</v>
      </c>
      <c r="G549" s="26" t="s">
        <v>886</v>
      </c>
      <c r="H549" s="26" t="s">
        <v>2202</v>
      </c>
      <c r="I549" s="26"/>
      <c r="J549" s="26" t="s">
        <v>16</v>
      </c>
      <c r="K549" s="26" t="s">
        <v>13</v>
      </c>
      <c r="L549" s="55">
        <v>46077.334575081019</v>
      </c>
      <c r="M549" s="26"/>
    </row>
    <row r="550" spans="1:13" ht="75" customHeight="1" thickTop="1" thickBot="1">
      <c r="A550" s="26">
        <v>548</v>
      </c>
      <c r="B550" s="55">
        <v>46076.362084560104</v>
      </c>
      <c r="C550" s="56" t="s">
        <v>394</v>
      </c>
      <c r="D550" s="56" t="s">
        <v>395</v>
      </c>
      <c r="E550" s="26" t="s">
        <v>21</v>
      </c>
      <c r="F550" s="26" t="s">
        <v>412</v>
      </c>
      <c r="G550" s="26" t="s">
        <v>939</v>
      </c>
      <c r="H550" s="26" t="s">
        <v>940</v>
      </c>
      <c r="I550" s="26"/>
      <c r="J550" s="26" t="s">
        <v>14</v>
      </c>
      <c r="K550" s="26" t="s">
        <v>13</v>
      </c>
      <c r="L550" s="55">
        <v>46077.336022175921</v>
      </c>
      <c r="M550" s="26"/>
    </row>
    <row r="551" spans="1:13" ht="75" customHeight="1" thickTop="1" thickBot="1">
      <c r="A551" s="34">
        <v>549</v>
      </c>
      <c r="B551" s="55">
        <v>46076.470258819398</v>
      </c>
      <c r="C551" s="56" t="s">
        <v>394</v>
      </c>
      <c r="D551" s="56" t="s">
        <v>395</v>
      </c>
      <c r="E551" s="26" t="s">
        <v>21</v>
      </c>
      <c r="F551" s="26" t="s">
        <v>411</v>
      </c>
      <c r="G551" s="26" t="s">
        <v>887</v>
      </c>
      <c r="H551" s="26" t="s">
        <v>888</v>
      </c>
      <c r="I551" s="26"/>
      <c r="J551" s="26" t="s">
        <v>16</v>
      </c>
      <c r="K551" s="26" t="s">
        <v>13</v>
      </c>
      <c r="L551" s="55">
        <v>46077.335664305559</v>
      </c>
      <c r="M551" s="26"/>
    </row>
    <row r="552" spans="1:13" ht="75" customHeight="1" thickTop="1" thickBot="1">
      <c r="A552" s="26">
        <v>550</v>
      </c>
      <c r="B552" s="55">
        <v>46077.306754224497</v>
      </c>
      <c r="C552" s="56" t="s">
        <v>394</v>
      </c>
      <c r="D552" s="56" t="s">
        <v>395</v>
      </c>
      <c r="E552" s="26" t="s">
        <v>21</v>
      </c>
      <c r="F552" s="26" t="s">
        <v>627</v>
      </c>
      <c r="G552" s="26" t="s">
        <v>446</v>
      </c>
      <c r="H552" s="26" t="s">
        <v>889</v>
      </c>
      <c r="I552" s="26"/>
      <c r="J552" s="26" t="s">
        <v>16</v>
      </c>
      <c r="K552" s="26" t="s">
        <v>13</v>
      </c>
      <c r="L552" s="55">
        <v>46077.488580358797</v>
      </c>
      <c r="M552" s="26"/>
    </row>
    <row r="553" spans="1:13" ht="75" customHeight="1" thickTop="1" thickBot="1">
      <c r="A553" s="34">
        <v>551</v>
      </c>
      <c r="B553" s="55">
        <v>46077.318248043899</v>
      </c>
      <c r="C553" s="56" t="s">
        <v>394</v>
      </c>
      <c r="D553" s="56" t="s">
        <v>395</v>
      </c>
      <c r="E553" s="26" t="s">
        <v>21</v>
      </c>
      <c r="F553" s="26" t="s">
        <v>413</v>
      </c>
      <c r="G553" s="26" t="s">
        <v>584</v>
      </c>
      <c r="H553" s="26" t="s">
        <v>3450</v>
      </c>
      <c r="I553" s="26"/>
      <c r="J553" s="26" t="s">
        <v>15</v>
      </c>
      <c r="K553" s="26" t="s">
        <v>13</v>
      </c>
      <c r="L553" s="55">
        <v>46078.30054236111</v>
      </c>
      <c r="M553" s="26"/>
    </row>
    <row r="554" spans="1:13" ht="75" customHeight="1" thickTop="1" thickBot="1">
      <c r="A554" s="26">
        <v>552</v>
      </c>
      <c r="B554" s="55">
        <v>46077.394121122597</v>
      </c>
      <c r="C554" s="56" t="s">
        <v>394</v>
      </c>
      <c r="D554" s="56" t="s">
        <v>395</v>
      </c>
      <c r="E554" s="26" t="s">
        <v>21</v>
      </c>
      <c r="F554" s="26" t="s">
        <v>412</v>
      </c>
      <c r="G554" s="26" t="s">
        <v>828</v>
      </c>
      <c r="H554" s="26" t="s">
        <v>890</v>
      </c>
      <c r="I554" s="26"/>
      <c r="J554" s="26" t="s">
        <v>16</v>
      </c>
      <c r="K554" s="26" t="s">
        <v>13</v>
      </c>
      <c r="L554" s="55">
        <v>46078.300581215277</v>
      </c>
      <c r="M554" s="26"/>
    </row>
    <row r="555" spans="1:13" ht="75" customHeight="1" thickTop="1" thickBot="1">
      <c r="A555" s="34">
        <v>553</v>
      </c>
      <c r="B555" s="55">
        <v>46077.491787939798</v>
      </c>
      <c r="C555" s="56" t="s">
        <v>394</v>
      </c>
      <c r="D555" s="56" t="s">
        <v>395</v>
      </c>
      <c r="E555" s="26" t="s">
        <v>21</v>
      </c>
      <c r="F555" s="26" t="s">
        <v>413</v>
      </c>
      <c r="G555" s="26" t="s">
        <v>442</v>
      </c>
      <c r="H555" s="26" t="s">
        <v>891</v>
      </c>
      <c r="I555" s="26"/>
      <c r="J555" s="26" t="s">
        <v>16</v>
      </c>
      <c r="K555" s="26" t="s">
        <v>13</v>
      </c>
      <c r="L555" s="55">
        <v>46077.602819791668</v>
      </c>
      <c r="M555" s="26"/>
    </row>
    <row r="556" spans="1:13" ht="75" customHeight="1" thickTop="1" thickBot="1">
      <c r="A556" s="26">
        <v>554</v>
      </c>
      <c r="B556" s="55">
        <v>46077.493604884199</v>
      </c>
      <c r="C556" s="56" t="s">
        <v>394</v>
      </c>
      <c r="D556" s="56" t="s">
        <v>395</v>
      </c>
      <c r="E556" s="26" t="s">
        <v>21</v>
      </c>
      <c r="F556" s="26" t="s">
        <v>416</v>
      </c>
      <c r="G556" s="26" t="s">
        <v>892</v>
      </c>
      <c r="H556" s="26" t="s">
        <v>893</v>
      </c>
      <c r="I556" s="26"/>
      <c r="J556" s="26" t="s">
        <v>16</v>
      </c>
      <c r="K556" s="26" t="s">
        <v>13</v>
      </c>
      <c r="L556" s="55">
        <v>46077.602883171297</v>
      </c>
      <c r="M556" s="26"/>
    </row>
    <row r="557" spans="1:13" ht="75" customHeight="1" thickTop="1" thickBot="1">
      <c r="A557" s="34">
        <v>555</v>
      </c>
      <c r="B557" s="55">
        <v>46077.494387175902</v>
      </c>
      <c r="C557" s="56" t="s">
        <v>394</v>
      </c>
      <c r="D557" s="56" t="s">
        <v>395</v>
      </c>
      <c r="E557" s="26" t="s">
        <v>21</v>
      </c>
      <c r="F557" s="26" t="s">
        <v>416</v>
      </c>
      <c r="G557" s="26" t="s">
        <v>649</v>
      </c>
      <c r="H557" s="26" t="s">
        <v>941</v>
      </c>
      <c r="I557" s="26"/>
      <c r="J557" s="26" t="s">
        <v>14</v>
      </c>
      <c r="K557" s="26" t="s">
        <v>13</v>
      </c>
      <c r="L557" s="55">
        <v>46077.51854399305</v>
      </c>
      <c r="M557" s="26"/>
    </row>
    <row r="558" spans="1:13" ht="75" customHeight="1" thickTop="1" thickBot="1">
      <c r="A558" s="26">
        <v>556</v>
      </c>
      <c r="B558" s="55">
        <v>46077.4955301273</v>
      </c>
      <c r="C558" s="56" t="s">
        <v>394</v>
      </c>
      <c r="D558" s="56" t="s">
        <v>395</v>
      </c>
      <c r="E558" s="26" t="s">
        <v>21</v>
      </c>
      <c r="F558" s="26" t="s">
        <v>416</v>
      </c>
      <c r="G558" s="26" t="s">
        <v>442</v>
      </c>
      <c r="H558" s="26" t="s">
        <v>894</v>
      </c>
      <c r="I558" s="26"/>
      <c r="J558" s="26" t="s">
        <v>16</v>
      </c>
      <c r="K558" s="26" t="s">
        <v>13</v>
      </c>
      <c r="L558" s="55">
        <v>46077.602937013886</v>
      </c>
      <c r="M558" s="26"/>
    </row>
    <row r="559" spans="1:13" ht="75" customHeight="1" thickTop="1" thickBot="1">
      <c r="A559" s="34">
        <v>557</v>
      </c>
      <c r="B559" s="55">
        <v>46077.502784259203</v>
      </c>
      <c r="C559" s="56" t="s">
        <v>394</v>
      </c>
      <c r="D559" s="56" t="s">
        <v>395</v>
      </c>
      <c r="E559" s="26" t="s">
        <v>21</v>
      </c>
      <c r="F559" s="26" t="s">
        <v>401</v>
      </c>
      <c r="G559" s="26" t="s">
        <v>442</v>
      </c>
      <c r="H559" s="26" t="s">
        <v>564</v>
      </c>
      <c r="I559" s="26"/>
      <c r="J559" s="26" t="s">
        <v>16</v>
      </c>
      <c r="K559" s="26" t="s">
        <v>13</v>
      </c>
      <c r="L559" s="55">
        <v>46077.602989837964</v>
      </c>
      <c r="M559" s="26"/>
    </row>
    <row r="560" spans="1:13" ht="75" customHeight="1" thickTop="1" thickBot="1">
      <c r="A560" s="26">
        <v>558</v>
      </c>
      <c r="B560" s="55">
        <v>46077.503275798597</v>
      </c>
      <c r="C560" s="56" t="s">
        <v>394</v>
      </c>
      <c r="D560" s="56" t="s">
        <v>395</v>
      </c>
      <c r="E560" s="26" t="s">
        <v>21</v>
      </c>
      <c r="F560" s="26" t="s">
        <v>401</v>
      </c>
      <c r="G560" s="26" t="s">
        <v>442</v>
      </c>
      <c r="H560" s="26" t="s">
        <v>942</v>
      </c>
      <c r="I560" s="26"/>
      <c r="J560" s="26" t="s">
        <v>14</v>
      </c>
      <c r="K560" s="26" t="s">
        <v>13</v>
      </c>
      <c r="L560" s="55">
        <v>46078.577017453703</v>
      </c>
      <c r="M560" s="26"/>
    </row>
    <row r="561" spans="1:13" ht="75" customHeight="1" thickTop="1" thickBot="1">
      <c r="A561" s="34">
        <v>559</v>
      </c>
      <c r="B561" s="55">
        <v>46077.503722789297</v>
      </c>
      <c r="C561" s="56" t="s">
        <v>394</v>
      </c>
      <c r="D561" s="56" t="s">
        <v>395</v>
      </c>
      <c r="E561" s="26" t="s">
        <v>21</v>
      </c>
      <c r="F561" s="26" t="s">
        <v>401</v>
      </c>
      <c r="G561" s="26" t="s">
        <v>442</v>
      </c>
      <c r="H561" s="26" t="s">
        <v>476</v>
      </c>
      <c r="I561" s="26"/>
      <c r="J561" s="26" t="s">
        <v>12</v>
      </c>
      <c r="K561" s="26" t="s">
        <v>13</v>
      </c>
      <c r="L561" s="55">
        <v>46078.416132256942</v>
      </c>
      <c r="M561" s="26"/>
    </row>
    <row r="562" spans="1:13" ht="75" customHeight="1" thickTop="1" thickBot="1">
      <c r="A562" s="26">
        <v>560</v>
      </c>
      <c r="B562" s="55">
        <v>46077.504280162</v>
      </c>
      <c r="C562" s="56" t="s">
        <v>394</v>
      </c>
      <c r="D562" s="56" t="s">
        <v>395</v>
      </c>
      <c r="E562" s="26" t="s">
        <v>21</v>
      </c>
      <c r="F562" s="26" t="s">
        <v>411</v>
      </c>
      <c r="G562" s="26" t="s">
        <v>442</v>
      </c>
      <c r="H562" s="26" t="s">
        <v>781</v>
      </c>
      <c r="I562" s="26"/>
      <c r="J562" s="26" t="s">
        <v>12</v>
      </c>
      <c r="K562" s="26" t="s">
        <v>17</v>
      </c>
      <c r="L562" s="55">
        <v>46077.535908819445</v>
      </c>
      <c r="M562" s="26" t="s">
        <v>120</v>
      </c>
    </row>
    <row r="563" spans="1:13" ht="75" customHeight="1" thickTop="1" thickBot="1">
      <c r="A563" s="34">
        <v>561</v>
      </c>
      <c r="B563" s="55">
        <v>46078.358021909698</v>
      </c>
      <c r="C563" s="56" t="s">
        <v>394</v>
      </c>
      <c r="D563" s="56" t="s">
        <v>395</v>
      </c>
      <c r="E563" s="26" t="s">
        <v>21</v>
      </c>
      <c r="F563" s="26" t="s">
        <v>405</v>
      </c>
      <c r="G563" s="26" t="s">
        <v>895</v>
      </c>
      <c r="H563" s="26" t="s">
        <v>896</v>
      </c>
      <c r="I563" s="26"/>
      <c r="J563" s="26" t="s">
        <v>16</v>
      </c>
      <c r="K563" s="26" t="s">
        <v>13</v>
      </c>
      <c r="L563" s="55">
        <v>46078.376003761572</v>
      </c>
      <c r="M563" s="26"/>
    </row>
    <row r="564" spans="1:13" ht="75" customHeight="1" thickTop="1" thickBot="1">
      <c r="A564" s="26">
        <v>562</v>
      </c>
      <c r="B564" s="55">
        <v>46078.366002210598</v>
      </c>
      <c r="C564" s="56" t="s">
        <v>394</v>
      </c>
      <c r="D564" s="56" t="s">
        <v>395</v>
      </c>
      <c r="E564" s="26" t="s">
        <v>21</v>
      </c>
      <c r="F564" s="26" t="s">
        <v>405</v>
      </c>
      <c r="G564" s="26" t="s">
        <v>895</v>
      </c>
      <c r="H564" s="26" t="s">
        <v>3451</v>
      </c>
      <c r="I564" s="26"/>
      <c r="J564" s="26" t="s">
        <v>16</v>
      </c>
      <c r="K564" s="26" t="s">
        <v>13</v>
      </c>
      <c r="L564" s="55"/>
      <c r="M564" s="26"/>
    </row>
    <row r="565" spans="1:13" ht="75" customHeight="1" thickTop="1" thickBot="1">
      <c r="A565" s="34">
        <v>563</v>
      </c>
      <c r="B565" s="55">
        <v>46078.367097812501</v>
      </c>
      <c r="C565" s="56" t="s">
        <v>394</v>
      </c>
      <c r="D565" s="56" t="s">
        <v>395</v>
      </c>
      <c r="E565" s="26" t="s">
        <v>21</v>
      </c>
      <c r="F565" s="26" t="s">
        <v>405</v>
      </c>
      <c r="G565" s="26" t="s">
        <v>895</v>
      </c>
      <c r="H565" s="26" t="s">
        <v>897</v>
      </c>
      <c r="I565" s="26"/>
      <c r="J565" s="26" t="s">
        <v>16</v>
      </c>
      <c r="K565" s="26" t="s">
        <v>13</v>
      </c>
      <c r="L565" s="55"/>
      <c r="M565" s="26"/>
    </row>
    <row r="566" spans="1:13" ht="75" customHeight="1" thickTop="1" thickBot="1">
      <c r="A566" s="26">
        <v>564</v>
      </c>
      <c r="B566" s="55">
        <v>46078.3726303125</v>
      </c>
      <c r="C566" s="56" t="s">
        <v>394</v>
      </c>
      <c r="D566" s="56" t="s">
        <v>395</v>
      </c>
      <c r="E566" s="26" t="s">
        <v>21</v>
      </c>
      <c r="F566" s="26" t="s">
        <v>412</v>
      </c>
      <c r="G566" s="26" t="s">
        <v>895</v>
      </c>
      <c r="H566" s="26" t="s">
        <v>898</v>
      </c>
      <c r="I566" s="26"/>
      <c r="J566" s="26" t="s">
        <v>16</v>
      </c>
      <c r="K566" s="26" t="s">
        <v>13</v>
      </c>
      <c r="L566" s="55"/>
      <c r="M566" s="26"/>
    </row>
    <row r="567" spans="1:13" ht="75" customHeight="1" thickTop="1" thickBot="1">
      <c r="A567" s="34">
        <v>565</v>
      </c>
      <c r="B567" s="55">
        <v>46078.373371157402</v>
      </c>
      <c r="C567" s="56" t="s">
        <v>394</v>
      </c>
      <c r="D567" s="56" t="s">
        <v>395</v>
      </c>
      <c r="E567" s="26" t="s">
        <v>21</v>
      </c>
      <c r="F567" s="26" t="s">
        <v>412</v>
      </c>
      <c r="G567" s="26" t="s">
        <v>895</v>
      </c>
      <c r="H567" s="26" t="s">
        <v>899</v>
      </c>
      <c r="I567" s="26"/>
      <c r="J567" s="26" t="s">
        <v>16</v>
      </c>
      <c r="K567" s="26" t="s">
        <v>13</v>
      </c>
      <c r="L567" s="55"/>
      <c r="M567" s="26"/>
    </row>
    <row r="568" spans="1:13" ht="75" customHeight="1" thickTop="1" thickBot="1">
      <c r="A568" s="26">
        <v>566</v>
      </c>
      <c r="B568" s="55">
        <v>46078.374667094897</v>
      </c>
      <c r="C568" s="56" t="s">
        <v>394</v>
      </c>
      <c r="D568" s="56" t="s">
        <v>395</v>
      </c>
      <c r="E568" s="26" t="s">
        <v>21</v>
      </c>
      <c r="F568" s="26" t="s">
        <v>412</v>
      </c>
      <c r="G568" s="26" t="s">
        <v>895</v>
      </c>
      <c r="H568" s="26" t="s">
        <v>858</v>
      </c>
      <c r="I568" s="26"/>
      <c r="J568" s="26" t="s">
        <v>16</v>
      </c>
      <c r="K568" s="26" t="s">
        <v>13</v>
      </c>
      <c r="L568" s="55"/>
      <c r="M568" s="26"/>
    </row>
    <row r="569" spans="1:13" ht="75" customHeight="1" thickTop="1" thickBot="1">
      <c r="A569" s="34">
        <v>567</v>
      </c>
      <c r="B569" s="55">
        <v>46078.395048356397</v>
      </c>
      <c r="C569" s="56" t="s">
        <v>394</v>
      </c>
      <c r="D569" s="56" t="s">
        <v>699</v>
      </c>
      <c r="E569" s="26" t="s">
        <v>22</v>
      </c>
      <c r="F569" s="26" t="s">
        <v>405</v>
      </c>
      <c r="G569" s="26" t="s">
        <v>40</v>
      </c>
      <c r="H569" s="26" t="s">
        <v>3452</v>
      </c>
      <c r="I569" s="26"/>
      <c r="J569" s="26" t="s">
        <v>15</v>
      </c>
      <c r="K569" s="26" t="s">
        <v>13</v>
      </c>
      <c r="L569" s="55"/>
      <c r="M569" s="26"/>
    </row>
    <row r="570" spans="1:13" ht="75" customHeight="1" thickTop="1" thickBot="1">
      <c r="A570" s="26">
        <v>568</v>
      </c>
      <c r="B570" s="55">
        <v>46078.395312581</v>
      </c>
      <c r="C570" s="56" t="s">
        <v>394</v>
      </c>
      <c r="D570" s="56" t="s">
        <v>699</v>
      </c>
      <c r="E570" s="26" t="s">
        <v>22</v>
      </c>
      <c r="F570" s="26" t="s">
        <v>411</v>
      </c>
      <c r="G570" s="26" t="s">
        <v>40</v>
      </c>
      <c r="H570" s="26" t="s">
        <v>3452</v>
      </c>
      <c r="I570" s="26"/>
      <c r="J570" s="26" t="s">
        <v>15</v>
      </c>
      <c r="K570" s="26" t="s">
        <v>13</v>
      </c>
      <c r="L570" s="55"/>
      <c r="M570" s="26"/>
    </row>
    <row r="571" spans="1:13" ht="75" customHeight="1" thickTop="1" thickBot="1">
      <c r="A571" s="34">
        <v>569</v>
      </c>
      <c r="B571" s="55">
        <v>46078.395515578697</v>
      </c>
      <c r="C571" s="56" t="s">
        <v>394</v>
      </c>
      <c r="D571" s="56" t="s">
        <v>699</v>
      </c>
      <c r="E571" s="26" t="s">
        <v>22</v>
      </c>
      <c r="F571" s="26" t="s">
        <v>412</v>
      </c>
      <c r="G571" s="26" t="s">
        <v>40</v>
      </c>
      <c r="H571" s="26" t="s">
        <v>3452</v>
      </c>
      <c r="I571" s="26"/>
      <c r="J571" s="26" t="s">
        <v>15</v>
      </c>
      <c r="K571" s="26" t="s">
        <v>13</v>
      </c>
      <c r="L571" s="55"/>
      <c r="M571" s="26"/>
    </row>
    <row r="572" spans="1:13" ht="75" customHeight="1" thickTop="1" thickBot="1">
      <c r="A572" s="26">
        <v>570</v>
      </c>
      <c r="B572" s="55">
        <v>46078.395720011496</v>
      </c>
      <c r="C572" s="56" t="s">
        <v>394</v>
      </c>
      <c r="D572" s="56" t="s">
        <v>699</v>
      </c>
      <c r="E572" s="26" t="s">
        <v>22</v>
      </c>
      <c r="F572" s="26" t="s">
        <v>396</v>
      </c>
      <c r="G572" s="26" t="s">
        <v>40</v>
      </c>
      <c r="H572" s="26" t="s">
        <v>3452</v>
      </c>
      <c r="I572" s="26"/>
      <c r="J572" s="26" t="s">
        <v>15</v>
      </c>
      <c r="K572" s="26" t="s">
        <v>13</v>
      </c>
      <c r="L572" s="55"/>
      <c r="M572" s="26"/>
    </row>
    <row r="573" spans="1:13" ht="75" customHeight="1" thickTop="1" thickBot="1">
      <c r="A573" s="34">
        <v>571</v>
      </c>
      <c r="B573" s="55">
        <v>46078.395919282397</v>
      </c>
      <c r="C573" s="56" t="s">
        <v>394</v>
      </c>
      <c r="D573" s="56" t="s">
        <v>699</v>
      </c>
      <c r="E573" s="26" t="s">
        <v>22</v>
      </c>
      <c r="F573" s="26" t="s">
        <v>399</v>
      </c>
      <c r="G573" s="26" t="s">
        <v>40</v>
      </c>
      <c r="H573" s="26" t="s">
        <v>3452</v>
      </c>
      <c r="I573" s="26"/>
      <c r="J573" s="26" t="s">
        <v>15</v>
      </c>
      <c r="K573" s="26" t="s">
        <v>13</v>
      </c>
      <c r="L573" s="55"/>
      <c r="M573" s="26"/>
    </row>
    <row r="574" spans="1:13" ht="75" customHeight="1" thickTop="1" thickBot="1">
      <c r="A574" s="26">
        <v>572</v>
      </c>
      <c r="B574" s="55">
        <v>46078.3961595949</v>
      </c>
      <c r="C574" s="56" t="s">
        <v>394</v>
      </c>
      <c r="D574" s="56" t="s">
        <v>699</v>
      </c>
      <c r="E574" s="26" t="s">
        <v>22</v>
      </c>
      <c r="F574" s="26" t="s">
        <v>403</v>
      </c>
      <c r="G574" s="26" t="s">
        <v>40</v>
      </c>
      <c r="H574" s="26" t="s">
        <v>3452</v>
      </c>
      <c r="I574" s="26"/>
      <c r="J574" s="26" t="s">
        <v>15</v>
      </c>
      <c r="K574" s="26" t="s">
        <v>13</v>
      </c>
      <c r="L574" s="55"/>
      <c r="M574" s="26"/>
    </row>
    <row r="575" spans="1:13" ht="75" customHeight="1" thickTop="1" thickBot="1">
      <c r="A575" s="34">
        <v>573</v>
      </c>
      <c r="B575" s="55">
        <v>46078.396351759198</v>
      </c>
      <c r="C575" s="56" t="s">
        <v>394</v>
      </c>
      <c r="D575" s="56" t="s">
        <v>699</v>
      </c>
      <c r="E575" s="26" t="s">
        <v>22</v>
      </c>
      <c r="F575" s="26" t="s">
        <v>401</v>
      </c>
      <c r="G575" s="26" t="s">
        <v>40</v>
      </c>
      <c r="H575" s="26" t="s">
        <v>3452</v>
      </c>
      <c r="I575" s="26"/>
      <c r="J575" s="26" t="s">
        <v>15</v>
      </c>
      <c r="K575" s="26" t="s">
        <v>13</v>
      </c>
      <c r="L575" s="55"/>
      <c r="M575" s="26"/>
    </row>
    <row r="576" spans="1:13" ht="75" customHeight="1" thickTop="1" thickBot="1">
      <c r="A576" s="26">
        <v>574</v>
      </c>
      <c r="B576" s="55">
        <v>46078.396578205997</v>
      </c>
      <c r="C576" s="56" t="s">
        <v>394</v>
      </c>
      <c r="D576" s="56" t="s">
        <v>699</v>
      </c>
      <c r="E576" s="26" t="s">
        <v>22</v>
      </c>
      <c r="F576" s="26" t="s">
        <v>413</v>
      </c>
      <c r="G576" s="26" t="s">
        <v>40</v>
      </c>
      <c r="H576" s="26" t="s">
        <v>3452</v>
      </c>
      <c r="I576" s="26"/>
      <c r="J576" s="26" t="s">
        <v>15</v>
      </c>
      <c r="K576" s="26" t="s">
        <v>13</v>
      </c>
      <c r="L576" s="55"/>
      <c r="M576" s="26"/>
    </row>
    <row r="577" spans="1:13" ht="75" customHeight="1" thickTop="1" thickBot="1">
      <c r="A577" s="34">
        <v>575</v>
      </c>
      <c r="B577" s="55">
        <v>46078.396785404999</v>
      </c>
      <c r="C577" s="56" t="s">
        <v>394</v>
      </c>
      <c r="D577" s="56" t="s">
        <v>699</v>
      </c>
      <c r="E577" s="26" t="s">
        <v>22</v>
      </c>
      <c r="F577" s="26" t="s">
        <v>416</v>
      </c>
      <c r="G577" s="26" t="s">
        <v>40</v>
      </c>
      <c r="H577" s="26" t="s">
        <v>3452</v>
      </c>
      <c r="I577" s="26"/>
      <c r="J577" s="26" t="s">
        <v>15</v>
      </c>
      <c r="K577" s="26" t="s">
        <v>13</v>
      </c>
      <c r="L577" s="55"/>
      <c r="M577" s="26"/>
    </row>
    <row r="578" spans="1:13" ht="75" customHeight="1" thickTop="1" thickBot="1">
      <c r="A578" s="26">
        <v>576</v>
      </c>
      <c r="B578" s="55">
        <v>46078.397005752297</v>
      </c>
      <c r="C578" s="56" t="s">
        <v>394</v>
      </c>
      <c r="D578" s="56" t="s">
        <v>699</v>
      </c>
      <c r="E578" s="26" t="s">
        <v>22</v>
      </c>
      <c r="F578" s="26" t="s">
        <v>417</v>
      </c>
      <c r="G578" s="26" t="s">
        <v>40</v>
      </c>
      <c r="H578" s="26" t="s">
        <v>3452</v>
      </c>
      <c r="I578" s="26"/>
      <c r="J578" s="26" t="s">
        <v>15</v>
      </c>
      <c r="K578" s="26" t="s">
        <v>13</v>
      </c>
      <c r="L578" s="55"/>
      <c r="M578" s="26"/>
    </row>
    <row r="579" spans="1:13" ht="75" customHeight="1" thickTop="1" thickBot="1">
      <c r="A579" s="34">
        <v>577</v>
      </c>
      <c r="B579" s="55">
        <v>46078.397645243</v>
      </c>
      <c r="C579" s="56" t="s">
        <v>394</v>
      </c>
      <c r="D579" s="56" t="s">
        <v>699</v>
      </c>
      <c r="E579" s="26" t="s">
        <v>22</v>
      </c>
      <c r="F579" s="26" t="s">
        <v>405</v>
      </c>
      <c r="G579" s="26" t="s">
        <v>706</v>
      </c>
      <c r="H579" s="26" t="s">
        <v>3453</v>
      </c>
      <c r="I579" s="26"/>
      <c r="J579" s="26" t="s">
        <v>15</v>
      </c>
      <c r="K579" s="26" t="s">
        <v>13</v>
      </c>
      <c r="L579" s="55"/>
      <c r="M579" s="26"/>
    </row>
    <row r="580" spans="1:13" ht="75" customHeight="1" thickTop="1" thickBot="1">
      <c r="A580" s="26">
        <v>578</v>
      </c>
      <c r="B580" s="55">
        <v>46078.397860208301</v>
      </c>
      <c r="C580" s="56" t="s">
        <v>394</v>
      </c>
      <c r="D580" s="56" t="s">
        <v>699</v>
      </c>
      <c r="E580" s="26" t="s">
        <v>22</v>
      </c>
      <c r="F580" s="26" t="s">
        <v>411</v>
      </c>
      <c r="G580" s="26" t="s">
        <v>424</v>
      </c>
      <c r="H580" s="26" t="s">
        <v>3453</v>
      </c>
      <c r="I580" s="26"/>
      <c r="J580" s="26" t="s">
        <v>15</v>
      </c>
      <c r="K580" s="26" t="s">
        <v>13</v>
      </c>
      <c r="L580" s="55"/>
      <c r="M580" s="26"/>
    </row>
    <row r="581" spans="1:13" ht="75" customHeight="1" thickTop="1" thickBot="1">
      <c r="A581" s="34">
        <v>579</v>
      </c>
      <c r="B581" s="55">
        <v>46078.398092708303</v>
      </c>
      <c r="C581" s="56" t="s">
        <v>394</v>
      </c>
      <c r="D581" s="56" t="s">
        <v>699</v>
      </c>
      <c r="E581" s="26" t="s">
        <v>22</v>
      </c>
      <c r="F581" s="26" t="s">
        <v>412</v>
      </c>
      <c r="G581" s="26" t="s">
        <v>424</v>
      </c>
      <c r="H581" s="26" t="s">
        <v>3453</v>
      </c>
      <c r="I581" s="26"/>
      <c r="J581" s="26" t="s">
        <v>15</v>
      </c>
      <c r="K581" s="26" t="s">
        <v>13</v>
      </c>
      <c r="L581" s="55"/>
      <c r="M581" s="26"/>
    </row>
    <row r="582" spans="1:13" ht="75" customHeight="1" thickTop="1" thickBot="1">
      <c r="A582" s="26">
        <v>580</v>
      </c>
      <c r="B582" s="55">
        <v>46078.398360335603</v>
      </c>
      <c r="C582" s="56" t="s">
        <v>394</v>
      </c>
      <c r="D582" s="56" t="s">
        <v>699</v>
      </c>
      <c r="E582" s="26" t="s">
        <v>22</v>
      </c>
      <c r="F582" s="26" t="s">
        <v>396</v>
      </c>
      <c r="G582" s="26" t="s">
        <v>424</v>
      </c>
      <c r="H582" s="26" t="s">
        <v>3453</v>
      </c>
      <c r="I582" s="26"/>
      <c r="J582" s="26" t="s">
        <v>15</v>
      </c>
      <c r="K582" s="26" t="s">
        <v>13</v>
      </c>
      <c r="L582" s="55"/>
      <c r="M582" s="26"/>
    </row>
    <row r="583" spans="1:13" ht="75" customHeight="1" thickTop="1" thickBot="1">
      <c r="A583" s="34">
        <v>581</v>
      </c>
      <c r="B583" s="55">
        <v>46078.398593055499</v>
      </c>
      <c r="C583" s="56" t="s">
        <v>394</v>
      </c>
      <c r="D583" s="56" t="s">
        <v>699</v>
      </c>
      <c r="E583" s="26" t="s">
        <v>22</v>
      </c>
      <c r="F583" s="26" t="s">
        <v>399</v>
      </c>
      <c r="G583" s="26" t="s">
        <v>424</v>
      </c>
      <c r="H583" s="26" t="s">
        <v>3454</v>
      </c>
      <c r="I583" s="26"/>
      <c r="J583" s="26" t="s">
        <v>15</v>
      </c>
      <c r="K583" s="26" t="s">
        <v>13</v>
      </c>
      <c r="L583" s="55"/>
      <c r="M583" s="26"/>
    </row>
    <row r="584" spans="1:13" ht="75" customHeight="1" thickTop="1" thickBot="1">
      <c r="A584" s="26">
        <v>582</v>
      </c>
      <c r="B584" s="55">
        <v>46078.398839097201</v>
      </c>
      <c r="C584" s="56" t="s">
        <v>394</v>
      </c>
      <c r="D584" s="56" t="s">
        <v>699</v>
      </c>
      <c r="E584" s="26" t="s">
        <v>22</v>
      </c>
      <c r="F584" s="26" t="s">
        <v>403</v>
      </c>
      <c r="G584" s="26" t="s">
        <v>424</v>
      </c>
      <c r="H584" s="26" t="s">
        <v>3454</v>
      </c>
      <c r="I584" s="26"/>
      <c r="J584" s="26" t="s">
        <v>15</v>
      </c>
      <c r="K584" s="26" t="s">
        <v>13</v>
      </c>
      <c r="L584" s="55"/>
      <c r="M584" s="26"/>
    </row>
    <row r="585" spans="1:13" ht="75" customHeight="1" thickTop="1" thickBot="1">
      <c r="A585" s="34">
        <v>583</v>
      </c>
      <c r="B585" s="55">
        <v>46078.399157696702</v>
      </c>
      <c r="C585" s="56" t="s">
        <v>394</v>
      </c>
      <c r="D585" s="56" t="s">
        <v>699</v>
      </c>
      <c r="E585" s="26" t="s">
        <v>22</v>
      </c>
      <c r="F585" s="26" t="s">
        <v>401</v>
      </c>
      <c r="G585" s="26" t="s">
        <v>424</v>
      </c>
      <c r="H585" s="26" t="s">
        <v>3454</v>
      </c>
      <c r="I585" s="26"/>
      <c r="J585" s="26" t="s">
        <v>15</v>
      </c>
      <c r="K585" s="26" t="s">
        <v>13</v>
      </c>
      <c r="L585" s="55"/>
      <c r="M585" s="26"/>
    </row>
    <row r="586" spans="1:13" ht="75" customHeight="1" thickTop="1" thickBot="1">
      <c r="A586" s="26">
        <v>584</v>
      </c>
      <c r="B586" s="55">
        <v>46078.399350717496</v>
      </c>
      <c r="C586" s="56" t="s">
        <v>394</v>
      </c>
      <c r="D586" s="56" t="s">
        <v>699</v>
      </c>
      <c r="E586" s="26" t="s">
        <v>22</v>
      </c>
      <c r="F586" s="26" t="s">
        <v>413</v>
      </c>
      <c r="G586" s="26" t="s">
        <v>424</v>
      </c>
      <c r="H586" s="26" t="s">
        <v>3454</v>
      </c>
      <c r="I586" s="26"/>
      <c r="J586" s="26" t="s">
        <v>15</v>
      </c>
      <c r="K586" s="26" t="s">
        <v>13</v>
      </c>
      <c r="L586" s="55"/>
      <c r="M586" s="26"/>
    </row>
    <row r="587" spans="1:13" ht="75" customHeight="1" thickTop="1" thickBot="1">
      <c r="A587" s="34">
        <v>585</v>
      </c>
      <c r="B587" s="55">
        <v>46078.399588506902</v>
      </c>
      <c r="C587" s="56" t="s">
        <v>394</v>
      </c>
      <c r="D587" s="56" t="s">
        <v>699</v>
      </c>
      <c r="E587" s="26" t="s">
        <v>22</v>
      </c>
      <c r="F587" s="26" t="s">
        <v>416</v>
      </c>
      <c r="G587" s="26" t="s">
        <v>424</v>
      </c>
      <c r="H587" s="26" t="s">
        <v>3454</v>
      </c>
      <c r="I587" s="26"/>
      <c r="J587" s="26" t="s">
        <v>15</v>
      </c>
      <c r="K587" s="26" t="s">
        <v>13</v>
      </c>
      <c r="L587" s="55"/>
      <c r="M587" s="26"/>
    </row>
    <row r="588" spans="1:13" ht="75" customHeight="1" thickTop="1" thickBot="1">
      <c r="A588" s="26">
        <v>586</v>
      </c>
      <c r="B588" s="55">
        <v>46078.399833715201</v>
      </c>
      <c r="C588" s="56" t="s">
        <v>394</v>
      </c>
      <c r="D588" s="56" t="s">
        <v>699</v>
      </c>
      <c r="E588" s="26" t="s">
        <v>22</v>
      </c>
      <c r="F588" s="26" t="s">
        <v>417</v>
      </c>
      <c r="G588" s="26" t="s">
        <v>424</v>
      </c>
      <c r="H588" s="26" t="s">
        <v>3454</v>
      </c>
      <c r="I588" s="26"/>
      <c r="J588" s="26" t="s">
        <v>15</v>
      </c>
      <c r="K588" s="26" t="s">
        <v>13</v>
      </c>
      <c r="L588" s="55"/>
      <c r="M588" s="26"/>
    </row>
    <row r="589" spans="1:13" ht="75" customHeight="1" thickTop="1" thickBot="1">
      <c r="A589" s="34">
        <v>587</v>
      </c>
      <c r="B589" s="55">
        <v>46078.400862418901</v>
      </c>
      <c r="C589" s="56" t="s">
        <v>394</v>
      </c>
      <c r="D589" s="56" t="s">
        <v>699</v>
      </c>
      <c r="E589" s="26" t="s">
        <v>22</v>
      </c>
      <c r="F589" s="26" t="s">
        <v>411</v>
      </c>
      <c r="G589" s="26" t="s">
        <v>707</v>
      </c>
      <c r="H589" s="26" t="s">
        <v>3455</v>
      </c>
      <c r="I589" s="26"/>
      <c r="J589" s="26" t="s">
        <v>15</v>
      </c>
      <c r="K589" s="26" t="s">
        <v>13</v>
      </c>
      <c r="L589" s="55"/>
      <c r="M589" s="26"/>
    </row>
    <row r="590" spans="1:13" ht="75" customHeight="1" thickTop="1" thickBot="1">
      <c r="A590" s="26">
        <v>588</v>
      </c>
      <c r="B590" s="55">
        <v>46078.401264826301</v>
      </c>
      <c r="C590" s="56" t="s">
        <v>394</v>
      </c>
      <c r="D590" s="56" t="s">
        <v>699</v>
      </c>
      <c r="E590" s="26" t="s">
        <v>22</v>
      </c>
      <c r="F590" s="26" t="s">
        <v>411</v>
      </c>
      <c r="G590" s="26" t="s">
        <v>708</v>
      </c>
      <c r="H590" s="26" t="s">
        <v>3455</v>
      </c>
      <c r="I590" s="26"/>
      <c r="J590" s="26" t="s">
        <v>15</v>
      </c>
      <c r="K590" s="26" t="s">
        <v>13</v>
      </c>
      <c r="L590" s="55"/>
      <c r="M590" s="26"/>
    </row>
    <row r="591" spans="1:13" ht="75" customHeight="1" thickTop="1" thickBot="1">
      <c r="A591" s="34">
        <v>589</v>
      </c>
      <c r="B591" s="55">
        <v>46078.4015440972</v>
      </c>
      <c r="C591" s="56" t="s">
        <v>394</v>
      </c>
      <c r="D591" s="56" t="s">
        <v>699</v>
      </c>
      <c r="E591" s="26" t="s">
        <v>22</v>
      </c>
      <c r="F591" s="26" t="s">
        <v>412</v>
      </c>
      <c r="G591" s="26" t="s">
        <v>707</v>
      </c>
      <c r="H591" s="26" t="s">
        <v>3455</v>
      </c>
      <c r="I591" s="26"/>
      <c r="J591" s="26" t="s">
        <v>15</v>
      </c>
      <c r="K591" s="26" t="s">
        <v>13</v>
      </c>
      <c r="L591" s="55"/>
      <c r="M591" s="26"/>
    </row>
    <row r="592" spans="1:13" ht="75" customHeight="1" thickTop="1" thickBot="1">
      <c r="A592" s="26">
        <v>590</v>
      </c>
      <c r="B592" s="55">
        <v>46078.401892141199</v>
      </c>
      <c r="C592" s="56" t="s">
        <v>394</v>
      </c>
      <c r="D592" s="56" t="s">
        <v>699</v>
      </c>
      <c r="E592" s="26" t="s">
        <v>22</v>
      </c>
      <c r="F592" s="26" t="s">
        <v>412</v>
      </c>
      <c r="G592" s="26" t="s">
        <v>708</v>
      </c>
      <c r="H592" s="26" t="s">
        <v>3455</v>
      </c>
      <c r="I592" s="26"/>
      <c r="J592" s="26" t="s">
        <v>15</v>
      </c>
      <c r="K592" s="26" t="s">
        <v>13</v>
      </c>
      <c r="L592" s="55"/>
      <c r="M592" s="26"/>
    </row>
    <row r="593" spans="1:13" ht="75" customHeight="1" thickTop="1" thickBot="1">
      <c r="A593" s="34">
        <v>591</v>
      </c>
      <c r="B593" s="55">
        <v>46079.332572407402</v>
      </c>
      <c r="C593" s="56" t="s">
        <v>394</v>
      </c>
      <c r="D593" s="56" t="s">
        <v>395</v>
      </c>
      <c r="E593" s="26" t="s">
        <v>21</v>
      </c>
      <c r="F593" s="26" t="s">
        <v>411</v>
      </c>
      <c r="G593" s="26" t="s">
        <v>442</v>
      </c>
      <c r="H593" s="26" t="s">
        <v>3370</v>
      </c>
      <c r="I593" s="26"/>
      <c r="J593" s="26" t="s">
        <v>14</v>
      </c>
      <c r="K593" s="26" t="s">
        <v>13</v>
      </c>
      <c r="L593" s="55">
        <v>46079.365941249998</v>
      </c>
      <c r="M593" s="26"/>
    </row>
    <row r="594" spans="1:13" ht="75" customHeight="1" thickTop="1" thickBot="1">
      <c r="A594" s="26">
        <v>592</v>
      </c>
      <c r="B594" s="55">
        <v>46079.335806041599</v>
      </c>
      <c r="C594" s="56" t="s">
        <v>394</v>
      </c>
      <c r="D594" s="56" t="s">
        <v>395</v>
      </c>
      <c r="E594" s="26" t="s">
        <v>21</v>
      </c>
      <c r="F594" s="26" t="s">
        <v>413</v>
      </c>
      <c r="G594" s="26" t="s">
        <v>900</v>
      </c>
      <c r="H594" s="26" t="s">
        <v>3456</v>
      </c>
      <c r="I594" s="26"/>
      <c r="J594" s="26" t="s">
        <v>16</v>
      </c>
      <c r="K594" s="26" t="s">
        <v>13</v>
      </c>
      <c r="L594" s="55">
        <v>46079.544010937505</v>
      </c>
      <c r="M594" s="26"/>
    </row>
    <row r="595" spans="1:13" ht="75" customHeight="1" thickTop="1" thickBot="1">
      <c r="A595" s="34">
        <v>593</v>
      </c>
      <c r="B595" s="55">
        <v>46079.372707812501</v>
      </c>
      <c r="C595" s="56" t="s">
        <v>394</v>
      </c>
      <c r="D595" s="56" t="s">
        <v>395</v>
      </c>
      <c r="E595" s="26" t="s">
        <v>21</v>
      </c>
      <c r="F595" s="26" t="s">
        <v>412</v>
      </c>
      <c r="G595" s="26" t="s">
        <v>442</v>
      </c>
      <c r="H595" s="26" t="s">
        <v>3377</v>
      </c>
      <c r="I595" s="26"/>
      <c r="J595" s="26" t="s">
        <v>14</v>
      </c>
      <c r="K595" s="26" t="s">
        <v>13</v>
      </c>
      <c r="L595" s="55">
        <v>46079.513024687505</v>
      </c>
      <c r="M595" s="26"/>
    </row>
    <row r="596" spans="1:13" ht="75" customHeight="1" thickTop="1" thickBot="1">
      <c r="A596" s="26">
        <v>594</v>
      </c>
      <c r="B596" s="55">
        <v>46079.373924270803</v>
      </c>
      <c r="C596" s="56" t="s">
        <v>394</v>
      </c>
      <c r="D596" s="56" t="s">
        <v>395</v>
      </c>
      <c r="E596" s="26" t="s">
        <v>21</v>
      </c>
      <c r="F596" s="26" t="s">
        <v>413</v>
      </c>
      <c r="G596" s="26" t="s">
        <v>442</v>
      </c>
      <c r="H596" s="26" t="s">
        <v>782</v>
      </c>
      <c r="I596" s="26"/>
      <c r="J596" s="26" t="s">
        <v>12</v>
      </c>
      <c r="K596" s="26" t="s">
        <v>13</v>
      </c>
      <c r="L596" s="55" t="s">
        <v>783</v>
      </c>
      <c r="M596" s="26"/>
    </row>
    <row r="597" spans="1:13" ht="75" customHeight="1" thickTop="1" thickBot="1">
      <c r="A597" s="34">
        <v>595</v>
      </c>
      <c r="B597" s="55">
        <v>46081.3762824652</v>
      </c>
      <c r="C597" s="56" t="s">
        <v>394</v>
      </c>
      <c r="D597" s="56" t="s">
        <v>34</v>
      </c>
      <c r="E597" s="26" t="s">
        <v>22</v>
      </c>
      <c r="F597" s="26" t="s">
        <v>405</v>
      </c>
      <c r="G597" s="26" t="s">
        <v>449</v>
      </c>
      <c r="H597" s="26" t="s">
        <v>3457</v>
      </c>
      <c r="I597" s="26"/>
      <c r="J597" s="26" t="s">
        <v>12</v>
      </c>
      <c r="K597" s="26" t="s">
        <v>13</v>
      </c>
      <c r="L597" s="55">
        <v>46081.379580277775</v>
      </c>
      <c r="M597" s="26"/>
    </row>
    <row r="598" spans="1:13" ht="75" customHeight="1" thickTop="1" thickBot="1">
      <c r="A598" s="26">
        <v>596</v>
      </c>
      <c r="B598" s="55">
        <v>46081.376889606399</v>
      </c>
      <c r="C598" s="56" t="s">
        <v>394</v>
      </c>
      <c r="D598" s="56" t="s">
        <v>34</v>
      </c>
      <c r="E598" s="26" t="s">
        <v>22</v>
      </c>
      <c r="F598" s="26" t="s">
        <v>784</v>
      </c>
      <c r="G598" s="26" t="s">
        <v>785</v>
      </c>
      <c r="H598" s="26" t="s">
        <v>3458</v>
      </c>
      <c r="I598" s="26"/>
      <c r="J598" s="26" t="s">
        <v>12</v>
      </c>
      <c r="K598" s="26" t="s">
        <v>13</v>
      </c>
      <c r="L598" s="55">
        <v>46081.379603703703</v>
      </c>
      <c r="M598" s="26"/>
    </row>
    <row r="599" spans="1:13" ht="75" customHeight="1" thickTop="1" thickBot="1">
      <c r="A599" s="34">
        <v>597</v>
      </c>
      <c r="B599" s="55">
        <v>46081.3781735995</v>
      </c>
      <c r="C599" s="56" t="s">
        <v>394</v>
      </c>
      <c r="D599" s="56" t="s">
        <v>395</v>
      </c>
      <c r="E599" s="26" t="s">
        <v>21</v>
      </c>
      <c r="F599" s="26" t="s">
        <v>901</v>
      </c>
      <c r="G599" s="26" t="s">
        <v>902</v>
      </c>
      <c r="H599" s="26" t="s">
        <v>855</v>
      </c>
      <c r="I599" s="26"/>
      <c r="J599" s="26" t="s">
        <v>16</v>
      </c>
      <c r="K599" s="26" t="s">
        <v>13</v>
      </c>
      <c r="L599" s="55">
        <v>46081.380013032409</v>
      </c>
      <c r="M599" s="26"/>
    </row>
    <row r="600" spans="1:13" ht="75" customHeight="1" thickTop="1" thickBot="1">
      <c r="A600" s="26">
        <v>598</v>
      </c>
      <c r="B600" s="55">
        <v>46081.378552766197</v>
      </c>
      <c r="C600" s="56" t="s">
        <v>394</v>
      </c>
      <c r="D600" s="56" t="s">
        <v>34</v>
      </c>
      <c r="E600" s="26" t="s">
        <v>22</v>
      </c>
      <c r="F600" s="26" t="s">
        <v>449</v>
      </c>
      <c r="G600" s="26" t="s">
        <v>786</v>
      </c>
      <c r="H600" s="26" t="s">
        <v>787</v>
      </c>
      <c r="I600" s="26"/>
      <c r="J600" s="26" t="s">
        <v>12</v>
      </c>
      <c r="K600" s="26" t="s">
        <v>13</v>
      </c>
      <c r="L600" s="55">
        <v>46081.379510208339</v>
      </c>
      <c r="M600" s="26"/>
    </row>
    <row r="601" spans="1:13" ht="75" customHeight="1" thickTop="1" thickBot="1">
      <c r="A601" s="34">
        <v>599</v>
      </c>
      <c r="B601" s="55">
        <v>46081.378985162002</v>
      </c>
      <c r="C601" s="56" t="s">
        <v>394</v>
      </c>
      <c r="D601" s="56" t="s">
        <v>34</v>
      </c>
      <c r="E601" s="26" t="s">
        <v>22</v>
      </c>
      <c r="F601" s="26" t="s">
        <v>412</v>
      </c>
      <c r="G601" s="26" t="s">
        <v>439</v>
      </c>
      <c r="H601" s="26" t="s">
        <v>788</v>
      </c>
      <c r="I601" s="26"/>
      <c r="J601" s="26" t="s">
        <v>12</v>
      </c>
      <c r="K601" s="26" t="s">
        <v>13</v>
      </c>
      <c r="L601" s="55">
        <v>46081.379526400458</v>
      </c>
      <c r="M601" s="26"/>
    </row>
    <row r="602" spans="1:13" ht="75" customHeight="1" thickTop="1" thickBot="1">
      <c r="A602" s="26">
        <v>600</v>
      </c>
      <c r="B602" s="55">
        <v>46081.379020370303</v>
      </c>
      <c r="C602" s="56" t="s">
        <v>394</v>
      </c>
      <c r="D602" s="56" t="s">
        <v>395</v>
      </c>
      <c r="E602" s="26" t="s">
        <v>21</v>
      </c>
      <c r="F602" s="26" t="s">
        <v>903</v>
      </c>
      <c r="G602" s="26" t="s">
        <v>904</v>
      </c>
      <c r="H602" s="26" t="s">
        <v>905</v>
      </c>
      <c r="I602" s="26"/>
      <c r="J602" s="26" t="s">
        <v>16</v>
      </c>
      <c r="K602" s="26" t="s">
        <v>13</v>
      </c>
      <c r="L602" s="55">
        <v>46081.379994571762</v>
      </c>
      <c r="M602" s="26"/>
    </row>
    <row r="603" spans="1:13" ht="75" customHeight="1" thickTop="1" thickBot="1">
      <c r="A603" s="34">
        <v>601</v>
      </c>
      <c r="B603" s="55">
        <v>46081.379874039303</v>
      </c>
      <c r="C603" s="56" t="s">
        <v>394</v>
      </c>
      <c r="D603" s="56" t="s">
        <v>395</v>
      </c>
      <c r="E603" s="26" t="s">
        <v>21</v>
      </c>
      <c r="F603" s="26" t="s">
        <v>903</v>
      </c>
      <c r="G603" s="26" t="s">
        <v>904</v>
      </c>
      <c r="H603" s="26" t="s">
        <v>858</v>
      </c>
      <c r="I603" s="26"/>
      <c r="J603" s="26" t="s">
        <v>16</v>
      </c>
      <c r="K603" s="26" t="s">
        <v>13</v>
      </c>
      <c r="L603" s="55">
        <v>46081.379978530094</v>
      </c>
      <c r="M603" s="26"/>
    </row>
    <row r="604" spans="1:13" ht="75" customHeight="1" thickTop="1" thickBot="1">
      <c r="A604" s="26">
        <v>602</v>
      </c>
      <c r="B604" s="55">
        <v>46081.380527407397</v>
      </c>
      <c r="C604" s="56" t="s">
        <v>394</v>
      </c>
      <c r="D604" s="56" t="s">
        <v>34</v>
      </c>
      <c r="E604" s="26" t="s">
        <v>22</v>
      </c>
      <c r="F604" s="26" t="s">
        <v>449</v>
      </c>
      <c r="G604" s="26" t="s">
        <v>789</v>
      </c>
      <c r="H604" s="26" t="s">
        <v>790</v>
      </c>
      <c r="I604" s="26"/>
      <c r="J604" s="26" t="s">
        <v>12</v>
      </c>
      <c r="K604" s="26" t="s">
        <v>13</v>
      </c>
      <c r="L604" s="55">
        <v>46081.382259317128</v>
      </c>
      <c r="M604" s="26"/>
    </row>
    <row r="605" spans="1:13" ht="75" customHeight="1" thickTop="1" thickBot="1">
      <c r="A605" s="34">
        <v>603</v>
      </c>
      <c r="B605" s="55">
        <v>46081.381202164303</v>
      </c>
      <c r="C605" s="56" t="s">
        <v>394</v>
      </c>
      <c r="D605" s="56" t="s">
        <v>34</v>
      </c>
      <c r="E605" s="26" t="s">
        <v>22</v>
      </c>
      <c r="F605" s="26" t="s">
        <v>449</v>
      </c>
      <c r="G605" s="26" t="s">
        <v>791</v>
      </c>
      <c r="H605" s="26" t="s">
        <v>792</v>
      </c>
      <c r="I605" s="26"/>
      <c r="J605" s="26" t="s">
        <v>12</v>
      </c>
      <c r="K605" s="26" t="s">
        <v>13</v>
      </c>
      <c r="L605" s="55">
        <v>46081.382296122683</v>
      </c>
      <c r="M605" s="26"/>
    </row>
    <row r="606" spans="1:13" ht="75" customHeight="1" thickTop="1" thickBot="1">
      <c r="A606" s="26">
        <v>604</v>
      </c>
      <c r="B606" s="55">
        <v>46081.381338530096</v>
      </c>
      <c r="C606" s="56" t="s">
        <v>394</v>
      </c>
      <c r="D606" s="56" t="s">
        <v>113</v>
      </c>
      <c r="E606" s="26" t="s">
        <v>22</v>
      </c>
      <c r="F606" s="26" t="s">
        <v>639</v>
      </c>
      <c r="G606" s="26" t="s">
        <v>636</v>
      </c>
      <c r="H606" s="26" t="s">
        <v>850</v>
      </c>
      <c r="I606" s="26"/>
      <c r="J606" s="26" t="s">
        <v>16</v>
      </c>
      <c r="K606" s="26" t="s">
        <v>13</v>
      </c>
      <c r="L606" s="55">
        <v>46081.381415717595</v>
      </c>
      <c r="M606" s="26"/>
    </row>
    <row r="607" spans="1:13" ht="75" customHeight="1" thickTop="1" thickBot="1">
      <c r="A607" s="34">
        <v>605</v>
      </c>
      <c r="B607" s="55">
        <v>46081.381744641199</v>
      </c>
      <c r="C607" s="56" t="s">
        <v>394</v>
      </c>
      <c r="D607" s="56" t="s">
        <v>34</v>
      </c>
      <c r="E607" s="26" t="s">
        <v>22</v>
      </c>
      <c r="F607" s="26" t="s">
        <v>396</v>
      </c>
      <c r="G607" s="26" t="s">
        <v>439</v>
      </c>
      <c r="H607" s="26" t="s">
        <v>793</v>
      </c>
      <c r="I607" s="26"/>
      <c r="J607" s="26" t="s">
        <v>12</v>
      </c>
      <c r="K607" s="26" t="s">
        <v>13</v>
      </c>
      <c r="L607" s="55">
        <v>46081.382364143516</v>
      </c>
      <c r="M607" s="26"/>
    </row>
    <row r="608" spans="1:13" ht="75" customHeight="1" thickTop="1" thickBot="1">
      <c r="A608" s="26">
        <v>606</v>
      </c>
      <c r="B608" s="55">
        <v>46081.382156226799</v>
      </c>
      <c r="C608" s="56" t="s">
        <v>394</v>
      </c>
      <c r="D608" s="56" t="s">
        <v>34</v>
      </c>
      <c r="E608" s="26" t="s">
        <v>22</v>
      </c>
      <c r="F608" s="26" t="s">
        <v>403</v>
      </c>
      <c r="G608" s="26" t="s">
        <v>439</v>
      </c>
      <c r="H608" s="26" t="s">
        <v>793</v>
      </c>
      <c r="I608" s="26"/>
      <c r="J608" s="26" t="s">
        <v>12</v>
      </c>
      <c r="K608" s="26" t="s">
        <v>13</v>
      </c>
      <c r="L608" s="55">
        <v>46081.382377928239</v>
      </c>
      <c r="M608" s="26"/>
    </row>
    <row r="609" spans="1:13" ht="75" customHeight="1" thickTop="1" thickBot="1">
      <c r="A609" s="34">
        <v>607</v>
      </c>
      <c r="B609" s="55">
        <v>46081.382826319401</v>
      </c>
      <c r="C609" s="56" t="s">
        <v>394</v>
      </c>
      <c r="D609" s="56" t="s">
        <v>34</v>
      </c>
      <c r="E609" s="26" t="s">
        <v>22</v>
      </c>
      <c r="F609" s="26" t="s">
        <v>401</v>
      </c>
      <c r="G609" s="26" t="s">
        <v>439</v>
      </c>
      <c r="H609" s="26" t="s">
        <v>793</v>
      </c>
      <c r="I609" s="26"/>
      <c r="J609" s="26" t="s">
        <v>12</v>
      </c>
      <c r="K609" s="26" t="s">
        <v>13</v>
      </c>
      <c r="L609" s="55">
        <v>46081.396323553243</v>
      </c>
      <c r="M609" s="26"/>
    </row>
    <row r="610" spans="1:13" ht="75" customHeight="1" thickTop="1" thickBot="1">
      <c r="A610" s="26">
        <v>608</v>
      </c>
      <c r="B610" s="55">
        <v>46081.383191840199</v>
      </c>
      <c r="C610" s="56" t="s">
        <v>394</v>
      </c>
      <c r="D610" s="56" t="s">
        <v>34</v>
      </c>
      <c r="E610" s="26" t="s">
        <v>22</v>
      </c>
      <c r="F610" s="26" t="s">
        <v>405</v>
      </c>
      <c r="G610" s="26" t="s">
        <v>404</v>
      </c>
      <c r="H610" s="26" t="s">
        <v>794</v>
      </c>
      <c r="I610" s="26"/>
      <c r="J610" s="26" t="s">
        <v>12</v>
      </c>
      <c r="K610" s="26" t="s">
        <v>13</v>
      </c>
      <c r="L610" s="55">
        <v>46081.396354791665</v>
      </c>
      <c r="M610" s="26"/>
    </row>
    <row r="611" spans="1:13" ht="75" customHeight="1" thickTop="1" thickBot="1">
      <c r="A611" s="34">
        <v>609</v>
      </c>
      <c r="B611" s="55">
        <v>46081.3839102083</v>
      </c>
      <c r="C611" s="56" t="s">
        <v>394</v>
      </c>
      <c r="D611" s="56" t="s">
        <v>34</v>
      </c>
      <c r="E611" s="26" t="s">
        <v>22</v>
      </c>
      <c r="F611" s="26" t="s">
        <v>59</v>
      </c>
      <c r="G611" s="26" t="s">
        <v>113</v>
      </c>
      <c r="H611" s="26" t="s">
        <v>3459</v>
      </c>
      <c r="I611" s="26"/>
      <c r="J611" s="26" t="s">
        <v>12</v>
      </c>
      <c r="K611" s="26" t="s">
        <v>13</v>
      </c>
      <c r="L611" s="55">
        <v>46081.39636481482</v>
      </c>
      <c r="M611" s="26"/>
    </row>
    <row r="612" spans="1:13" ht="75" customHeight="1" thickTop="1" thickBot="1">
      <c r="A612" s="26">
        <v>610</v>
      </c>
      <c r="B612" s="55">
        <v>46081.385108622599</v>
      </c>
      <c r="C612" s="56" t="s">
        <v>394</v>
      </c>
      <c r="D612" s="56" t="s">
        <v>34</v>
      </c>
      <c r="E612" s="26" t="s">
        <v>22</v>
      </c>
      <c r="F612" s="26" t="s">
        <v>405</v>
      </c>
      <c r="G612" s="26" t="s">
        <v>795</v>
      </c>
      <c r="H612" s="26" t="s">
        <v>796</v>
      </c>
      <c r="I612" s="26"/>
      <c r="J612" s="26" t="s">
        <v>12</v>
      </c>
      <c r="K612" s="26" t="s">
        <v>13</v>
      </c>
      <c r="L612" s="55">
        <v>46081.39635145833</v>
      </c>
      <c r="M612" s="26"/>
    </row>
    <row r="613" spans="1:13" ht="75" customHeight="1" thickTop="1" thickBot="1">
      <c r="A613" s="34">
        <v>611</v>
      </c>
      <c r="B613" s="55">
        <v>46081.385810196698</v>
      </c>
      <c r="C613" s="56" t="s">
        <v>394</v>
      </c>
      <c r="D613" s="56" t="s">
        <v>34</v>
      </c>
      <c r="E613" s="26" t="s">
        <v>22</v>
      </c>
      <c r="F613" s="26" t="s">
        <v>416</v>
      </c>
      <c r="G613" s="26" t="s">
        <v>439</v>
      </c>
      <c r="H613" s="26" t="s">
        <v>3460</v>
      </c>
      <c r="I613" s="26"/>
      <c r="J613" s="26" t="s">
        <v>12</v>
      </c>
      <c r="K613" s="26" t="s">
        <v>13</v>
      </c>
      <c r="L613" s="55">
        <v>46081.396387361106</v>
      </c>
      <c r="M613" s="26"/>
    </row>
    <row r="614" spans="1:13" ht="75" customHeight="1" thickTop="1" thickBot="1">
      <c r="A614" s="26">
        <v>612</v>
      </c>
      <c r="B614" s="55">
        <v>46081.387325150397</v>
      </c>
      <c r="C614" s="56" t="s">
        <v>394</v>
      </c>
      <c r="D614" s="56" t="s">
        <v>34</v>
      </c>
      <c r="E614" s="26" t="s">
        <v>22</v>
      </c>
      <c r="F614" s="26" t="s">
        <v>399</v>
      </c>
      <c r="G614" s="26" t="s">
        <v>439</v>
      </c>
      <c r="H614" s="26" t="s">
        <v>793</v>
      </c>
      <c r="I614" s="26"/>
      <c r="J614" s="26" t="s">
        <v>12</v>
      </c>
      <c r="K614" s="26" t="s">
        <v>13</v>
      </c>
      <c r="L614" s="55">
        <v>46081.396373587966</v>
      </c>
      <c r="M614" s="26"/>
    </row>
    <row r="615" spans="1:13" ht="75" customHeight="1" thickTop="1" thickBot="1">
      <c r="A615" s="34">
        <v>613</v>
      </c>
      <c r="B615" s="55">
        <v>46081.387652303201</v>
      </c>
      <c r="C615" s="56" t="s">
        <v>394</v>
      </c>
      <c r="D615" s="56" t="s">
        <v>34</v>
      </c>
      <c r="E615" s="26" t="s">
        <v>22</v>
      </c>
      <c r="F615" s="26" t="s">
        <v>413</v>
      </c>
      <c r="G615" s="26" t="s">
        <v>439</v>
      </c>
      <c r="H615" s="26" t="s">
        <v>793</v>
      </c>
      <c r="I615" s="26"/>
      <c r="J615" s="26" t="s">
        <v>12</v>
      </c>
      <c r="K615" s="26" t="s">
        <v>13</v>
      </c>
      <c r="L615" s="55">
        <v>46081.396378182872</v>
      </c>
      <c r="M615" s="26"/>
    </row>
    <row r="616" spans="1:13" ht="75" customHeight="1" thickTop="1" thickBot="1">
      <c r="A616" s="26">
        <v>614</v>
      </c>
      <c r="B616" s="55">
        <v>46081.3878349074</v>
      </c>
      <c r="C616" s="56" t="s">
        <v>394</v>
      </c>
      <c r="D616" s="56" t="s">
        <v>34</v>
      </c>
      <c r="E616" s="26" t="s">
        <v>22</v>
      </c>
      <c r="F616" s="26" t="s">
        <v>416</v>
      </c>
      <c r="G616" s="26" t="s">
        <v>439</v>
      </c>
      <c r="H616" s="26" t="s">
        <v>793</v>
      </c>
      <c r="I616" s="26"/>
      <c r="J616" s="26" t="s">
        <v>12</v>
      </c>
      <c r="K616" s="26" t="s">
        <v>13</v>
      </c>
      <c r="L616" s="55">
        <v>46081.396392349532</v>
      </c>
      <c r="M616" s="26"/>
    </row>
    <row r="617" spans="1:13" ht="75" customHeight="1" thickTop="1" thickBot="1">
      <c r="A617" s="34">
        <v>615</v>
      </c>
      <c r="B617" s="55">
        <v>46081.388138113398</v>
      </c>
      <c r="C617" s="56" t="s">
        <v>394</v>
      </c>
      <c r="D617" s="56" t="s">
        <v>34</v>
      </c>
      <c r="E617" s="26" t="s">
        <v>22</v>
      </c>
      <c r="F617" s="26" t="s">
        <v>447</v>
      </c>
      <c r="G617" s="26" t="s">
        <v>439</v>
      </c>
      <c r="H617" s="26" t="s">
        <v>793</v>
      </c>
      <c r="I617" s="26"/>
      <c r="J617" s="26" t="s">
        <v>12</v>
      </c>
      <c r="K617" s="26" t="s">
        <v>13</v>
      </c>
      <c r="L617" s="55">
        <v>46081.396400173609</v>
      </c>
      <c r="M617" s="26"/>
    </row>
    <row r="618" spans="1:13" ht="75" customHeight="1" thickTop="1" thickBot="1">
      <c r="A618" s="26">
        <v>616</v>
      </c>
      <c r="B618" s="55">
        <v>46081.388537222199</v>
      </c>
      <c r="C618" s="56" t="s">
        <v>394</v>
      </c>
      <c r="D618" s="56" t="s">
        <v>34</v>
      </c>
      <c r="E618" s="26" t="s">
        <v>22</v>
      </c>
      <c r="F618" s="26" t="s">
        <v>396</v>
      </c>
      <c r="G618" s="26" t="s">
        <v>797</v>
      </c>
      <c r="H618" s="26" t="s">
        <v>798</v>
      </c>
      <c r="I618" s="26"/>
      <c r="J618" s="26" t="s">
        <v>12</v>
      </c>
      <c r="K618" s="26" t="s">
        <v>13</v>
      </c>
      <c r="L618" s="55">
        <v>46081.396420173609</v>
      </c>
      <c r="M618" s="26"/>
    </row>
    <row r="619" spans="1:13" ht="75" customHeight="1" thickTop="1" thickBot="1">
      <c r="A619" s="34">
        <v>617</v>
      </c>
      <c r="B619" s="55">
        <v>46081.388786678202</v>
      </c>
      <c r="C619" s="56" t="s">
        <v>394</v>
      </c>
      <c r="D619" s="56" t="s">
        <v>34</v>
      </c>
      <c r="E619" s="26" t="s">
        <v>22</v>
      </c>
      <c r="F619" s="26" t="s">
        <v>399</v>
      </c>
      <c r="G619" s="26" t="s">
        <v>797</v>
      </c>
      <c r="H619" s="26" t="s">
        <v>798</v>
      </c>
      <c r="I619" s="26"/>
      <c r="J619" s="26" t="s">
        <v>12</v>
      </c>
      <c r="K619" s="26" t="s">
        <v>13</v>
      </c>
      <c r="L619" s="55">
        <v>46081.396414282412</v>
      </c>
      <c r="M619" s="26"/>
    </row>
    <row r="620" spans="1:13" ht="75" customHeight="1" thickTop="1" thickBot="1">
      <c r="A620" s="26">
        <v>618</v>
      </c>
      <c r="B620" s="55">
        <v>46081.389379236098</v>
      </c>
      <c r="C620" s="56" t="s">
        <v>394</v>
      </c>
      <c r="D620" s="56" t="s">
        <v>34</v>
      </c>
      <c r="E620" s="26" t="s">
        <v>22</v>
      </c>
      <c r="F620" s="26" t="s">
        <v>59</v>
      </c>
      <c r="G620" s="26" t="s">
        <v>113</v>
      </c>
      <c r="H620" s="26" t="s">
        <v>3461</v>
      </c>
      <c r="I620" s="26"/>
      <c r="J620" s="26" t="s">
        <v>12</v>
      </c>
      <c r="K620" s="26" t="s">
        <v>13</v>
      </c>
      <c r="L620" s="55">
        <v>46081.396425162035</v>
      </c>
      <c r="M620" s="26"/>
    </row>
    <row r="621" spans="1:13" ht="75" customHeight="1" thickTop="1" thickBot="1">
      <c r="A621" s="34">
        <v>619</v>
      </c>
      <c r="B621" s="55">
        <v>46081.389983055502</v>
      </c>
      <c r="C621" s="56" t="s">
        <v>394</v>
      </c>
      <c r="D621" s="56" t="s">
        <v>34</v>
      </c>
      <c r="E621" s="26" t="s">
        <v>22</v>
      </c>
      <c r="F621" s="26" t="s">
        <v>416</v>
      </c>
      <c r="G621" s="26" t="s">
        <v>449</v>
      </c>
      <c r="H621" s="26" t="s">
        <v>799</v>
      </c>
      <c r="I621" s="26"/>
      <c r="J621" s="26" t="s">
        <v>12</v>
      </c>
      <c r="K621" s="26" t="s">
        <v>13</v>
      </c>
      <c r="L621" s="55">
        <v>46081.396436238429</v>
      </c>
      <c r="M621" s="26"/>
    </row>
    <row r="622" spans="1:13" ht="75" customHeight="1" thickTop="1" thickBot="1">
      <c r="A622" s="26">
        <v>620</v>
      </c>
      <c r="B622" s="55">
        <v>46081.390554675898</v>
      </c>
      <c r="C622" s="56" t="s">
        <v>394</v>
      </c>
      <c r="D622" s="56" t="s">
        <v>34</v>
      </c>
      <c r="E622" s="26" t="s">
        <v>22</v>
      </c>
      <c r="F622" s="26" t="s">
        <v>800</v>
      </c>
      <c r="G622" s="26" t="s">
        <v>449</v>
      </c>
      <c r="H622" s="26" t="s">
        <v>801</v>
      </c>
      <c r="I622" s="26"/>
      <c r="J622" s="26" t="s">
        <v>12</v>
      </c>
      <c r="K622" s="26" t="s">
        <v>13</v>
      </c>
      <c r="L622" s="55">
        <v>46081.396448101848</v>
      </c>
      <c r="M622" s="26"/>
    </row>
    <row r="623" spans="1:13" ht="75" customHeight="1" thickTop="1" thickBot="1">
      <c r="A623" s="34">
        <v>621</v>
      </c>
      <c r="B623" s="55">
        <v>46081.390872407399</v>
      </c>
      <c r="C623" s="56" t="s">
        <v>394</v>
      </c>
      <c r="D623" s="56" t="s">
        <v>34</v>
      </c>
      <c r="E623" s="26" t="s">
        <v>22</v>
      </c>
      <c r="F623" s="26" t="s">
        <v>447</v>
      </c>
      <c r="G623" s="26" t="s">
        <v>449</v>
      </c>
      <c r="H623" s="26" t="s">
        <v>799</v>
      </c>
      <c r="I623" s="26"/>
      <c r="J623" s="26" t="s">
        <v>12</v>
      </c>
      <c r="K623" s="26" t="s">
        <v>13</v>
      </c>
      <c r="L623" s="55">
        <v>46081.396454166665</v>
      </c>
      <c r="M623" s="26"/>
    </row>
    <row r="624" spans="1:13" ht="75" customHeight="1" thickTop="1" thickBot="1">
      <c r="A624" s="26">
        <v>622</v>
      </c>
      <c r="B624" s="55">
        <v>46081.391357800901</v>
      </c>
      <c r="C624" s="56" t="s">
        <v>394</v>
      </c>
      <c r="D624" s="56" t="s">
        <v>34</v>
      </c>
      <c r="E624" s="26" t="s">
        <v>22</v>
      </c>
      <c r="F624" s="26" t="s">
        <v>396</v>
      </c>
      <c r="G624" s="26" t="s">
        <v>549</v>
      </c>
      <c r="H624" s="26" t="s">
        <v>3462</v>
      </c>
      <c r="I624" s="26"/>
      <c r="J624" s="26" t="s">
        <v>12</v>
      </c>
      <c r="K624" s="26" t="s">
        <v>13</v>
      </c>
      <c r="L624" s="55">
        <v>46081.396463935183</v>
      </c>
      <c r="M624" s="26"/>
    </row>
    <row r="625" spans="1:13" ht="75" customHeight="1" thickTop="1" thickBot="1">
      <c r="A625" s="34">
        <v>623</v>
      </c>
      <c r="B625" s="55">
        <v>46081.391777847202</v>
      </c>
      <c r="C625" s="56" t="s">
        <v>394</v>
      </c>
      <c r="D625" s="56" t="s">
        <v>34</v>
      </c>
      <c r="E625" s="26" t="s">
        <v>22</v>
      </c>
      <c r="F625" s="26" t="s">
        <v>416</v>
      </c>
      <c r="G625" s="26" t="s">
        <v>40</v>
      </c>
      <c r="H625" s="26" t="s">
        <v>802</v>
      </c>
      <c r="I625" s="26"/>
      <c r="J625" s="26" t="s">
        <v>12</v>
      </c>
      <c r="K625" s="26" t="s">
        <v>13</v>
      </c>
      <c r="L625" s="55">
        <v>46081.396503240743</v>
      </c>
      <c r="M625" s="26"/>
    </row>
    <row r="626" spans="1:13" ht="75" customHeight="1" thickTop="1" thickBot="1">
      <c r="A626" s="26">
        <v>624</v>
      </c>
      <c r="B626" s="55">
        <v>46081.392070462898</v>
      </c>
      <c r="C626" s="56" t="s">
        <v>394</v>
      </c>
      <c r="D626" s="56" t="s">
        <v>34</v>
      </c>
      <c r="E626" s="26" t="s">
        <v>22</v>
      </c>
      <c r="F626" s="26" t="s">
        <v>399</v>
      </c>
      <c r="G626" s="26" t="s">
        <v>549</v>
      </c>
      <c r="H626" s="26" t="s">
        <v>3463</v>
      </c>
      <c r="I626" s="26"/>
      <c r="J626" s="26" t="s">
        <v>12</v>
      </c>
      <c r="K626" s="26" t="s">
        <v>13</v>
      </c>
      <c r="L626" s="55">
        <v>46081.396481886579</v>
      </c>
      <c r="M626" s="26"/>
    </row>
    <row r="627" spans="1:13" ht="75" customHeight="1" thickTop="1" thickBot="1">
      <c r="A627" s="34">
        <v>625</v>
      </c>
      <c r="B627" s="55">
        <v>46081.392319594903</v>
      </c>
      <c r="C627" s="56" t="s">
        <v>394</v>
      </c>
      <c r="D627" s="56" t="s">
        <v>34</v>
      </c>
      <c r="E627" s="26" t="s">
        <v>22</v>
      </c>
      <c r="F627" s="26" t="s">
        <v>403</v>
      </c>
      <c r="G627" s="26" t="s">
        <v>549</v>
      </c>
      <c r="H627" s="26" t="s">
        <v>803</v>
      </c>
      <c r="I627" s="26"/>
      <c r="J627" s="26" t="s">
        <v>12</v>
      </c>
      <c r="K627" s="26" t="s">
        <v>13</v>
      </c>
      <c r="L627" s="55">
        <v>46081.396494837958</v>
      </c>
      <c r="M627" s="26"/>
    </row>
    <row r="628" spans="1:13" ht="75" customHeight="1" thickTop="1" thickBot="1">
      <c r="A628" s="26">
        <v>626</v>
      </c>
      <c r="B628" s="55">
        <v>46081.392682395803</v>
      </c>
      <c r="C628" s="56" t="s">
        <v>394</v>
      </c>
      <c r="D628" s="56" t="s">
        <v>34</v>
      </c>
      <c r="E628" s="26" t="s">
        <v>22</v>
      </c>
      <c r="F628" s="26" t="s">
        <v>497</v>
      </c>
      <c r="G628" s="26" t="s">
        <v>442</v>
      </c>
      <c r="H628" s="26" t="s">
        <v>804</v>
      </c>
      <c r="I628" s="26"/>
      <c r="J628" s="26" t="s">
        <v>12</v>
      </c>
      <c r="K628" s="26" t="s">
        <v>13</v>
      </c>
      <c r="L628" s="55">
        <v>46081.396529745369</v>
      </c>
      <c r="M628" s="26"/>
    </row>
    <row r="629" spans="1:13" ht="75" customHeight="1" thickTop="1" thickBot="1">
      <c r="A629" s="34">
        <v>627</v>
      </c>
      <c r="B629" s="55">
        <v>46081.3933975115</v>
      </c>
      <c r="C629" s="56" t="s">
        <v>394</v>
      </c>
      <c r="D629" s="56" t="s">
        <v>34</v>
      </c>
      <c r="E629" s="26" t="s">
        <v>22</v>
      </c>
      <c r="F629" s="26" t="s">
        <v>403</v>
      </c>
      <c r="G629" s="26" t="s">
        <v>797</v>
      </c>
      <c r="H629" s="26" t="s">
        <v>805</v>
      </c>
      <c r="I629" s="26"/>
      <c r="J629" s="26" t="s">
        <v>12</v>
      </c>
      <c r="K629" s="26" t="s">
        <v>13</v>
      </c>
      <c r="L629" s="55">
        <v>46081.39651716435</v>
      </c>
      <c r="M629" s="26"/>
    </row>
    <row r="630" spans="1:13" ht="75" customHeight="1" thickTop="1" thickBot="1">
      <c r="A630" s="26">
        <v>628</v>
      </c>
      <c r="B630" s="55">
        <v>46081.3936831713</v>
      </c>
      <c r="C630" s="56" t="s">
        <v>394</v>
      </c>
      <c r="D630" s="56" t="s">
        <v>34</v>
      </c>
      <c r="E630" s="26" t="s">
        <v>22</v>
      </c>
      <c r="F630" s="26" t="s">
        <v>401</v>
      </c>
      <c r="G630" s="26" t="s">
        <v>549</v>
      </c>
      <c r="H630" s="26" t="s">
        <v>806</v>
      </c>
      <c r="I630" s="26"/>
      <c r="J630" s="26" t="s">
        <v>12</v>
      </c>
      <c r="K630" s="26" t="s">
        <v>13</v>
      </c>
      <c r="L630" s="55">
        <v>46081.396521736111</v>
      </c>
      <c r="M630" s="26"/>
    </row>
    <row r="631" spans="1:13" ht="75" customHeight="1" thickTop="1" thickBot="1">
      <c r="A631" s="34">
        <v>629</v>
      </c>
      <c r="B631" s="55">
        <v>46081.394062789303</v>
      </c>
      <c r="C631" s="56" t="s">
        <v>394</v>
      </c>
      <c r="D631" s="56" t="s">
        <v>34</v>
      </c>
      <c r="E631" s="26" t="s">
        <v>22</v>
      </c>
      <c r="F631" s="26" t="s">
        <v>401</v>
      </c>
      <c r="G631" s="26" t="s">
        <v>565</v>
      </c>
      <c r="H631" s="26" t="s">
        <v>807</v>
      </c>
      <c r="I631" s="26"/>
      <c r="J631" s="26" t="s">
        <v>12</v>
      </c>
      <c r="K631" s="26" t="s">
        <v>13</v>
      </c>
      <c r="L631" s="55">
        <v>46081.396557546293</v>
      </c>
      <c r="M631" s="26"/>
    </row>
    <row r="632" spans="1:13" ht="75" customHeight="1" thickTop="1" thickBot="1">
      <c r="A632" s="26">
        <v>630</v>
      </c>
      <c r="B632" s="55">
        <v>46081.3944104861</v>
      </c>
      <c r="C632" s="56" t="s">
        <v>394</v>
      </c>
      <c r="D632" s="56" t="s">
        <v>34</v>
      </c>
      <c r="E632" s="26" t="s">
        <v>22</v>
      </c>
      <c r="F632" s="26" t="s">
        <v>401</v>
      </c>
      <c r="G632" s="26" t="s">
        <v>797</v>
      </c>
      <c r="H632" s="26" t="s">
        <v>808</v>
      </c>
      <c r="I632" s="26"/>
      <c r="J632" s="26" t="s">
        <v>12</v>
      </c>
      <c r="K632" s="26" t="s">
        <v>13</v>
      </c>
      <c r="L632" s="55">
        <v>46081.396547025462</v>
      </c>
      <c r="M632" s="26"/>
    </row>
    <row r="633" spans="1:13" ht="75" customHeight="1" thickTop="1" thickBot="1">
      <c r="A633" s="34">
        <v>631</v>
      </c>
      <c r="B633" s="55">
        <v>46081.394787800898</v>
      </c>
      <c r="C633" s="56" t="s">
        <v>394</v>
      </c>
      <c r="D633" s="56" t="s">
        <v>34</v>
      </c>
      <c r="E633" s="26" t="s">
        <v>22</v>
      </c>
      <c r="F633" s="26" t="s">
        <v>412</v>
      </c>
      <c r="G633" s="26" t="s">
        <v>797</v>
      </c>
      <c r="H633" s="26" t="s">
        <v>808</v>
      </c>
      <c r="I633" s="26"/>
      <c r="J633" s="26" t="s">
        <v>12</v>
      </c>
      <c r="K633" s="26" t="s">
        <v>13</v>
      </c>
      <c r="L633" s="55">
        <v>46081.396557500004</v>
      </c>
      <c r="M633" s="26"/>
    </row>
    <row r="634" spans="1:13" ht="75" customHeight="1" thickTop="1" thickBot="1">
      <c r="A634" s="26">
        <v>632</v>
      </c>
      <c r="B634" s="55">
        <v>46081.395105682801</v>
      </c>
      <c r="C634" s="56" t="s">
        <v>394</v>
      </c>
      <c r="D634" s="56" t="s">
        <v>34</v>
      </c>
      <c r="E634" s="26" t="s">
        <v>22</v>
      </c>
      <c r="F634" s="26" t="s">
        <v>411</v>
      </c>
      <c r="G634" s="26" t="s">
        <v>797</v>
      </c>
      <c r="H634" s="26" t="s">
        <v>808</v>
      </c>
      <c r="I634" s="26"/>
      <c r="J634" s="26" t="s">
        <v>12</v>
      </c>
      <c r="K634" s="26" t="s">
        <v>13</v>
      </c>
      <c r="L634" s="55">
        <v>46081.396557141205</v>
      </c>
      <c r="M634" s="26"/>
    </row>
    <row r="635" spans="1:13" ht="75" customHeight="1" thickTop="1" thickBot="1">
      <c r="A635" s="34">
        <v>633</v>
      </c>
      <c r="B635" s="55">
        <v>46081.395578715201</v>
      </c>
      <c r="C635" s="56" t="s">
        <v>394</v>
      </c>
      <c r="D635" s="56" t="s">
        <v>34</v>
      </c>
      <c r="E635" s="26" t="s">
        <v>22</v>
      </c>
      <c r="F635" s="26" t="s">
        <v>447</v>
      </c>
      <c r="G635" s="26" t="s">
        <v>40</v>
      </c>
      <c r="H635" s="26" t="s">
        <v>3464</v>
      </c>
      <c r="I635" s="26"/>
      <c r="J635" s="26" t="s">
        <v>12</v>
      </c>
      <c r="K635" s="26" t="s">
        <v>13</v>
      </c>
      <c r="L635" s="55">
        <v>46081.396585879629</v>
      </c>
      <c r="M635" s="26"/>
    </row>
    <row r="636" spans="1:13" ht="75" customHeight="1" thickTop="1" thickBot="1">
      <c r="A636" s="26">
        <v>634</v>
      </c>
      <c r="B636" s="55">
        <v>46081.3958455092</v>
      </c>
      <c r="C636" s="56" t="s">
        <v>394</v>
      </c>
      <c r="D636" s="56" t="s">
        <v>34</v>
      </c>
      <c r="E636" s="26" t="s">
        <v>22</v>
      </c>
      <c r="F636" s="26" t="s">
        <v>413</v>
      </c>
      <c r="G636" s="26" t="s">
        <v>549</v>
      </c>
      <c r="H636" s="26" t="s">
        <v>809</v>
      </c>
      <c r="I636" s="26"/>
      <c r="J636" s="26" t="s">
        <v>12</v>
      </c>
      <c r="K636" s="26" t="s">
        <v>13</v>
      </c>
      <c r="L636" s="55">
        <v>46081.396578912041</v>
      </c>
      <c r="M636" s="26"/>
    </row>
    <row r="637" spans="1:13" ht="75" customHeight="1" thickTop="1" thickBot="1">
      <c r="A637" s="34">
        <v>635</v>
      </c>
      <c r="B637" s="55">
        <v>46081.401703367999</v>
      </c>
      <c r="C637" s="56" t="s">
        <v>394</v>
      </c>
      <c r="D637" s="56" t="s">
        <v>395</v>
      </c>
      <c r="E637" s="26" t="s">
        <v>21</v>
      </c>
      <c r="F637" s="26" t="s">
        <v>411</v>
      </c>
      <c r="G637" s="26" t="s">
        <v>446</v>
      </c>
      <c r="H637" s="26" t="s">
        <v>943</v>
      </c>
      <c r="I637" s="26"/>
      <c r="J637" s="26" t="s">
        <v>14</v>
      </c>
      <c r="K637" s="26" t="s">
        <v>13</v>
      </c>
      <c r="L637" s="55">
        <v>46081.443217569446</v>
      </c>
      <c r="M637" s="26"/>
    </row>
    <row r="638" spans="1:13" ht="75" customHeight="1" thickTop="1" thickBot="1">
      <c r="A638" s="26">
        <v>636</v>
      </c>
      <c r="B638" s="55">
        <v>46081.402164583298</v>
      </c>
      <c r="C638" s="56" t="s">
        <v>394</v>
      </c>
      <c r="D638" s="56" t="s">
        <v>395</v>
      </c>
      <c r="E638" s="26" t="s">
        <v>21</v>
      </c>
      <c r="F638" s="26" t="s">
        <v>411</v>
      </c>
      <c r="G638" s="26" t="s">
        <v>906</v>
      </c>
      <c r="H638" s="26" t="s">
        <v>907</v>
      </c>
      <c r="I638" s="26"/>
      <c r="J638" s="26" t="s">
        <v>16</v>
      </c>
      <c r="K638" s="26" t="s">
        <v>13</v>
      </c>
      <c r="L638" s="55">
        <v>46081.417720057871</v>
      </c>
      <c r="M638" s="26"/>
    </row>
    <row r="639" spans="1:13" ht="75" customHeight="1" thickTop="1" thickBot="1">
      <c r="A639" s="34">
        <v>637</v>
      </c>
      <c r="B639" s="55">
        <v>46081.402602615701</v>
      </c>
      <c r="C639" s="56" t="s">
        <v>394</v>
      </c>
      <c r="D639" s="56" t="s">
        <v>395</v>
      </c>
      <c r="E639" s="26" t="s">
        <v>21</v>
      </c>
      <c r="F639" s="26" t="s">
        <v>411</v>
      </c>
      <c r="G639" s="26" t="s">
        <v>521</v>
      </c>
      <c r="H639" s="26" t="s">
        <v>564</v>
      </c>
      <c r="I639" s="26"/>
      <c r="J639" s="26" t="s">
        <v>16</v>
      </c>
      <c r="K639" s="26" t="s">
        <v>13</v>
      </c>
      <c r="L639" s="55">
        <v>46081.417767418985</v>
      </c>
      <c r="M639" s="26"/>
    </row>
    <row r="640" spans="1:13" ht="75" customHeight="1" thickTop="1" thickBot="1">
      <c r="A640" s="26">
        <v>638</v>
      </c>
      <c r="B640" s="55">
        <v>46081.403171296297</v>
      </c>
      <c r="C640" s="56" t="s">
        <v>394</v>
      </c>
      <c r="D640" s="56" t="s">
        <v>395</v>
      </c>
      <c r="E640" s="26" t="s">
        <v>21</v>
      </c>
      <c r="F640" s="26" t="s">
        <v>412</v>
      </c>
      <c r="G640" s="26" t="s">
        <v>944</v>
      </c>
      <c r="H640" s="26" t="s">
        <v>945</v>
      </c>
      <c r="I640" s="26"/>
      <c r="J640" s="26" t="s">
        <v>14</v>
      </c>
      <c r="K640" s="26" t="s">
        <v>13</v>
      </c>
      <c r="L640" s="55">
        <v>46081.443296689817</v>
      </c>
      <c r="M640" s="26"/>
    </row>
    <row r="641" spans="1:13" ht="75" customHeight="1" thickTop="1" thickBot="1">
      <c r="A641" s="34">
        <v>639</v>
      </c>
      <c r="B641" s="55">
        <v>46081.836292361098</v>
      </c>
      <c r="C641" s="56" t="s">
        <v>394</v>
      </c>
      <c r="D641" s="56" t="s">
        <v>115</v>
      </c>
      <c r="E641" s="26" t="s">
        <v>22</v>
      </c>
      <c r="F641" s="26" t="s">
        <v>946</v>
      </c>
      <c r="G641" s="26" t="s">
        <v>40</v>
      </c>
      <c r="H641" s="26" t="s">
        <v>3465</v>
      </c>
      <c r="I641" s="26"/>
      <c r="J641" s="26" t="s">
        <v>14</v>
      </c>
      <c r="K641" s="26" t="s">
        <v>13</v>
      </c>
      <c r="L641" s="55">
        <v>46081.85007990741</v>
      </c>
      <c r="M641" s="26"/>
    </row>
    <row r="642" spans="1:13" ht="75" customHeight="1" thickTop="1" thickBot="1">
      <c r="A642" s="26">
        <v>640</v>
      </c>
      <c r="B642" s="55">
        <v>46081.836598275397</v>
      </c>
      <c r="C642" s="56" t="s">
        <v>394</v>
      </c>
      <c r="D642" s="56" t="s">
        <v>115</v>
      </c>
      <c r="E642" s="26" t="s">
        <v>22</v>
      </c>
      <c r="F642" s="26" t="s">
        <v>947</v>
      </c>
      <c r="G642" s="26" t="s">
        <v>40</v>
      </c>
      <c r="H642" s="26" t="s">
        <v>3466</v>
      </c>
      <c r="I642" s="26"/>
      <c r="J642" s="26" t="s">
        <v>14</v>
      </c>
      <c r="K642" s="26" t="s">
        <v>13</v>
      </c>
      <c r="L642" s="55">
        <v>46081.850171064812</v>
      </c>
      <c r="M642" s="26"/>
    </row>
    <row r="643" spans="1:13" ht="75" customHeight="1" thickTop="1" thickBot="1">
      <c r="A643" s="34">
        <v>641</v>
      </c>
      <c r="B643" s="55">
        <v>46081.841776168898</v>
      </c>
      <c r="C643" s="56" t="s">
        <v>394</v>
      </c>
      <c r="D643" s="56" t="s">
        <v>699</v>
      </c>
      <c r="E643" s="26" t="s">
        <v>22</v>
      </c>
      <c r="F643" s="26" t="s">
        <v>413</v>
      </c>
      <c r="G643" s="26" t="s">
        <v>442</v>
      </c>
      <c r="H643" s="26" t="s">
        <v>709</v>
      </c>
      <c r="I643" s="26"/>
      <c r="J643" s="26" t="s">
        <v>15</v>
      </c>
      <c r="K643" s="26" t="s">
        <v>13</v>
      </c>
      <c r="L643" s="55">
        <v>46081.850294710646</v>
      </c>
      <c r="M643" s="26"/>
    </row>
    <row r="644" spans="1:13" ht="75" customHeight="1" thickTop="1" thickBot="1">
      <c r="A644" s="26">
        <v>642</v>
      </c>
      <c r="B644" s="55">
        <v>46081.843229988401</v>
      </c>
      <c r="C644" s="56" t="s">
        <v>394</v>
      </c>
      <c r="D644" s="56" t="s">
        <v>115</v>
      </c>
      <c r="E644" s="26" t="s">
        <v>22</v>
      </c>
      <c r="F644" s="26" t="s">
        <v>416</v>
      </c>
      <c r="G644" s="26" t="s">
        <v>40</v>
      </c>
      <c r="H644" s="26" t="s">
        <v>3467</v>
      </c>
      <c r="I644" s="26"/>
      <c r="J644" s="26" t="s">
        <v>14</v>
      </c>
      <c r="K644" s="26" t="s">
        <v>13</v>
      </c>
      <c r="L644" s="55">
        <v>46081.850341342593</v>
      </c>
      <c r="M644" s="26"/>
    </row>
    <row r="645" spans="1:13" ht="75" customHeight="1" thickTop="1" thickBot="1">
      <c r="A645" s="34">
        <v>643</v>
      </c>
      <c r="B645" s="55">
        <v>46081.843463518497</v>
      </c>
      <c r="C645" s="56" t="s">
        <v>394</v>
      </c>
      <c r="D645" s="56" t="s">
        <v>115</v>
      </c>
      <c r="E645" s="26" t="s">
        <v>22</v>
      </c>
      <c r="F645" s="26" t="s">
        <v>417</v>
      </c>
      <c r="G645" s="26" t="s">
        <v>40</v>
      </c>
      <c r="H645" s="26" t="s">
        <v>948</v>
      </c>
      <c r="I645" s="26"/>
      <c r="J645" s="26" t="s">
        <v>14</v>
      </c>
      <c r="K645" s="26" t="s">
        <v>13</v>
      </c>
      <c r="L645" s="55">
        <v>46081.850424085649</v>
      </c>
      <c r="M645" s="26"/>
    </row>
    <row r="646" spans="1:13" ht="75" customHeight="1" thickTop="1" thickBot="1">
      <c r="A646" s="26">
        <v>644</v>
      </c>
      <c r="B646" s="55">
        <v>46081.844974050902</v>
      </c>
      <c r="C646" s="56" t="s">
        <v>394</v>
      </c>
      <c r="D646" s="56" t="s">
        <v>699</v>
      </c>
      <c r="E646" s="26" t="s">
        <v>22</v>
      </c>
      <c r="F646" s="26" t="s">
        <v>405</v>
      </c>
      <c r="G646" s="26" t="s">
        <v>440</v>
      </c>
      <c r="H646" s="26" t="s">
        <v>710</v>
      </c>
      <c r="I646" s="26"/>
      <c r="J646" s="26" t="s">
        <v>15</v>
      </c>
      <c r="K646" s="26" t="s">
        <v>13</v>
      </c>
      <c r="L646" s="55">
        <v>46081.850529479168</v>
      </c>
      <c r="M646" s="26"/>
    </row>
    <row r="647" spans="1:13" ht="75" customHeight="1" thickTop="1" thickBot="1">
      <c r="A647" s="34">
        <v>645</v>
      </c>
      <c r="B647" s="55">
        <v>46081.845299560096</v>
      </c>
      <c r="C647" s="56" t="s">
        <v>394</v>
      </c>
      <c r="D647" s="56" t="s">
        <v>699</v>
      </c>
      <c r="E647" s="26" t="s">
        <v>22</v>
      </c>
      <c r="F647" s="26" t="s">
        <v>405</v>
      </c>
      <c r="G647" s="26" t="s">
        <v>440</v>
      </c>
      <c r="H647" s="26" t="s">
        <v>711</v>
      </c>
      <c r="I647" s="26"/>
      <c r="J647" s="26" t="s">
        <v>15</v>
      </c>
      <c r="K647" s="26" t="s">
        <v>13</v>
      </c>
      <c r="L647" s="55">
        <v>46081.850577465273</v>
      </c>
      <c r="M647" s="26"/>
    </row>
    <row r="648" spans="1:13" ht="75" customHeight="1" thickTop="1" thickBot="1">
      <c r="A648" s="26">
        <v>646</v>
      </c>
      <c r="B648" s="55">
        <v>46081.846958865703</v>
      </c>
      <c r="C648" s="56" t="s">
        <v>394</v>
      </c>
      <c r="D648" s="56" t="s">
        <v>699</v>
      </c>
      <c r="E648" s="26" t="s">
        <v>22</v>
      </c>
      <c r="F648" s="26" t="s">
        <v>416</v>
      </c>
      <c r="G648" s="26" t="s">
        <v>712</v>
      </c>
      <c r="H648" s="26" t="s">
        <v>713</v>
      </c>
      <c r="I648" s="26"/>
      <c r="J648" s="26" t="s">
        <v>15</v>
      </c>
      <c r="K648" s="26" t="s">
        <v>13</v>
      </c>
      <c r="L648" s="55">
        <v>46081.850657465278</v>
      </c>
      <c r="M648" s="26"/>
    </row>
    <row r="649" spans="1:13" ht="75" customHeight="1" thickTop="1" thickBot="1">
      <c r="A649" s="34">
        <v>647</v>
      </c>
      <c r="B649" s="55">
        <v>46081.847905000002</v>
      </c>
      <c r="C649" s="56" t="s">
        <v>394</v>
      </c>
      <c r="D649" s="56" t="s">
        <v>699</v>
      </c>
      <c r="E649" s="26" t="s">
        <v>22</v>
      </c>
      <c r="F649" s="26" t="s">
        <v>417</v>
      </c>
      <c r="G649" s="26" t="s">
        <v>712</v>
      </c>
      <c r="H649" s="26" t="s">
        <v>714</v>
      </c>
      <c r="I649" s="26"/>
      <c r="J649" s="26" t="s">
        <v>15</v>
      </c>
      <c r="K649" s="26" t="s">
        <v>13</v>
      </c>
      <c r="L649" s="55">
        <v>46081.850762974536</v>
      </c>
      <c r="M649" s="26"/>
    </row>
    <row r="650" spans="1:13" ht="75" customHeight="1" thickTop="1" thickBot="1">
      <c r="A650" s="26">
        <v>648</v>
      </c>
      <c r="B650" s="55">
        <v>46081.852735844899</v>
      </c>
      <c r="C650" s="56" t="s">
        <v>394</v>
      </c>
      <c r="D650" s="56" t="s">
        <v>115</v>
      </c>
      <c r="E650" s="26" t="s">
        <v>22</v>
      </c>
      <c r="F650" s="26" t="s">
        <v>411</v>
      </c>
      <c r="G650" s="26" t="s">
        <v>40</v>
      </c>
      <c r="H650" s="26" t="s">
        <v>949</v>
      </c>
      <c r="I650" s="26"/>
      <c r="J650" s="26" t="s">
        <v>14</v>
      </c>
      <c r="K650" s="26" t="s">
        <v>13</v>
      </c>
      <c r="L650" s="55">
        <v>46081.857002939811</v>
      </c>
      <c r="M650" s="26"/>
    </row>
    <row r="651" spans="1:13" ht="75" customHeight="1" thickTop="1" thickBot="1">
      <c r="A651" s="34">
        <v>649</v>
      </c>
      <c r="B651" s="55">
        <v>46081.854460381903</v>
      </c>
      <c r="C651" s="56" t="s">
        <v>394</v>
      </c>
      <c r="D651" s="56" t="s">
        <v>115</v>
      </c>
      <c r="E651" s="26" t="s">
        <v>22</v>
      </c>
      <c r="F651" s="26" t="s">
        <v>405</v>
      </c>
      <c r="G651" s="26" t="s">
        <v>706</v>
      </c>
      <c r="H651" s="26" t="s">
        <v>950</v>
      </c>
      <c r="I651" s="26"/>
      <c r="J651" s="26" t="s">
        <v>14</v>
      </c>
      <c r="K651" s="26" t="s">
        <v>13</v>
      </c>
      <c r="L651" s="55">
        <v>46081.85730802083</v>
      </c>
      <c r="M651" s="26"/>
    </row>
    <row r="652" spans="1:13" ht="75" customHeight="1" thickTop="1" thickBot="1">
      <c r="A652" s="26">
        <v>650</v>
      </c>
      <c r="B652" s="55">
        <v>46081.854680914301</v>
      </c>
      <c r="C652" s="56" t="s">
        <v>394</v>
      </c>
      <c r="D652" s="56" t="s">
        <v>115</v>
      </c>
      <c r="E652" s="26" t="s">
        <v>22</v>
      </c>
      <c r="F652" s="26" t="s">
        <v>411</v>
      </c>
      <c r="G652" s="26" t="s">
        <v>712</v>
      </c>
      <c r="H652" s="26" t="s">
        <v>951</v>
      </c>
      <c r="I652" s="26"/>
      <c r="J652" s="26" t="s">
        <v>14</v>
      </c>
      <c r="K652" s="26" t="s">
        <v>13</v>
      </c>
      <c r="L652" s="55">
        <v>46081.857309687504</v>
      </c>
      <c r="M652" s="26"/>
    </row>
    <row r="653" spans="1:13" ht="75" customHeight="1" thickTop="1" thickBot="1">
      <c r="A653" s="34">
        <v>651</v>
      </c>
      <c r="B653" s="55">
        <v>46081.854882407402</v>
      </c>
      <c r="C653" s="56" t="s">
        <v>394</v>
      </c>
      <c r="D653" s="56" t="s">
        <v>115</v>
      </c>
      <c r="E653" s="26" t="s">
        <v>22</v>
      </c>
      <c r="F653" s="26" t="s">
        <v>412</v>
      </c>
      <c r="G653" s="26" t="s">
        <v>712</v>
      </c>
      <c r="H653" s="26" t="s">
        <v>951</v>
      </c>
      <c r="I653" s="26"/>
      <c r="J653" s="26" t="s">
        <v>14</v>
      </c>
      <c r="K653" s="26" t="s">
        <v>13</v>
      </c>
      <c r="L653" s="55">
        <v>46081.85736011574</v>
      </c>
      <c r="M653" s="26"/>
    </row>
    <row r="654" spans="1:13" ht="75" customHeight="1" thickTop="1" thickBot="1">
      <c r="A654" s="26">
        <v>652</v>
      </c>
      <c r="B654" s="55">
        <v>46081.855086342497</v>
      </c>
      <c r="C654" s="56" t="s">
        <v>394</v>
      </c>
      <c r="D654" s="56" t="s">
        <v>115</v>
      </c>
      <c r="E654" s="26" t="s">
        <v>22</v>
      </c>
      <c r="F654" s="26" t="s">
        <v>396</v>
      </c>
      <c r="G654" s="26" t="s">
        <v>712</v>
      </c>
      <c r="H654" s="26" t="s">
        <v>951</v>
      </c>
      <c r="I654" s="26"/>
      <c r="J654" s="26" t="s">
        <v>14</v>
      </c>
      <c r="K654" s="26" t="s">
        <v>13</v>
      </c>
      <c r="L654" s="55">
        <v>46081.857364050928</v>
      </c>
      <c r="M654" s="26"/>
    </row>
    <row r="655" spans="1:13" ht="75" customHeight="1" thickTop="1" thickBot="1">
      <c r="A655" s="34">
        <v>653</v>
      </c>
      <c r="B655" s="55">
        <v>46081.855279409698</v>
      </c>
      <c r="C655" s="56" t="s">
        <v>394</v>
      </c>
      <c r="D655" s="56" t="s">
        <v>115</v>
      </c>
      <c r="E655" s="26" t="s">
        <v>22</v>
      </c>
      <c r="F655" s="26" t="s">
        <v>399</v>
      </c>
      <c r="G655" s="26" t="s">
        <v>712</v>
      </c>
      <c r="H655" s="26" t="s">
        <v>951</v>
      </c>
      <c r="I655" s="26"/>
      <c r="J655" s="26" t="s">
        <v>14</v>
      </c>
      <c r="K655" s="26" t="s">
        <v>13</v>
      </c>
      <c r="L655" s="55">
        <v>46081.857391840276</v>
      </c>
      <c r="M655" s="26"/>
    </row>
    <row r="656" spans="1:13" ht="75" customHeight="1" thickTop="1" thickBot="1">
      <c r="A656" s="26">
        <v>654</v>
      </c>
      <c r="B656" s="55">
        <v>46081.855560196702</v>
      </c>
      <c r="C656" s="56" t="s">
        <v>394</v>
      </c>
      <c r="D656" s="56" t="s">
        <v>115</v>
      </c>
      <c r="E656" s="26" t="s">
        <v>22</v>
      </c>
      <c r="F656" s="26" t="s">
        <v>403</v>
      </c>
      <c r="G656" s="26" t="s">
        <v>712</v>
      </c>
      <c r="H656" s="26" t="s">
        <v>951</v>
      </c>
      <c r="I656" s="26"/>
      <c r="J656" s="26" t="s">
        <v>14</v>
      </c>
      <c r="K656" s="26" t="s">
        <v>13</v>
      </c>
      <c r="L656" s="55">
        <v>46081.85740912037</v>
      </c>
      <c r="M656" s="26"/>
    </row>
    <row r="657" spans="1:13" ht="75" customHeight="1" thickTop="1" thickBot="1">
      <c r="A657" s="34">
        <v>655</v>
      </c>
      <c r="B657" s="55">
        <v>46081.855808402703</v>
      </c>
      <c r="C657" s="56" t="s">
        <v>394</v>
      </c>
      <c r="D657" s="56" t="s">
        <v>115</v>
      </c>
      <c r="E657" s="26" t="s">
        <v>22</v>
      </c>
      <c r="F657" s="26" t="s">
        <v>401</v>
      </c>
      <c r="G657" s="26" t="s">
        <v>712</v>
      </c>
      <c r="H657" s="26" t="s">
        <v>951</v>
      </c>
      <c r="I657" s="26"/>
      <c r="J657" s="26" t="s">
        <v>14</v>
      </c>
      <c r="K657" s="26" t="s">
        <v>13</v>
      </c>
      <c r="L657" s="55">
        <v>46081.857490509261</v>
      </c>
      <c r="M657" s="26"/>
    </row>
    <row r="658" spans="1:13" ht="75" customHeight="1" thickTop="1" thickBot="1">
      <c r="A658" s="26">
        <v>656</v>
      </c>
      <c r="B658" s="55">
        <v>46081.856087488399</v>
      </c>
      <c r="C658" s="56" t="s">
        <v>394</v>
      </c>
      <c r="D658" s="56" t="s">
        <v>115</v>
      </c>
      <c r="E658" s="26" t="s">
        <v>22</v>
      </c>
      <c r="F658" s="26" t="s">
        <v>413</v>
      </c>
      <c r="G658" s="26" t="s">
        <v>712</v>
      </c>
      <c r="H658" s="26" t="s">
        <v>951</v>
      </c>
      <c r="I658" s="26"/>
      <c r="J658" s="26" t="s">
        <v>14</v>
      </c>
      <c r="K658" s="26" t="s">
        <v>13</v>
      </c>
      <c r="L658" s="55">
        <v>46081.857494594908</v>
      </c>
      <c r="M658" s="26"/>
    </row>
    <row r="659" spans="1:13" ht="75" customHeight="1" thickTop="1" thickBot="1">
      <c r="A659" s="34">
        <v>657</v>
      </c>
      <c r="B659" s="55">
        <v>46081.8563441898</v>
      </c>
      <c r="C659" s="56" t="s">
        <v>394</v>
      </c>
      <c r="D659" s="56" t="s">
        <v>115</v>
      </c>
      <c r="E659" s="26" t="s">
        <v>22</v>
      </c>
      <c r="F659" s="26" t="s">
        <v>416</v>
      </c>
      <c r="G659" s="26" t="s">
        <v>712</v>
      </c>
      <c r="H659" s="26" t="s">
        <v>951</v>
      </c>
      <c r="I659" s="26"/>
      <c r="J659" s="26" t="s">
        <v>14</v>
      </c>
      <c r="K659" s="26" t="s">
        <v>13</v>
      </c>
      <c r="L659" s="55">
        <v>46081.857508009256</v>
      </c>
      <c r="M659" s="26"/>
    </row>
    <row r="660" spans="1:13" ht="75" customHeight="1" thickTop="1" thickBot="1">
      <c r="A660" s="26">
        <v>658</v>
      </c>
      <c r="B660" s="55">
        <v>46081.856566597198</v>
      </c>
      <c r="C660" s="56" t="s">
        <v>394</v>
      </c>
      <c r="D660" s="56" t="s">
        <v>115</v>
      </c>
      <c r="E660" s="26" t="s">
        <v>22</v>
      </c>
      <c r="F660" s="26" t="s">
        <v>417</v>
      </c>
      <c r="G660" s="26" t="s">
        <v>712</v>
      </c>
      <c r="H660" s="26" t="s">
        <v>951</v>
      </c>
      <c r="I660" s="26"/>
      <c r="J660" s="26" t="s">
        <v>14</v>
      </c>
      <c r="K660" s="26" t="s">
        <v>13</v>
      </c>
      <c r="L660" s="55">
        <v>46081.857535289353</v>
      </c>
      <c r="M660" s="26"/>
    </row>
    <row r="661" spans="1:13" ht="75" customHeight="1" thickTop="1" thickBot="1">
      <c r="A661" s="34">
        <v>659</v>
      </c>
      <c r="B661" s="55">
        <v>46082.278540150401</v>
      </c>
      <c r="C661" s="56" t="s">
        <v>394</v>
      </c>
      <c r="D661" s="56" t="s">
        <v>34</v>
      </c>
      <c r="E661" s="26" t="s">
        <v>22</v>
      </c>
      <c r="F661" s="26" t="s">
        <v>59</v>
      </c>
      <c r="G661" s="26" t="s">
        <v>449</v>
      </c>
      <c r="H661" s="26" t="s">
        <v>810</v>
      </c>
      <c r="I661" s="26"/>
      <c r="J661" s="26" t="s">
        <v>12</v>
      </c>
      <c r="K661" s="26" t="s">
        <v>13</v>
      </c>
      <c r="L661" s="55">
        <v>46082.280737361114</v>
      </c>
      <c r="M661" s="26"/>
    </row>
    <row r="662" spans="1:13" ht="75" customHeight="1" thickTop="1" thickBot="1">
      <c r="A662" s="26">
        <v>660</v>
      </c>
      <c r="B662" s="55">
        <v>46082.279410983698</v>
      </c>
      <c r="C662" s="56" t="s">
        <v>394</v>
      </c>
      <c r="D662" s="56" t="s">
        <v>34</v>
      </c>
      <c r="E662" s="26" t="s">
        <v>22</v>
      </c>
      <c r="F662" s="26" t="s">
        <v>405</v>
      </c>
      <c r="G662" s="26" t="s">
        <v>449</v>
      </c>
      <c r="H662" s="26" t="s">
        <v>3468</v>
      </c>
      <c r="I662" s="26"/>
      <c r="J662" s="26" t="s">
        <v>12</v>
      </c>
      <c r="K662" s="26" t="s">
        <v>13</v>
      </c>
      <c r="L662" s="55">
        <v>46082.280738923611</v>
      </c>
      <c r="M662" s="26"/>
    </row>
    <row r="663" spans="1:13" ht="75" customHeight="1" thickTop="1" thickBot="1">
      <c r="A663" s="34">
        <v>661</v>
      </c>
      <c r="B663" s="55">
        <v>46082.2801990972</v>
      </c>
      <c r="C663" s="56" t="s">
        <v>394</v>
      </c>
      <c r="D663" s="56" t="s">
        <v>34</v>
      </c>
      <c r="E663" s="26" t="s">
        <v>22</v>
      </c>
      <c r="F663" s="26" t="s">
        <v>405</v>
      </c>
      <c r="G663" s="26" t="s">
        <v>442</v>
      </c>
      <c r="H663" s="26" t="s">
        <v>811</v>
      </c>
      <c r="I663" s="26"/>
      <c r="J663" s="26" t="s">
        <v>12</v>
      </c>
      <c r="K663" s="26" t="s">
        <v>13</v>
      </c>
      <c r="L663" s="55">
        <v>46082.280750601851</v>
      </c>
      <c r="M663" s="26"/>
    </row>
    <row r="664" spans="1:13" ht="75" customHeight="1" thickTop="1" thickBot="1">
      <c r="A664" s="26">
        <v>662</v>
      </c>
      <c r="B664" s="55">
        <v>46082.280528367999</v>
      </c>
      <c r="C664" s="56" t="s">
        <v>394</v>
      </c>
      <c r="D664" s="56" t="s">
        <v>34</v>
      </c>
      <c r="E664" s="26" t="s">
        <v>22</v>
      </c>
      <c r="F664" s="26" t="s">
        <v>403</v>
      </c>
      <c r="G664" s="26" t="s">
        <v>442</v>
      </c>
      <c r="H664" s="26" t="s">
        <v>812</v>
      </c>
      <c r="I664" s="26"/>
      <c r="J664" s="26" t="s">
        <v>12</v>
      </c>
      <c r="K664" s="26" t="s">
        <v>13</v>
      </c>
      <c r="L664" s="55">
        <v>46082.28076631944</v>
      </c>
      <c r="M664" s="26"/>
    </row>
    <row r="665" spans="1:13" ht="75" customHeight="1" thickTop="1" thickBot="1">
      <c r="A665" s="34">
        <v>663</v>
      </c>
      <c r="B665" s="55">
        <v>46082.315857800902</v>
      </c>
      <c r="C665" s="56" t="s">
        <v>394</v>
      </c>
      <c r="D665" s="56" t="s">
        <v>395</v>
      </c>
      <c r="E665" s="26" t="s">
        <v>21</v>
      </c>
      <c r="F665" s="26" t="s">
        <v>413</v>
      </c>
      <c r="G665" s="26" t="s">
        <v>404</v>
      </c>
      <c r="H665" s="26" t="s">
        <v>1094</v>
      </c>
      <c r="I665" s="26"/>
      <c r="J665" s="26" t="s">
        <v>16</v>
      </c>
      <c r="K665" s="26" t="s">
        <v>13</v>
      </c>
      <c r="L665" s="55">
        <v>46082.443890995375</v>
      </c>
      <c r="M665" s="26"/>
    </row>
    <row r="666" spans="1:13" ht="75" customHeight="1" thickTop="1" thickBot="1">
      <c r="A666" s="26">
        <v>664</v>
      </c>
      <c r="B666" s="55">
        <v>46082.358434699003</v>
      </c>
      <c r="C666" s="56" t="s">
        <v>394</v>
      </c>
      <c r="D666" s="56" t="s">
        <v>395</v>
      </c>
      <c r="E666" s="26" t="s">
        <v>21</v>
      </c>
      <c r="F666" s="26" t="s">
        <v>401</v>
      </c>
      <c r="G666" s="26" t="s">
        <v>446</v>
      </c>
      <c r="H666" s="26" t="s">
        <v>952</v>
      </c>
      <c r="I666" s="26"/>
      <c r="J666" s="26" t="s">
        <v>15</v>
      </c>
      <c r="K666" s="26" t="s">
        <v>13</v>
      </c>
      <c r="L666" s="55">
        <v>46082.384379722222</v>
      </c>
      <c r="M666" s="26"/>
    </row>
    <row r="667" spans="1:13" ht="75" customHeight="1" thickTop="1" thickBot="1">
      <c r="A667" s="34">
        <v>665</v>
      </c>
      <c r="B667" s="55">
        <v>46082.433164374997</v>
      </c>
      <c r="C667" s="56" t="s">
        <v>394</v>
      </c>
      <c r="D667" s="56" t="s">
        <v>395</v>
      </c>
      <c r="E667" s="26" t="s">
        <v>21</v>
      </c>
      <c r="F667" s="26" t="s">
        <v>403</v>
      </c>
      <c r="G667" s="26" t="s">
        <v>442</v>
      </c>
      <c r="H667" s="26" t="s">
        <v>1095</v>
      </c>
      <c r="I667" s="26"/>
      <c r="J667" s="26" t="s">
        <v>16</v>
      </c>
      <c r="K667" s="26" t="s">
        <v>13</v>
      </c>
      <c r="L667" s="55">
        <v>46082.714805706019</v>
      </c>
      <c r="M667" s="26"/>
    </row>
    <row r="668" spans="1:13" ht="75" customHeight="1" thickTop="1" thickBot="1">
      <c r="A668" s="26">
        <v>666</v>
      </c>
      <c r="B668" s="55">
        <v>46082.446602222197</v>
      </c>
      <c r="C668" s="56" t="s">
        <v>394</v>
      </c>
      <c r="D668" s="56" t="s">
        <v>395</v>
      </c>
      <c r="E668" s="26" t="s">
        <v>21</v>
      </c>
      <c r="F668" s="26" t="s">
        <v>403</v>
      </c>
      <c r="G668" s="26" t="s">
        <v>442</v>
      </c>
      <c r="H668" s="26" t="s">
        <v>1096</v>
      </c>
      <c r="I668" s="26"/>
      <c r="J668" s="26" t="s">
        <v>16</v>
      </c>
      <c r="K668" s="26" t="s">
        <v>13</v>
      </c>
      <c r="L668" s="55">
        <v>46082.47482072917</v>
      </c>
      <c r="M668" s="26"/>
    </row>
    <row r="669" spans="1:13" ht="75" customHeight="1" thickTop="1" thickBot="1">
      <c r="A669" s="34">
        <v>667</v>
      </c>
      <c r="B669" s="55">
        <v>46082.451393611103</v>
      </c>
      <c r="C669" s="56" t="s">
        <v>394</v>
      </c>
      <c r="D669" s="56" t="s">
        <v>395</v>
      </c>
      <c r="E669" s="26" t="s">
        <v>21</v>
      </c>
      <c r="F669" s="26" t="s">
        <v>413</v>
      </c>
      <c r="G669" s="26" t="s">
        <v>1097</v>
      </c>
      <c r="H669" s="26" t="s">
        <v>1098</v>
      </c>
      <c r="I669" s="26"/>
      <c r="J669" s="26" t="s">
        <v>16</v>
      </c>
      <c r="K669" s="26" t="s">
        <v>13</v>
      </c>
      <c r="L669" s="55">
        <v>46082.714871284727</v>
      </c>
      <c r="M669" s="26"/>
    </row>
    <row r="670" spans="1:13" ht="75" customHeight="1" thickTop="1" thickBot="1">
      <c r="A670" s="26">
        <v>668</v>
      </c>
      <c r="B670" s="55">
        <v>46082.451761631899</v>
      </c>
      <c r="C670" s="56" t="s">
        <v>394</v>
      </c>
      <c r="D670" s="56" t="s">
        <v>395</v>
      </c>
      <c r="E670" s="26" t="s">
        <v>21</v>
      </c>
      <c r="F670" s="26" t="s">
        <v>413</v>
      </c>
      <c r="G670" s="26" t="s">
        <v>442</v>
      </c>
      <c r="H670" s="26" t="s">
        <v>953</v>
      </c>
      <c r="I670" s="26"/>
      <c r="J670" s="26" t="s">
        <v>15</v>
      </c>
      <c r="K670" s="26" t="s">
        <v>13</v>
      </c>
      <c r="L670" s="55">
        <v>46083.34577699074</v>
      </c>
      <c r="M670" s="26"/>
    </row>
    <row r="671" spans="1:13" ht="75" customHeight="1" thickTop="1" thickBot="1">
      <c r="A671" s="34">
        <v>669</v>
      </c>
      <c r="B671" s="55">
        <v>46082.452457580999</v>
      </c>
      <c r="C671" s="56" t="s">
        <v>394</v>
      </c>
      <c r="D671" s="56" t="s">
        <v>395</v>
      </c>
      <c r="E671" s="26" t="s">
        <v>21</v>
      </c>
      <c r="F671" s="26" t="s">
        <v>413</v>
      </c>
      <c r="G671" s="26" t="s">
        <v>442</v>
      </c>
      <c r="H671" s="26" t="s">
        <v>986</v>
      </c>
      <c r="I671" s="26"/>
      <c r="J671" s="26" t="s">
        <v>12</v>
      </c>
      <c r="K671" s="26" t="s">
        <v>13</v>
      </c>
      <c r="L671" s="55">
        <v>46082.472855613421</v>
      </c>
      <c r="M671" s="26"/>
    </row>
    <row r="672" spans="1:13" ht="75" customHeight="1" thickTop="1" thickBot="1">
      <c r="A672" s="26">
        <v>670</v>
      </c>
      <c r="B672" s="55">
        <v>46082.474566840203</v>
      </c>
      <c r="C672" s="56" t="s">
        <v>394</v>
      </c>
      <c r="D672" s="56" t="s">
        <v>395</v>
      </c>
      <c r="E672" s="26" t="s">
        <v>21</v>
      </c>
      <c r="F672" s="26" t="s">
        <v>413</v>
      </c>
      <c r="G672" s="26" t="s">
        <v>1170</v>
      </c>
      <c r="H672" s="26" t="s">
        <v>1171</v>
      </c>
      <c r="I672" s="26"/>
      <c r="J672" s="26" t="s">
        <v>14</v>
      </c>
      <c r="K672" s="26" t="s">
        <v>13</v>
      </c>
      <c r="L672" s="55">
        <v>46082.543098310183</v>
      </c>
      <c r="M672" s="26"/>
    </row>
    <row r="673" spans="1:13" ht="75" customHeight="1" thickTop="1" thickBot="1">
      <c r="A673" s="34">
        <v>671</v>
      </c>
      <c r="B673" s="55">
        <v>46082.4782663078</v>
      </c>
      <c r="C673" s="56" t="s">
        <v>394</v>
      </c>
      <c r="D673" s="56" t="s">
        <v>113</v>
      </c>
      <c r="E673" s="26" t="s">
        <v>22</v>
      </c>
      <c r="F673" s="26" t="s">
        <v>396</v>
      </c>
      <c r="G673" s="26" t="s">
        <v>442</v>
      </c>
      <c r="H673" s="26" t="s">
        <v>1099</v>
      </c>
      <c r="I673" s="26"/>
      <c r="J673" s="26" t="s">
        <v>16</v>
      </c>
      <c r="K673" s="26" t="s">
        <v>13</v>
      </c>
      <c r="L673" s="55">
        <v>46082.480803321756</v>
      </c>
      <c r="M673" s="26"/>
    </row>
    <row r="674" spans="1:13" ht="75" customHeight="1" thickTop="1" thickBot="1">
      <c r="A674" s="26">
        <v>672</v>
      </c>
      <c r="B674" s="55">
        <v>46082.4800851041</v>
      </c>
      <c r="C674" s="56" t="s">
        <v>394</v>
      </c>
      <c r="D674" s="56" t="s">
        <v>395</v>
      </c>
      <c r="E674" s="26" t="s">
        <v>21</v>
      </c>
      <c r="F674" s="26" t="s">
        <v>1100</v>
      </c>
      <c r="G674" s="26" t="s">
        <v>1101</v>
      </c>
      <c r="H674" s="26" t="s">
        <v>898</v>
      </c>
      <c r="I674" s="26"/>
      <c r="J674" s="26" t="s">
        <v>16</v>
      </c>
      <c r="K674" s="26" t="s">
        <v>13</v>
      </c>
      <c r="L674" s="55">
        <v>46082.480822256941</v>
      </c>
      <c r="M674" s="26"/>
    </row>
    <row r="675" spans="1:13" ht="75" customHeight="1" thickTop="1" thickBot="1">
      <c r="A675" s="34">
        <v>673</v>
      </c>
      <c r="B675" s="55">
        <v>46082.480633067098</v>
      </c>
      <c r="C675" s="56" t="s">
        <v>394</v>
      </c>
      <c r="D675" s="56" t="s">
        <v>395</v>
      </c>
      <c r="E675" s="26" t="s">
        <v>21</v>
      </c>
      <c r="F675" s="26" t="s">
        <v>434</v>
      </c>
      <c r="G675" s="26" t="s">
        <v>895</v>
      </c>
      <c r="H675" s="26" t="s">
        <v>1102</v>
      </c>
      <c r="I675" s="26"/>
      <c r="J675" s="26" t="s">
        <v>16</v>
      </c>
      <c r="K675" s="26" t="s">
        <v>13</v>
      </c>
      <c r="L675" s="55">
        <v>46082.480835381946</v>
      </c>
      <c r="M675" s="26"/>
    </row>
    <row r="676" spans="1:13" ht="75" customHeight="1" thickTop="1" thickBot="1">
      <c r="A676" s="26">
        <v>674</v>
      </c>
      <c r="B676" s="55">
        <v>46083.344356874899</v>
      </c>
      <c r="C676" s="56" t="s">
        <v>394</v>
      </c>
      <c r="D676" s="56" t="s">
        <v>395</v>
      </c>
      <c r="E676" s="26" t="s">
        <v>21</v>
      </c>
      <c r="F676" s="26" t="s">
        <v>413</v>
      </c>
      <c r="G676" s="26" t="s">
        <v>987</v>
      </c>
      <c r="H676" s="26" t="s">
        <v>988</v>
      </c>
      <c r="I676" s="26"/>
      <c r="J676" s="26" t="s">
        <v>12</v>
      </c>
      <c r="K676" s="26" t="s">
        <v>13</v>
      </c>
      <c r="L676" s="55">
        <v>46083.47593980324</v>
      </c>
      <c r="M676" s="26"/>
    </row>
    <row r="677" spans="1:13" ht="75" customHeight="1" thickTop="1" thickBot="1">
      <c r="A677" s="34">
        <v>675</v>
      </c>
      <c r="B677" s="55">
        <v>46083.3450091782</v>
      </c>
      <c r="C677" s="56" t="s">
        <v>394</v>
      </c>
      <c r="D677" s="56" t="s">
        <v>395</v>
      </c>
      <c r="E677" s="26" t="s">
        <v>21</v>
      </c>
      <c r="F677" s="26" t="s">
        <v>396</v>
      </c>
      <c r="G677" s="26" t="s">
        <v>404</v>
      </c>
      <c r="H677" s="26" t="s">
        <v>989</v>
      </c>
      <c r="I677" s="26"/>
      <c r="J677" s="26" t="s">
        <v>12</v>
      </c>
      <c r="K677" s="26" t="s">
        <v>13</v>
      </c>
      <c r="L677" s="55">
        <v>46083.475963460645</v>
      </c>
      <c r="M677" s="26"/>
    </row>
    <row r="678" spans="1:13" ht="75" customHeight="1" thickTop="1" thickBot="1">
      <c r="A678" s="26">
        <v>676</v>
      </c>
      <c r="B678" s="55">
        <v>46083.502019444401</v>
      </c>
      <c r="C678" s="56" t="s">
        <v>394</v>
      </c>
      <c r="D678" s="56" t="s">
        <v>395</v>
      </c>
      <c r="E678" s="26" t="s">
        <v>21</v>
      </c>
      <c r="F678" s="26" t="s">
        <v>403</v>
      </c>
      <c r="G678" s="26" t="s">
        <v>549</v>
      </c>
      <c r="H678" s="26" t="s">
        <v>1103</v>
      </c>
      <c r="I678" s="26"/>
      <c r="J678" s="26" t="s">
        <v>16</v>
      </c>
      <c r="K678" s="26" t="s">
        <v>13</v>
      </c>
      <c r="L678" s="55">
        <v>46085.359985162038</v>
      </c>
      <c r="M678" s="26"/>
    </row>
    <row r="679" spans="1:13" ht="75" customHeight="1" thickTop="1" thickBot="1">
      <c r="A679" s="34">
        <v>677</v>
      </c>
      <c r="B679" s="55">
        <v>46083.503820844897</v>
      </c>
      <c r="C679" s="56" t="s">
        <v>394</v>
      </c>
      <c r="D679" s="56" t="s">
        <v>395</v>
      </c>
      <c r="E679" s="26" t="s">
        <v>21</v>
      </c>
      <c r="F679" s="26" t="s">
        <v>401</v>
      </c>
      <c r="G679" s="26" t="s">
        <v>442</v>
      </c>
      <c r="H679" s="26" t="s">
        <v>527</v>
      </c>
      <c r="I679" s="26"/>
      <c r="J679" s="26" t="s">
        <v>12</v>
      </c>
      <c r="K679" s="26" t="s">
        <v>13</v>
      </c>
      <c r="L679" s="55">
        <v>46083.545677083333</v>
      </c>
      <c r="M679" s="26"/>
    </row>
    <row r="680" spans="1:13" ht="75" customHeight="1" thickTop="1" thickBot="1">
      <c r="A680" s="26">
        <v>678</v>
      </c>
      <c r="B680" s="55">
        <v>46084.4053342361</v>
      </c>
      <c r="C680" s="56" t="s">
        <v>394</v>
      </c>
      <c r="D680" s="56" t="s">
        <v>395</v>
      </c>
      <c r="E680" s="26" t="s">
        <v>21</v>
      </c>
      <c r="F680" s="26" t="s">
        <v>399</v>
      </c>
      <c r="G680" s="26" t="s">
        <v>404</v>
      </c>
      <c r="H680" s="26" t="s">
        <v>1104</v>
      </c>
      <c r="I680" s="26"/>
      <c r="J680" s="26" t="s">
        <v>16</v>
      </c>
      <c r="K680" s="26" t="s">
        <v>13</v>
      </c>
      <c r="L680" s="55">
        <v>46084.466613344906</v>
      </c>
      <c r="M680" s="26"/>
    </row>
    <row r="681" spans="1:13" ht="75" customHeight="1" thickTop="1" thickBot="1">
      <c r="A681" s="34">
        <v>679</v>
      </c>
      <c r="B681" s="55">
        <v>46084.4697936921</v>
      </c>
      <c r="C681" s="56" t="s">
        <v>394</v>
      </c>
      <c r="D681" s="56" t="s">
        <v>113</v>
      </c>
      <c r="E681" s="26" t="s">
        <v>21</v>
      </c>
      <c r="F681" s="26" t="s">
        <v>403</v>
      </c>
      <c r="G681" s="26" t="s">
        <v>439</v>
      </c>
      <c r="H681" s="26" t="s">
        <v>1105</v>
      </c>
      <c r="I681" s="26"/>
      <c r="J681" s="26" t="s">
        <v>16</v>
      </c>
      <c r="K681" s="26" t="s">
        <v>13</v>
      </c>
      <c r="L681" s="55"/>
      <c r="M681" s="26"/>
    </row>
    <row r="682" spans="1:13" ht="75" customHeight="1" thickTop="1" thickBot="1">
      <c r="A682" s="26">
        <v>680</v>
      </c>
      <c r="B682" s="55">
        <v>46084.470411979099</v>
      </c>
      <c r="C682" s="56" t="s">
        <v>394</v>
      </c>
      <c r="D682" s="56" t="s">
        <v>113</v>
      </c>
      <c r="E682" s="26" t="s">
        <v>22</v>
      </c>
      <c r="F682" s="26" t="s">
        <v>403</v>
      </c>
      <c r="G682" s="26" t="s">
        <v>439</v>
      </c>
      <c r="H682" s="26" t="s">
        <v>1106</v>
      </c>
      <c r="I682" s="26"/>
      <c r="J682" s="26" t="s">
        <v>16</v>
      </c>
      <c r="K682" s="26" t="s">
        <v>13</v>
      </c>
      <c r="L682" s="55"/>
      <c r="M682" s="26"/>
    </row>
    <row r="683" spans="1:13" ht="75" customHeight="1" thickTop="1" thickBot="1">
      <c r="A683" s="34">
        <v>681</v>
      </c>
      <c r="B683" s="55">
        <v>46084.470772604102</v>
      </c>
      <c r="C683" s="56" t="s">
        <v>394</v>
      </c>
      <c r="D683" s="56" t="s">
        <v>113</v>
      </c>
      <c r="E683" s="26" t="s">
        <v>22</v>
      </c>
      <c r="F683" s="26" t="s">
        <v>403</v>
      </c>
      <c r="G683" s="26" t="s">
        <v>439</v>
      </c>
      <c r="H683" s="26" t="s">
        <v>1107</v>
      </c>
      <c r="I683" s="26"/>
      <c r="J683" s="26" t="s">
        <v>16</v>
      </c>
      <c r="K683" s="26" t="s">
        <v>13</v>
      </c>
      <c r="L683" s="55"/>
      <c r="M683" s="26"/>
    </row>
    <row r="684" spans="1:13" ht="75" customHeight="1" thickTop="1" thickBot="1">
      <c r="A684" s="26">
        <v>682</v>
      </c>
      <c r="B684" s="55">
        <v>46084.4717753472</v>
      </c>
      <c r="C684" s="56" t="s">
        <v>394</v>
      </c>
      <c r="D684" s="56" t="s">
        <v>113</v>
      </c>
      <c r="E684" s="26" t="s">
        <v>22</v>
      </c>
      <c r="F684" s="26" t="s">
        <v>403</v>
      </c>
      <c r="G684" s="26" t="s">
        <v>439</v>
      </c>
      <c r="H684" s="26" t="s">
        <v>1108</v>
      </c>
      <c r="I684" s="26"/>
      <c r="J684" s="26" t="s">
        <v>16</v>
      </c>
      <c r="K684" s="26" t="s">
        <v>13</v>
      </c>
      <c r="L684" s="55"/>
      <c r="M684" s="26"/>
    </row>
    <row r="685" spans="1:13" ht="75" customHeight="1" thickTop="1" thickBot="1">
      <c r="A685" s="34">
        <v>683</v>
      </c>
      <c r="B685" s="55">
        <v>46084.474505509199</v>
      </c>
      <c r="C685" s="56" t="s">
        <v>394</v>
      </c>
      <c r="D685" s="56" t="s">
        <v>113</v>
      </c>
      <c r="E685" s="26" t="s">
        <v>22</v>
      </c>
      <c r="F685" s="26" t="s">
        <v>399</v>
      </c>
      <c r="G685" s="26" t="s">
        <v>404</v>
      </c>
      <c r="H685" s="26" t="s">
        <v>1109</v>
      </c>
      <c r="I685" s="26"/>
      <c r="J685" s="26" t="s">
        <v>16</v>
      </c>
      <c r="K685" s="26" t="s">
        <v>13</v>
      </c>
      <c r="L685" s="55">
        <v>46084.753217372687</v>
      </c>
      <c r="M685" s="26"/>
    </row>
    <row r="686" spans="1:13" ht="75" customHeight="1" thickTop="1" thickBot="1">
      <c r="A686" s="26">
        <v>684</v>
      </c>
      <c r="B686" s="55">
        <v>46084.563039073997</v>
      </c>
      <c r="C686" s="56" t="s">
        <v>394</v>
      </c>
      <c r="D686" s="56" t="s">
        <v>395</v>
      </c>
      <c r="E686" s="26" t="s">
        <v>21</v>
      </c>
      <c r="F686" s="26" t="s">
        <v>413</v>
      </c>
      <c r="G686" s="26" t="s">
        <v>1110</v>
      </c>
      <c r="H686" s="26" t="s">
        <v>1111</v>
      </c>
      <c r="I686" s="26"/>
      <c r="J686" s="26" t="s">
        <v>16</v>
      </c>
      <c r="K686" s="26" t="s">
        <v>13</v>
      </c>
      <c r="L686" s="55">
        <v>46085.360014224541</v>
      </c>
      <c r="M686" s="26"/>
    </row>
    <row r="687" spans="1:13" ht="75" customHeight="1" thickTop="1" thickBot="1">
      <c r="A687" s="34">
        <v>685</v>
      </c>
      <c r="B687" s="55">
        <v>46085.357980729103</v>
      </c>
      <c r="C687" s="56" t="s">
        <v>394</v>
      </c>
      <c r="D687" s="56" t="s">
        <v>395</v>
      </c>
      <c r="E687" s="26" t="s">
        <v>21</v>
      </c>
      <c r="F687" s="26" t="s">
        <v>396</v>
      </c>
      <c r="G687" s="26" t="s">
        <v>40</v>
      </c>
      <c r="H687" s="26" t="s">
        <v>1172</v>
      </c>
      <c r="I687" s="26"/>
      <c r="J687" s="26" t="s">
        <v>14</v>
      </c>
      <c r="K687" s="26" t="s">
        <v>13</v>
      </c>
      <c r="L687" s="55">
        <v>46085.358093680552</v>
      </c>
      <c r="M687" s="26"/>
    </row>
    <row r="688" spans="1:13" ht="75" customHeight="1" thickTop="1" thickBot="1">
      <c r="A688" s="26">
        <v>686</v>
      </c>
      <c r="B688" s="55">
        <v>46085.429832823997</v>
      </c>
      <c r="C688" s="56" t="s">
        <v>394</v>
      </c>
      <c r="D688" s="56" t="s">
        <v>395</v>
      </c>
      <c r="E688" s="26" t="s">
        <v>21</v>
      </c>
      <c r="F688" s="26" t="s">
        <v>399</v>
      </c>
      <c r="G688" s="26" t="s">
        <v>442</v>
      </c>
      <c r="H688" s="26" t="s">
        <v>1173</v>
      </c>
      <c r="I688" s="26"/>
      <c r="J688" s="26" t="s">
        <v>14</v>
      </c>
      <c r="K688" s="26" t="s">
        <v>13</v>
      </c>
      <c r="L688" s="55">
        <v>46085.440793634261</v>
      </c>
      <c r="M688" s="26"/>
    </row>
    <row r="689" spans="1:13" ht="75" customHeight="1" thickTop="1" thickBot="1">
      <c r="A689" s="34">
        <v>687</v>
      </c>
      <c r="B689" s="55">
        <v>46085.462501747599</v>
      </c>
      <c r="C689" s="56" t="s">
        <v>394</v>
      </c>
      <c r="D689" s="56" t="s">
        <v>395</v>
      </c>
      <c r="E689" s="26" t="s">
        <v>21</v>
      </c>
      <c r="F689" s="26" t="s">
        <v>627</v>
      </c>
      <c r="G689" s="26" t="s">
        <v>446</v>
      </c>
      <c r="H689" s="26" t="s">
        <v>3469</v>
      </c>
      <c r="I689" s="26"/>
      <c r="J689" s="26" t="s">
        <v>14</v>
      </c>
      <c r="K689" s="26" t="s">
        <v>13</v>
      </c>
      <c r="L689" s="55">
        <v>46085.480443206019</v>
      </c>
      <c r="M689" s="26"/>
    </row>
    <row r="690" spans="1:13" ht="75" customHeight="1" thickTop="1" thickBot="1">
      <c r="A690" s="26">
        <v>688</v>
      </c>
      <c r="B690" s="55">
        <v>46085.543920856398</v>
      </c>
      <c r="C690" s="56" t="s">
        <v>394</v>
      </c>
      <c r="D690" s="56" t="s">
        <v>395</v>
      </c>
      <c r="E690" s="26" t="s">
        <v>21</v>
      </c>
      <c r="F690" s="26" t="s">
        <v>413</v>
      </c>
      <c r="G690" s="26" t="s">
        <v>602</v>
      </c>
      <c r="H690" s="26" t="s">
        <v>1112</v>
      </c>
      <c r="I690" s="26"/>
      <c r="J690" s="26" t="s">
        <v>16</v>
      </c>
      <c r="K690" s="26" t="s">
        <v>13</v>
      </c>
      <c r="L690" s="55">
        <v>46086.373612939817</v>
      </c>
      <c r="M690" s="26"/>
    </row>
    <row r="691" spans="1:13" ht="75" customHeight="1" thickTop="1" thickBot="1">
      <c r="A691" s="34">
        <v>689</v>
      </c>
      <c r="B691" s="55">
        <v>46086.476449930502</v>
      </c>
      <c r="C691" s="56" t="s">
        <v>394</v>
      </c>
      <c r="D691" s="56" t="s">
        <v>395</v>
      </c>
      <c r="E691" s="26" t="s">
        <v>21</v>
      </c>
      <c r="F691" s="26" t="s">
        <v>405</v>
      </c>
      <c r="G691" s="26" t="s">
        <v>442</v>
      </c>
      <c r="H691" s="26" t="s">
        <v>644</v>
      </c>
      <c r="I691" s="26"/>
      <c r="J691" s="26" t="s">
        <v>16</v>
      </c>
      <c r="K691" s="26" t="s">
        <v>13</v>
      </c>
      <c r="L691" s="55">
        <v>46088.736430902776</v>
      </c>
      <c r="M691" s="26"/>
    </row>
    <row r="692" spans="1:13" ht="75" customHeight="1" thickTop="1" thickBot="1">
      <c r="A692" s="26">
        <v>690</v>
      </c>
      <c r="B692" s="55">
        <v>46086.477129537001</v>
      </c>
      <c r="C692" s="56" t="s">
        <v>394</v>
      </c>
      <c r="D692" s="56" t="s">
        <v>395</v>
      </c>
      <c r="E692" s="26" t="s">
        <v>21</v>
      </c>
      <c r="F692" s="26" t="s">
        <v>413</v>
      </c>
      <c r="G692" s="26" t="s">
        <v>442</v>
      </c>
      <c r="H692" s="26" t="s">
        <v>990</v>
      </c>
      <c r="I692" s="26"/>
      <c r="J692" s="26" t="s">
        <v>12</v>
      </c>
      <c r="K692" s="26" t="s">
        <v>13</v>
      </c>
      <c r="L692" s="55">
        <v>46088.735544849536</v>
      </c>
      <c r="M692" s="26"/>
    </row>
    <row r="693" spans="1:13" ht="75" customHeight="1" thickTop="1" thickBot="1">
      <c r="A693" s="34">
        <v>691</v>
      </c>
      <c r="B693" s="55">
        <v>46086.4834834375</v>
      </c>
      <c r="C693" s="56" t="s">
        <v>394</v>
      </c>
      <c r="D693" s="56" t="s">
        <v>395</v>
      </c>
      <c r="E693" s="26" t="s">
        <v>21</v>
      </c>
      <c r="F693" s="26" t="s">
        <v>413</v>
      </c>
      <c r="G693" s="26" t="s">
        <v>442</v>
      </c>
      <c r="H693" s="26" t="s">
        <v>3470</v>
      </c>
      <c r="I693" s="26"/>
      <c r="J693" s="26" t="s">
        <v>14</v>
      </c>
      <c r="K693" s="26" t="s">
        <v>13</v>
      </c>
      <c r="L693" s="55">
        <v>46088.735770763888</v>
      </c>
      <c r="M693" s="26"/>
    </row>
    <row r="694" spans="1:13" ht="75" customHeight="1" thickTop="1" thickBot="1">
      <c r="A694" s="26">
        <v>692</v>
      </c>
      <c r="B694" s="55">
        <v>46086.490385185098</v>
      </c>
      <c r="C694" s="56" t="s">
        <v>394</v>
      </c>
      <c r="D694" s="56" t="s">
        <v>395</v>
      </c>
      <c r="E694" s="26" t="s">
        <v>21</v>
      </c>
      <c r="F694" s="26" t="s">
        <v>413</v>
      </c>
      <c r="G694" s="26" t="s">
        <v>442</v>
      </c>
      <c r="H694" s="26" t="s">
        <v>1174</v>
      </c>
      <c r="I694" s="26"/>
      <c r="J694" s="26" t="s">
        <v>14</v>
      </c>
      <c r="K694" s="26" t="s">
        <v>13</v>
      </c>
      <c r="L694" s="55">
        <v>46088.735795821762</v>
      </c>
      <c r="M694" s="26"/>
    </row>
    <row r="695" spans="1:13" ht="75" customHeight="1" thickTop="1" thickBot="1">
      <c r="A695" s="34">
        <v>693</v>
      </c>
      <c r="B695" s="55">
        <v>46089.313896469903</v>
      </c>
      <c r="C695" s="56" t="s">
        <v>394</v>
      </c>
      <c r="D695" s="56" t="s">
        <v>34</v>
      </c>
      <c r="E695" s="26" t="s">
        <v>22</v>
      </c>
      <c r="F695" s="26" t="s">
        <v>405</v>
      </c>
      <c r="G695" s="26" t="s">
        <v>449</v>
      </c>
      <c r="H695" s="26" t="s">
        <v>3471</v>
      </c>
      <c r="I695" s="26"/>
      <c r="J695" s="26" t="s">
        <v>12</v>
      </c>
      <c r="K695" s="26" t="s">
        <v>13</v>
      </c>
      <c r="L695" s="55">
        <v>46089.334319236106</v>
      </c>
      <c r="M695" s="26"/>
    </row>
    <row r="696" spans="1:13" ht="75" customHeight="1" thickTop="1" thickBot="1">
      <c r="A696" s="26">
        <v>694</v>
      </c>
      <c r="B696" s="55">
        <v>46089.315672279998</v>
      </c>
      <c r="C696" s="56" t="s">
        <v>394</v>
      </c>
      <c r="D696" s="56" t="s">
        <v>34</v>
      </c>
      <c r="E696" s="26" t="s">
        <v>22</v>
      </c>
      <c r="F696" s="26" t="s">
        <v>405</v>
      </c>
      <c r="G696" s="26" t="s">
        <v>449</v>
      </c>
      <c r="H696" s="26" t="s">
        <v>3472</v>
      </c>
      <c r="I696" s="26"/>
      <c r="J696" s="26" t="s">
        <v>12</v>
      </c>
      <c r="K696" s="26" t="s">
        <v>13</v>
      </c>
      <c r="L696" s="55">
        <v>46089.334326446755</v>
      </c>
      <c r="M696" s="26"/>
    </row>
    <row r="697" spans="1:13" ht="75" customHeight="1" thickTop="1" thickBot="1">
      <c r="A697" s="34">
        <v>695</v>
      </c>
      <c r="B697" s="55">
        <v>46089.316470219899</v>
      </c>
      <c r="C697" s="56" t="s">
        <v>394</v>
      </c>
      <c r="D697" s="56" t="s">
        <v>34</v>
      </c>
      <c r="E697" s="26" t="s">
        <v>22</v>
      </c>
      <c r="F697" s="26" t="s">
        <v>403</v>
      </c>
      <c r="G697" s="26" t="s">
        <v>991</v>
      </c>
      <c r="H697" s="26" t="s">
        <v>992</v>
      </c>
      <c r="I697" s="26"/>
      <c r="J697" s="26" t="s">
        <v>12</v>
      </c>
      <c r="K697" s="26" t="s">
        <v>13</v>
      </c>
      <c r="L697" s="55">
        <v>46089.334333356484</v>
      </c>
      <c r="M697" s="26"/>
    </row>
    <row r="698" spans="1:13" ht="75" customHeight="1" thickTop="1" thickBot="1">
      <c r="A698" s="26">
        <v>696</v>
      </c>
      <c r="B698" s="55">
        <v>46089.316872592499</v>
      </c>
      <c r="C698" s="56" t="s">
        <v>394</v>
      </c>
      <c r="D698" s="56" t="s">
        <v>34</v>
      </c>
      <c r="E698" s="26" t="s">
        <v>22</v>
      </c>
      <c r="F698" s="26" t="s">
        <v>413</v>
      </c>
      <c r="G698" s="26" t="s">
        <v>449</v>
      </c>
      <c r="H698" s="26" t="s">
        <v>993</v>
      </c>
      <c r="I698" s="26"/>
      <c r="J698" s="26" t="s">
        <v>12</v>
      </c>
      <c r="K698" s="26" t="s">
        <v>13</v>
      </c>
      <c r="L698" s="55">
        <v>46089.33434450232</v>
      </c>
      <c r="M698" s="26"/>
    </row>
    <row r="699" spans="1:13" ht="75" customHeight="1" thickTop="1" thickBot="1">
      <c r="A699" s="34">
        <v>697</v>
      </c>
      <c r="B699" s="55">
        <v>46089.3172685069</v>
      </c>
      <c r="C699" s="56" t="s">
        <v>394</v>
      </c>
      <c r="D699" s="56" t="s">
        <v>34</v>
      </c>
      <c r="E699" s="26" t="s">
        <v>22</v>
      </c>
      <c r="F699" s="26" t="s">
        <v>401</v>
      </c>
      <c r="G699" s="26" t="s">
        <v>449</v>
      </c>
      <c r="H699" s="26" t="s">
        <v>994</v>
      </c>
      <c r="I699" s="26"/>
      <c r="J699" s="26" t="s">
        <v>12</v>
      </c>
      <c r="K699" s="26" t="s">
        <v>13</v>
      </c>
      <c r="L699" s="55">
        <v>46089.334354062499</v>
      </c>
      <c r="M699" s="26"/>
    </row>
    <row r="700" spans="1:13" ht="75" customHeight="1" thickTop="1" thickBot="1">
      <c r="A700" s="26">
        <v>698</v>
      </c>
      <c r="B700" s="55">
        <v>46089.3182197106</v>
      </c>
      <c r="C700" s="56" t="s">
        <v>394</v>
      </c>
      <c r="D700" s="56" t="s">
        <v>34</v>
      </c>
      <c r="E700" s="26" t="s">
        <v>22</v>
      </c>
      <c r="F700" s="26" t="s">
        <v>399</v>
      </c>
      <c r="G700" s="26" t="s">
        <v>449</v>
      </c>
      <c r="H700" s="26" t="s">
        <v>995</v>
      </c>
      <c r="I700" s="26"/>
      <c r="J700" s="26" t="s">
        <v>12</v>
      </c>
      <c r="K700" s="26" t="s">
        <v>13</v>
      </c>
      <c r="L700" s="55">
        <v>46089.334363402777</v>
      </c>
      <c r="M700" s="26"/>
    </row>
    <row r="701" spans="1:13" ht="75" customHeight="1" thickTop="1" thickBot="1">
      <c r="A701" s="34">
        <v>699</v>
      </c>
      <c r="B701" s="55">
        <v>46089.318939814802</v>
      </c>
      <c r="C701" s="56" t="s">
        <v>394</v>
      </c>
      <c r="D701" s="56" t="s">
        <v>34</v>
      </c>
      <c r="E701" s="26" t="s">
        <v>22</v>
      </c>
      <c r="F701" s="26" t="s">
        <v>405</v>
      </c>
      <c r="G701" s="26" t="s">
        <v>454</v>
      </c>
      <c r="H701" s="26" t="s">
        <v>3473</v>
      </c>
      <c r="I701" s="26"/>
      <c r="J701" s="26" t="s">
        <v>12</v>
      </c>
      <c r="K701" s="26" t="s">
        <v>13</v>
      </c>
      <c r="L701" s="55">
        <v>46089.334372361111</v>
      </c>
      <c r="M701" s="26" t="s">
        <v>117</v>
      </c>
    </row>
    <row r="702" spans="1:13" ht="75" customHeight="1" thickTop="1" thickBot="1">
      <c r="A702" s="26">
        <v>700</v>
      </c>
      <c r="B702" s="55">
        <v>46089.319242638798</v>
      </c>
      <c r="C702" s="56" t="s">
        <v>394</v>
      </c>
      <c r="D702" s="56" t="s">
        <v>34</v>
      </c>
      <c r="E702" s="26" t="s">
        <v>22</v>
      </c>
      <c r="F702" s="26" t="s">
        <v>413</v>
      </c>
      <c r="G702" s="26" t="s">
        <v>442</v>
      </c>
      <c r="H702" s="26" t="s">
        <v>996</v>
      </c>
      <c r="I702" s="26"/>
      <c r="J702" s="26" t="s">
        <v>12</v>
      </c>
      <c r="K702" s="26" t="s">
        <v>13</v>
      </c>
      <c r="L702" s="55">
        <v>46089.334394259262</v>
      </c>
      <c r="M702" s="26"/>
    </row>
    <row r="703" spans="1:13" ht="75" customHeight="1" thickTop="1" thickBot="1">
      <c r="A703" s="34">
        <v>701</v>
      </c>
      <c r="B703" s="55">
        <v>46089.325784120301</v>
      </c>
      <c r="C703" s="56" t="s">
        <v>394</v>
      </c>
      <c r="D703" s="56" t="s">
        <v>34</v>
      </c>
      <c r="E703" s="26" t="s">
        <v>22</v>
      </c>
      <c r="F703" s="26" t="s">
        <v>405</v>
      </c>
      <c r="G703" s="26" t="s">
        <v>442</v>
      </c>
      <c r="H703" s="26" t="s">
        <v>3474</v>
      </c>
      <c r="I703" s="26"/>
      <c r="J703" s="26" t="s">
        <v>12</v>
      </c>
      <c r="K703" s="26" t="s">
        <v>13</v>
      </c>
      <c r="L703" s="55">
        <v>46089.334400462962</v>
      </c>
      <c r="M703" s="26" t="s">
        <v>118</v>
      </c>
    </row>
    <row r="704" spans="1:13" ht="75" customHeight="1" thickTop="1" thickBot="1">
      <c r="A704" s="26">
        <v>702</v>
      </c>
      <c r="B704" s="55">
        <v>46089.326354293902</v>
      </c>
      <c r="C704" s="56" t="s">
        <v>394</v>
      </c>
      <c r="D704" s="56" t="s">
        <v>34</v>
      </c>
      <c r="E704" s="26" t="s">
        <v>22</v>
      </c>
      <c r="F704" s="26" t="s">
        <v>405</v>
      </c>
      <c r="G704" s="26" t="s">
        <v>442</v>
      </c>
      <c r="H704" s="26" t="s">
        <v>3475</v>
      </c>
      <c r="I704" s="26"/>
      <c r="J704" s="26" t="s">
        <v>12</v>
      </c>
      <c r="K704" s="26" t="s">
        <v>13</v>
      </c>
      <c r="L704" s="55">
        <v>46089.334403483794</v>
      </c>
      <c r="M704" s="26"/>
    </row>
    <row r="705" spans="1:13" ht="75" customHeight="1" thickTop="1" thickBot="1">
      <c r="A705" s="34">
        <v>703</v>
      </c>
      <c r="B705" s="55">
        <v>46089.326772557797</v>
      </c>
      <c r="C705" s="56" t="s">
        <v>394</v>
      </c>
      <c r="D705" s="56" t="s">
        <v>34</v>
      </c>
      <c r="E705" s="26" t="s">
        <v>22</v>
      </c>
      <c r="F705" s="26" t="s">
        <v>481</v>
      </c>
      <c r="G705" s="26" t="s">
        <v>442</v>
      </c>
      <c r="H705" s="26" t="s">
        <v>997</v>
      </c>
      <c r="I705" s="26"/>
      <c r="J705" s="26" t="s">
        <v>12</v>
      </c>
      <c r="K705" s="26" t="s">
        <v>13</v>
      </c>
      <c r="L705" s="55">
        <v>46089.334506481478</v>
      </c>
      <c r="M705" s="26"/>
    </row>
    <row r="706" spans="1:13" ht="75" customHeight="1" thickTop="1" thickBot="1">
      <c r="A706" s="26">
        <v>704</v>
      </c>
      <c r="B706" s="55">
        <v>46089.327096412002</v>
      </c>
      <c r="C706" s="56" t="s">
        <v>394</v>
      </c>
      <c r="D706" s="56" t="s">
        <v>34</v>
      </c>
      <c r="E706" s="26" t="s">
        <v>22</v>
      </c>
      <c r="F706" s="26" t="s">
        <v>413</v>
      </c>
      <c r="G706" s="26" t="s">
        <v>797</v>
      </c>
      <c r="H706" s="26" t="s">
        <v>798</v>
      </c>
      <c r="I706" s="26"/>
      <c r="J706" s="26" t="s">
        <v>12</v>
      </c>
      <c r="K706" s="26" t="s">
        <v>13</v>
      </c>
      <c r="L706" s="55">
        <v>46089.334529004627</v>
      </c>
      <c r="M706" s="26"/>
    </row>
    <row r="707" spans="1:13" ht="75" customHeight="1" thickTop="1" thickBot="1">
      <c r="A707" s="34">
        <v>705</v>
      </c>
      <c r="B707" s="55">
        <v>46089.328113194402</v>
      </c>
      <c r="C707" s="56" t="s">
        <v>394</v>
      </c>
      <c r="D707" s="56" t="s">
        <v>34</v>
      </c>
      <c r="E707" s="26" t="s">
        <v>22</v>
      </c>
      <c r="F707" s="26" t="s">
        <v>450</v>
      </c>
      <c r="G707" s="26" t="s">
        <v>449</v>
      </c>
      <c r="H707" s="26" t="s">
        <v>3476</v>
      </c>
      <c r="I707" s="26"/>
      <c r="J707" s="26" t="s">
        <v>12</v>
      </c>
      <c r="K707" s="26" t="s">
        <v>13</v>
      </c>
      <c r="L707" s="55">
        <v>46089.334559131945</v>
      </c>
      <c r="M707" s="26"/>
    </row>
    <row r="708" spans="1:13" ht="75" customHeight="1" thickTop="1" thickBot="1">
      <c r="A708" s="26">
        <v>706</v>
      </c>
      <c r="B708" s="55">
        <v>46089.328489166597</v>
      </c>
      <c r="C708" s="56" t="s">
        <v>394</v>
      </c>
      <c r="D708" s="56" t="s">
        <v>34</v>
      </c>
      <c r="E708" s="26" t="s">
        <v>22</v>
      </c>
      <c r="F708" s="26" t="s">
        <v>998</v>
      </c>
      <c r="G708" s="26" t="s">
        <v>449</v>
      </c>
      <c r="H708" s="26" t="s">
        <v>999</v>
      </c>
      <c r="I708" s="26"/>
      <c r="J708" s="26" t="s">
        <v>12</v>
      </c>
      <c r="K708" s="26" t="s">
        <v>13</v>
      </c>
      <c r="L708" s="55">
        <v>46089.334580092589</v>
      </c>
      <c r="M708" s="26"/>
    </row>
    <row r="709" spans="1:13" ht="75" customHeight="1" thickTop="1" thickBot="1">
      <c r="A709" s="34">
        <v>707</v>
      </c>
      <c r="B709" s="55">
        <v>46089.329236157399</v>
      </c>
      <c r="C709" s="56" t="s">
        <v>394</v>
      </c>
      <c r="D709" s="56" t="s">
        <v>34</v>
      </c>
      <c r="E709" s="26" t="s">
        <v>22</v>
      </c>
      <c r="F709" s="26" t="s">
        <v>416</v>
      </c>
      <c r="G709" s="26" t="s">
        <v>40</v>
      </c>
      <c r="H709" s="26" t="s">
        <v>1000</v>
      </c>
      <c r="I709" s="26"/>
      <c r="J709" s="26" t="s">
        <v>12</v>
      </c>
      <c r="K709" s="26" t="s">
        <v>13</v>
      </c>
      <c r="L709" s="55">
        <v>46089.334604062504</v>
      </c>
      <c r="M709" s="26"/>
    </row>
    <row r="710" spans="1:13" ht="75" customHeight="1" thickTop="1" thickBot="1">
      <c r="A710" s="26">
        <v>708</v>
      </c>
      <c r="B710" s="55">
        <v>46089.329570833303</v>
      </c>
      <c r="C710" s="56" t="s">
        <v>394</v>
      </c>
      <c r="D710" s="56" t="s">
        <v>34</v>
      </c>
      <c r="E710" s="26" t="s">
        <v>22</v>
      </c>
      <c r="F710" s="26" t="s">
        <v>396</v>
      </c>
      <c r="G710" s="26" t="s">
        <v>449</v>
      </c>
      <c r="H710" s="26" t="s">
        <v>1001</v>
      </c>
      <c r="I710" s="26"/>
      <c r="J710" s="26" t="s">
        <v>12</v>
      </c>
      <c r="K710" s="26" t="s">
        <v>13</v>
      </c>
      <c r="L710" s="55">
        <v>46089.334623391202</v>
      </c>
      <c r="M710" s="26"/>
    </row>
    <row r="711" spans="1:13" ht="75" customHeight="1" thickTop="1" thickBot="1">
      <c r="A711" s="34">
        <v>709</v>
      </c>
      <c r="B711" s="55">
        <v>46089.329947256898</v>
      </c>
      <c r="C711" s="56" t="s">
        <v>394</v>
      </c>
      <c r="D711" s="56" t="s">
        <v>34</v>
      </c>
      <c r="E711" s="26" t="s">
        <v>22</v>
      </c>
      <c r="F711" s="26" t="s">
        <v>399</v>
      </c>
      <c r="G711" s="26" t="s">
        <v>449</v>
      </c>
      <c r="H711" s="26" t="s">
        <v>1001</v>
      </c>
      <c r="I711" s="26"/>
      <c r="J711" s="26" t="s">
        <v>12</v>
      </c>
      <c r="K711" s="26" t="s">
        <v>13</v>
      </c>
      <c r="L711" s="55">
        <v>46089.334654456019</v>
      </c>
      <c r="M711" s="26"/>
    </row>
    <row r="712" spans="1:13" ht="75" customHeight="1" thickTop="1" thickBot="1">
      <c r="A712" s="26">
        <v>710</v>
      </c>
      <c r="B712" s="55">
        <v>46089.330235138797</v>
      </c>
      <c r="C712" s="56" t="s">
        <v>394</v>
      </c>
      <c r="D712" s="56" t="s">
        <v>34</v>
      </c>
      <c r="E712" s="26" t="s">
        <v>22</v>
      </c>
      <c r="F712" s="26" t="s">
        <v>1002</v>
      </c>
      <c r="G712" s="26" t="s">
        <v>449</v>
      </c>
      <c r="H712" s="26" t="s">
        <v>3477</v>
      </c>
      <c r="I712" s="26"/>
      <c r="J712" s="26" t="s">
        <v>12</v>
      </c>
      <c r="K712" s="26" t="s">
        <v>13</v>
      </c>
      <c r="L712" s="55">
        <v>46089.334675162041</v>
      </c>
      <c r="M712" s="26"/>
    </row>
    <row r="713" spans="1:13" ht="75" customHeight="1" thickTop="1" thickBot="1">
      <c r="A713" s="34">
        <v>711</v>
      </c>
      <c r="B713" s="55">
        <v>46089.330487499901</v>
      </c>
      <c r="C713" s="56" t="s">
        <v>394</v>
      </c>
      <c r="D713" s="56" t="s">
        <v>34</v>
      </c>
      <c r="E713" s="26" t="s">
        <v>22</v>
      </c>
      <c r="F713" s="26" t="s">
        <v>403</v>
      </c>
      <c r="G713" s="26" t="s">
        <v>449</v>
      </c>
      <c r="H713" s="26" t="s">
        <v>1001</v>
      </c>
      <c r="I713" s="26"/>
      <c r="J713" s="26" t="s">
        <v>12</v>
      </c>
      <c r="K713" s="26" t="s">
        <v>13</v>
      </c>
      <c r="L713" s="55">
        <v>46089.334703715278</v>
      </c>
      <c r="M713" s="26"/>
    </row>
    <row r="714" spans="1:13" ht="75" customHeight="1" thickTop="1" thickBot="1">
      <c r="A714" s="26">
        <v>712</v>
      </c>
      <c r="B714" s="55">
        <v>46089.330763333302</v>
      </c>
      <c r="C714" s="56" t="s">
        <v>394</v>
      </c>
      <c r="D714" s="56" t="s">
        <v>34</v>
      </c>
      <c r="E714" s="26" t="s">
        <v>22</v>
      </c>
      <c r="F714" s="26" t="s">
        <v>401</v>
      </c>
      <c r="G714" s="26" t="s">
        <v>449</v>
      </c>
      <c r="H714" s="26" t="s">
        <v>1001</v>
      </c>
      <c r="I714" s="26"/>
      <c r="J714" s="26" t="s">
        <v>12</v>
      </c>
      <c r="K714" s="26" t="s">
        <v>13</v>
      </c>
      <c r="L714" s="55">
        <v>46089.334722835643</v>
      </c>
      <c r="M714" s="26"/>
    </row>
    <row r="715" spans="1:13" ht="75" customHeight="1" thickTop="1" thickBot="1">
      <c r="A715" s="34">
        <v>713</v>
      </c>
      <c r="B715" s="55">
        <v>46089.3312261342</v>
      </c>
      <c r="C715" s="56" t="s">
        <v>394</v>
      </c>
      <c r="D715" s="56" t="s">
        <v>34</v>
      </c>
      <c r="E715" s="26" t="s">
        <v>22</v>
      </c>
      <c r="F715" s="26" t="s">
        <v>416</v>
      </c>
      <c r="G715" s="26" t="s">
        <v>439</v>
      </c>
      <c r="H715" s="26" t="s">
        <v>1003</v>
      </c>
      <c r="I715" s="26"/>
      <c r="J715" s="26" t="s">
        <v>12</v>
      </c>
      <c r="K715" s="26" t="s">
        <v>13</v>
      </c>
      <c r="L715" s="55">
        <v>46089.334752847222</v>
      </c>
      <c r="M715" s="26"/>
    </row>
    <row r="716" spans="1:13" ht="75" customHeight="1" thickTop="1" thickBot="1">
      <c r="A716" s="26">
        <v>714</v>
      </c>
      <c r="B716" s="55">
        <v>46089.331659930504</v>
      </c>
      <c r="C716" s="56" t="s">
        <v>394</v>
      </c>
      <c r="D716" s="56" t="s">
        <v>34</v>
      </c>
      <c r="E716" s="26" t="s">
        <v>22</v>
      </c>
      <c r="F716" s="26" t="s">
        <v>481</v>
      </c>
      <c r="G716" s="26" t="s">
        <v>40</v>
      </c>
      <c r="H716" s="26" t="s">
        <v>3478</v>
      </c>
      <c r="I716" s="26"/>
      <c r="J716" s="26" t="s">
        <v>12</v>
      </c>
      <c r="K716" s="26" t="s">
        <v>13</v>
      </c>
      <c r="L716" s="55">
        <v>46089.334777881944</v>
      </c>
      <c r="M716" s="26"/>
    </row>
    <row r="717" spans="1:13" ht="75" customHeight="1" thickTop="1" thickBot="1">
      <c r="A717" s="34">
        <v>715</v>
      </c>
      <c r="B717" s="55">
        <v>46089.332401261498</v>
      </c>
      <c r="C717" s="56" t="s">
        <v>394</v>
      </c>
      <c r="D717" s="56" t="s">
        <v>34</v>
      </c>
      <c r="E717" s="26" t="s">
        <v>22</v>
      </c>
      <c r="F717" s="26" t="s">
        <v>435</v>
      </c>
      <c r="G717" s="26" t="s">
        <v>449</v>
      </c>
      <c r="H717" s="26" t="s">
        <v>1004</v>
      </c>
      <c r="I717" s="26"/>
      <c r="J717" s="26" t="s">
        <v>12</v>
      </c>
      <c r="K717" s="26" t="s">
        <v>13</v>
      </c>
      <c r="L717" s="55">
        <v>46089.334798090276</v>
      </c>
      <c r="M717" s="26"/>
    </row>
    <row r="718" spans="1:13" ht="75" customHeight="1" thickTop="1" thickBot="1">
      <c r="A718" s="26">
        <v>716</v>
      </c>
      <c r="B718" s="55">
        <v>46089.333450081002</v>
      </c>
      <c r="C718" s="56" t="s">
        <v>394</v>
      </c>
      <c r="D718" s="56" t="s">
        <v>34</v>
      </c>
      <c r="E718" s="26" t="s">
        <v>22</v>
      </c>
      <c r="F718" s="26" t="s">
        <v>416</v>
      </c>
      <c r="G718" s="26" t="s">
        <v>549</v>
      </c>
      <c r="H718" s="26" t="s">
        <v>1005</v>
      </c>
      <c r="I718" s="26"/>
      <c r="J718" s="26" t="s">
        <v>12</v>
      </c>
      <c r="K718" s="26" t="s">
        <v>13</v>
      </c>
      <c r="L718" s="55">
        <v>46089.33482128472</v>
      </c>
      <c r="M718" s="26"/>
    </row>
    <row r="719" spans="1:13" ht="75" customHeight="1" thickTop="1" thickBot="1">
      <c r="A719" s="34">
        <v>717</v>
      </c>
      <c r="B719" s="55">
        <v>46089.333767766198</v>
      </c>
      <c r="C719" s="56" t="s">
        <v>394</v>
      </c>
      <c r="D719" s="56" t="s">
        <v>395</v>
      </c>
      <c r="E719" s="26" t="s">
        <v>21</v>
      </c>
      <c r="F719" s="26" t="s">
        <v>405</v>
      </c>
      <c r="G719" s="26" t="s">
        <v>1006</v>
      </c>
      <c r="H719" s="26" t="s">
        <v>1007</v>
      </c>
      <c r="I719" s="26"/>
      <c r="J719" s="26" t="s">
        <v>12</v>
      </c>
      <c r="K719" s="26" t="s">
        <v>13</v>
      </c>
      <c r="L719" s="55">
        <v>46089.334840868054</v>
      </c>
      <c r="M719" s="26"/>
    </row>
    <row r="720" spans="1:13" ht="75" customHeight="1" thickTop="1" thickBot="1">
      <c r="A720" s="26">
        <v>718</v>
      </c>
      <c r="B720" s="55">
        <v>46090.360083877298</v>
      </c>
      <c r="C720" s="56" t="s">
        <v>394</v>
      </c>
      <c r="D720" s="56" t="s">
        <v>395</v>
      </c>
      <c r="E720" s="26" t="s">
        <v>21</v>
      </c>
      <c r="F720" s="26" t="s">
        <v>497</v>
      </c>
      <c r="G720" s="26" t="s">
        <v>1113</v>
      </c>
      <c r="H720" s="26" t="s">
        <v>1114</v>
      </c>
      <c r="I720" s="26"/>
      <c r="J720" s="26" t="s">
        <v>16</v>
      </c>
      <c r="K720" s="26" t="s">
        <v>13</v>
      </c>
      <c r="L720" s="55">
        <v>46090.46279586805</v>
      </c>
      <c r="M720" s="26"/>
    </row>
    <row r="721" spans="1:13" ht="75" customHeight="1" thickTop="1" thickBot="1">
      <c r="A721" s="34">
        <v>719</v>
      </c>
      <c r="B721" s="55">
        <v>46090.361101921299</v>
      </c>
      <c r="C721" s="56" t="s">
        <v>394</v>
      </c>
      <c r="D721" s="56" t="s">
        <v>395</v>
      </c>
      <c r="E721" s="26" t="s">
        <v>21</v>
      </c>
      <c r="F721" s="26" t="s">
        <v>411</v>
      </c>
      <c r="G721" s="26" t="s">
        <v>442</v>
      </c>
      <c r="H721" s="26" t="s">
        <v>1175</v>
      </c>
      <c r="I721" s="26"/>
      <c r="J721" s="26" t="s">
        <v>14</v>
      </c>
      <c r="K721" s="26" t="s">
        <v>13</v>
      </c>
      <c r="L721" s="55">
        <v>46090.462834398146</v>
      </c>
      <c r="M721" s="26"/>
    </row>
    <row r="722" spans="1:13" ht="75" customHeight="1" thickTop="1" thickBot="1">
      <c r="A722" s="26">
        <v>720</v>
      </c>
      <c r="B722" s="55">
        <v>46090.366836944399</v>
      </c>
      <c r="C722" s="56" t="s">
        <v>394</v>
      </c>
      <c r="D722" s="56" t="s">
        <v>395</v>
      </c>
      <c r="E722" s="26" t="s">
        <v>21</v>
      </c>
      <c r="F722" s="26" t="s">
        <v>405</v>
      </c>
      <c r="G722" s="26" t="s">
        <v>437</v>
      </c>
      <c r="H722" s="26" t="s">
        <v>954</v>
      </c>
      <c r="I722" s="26"/>
      <c r="J722" s="26" t="s">
        <v>15</v>
      </c>
      <c r="K722" s="26" t="s">
        <v>13</v>
      </c>
      <c r="L722" s="55">
        <v>46090.462912627314</v>
      </c>
      <c r="M722" s="26"/>
    </row>
    <row r="723" spans="1:13" ht="75" customHeight="1" thickTop="1" thickBot="1">
      <c r="A723" s="34">
        <v>721</v>
      </c>
      <c r="B723" s="55">
        <v>46090.406236446703</v>
      </c>
      <c r="C723" s="56" t="s">
        <v>394</v>
      </c>
      <c r="D723" s="56" t="s">
        <v>395</v>
      </c>
      <c r="E723" s="26" t="s">
        <v>21</v>
      </c>
      <c r="F723" s="26" t="s">
        <v>413</v>
      </c>
      <c r="G723" s="26" t="s">
        <v>442</v>
      </c>
      <c r="H723" s="26" t="s">
        <v>1176</v>
      </c>
      <c r="I723" s="26"/>
      <c r="J723" s="26" t="s">
        <v>14</v>
      </c>
      <c r="K723" s="26" t="s">
        <v>13</v>
      </c>
      <c r="L723" s="55">
        <v>46090.462962997684</v>
      </c>
      <c r="M723" s="26"/>
    </row>
    <row r="724" spans="1:13" ht="75" customHeight="1" thickTop="1" thickBot="1">
      <c r="A724" s="26">
        <v>722</v>
      </c>
      <c r="B724" s="55">
        <v>46091.354496967499</v>
      </c>
      <c r="C724" s="56" t="s">
        <v>394</v>
      </c>
      <c r="D724" s="56" t="s">
        <v>395</v>
      </c>
      <c r="E724" s="26" t="s">
        <v>21</v>
      </c>
      <c r="F724" s="26" t="s">
        <v>405</v>
      </c>
      <c r="G724" s="26" t="s">
        <v>1115</v>
      </c>
      <c r="H724" s="26" t="s">
        <v>1116</v>
      </c>
      <c r="I724" s="26"/>
      <c r="J724" s="26" t="s">
        <v>16</v>
      </c>
      <c r="K724" s="26" t="s">
        <v>13</v>
      </c>
      <c r="L724" s="55">
        <v>46091.452430173609</v>
      </c>
      <c r="M724" s="26"/>
    </row>
    <row r="725" spans="1:13" ht="75" customHeight="1" thickTop="1" thickBot="1">
      <c r="A725" s="34">
        <v>723</v>
      </c>
      <c r="B725" s="55">
        <v>46091.381755486102</v>
      </c>
      <c r="C725" s="56" t="s">
        <v>394</v>
      </c>
      <c r="D725" s="56" t="s">
        <v>395</v>
      </c>
      <c r="E725" s="26" t="s">
        <v>21</v>
      </c>
      <c r="F725" s="26" t="s">
        <v>411</v>
      </c>
      <c r="G725" s="26" t="s">
        <v>439</v>
      </c>
      <c r="H725" s="26" t="s">
        <v>3479</v>
      </c>
      <c r="I725" s="26"/>
      <c r="J725" s="26" t="s">
        <v>14</v>
      </c>
      <c r="K725" s="26" t="s">
        <v>13</v>
      </c>
      <c r="L725" s="55">
        <v>46091.452329363427</v>
      </c>
      <c r="M725" s="26"/>
    </row>
    <row r="726" spans="1:13" ht="75" customHeight="1" thickTop="1" thickBot="1">
      <c r="A726" s="26">
        <v>724</v>
      </c>
      <c r="B726" s="55">
        <v>46091.552608159698</v>
      </c>
      <c r="C726" s="56" t="s">
        <v>394</v>
      </c>
      <c r="D726" s="56" t="s">
        <v>395</v>
      </c>
      <c r="E726" s="26" t="s">
        <v>21</v>
      </c>
      <c r="F726" s="26" t="s">
        <v>416</v>
      </c>
      <c r="G726" s="26" t="s">
        <v>1062</v>
      </c>
      <c r="H726" s="26" t="s">
        <v>1178</v>
      </c>
      <c r="I726" s="26"/>
      <c r="J726" s="26" t="s">
        <v>14</v>
      </c>
      <c r="K726" s="26" t="s">
        <v>13</v>
      </c>
      <c r="L726" s="55">
        <v>46092.312350578708</v>
      </c>
      <c r="M726" s="26"/>
    </row>
    <row r="727" spans="1:13" ht="75" customHeight="1" thickTop="1" thickBot="1">
      <c r="A727" s="34">
        <v>725</v>
      </c>
      <c r="B727" s="55">
        <v>46092.3619652083</v>
      </c>
      <c r="C727" s="56" t="s">
        <v>394</v>
      </c>
      <c r="D727" s="56" t="s">
        <v>395</v>
      </c>
      <c r="E727" s="26" t="s">
        <v>21</v>
      </c>
      <c r="F727" s="26" t="s">
        <v>508</v>
      </c>
      <c r="G727" s="26" t="s">
        <v>442</v>
      </c>
      <c r="H727" s="26" t="s">
        <v>3371</v>
      </c>
      <c r="I727" s="26"/>
      <c r="J727" s="26" t="s">
        <v>14</v>
      </c>
      <c r="K727" s="26" t="s">
        <v>13</v>
      </c>
      <c r="L727" s="55">
        <v>46092.375224027783</v>
      </c>
      <c r="M727" s="26"/>
    </row>
    <row r="728" spans="1:13" ht="75" customHeight="1" thickTop="1" thickBot="1">
      <c r="A728" s="26">
        <v>726</v>
      </c>
      <c r="B728" s="55">
        <v>46092.375518911998</v>
      </c>
      <c r="C728" s="56" t="s">
        <v>394</v>
      </c>
      <c r="D728" s="56" t="s">
        <v>395</v>
      </c>
      <c r="E728" s="26" t="s">
        <v>21</v>
      </c>
      <c r="F728" s="26" t="s">
        <v>416</v>
      </c>
      <c r="G728" s="26" t="s">
        <v>442</v>
      </c>
      <c r="H728" s="26" t="s">
        <v>1117</v>
      </c>
      <c r="I728" s="26"/>
      <c r="J728" s="26" t="s">
        <v>16</v>
      </c>
      <c r="K728" s="26" t="s">
        <v>13</v>
      </c>
      <c r="L728" s="55">
        <v>46092.561839131944</v>
      </c>
      <c r="M728" s="26"/>
    </row>
    <row r="729" spans="1:13" ht="75" customHeight="1" thickTop="1" thickBot="1">
      <c r="A729" s="34">
        <v>727</v>
      </c>
      <c r="B729" s="55">
        <v>46092.376251018497</v>
      </c>
      <c r="C729" s="56" t="s">
        <v>394</v>
      </c>
      <c r="D729" s="56" t="s">
        <v>395</v>
      </c>
      <c r="E729" s="26" t="s">
        <v>21</v>
      </c>
      <c r="F729" s="26" t="s">
        <v>481</v>
      </c>
      <c r="G729" s="26" t="s">
        <v>1118</v>
      </c>
      <c r="H729" s="26" t="s">
        <v>1119</v>
      </c>
      <c r="I729" s="26"/>
      <c r="J729" s="26" t="s">
        <v>16</v>
      </c>
      <c r="K729" s="26" t="s">
        <v>13</v>
      </c>
      <c r="L729" s="55">
        <v>46092.561910625001</v>
      </c>
      <c r="M729" s="26"/>
    </row>
    <row r="730" spans="1:13" ht="75" customHeight="1" thickTop="1" thickBot="1">
      <c r="A730" s="26">
        <v>728</v>
      </c>
      <c r="B730" s="55">
        <v>46092.377149085602</v>
      </c>
      <c r="C730" s="56" t="s">
        <v>394</v>
      </c>
      <c r="D730" s="56" t="s">
        <v>395</v>
      </c>
      <c r="E730" s="26" t="s">
        <v>21</v>
      </c>
      <c r="F730" s="26" t="s">
        <v>401</v>
      </c>
      <c r="G730" s="26" t="s">
        <v>442</v>
      </c>
      <c r="H730" s="26" t="s">
        <v>1179</v>
      </c>
      <c r="I730" s="26"/>
      <c r="J730" s="26" t="s">
        <v>14</v>
      </c>
      <c r="K730" s="26" t="s">
        <v>13</v>
      </c>
      <c r="L730" s="55">
        <v>46093.31639043981</v>
      </c>
      <c r="M730" s="26"/>
    </row>
    <row r="731" spans="1:13" ht="75" customHeight="1" thickTop="1" thickBot="1">
      <c r="A731" s="34">
        <v>729</v>
      </c>
      <c r="B731" s="55">
        <v>46092.3776221527</v>
      </c>
      <c r="C731" s="56" t="s">
        <v>394</v>
      </c>
      <c r="D731" s="56" t="s">
        <v>395</v>
      </c>
      <c r="E731" s="26" t="s">
        <v>21</v>
      </c>
      <c r="F731" s="26" t="s">
        <v>401</v>
      </c>
      <c r="G731" s="26" t="s">
        <v>442</v>
      </c>
      <c r="H731" s="26" t="s">
        <v>1180</v>
      </c>
      <c r="I731" s="26"/>
      <c r="J731" s="26" t="s">
        <v>14</v>
      </c>
      <c r="K731" s="26" t="s">
        <v>13</v>
      </c>
      <c r="L731" s="55">
        <v>46092.393075254629</v>
      </c>
      <c r="M731" s="26"/>
    </row>
    <row r="732" spans="1:13" ht="75" customHeight="1" thickTop="1" thickBot="1">
      <c r="A732" s="26">
        <v>730</v>
      </c>
      <c r="B732" s="55">
        <v>46093.374109918899</v>
      </c>
      <c r="C732" s="56" t="s">
        <v>394</v>
      </c>
      <c r="D732" s="56" t="s">
        <v>395</v>
      </c>
      <c r="E732" s="26" t="s">
        <v>21</v>
      </c>
      <c r="F732" s="26" t="s">
        <v>412</v>
      </c>
      <c r="G732" s="26" t="s">
        <v>1120</v>
      </c>
      <c r="H732" s="26" t="s">
        <v>684</v>
      </c>
      <c r="I732" s="26"/>
      <c r="J732" s="26" t="s">
        <v>16</v>
      </c>
      <c r="K732" s="26" t="s">
        <v>13</v>
      </c>
      <c r="L732" s="55">
        <v>46093.41573403935</v>
      </c>
      <c r="M732" s="26"/>
    </row>
    <row r="733" spans="1:13" ht="75" customHeight="1" thickTop="1" thickBot="1">
      <c r="A733" s="34">
        <v>731</v>
      </c>
      <c r="B733" s="55">
        <v>46093.374749120303</v>
      </c>
      <c r="C733" s="56" t="s">
        <v>394</v>
      </c>
      <c r="D733" s="56" t="s">
        <v>395</v>
      </c>
      <c r="E733" s="26" t="s">
        <v>21</v>
      </c>
      <c r="F733" s="26" t="s">
        <v>413</v>
      </c>
      <c r="G733" s="26" t="s">
        <v>442</v>
      </c>
      <c r="H733" s="26" t="s">
        <v>1181</v>
      </c>
      <c r="I733" s="26"/>
      <c r="J733" s="26" t="s">
        <v>14</v>
      </c>
      <c r="K733" s="26" t="s">
        <v>13</v>
      </c>
      <c r="L733" s="55">
        <v>46095.363691053237</v>
      </c>
      <c r="M733" s="26"/>
    </row>
    <row r="734" spans="1:13" ht="75" customHeight="1" thickTop="1" thickBot="1">
      <c r="A734" s="26">
        <v>732</v>
      </c>
      <c r="B734" s="55">
        <v>46093.384211620301</v>
      </c>
      <c r="C734" s="56" t="s">
        <v>394</v>
      </c>
      <c r="D734" s="56" t="s">
        <v>395</v>
      </c>
      <c r="E734" s="26" t="s">
        <v>21</v>
      </c>
      <c r="F734" s="26" t="s">
        <v>405</v>
      </c>
      <c r="G734" s="26" t="s">
        <v>442</v>
      </c>
      <c r="H734" s="26" t="s">
        <v>1008</v>
      </c>
      <c r="I734" s="26"/>
      <c r="J734" s="26" t="s">
        <v>12</v>
      </c>
      <c r="K734" s="26" t="s">
        <v>13</v>
      </c>
      <c r="L734" s="55">
        <v>46093.415689560185</v>
      </c>
      <c r="M734" s="26"/>
    </row>
    <row r="735" spans="1:13" ht="75" customHeight="1" thickTop="1" thickBot="1">
      <c r="A735" s="34">
        <v>733</v>
      </c>
      <c r="B735" s="55">
        <v>46093.426430706</v>
      </c>
      <c r="C735" s="56" t="s">
        <v>394</v>
      </c>
      <c r="D735" s="56" t="s">
        <v>395</v>
      </c>
      <c r="E735" s="26" t="s">
        <v>21</v>
      </c>
      <c r="F735" s="26" t="s">
        <v>399</v>
      </c>
      <c r="G735" s="26" t="s">
        <v>442</v>
      </c>
      <c r="H735" s="26" t="s">
        <v>752</v>
      </c>
      <c r="I735" s="26"/>
      <c r="J735" s="26" t="s">
        <v>14</v>
      </c>
      <c r="K735" s="26" t="s">
        <v>13</v>
      </c>
      <c r="L735" s="55">
        <v>46093.489165960651</v>
      </c>
      <c r="M735" s="26"/>
    </row>
    <row r="736" spans="1:13" ht="75" customHeight="1" thickTop="1" thickBot="1">
      <c r="A736" s="26">
        <v>734</v>
      </c>
      <c r="B736" s="55">
        <v>46093.426949895802</v>
      </c>
      <c r="C736" s="56" t="s">
        <v>394</v>
      </c>
      <c r="D736" s="56" t="s">
        <v>395</v>
      </c>
      <c r="E736" s="26" t="s">
        <v>21</v>
      </c>
      <c r="F736" s="26" t="s">
        <v>399</v>
      </c>
      <c r="G736" s="26" t="s">
        <v>1009</v>
      </c>
      <c r="H736" s="26" t="s">
        <v>1010</v>
      </c>
      <c r="I736" s="26"/>
      <c r="J736" s="26" t="s">
        <v>12</v>
      </c>
      <c r="K736" s="26" t="s">
        <v>13</v>
      </c>
      <c r="L736" s="55">
        <v>46093.488829768517</v>
      </c>
      <c r="M736" s="26"/>
    </row>
    <row r="737" spans="1:13" ht="75" customHeight="1" thickTop="1" thickBot="1">
      <c r="A737" s="34">
        <v>735</v>
      </c>
      <c r="B737" s="55">
        <v>46093.433361643503</v>
      </c>
      <c r="C737" s="56" t="s">
        <v>394</v>
      </c>
      <c r="D737" s="56" t="s">
        <v>395</v>
      </c>
      <c r="E737" s="26" t="s">
        <v>21</v>
      </c>
      <c r="F737" s="26" t="s">
        <v>405</v>
      </c>
      <c r="G737" s="26" t="s">
        <v>1011</v>
      </c>
      <c r="H737" s="26" t="s">
        <v>1007</v>
      </c>
      <c r="I737" s="26"/>
      <c r="J737" s="26" t="s">
        <v>12</v>
      </c>
      <c r="K737" s="26" t="s">
        <v>13</v>
      </c>
      <c r="L737" s="55">
        <v>46093.488880486111</v>
      </c>
      <c r="M737" s="26"/>
    </row>
    <row r="738" spans="1:13" ht="75" customHeight="1" thickTop="1" thickBot="1">
      <c r="A738" s="26">
        <v>736</v>
      </c>
      <c r="B738" s="55">
        <v>46095.3755863888</v>
      </c>
      <c r="C738" s="56" t="s">
        <v>394</v>
      </c>
      <c r="D738" s="56" t="s">
        <v>395</v>
      </c>
      <c r="E738" s="26" t="s">
        <v>21</v>
      </c>
      <c r="F738" s="26" t="s">
        <v>413</v>
      </c>
      <c r="G738" s="26" t="s">
        <v>442</v>
      </c>
      <c r="H738" s="26" t="s">
        <v>1121</v>
      </c>
      <c r="I738" s="26"/>
      <c r="J738" s="26" t="s">
        <v>16</v>
      </c>
      <c r="K738" s="26" t="s">
        <v>13</v>
      </c>
      <c r="L738" s="55">
        <v>46095.420984456017</v>
      </c>
      <c r="M738" s="26"/>
    </row>
    <row r="739" spans="1:13" ht="75" customHeight="1" thickTop="1" thickBot="1">
      <c r="A739" s="34">
        <v>737</v>
      </c>
      <c r="B739" s="55">
        <v>46095.376296226801</v>
      </c>
      <c r="C739" s="56" t="s">
        <v>394</v>
      </c>
      <c r="D739" s="56" t="s">
        <v>395</v>
      </c>
      <c r="E739" s="26" t="s">
        <v>21</v>
      </c>
      <c r="F739" s="26" t="s">
        <v>598</v>
      </c>
      <c r="G739" s="26" t="s">
        <v>599</v>
      </c>
      <c r="H739" s="26" t="s">
        <v>1012</v>
      </c>
      <c r="I739" s="26"/>
      <c r="J739" s="26" t="s">
        <v>12</v>
      </c>
      <c r="K739" s="26" t="s">
        <v>13</v>
      </c>
      <c r="L739" s="55">
        <v>46095.42120243056</v>
      </c>
      <c r="M739" s="26"/>
    </row>
    <row r="740" spans="1:13" ht="75" customHeight="1" thickTop="1" thickBot="1">
      <c r="A740" s="26">
        <v>738</v>
      </c>
      <c r="B740" s="55">
        <v>46095.419135648102</v>
      </c>
      <c r="C740" s="56" t="s">
        <v>394</v>
      </c>
      <c r="D740" s="56" t="s">
        <v>395</v>
      </c>
      <c r="E740" s="26" t="s">
        <v>21</v>
      </c>
      <c r="F740" s="26" t="s">
        <v>405</v>
      </c>
      <c r="G740" s="26" t="s">
        <v>1122</v>
      </c>
      <c r="H740" s="26" t="s">
        <v>555</v>
      </c>
      <c r="I740" s="26"/>
      <c r="J740" s="26" t="s">
        <v>16</v>
      </c>
      <c r="K740" s="26" t="s">
        <v>13</v>
      </c>
      <c r="L740" s="55">
        <v>46095.443189722224</v>
      </c>
      <c r="M740" s="26"/>
    </row>
    <row r="741" spans="1:13" ht="75" customHeight="1" thickTop="1" thickBot="1">
      <c r="A741" s="34">
        <v>739</v>
      </c>
      <c r="B741" s="55">
        <v>46095.531872314801</v>
      </c>
      <c r="C741" s="56" t="s">
        <v>394</v>
      </c>
      <c r="D741" s="56" t="s">
        <v>395</v>
      </c>
      <c r="E741" s="26" t="s">
        <v>21</v>
      </c>
      <c r="F741" s="26" t="s">
        <v>403</v>
      </c>
      <c r="G741" s="26" t="s">
        <v>602</v>
      </c>
      <c r="H741" s="26" t="s">
        <v>1182</v>
      </c>
      <c r="I741" s="26"/>
      <c r="J741" s="26" t="s">
        <v>14</v>
      </c>
      <c r="K741" s="26" t="s">
        <v>13</v>
      </c>
      <c r="L741" s="55">
        <v>46096.509520451393</v>
      </c>
      <c r="M741" s="26"/>
    </row>
    <row r="742" spans="1:13" ht="75" customHeight="1" thickTop="1" thickBot="1">
      <c r="A742" s="26">
        <v>740</v>
      </c>
      <c r="B742" s="55">
        <v>46096.361015104099</v>
      </c>
      <c r="C742" s="56" t="s">
        <v>394</v>
      </c>
      <c r="D742" s="56" t="s">
        <v>395</v>
      </c>
      <c r="E742" s="26" t="s">
        <v>21</v>
      </c>
      <c r="F742" s="26" t="s">
        <v>403</v>
      </c>
      <c r="G742" s="26" t="s">
        <v>446</v>
      </c>
      <c r="H742" s="26" t="s">
        <v>1013</v>
      </c>
      <c r="I742" s="26"/>
      <c r="J742" s="26" t="s">
        <v>12</v>
      </c>
      <c r="K742" s="26" t="s">
        <v>13</v>
      </c>
      <c r="L742" s="55">
        <v>46096.367710995371</v>
      </c>
      <c r="M742" s="26"/>
    </row>
    <row r="743" spans="1:13" ht="75" customHeight="1" thickTop="1" thickBot="1">
      <c r="A743" s="34">
        <v>741</v>
      </c>
      <c r="B743" s="55">
        <v>46096.361614155001</v>
      </c>
      <c r="C743" s="56" t="s">
        <v>394</v>
      </c>
      <c r="D743" s="56" t="s">
        <v>395</v>
      </c>
      <c r="E743" s="26" t="s">
        <v>21</v>
      </c>
      <c r="F743" s="26" t="s">
        <v>399</v>
      </c>
      <c r="G743" s="26" t="s">
        <v>442</v>
      </c>
      <c r="H743" s="26" t="s">
        <v>1014</v>
      </c>
      <c r="I743" s="26"/>
      <c r="J743" s="26" t="s">
        <v>12</v>
      </c>
      <c r="K743" s="26" t="s">
        <v>13</v>
      </c>
      <c r="L743" s="55">
        <v>46096.367789768519</v>
      </c>
      <c r="M743" s="26"/>
    </row>
    <row r="744" spans="1:13" ht="75" customHeight="1" thickTop="1" thickBot="1">
      <c r="A744" s="26">
        <v>742</v>
      </c>
      <c r="B744" s="55">
        <v>46096.3621457638</v>
      </c>
      <c r="C744" s="56" t="s">
        <v>394</v>
      </c>
      <c r="D744" s="56" t="s">
        <v>395</v>
      </c>
      <c r="E744" s="26" t="s">
        <v>21</v>
      </c>
      <c r="F744" s="26" t="s">
        <v>405</v>
      </c>
      <c r="G744" s="26" t="s">
        <v>1123</v>
      </c>
      <c r="H744" s="26" t="s">
        <v>1124</v>
      </c>
      <c r="I744" s="26"/>
      <c r="J744" s="26" t="s">
        <v>16</v>
      </c>
      <c r="K744" s="26" t="s">
        <v>13</v>
      </c>
      <c r="L744" s="55">
        <v>46096.411171122687</v>
      </c>
      <c r="M744" s="26"/>
    </row>
    <row r="745" spans="1:13" ht="75" customHeight="1" thickTop="1" thickBot="1">
      <c r="A745" s="34">
        <v>743</v>
      </c>
      <c r="B745" s="55">
        <v>46096.367648645799</v>
      </c>
      <c r="C745" s="56" t="s">
        <v>394</v>
      </c>
      <c r="D745" s="56" t="s">
        <v>395</v>
      </c>
      <c r="E745" s="26" t="s">
        <v>21</v>
      </c>
      <c r="F745" s="26" t="s">
        <v>411</v>
      </c>
      <c r="G745" s="26" t="s">
        <v>442</v>
      </c>
      <c r="H745" s="26" t="s">
        <v>1125</v>
      </c>
      <c r="I745" s="26"/>
      <c r="J745" s="26" t="s">
        <v>16</v>
      </c>
      <c r="K745" s="26" t="s">
        <v>13</v>
      </c>
      <c r="L745" s="55">
        <v>46096.411232349536</v>
      </c>
      <c r="M745" s="26"/>
    </row>
    <row r="746" spans="1:13" ht="75" customHeight="1" thickTop="1" thickBot="1">
      <c r="A746" s="26">
        <v>744</v>
      </c>
      <c r="B746" s="55">
        <v>46096.391469374998</v>
      </c>
      <c r="C746" s="56" t="s">
        <v>394</v>
      </c>
      <c r="D746" s="56" t="s">
        <v>395</v>
      </c>
      <c r="E746" s="26" t="s">
        <v>21</v>
      </c>
      <c r="F746" s="26" t="s">
        <v>399</v>
      </c>
      <c r="G746" s="26" t="s">
        <v>442</v>
      </c>
      <c r="H746" s="26" t="s">
        <v>569</v>
      </c>
      <c r="I746" s="26"/>
      <c r="J746" s="26" t="s">
        <v>16</v>
      </c>
      <c r="K746" s="26" t="s">
        <v>13</v>
      </c>
      <c r="L746" s="55">
        <v>46096.509159988425</v>
      </c>
      <c r="M746" s="26"/>
    </row>
    <row r="747" spans="1:13" ht="75" customHeight="1" thickTop="1" thickBot="1">
      <c r="A747" s="34">
        <v>745</v>
      </c>
      <c r="B747" s="55">
        <v>46096.399543356398</v>
      </c>
      <c r="C747" s="56" t="s">
        <v>394</v>
      </c>
      <c r="D747" s="56" t="s">
        <v>395</v>
      </c>
      <c r="E747" s="26" t="s">
        <v>21</v>
      </c>
      <c r="F747" s="26" t="s">
        <v>411</v>
      </c>
      <c r="G747" s="26" t="s">
        <v>442</v>
      </c>
      <c r="H747" s="26" t="s">
        <v>1183</v>
      </c>
      <c r="I747" s="26"/>
      <c r="J747" s="26" t="s">
        <v>14</v>
      </c>
      <c r="K747" s="26" t="s">
        <v>13</v>
      </c>
      <c r="L747" s="55">
        <v>46096.509106701385</v>
      </c>
      <c r="M747" s="26"/>
    </row>
    <row r="748" spans="1:13" ht="75" customHeight="1" thickTop="1" thickBot="1">
      <c r="A748" s="26">
        <v>746</v>
      </c>
      <c r="B748" s="55">
        <v>46096.468280069399</v>
      </c>
      <c r="C748" s="56" t="s">
        <v>394</v>
      </c>
      <c r="D748" s="56" t="s">
        <v>34</v>
      </c>
      <c r="E748" s="26" t="s">
        <v>22</v>
      </c>
      <c r="F748" s="26" t="s">
        <v>497</v>
      </c>
      <c r="G748" s="26" t="s">
        <v>449</v>
      </c>
      <c r="H748" s="26" t="s">
        <v>1015</v>
      </c>
      <c r="I748" s="26"/>
      <c r="J748" s="26" t="s">
        <v>12</v>
      </c>
      <c r="K748" s="26" t="s">
        <v>13</v>
      </c>
      <c r="L748" s="55">
        <v>46096.489149664354</v>
      </c>
      <c r="M748" s="26"/>
    </row>
    <row r="749" spans="1:13" ht="75" customHeight="1" thickTop="1" thickBot="1">
      <c r="A749" s="34">
        <v>747</v>
      </c>
      <c r="B749" s="55">
        <v>46096.472459224497</v>
      </c>
      <c r="C749" s="56" t="s">
        <v>394</v>
      </c>
      <c r="D749" s="56" t="s">
        <v>34</v>
      </c>
      <c r="E749" s="26" t="s">
        <v>22</v>
      </c>
      <c r="F749" s="26" t="s">
        <v>396</v>
      </c>
      <c r="G749" s="26" t="s">
        <v>454</v>
      </c>
      <c r="H749" s="26" t="s">
        <v>3480</v>
      </c>
      <c r="I749" s="26"/>
      <c r="J749" s="26" t="s">
        <v>12</v>
      </c>
      <c r="K749" s="26" t="s">
        <v>13</v>
      </c>
      <c r="L749" s="55">
        <v>46096.489157488424</v>
      </c>
      <c r="M749" s="26"/>
    </row>
    <row r="750" spans="1:13" ht="75" customHeight="1" thickTop="1" thickBot="1">
      <c r="A750" s="26">
        <v>748</v>
      </c>
      <c r="B750" s="55">
        <v>46096.473307071697</v>
      </c>
      <c r="C750" s="56" t="s">
        <v>394</v>
      </c>
      <c r="D750" s="56" t="s">
        <v>34</v>
      </c>
      <c r="E750" s="26" t="s">
        <v>22</v>
      </c>
      <c r="F750" s="26" t="s">
        <v>396</v>
      </c>
      <c r="G750" s="26" t="s">
        <v>454</v>
      </c>
      <c r="H750" s="26" t="s">
        <v>3481</v>
      </c>
      <c r="I750" s="26"/>
      <c r="J750" s="26" t="s">
        <v>12</v>
      </c>
      <c r="K750" s="26" t="s">
        <v>13</v>
      </c>
      <c r="L750" s="55">
        <v>46096.489166967593</v>
      </c>
      <c r="M750" s="26"/>
    </row>
    <row r="751" spans="1:13" ht="75" customHeight="1" thickTop="1" thickBot="1">
      <c r="A751" s="34">
        <v>749</v>
      </c>
      <c r="B751" s="55">
        <v>46096.473709293903</v>
      </c>
      <c r="C751" s="56" t="s">
        <v>394</v>
      </c>
      <c r="D751" s="56" t="s">
        <v>34</v>
      </c>
      <c r="E751" s="26" t="s">
        <v>22</v>
      </c>
      <c r="F751" s="26" t="s">
        <v>396</v>
      </c>
      <c r="G751" s="26" t="s">
        <v>549</v>
      </c>
      <c r="H751" s="26" t="s">
        <v>1016</v>
      </c>
      <c r="I751" s="26"/>
      <c r="J751" s="26" t="s">
        <v>12</v>
      </c>
      <c r="K751" s="26" t="s">
        <v>13</v>
      </c>
      <c r="L751" s="55">
        <v>46096.489176273149</v>
      </c>
      <c r="M751" s="26"/>
    </row>
    <row r="752" spans="1:13" ht="75" customHeight="1" thickTop="1" thickBot="1">
      <c r="A752" s="26">
        <v>750</v>
      </c>
      <c r="B752" s="55">
        <v>46096.474127013797</v>
      </c>
      <c r="C752" s="56" t="s">
        <v>394</v>
      </c>
      <c r="D752" s="56" t="s">
        <v>34</v>
      </c>
      <c r="E752" s="26" t="s">
        <v>22</v>
      </c>
      <c r="F752" s="26" t="s">
        <v>447</v>
      </c>
      <c r="G752" s="26" t="s">
        <v>40</v>
      </c>
      <c r="H752" s="26" t="s">
        <v>3482</v>
      </c>
      <c r="I752" s="26"/>
      <c r="J752" s="26" t="s">
        <v>12</v>
      </c>
      <c r="K752" s="26" t="s">
        <v>13</v>
      </c>
      <c r="L752" s="55">
        <v>46096.489186990744</v>
      </c>
      <c r="M752" s="26"/>
    </row>
    <row r="753" spans="1:13" ht="75" customHeight="1" thickTop="1" thickBot="1">
      <c r="A753" s="34">
        <v>751</v>
      </c>
      <c r="B753" s="55">
        <v>46096.474699814797</v>
      </c>
      <c r="C753" s="56" t="s">
        <v>394</v>
      </c>
      <c r="D753" s="56" t="s">
        <v>34</v>
      </c>
      <c r="E753" s="26" t="s">
        <v>22</v>
      </c>
      <c r="F753" s="26" t="s">
        <v>396</v>
      </c>
      <c r="G753" s="26" t="s">
        <v>549</v>
      </c>
      <c r="H753" s="26" t="s">
        <v>1017</v>
      </c>
      <c r="I753" s="26"/>
      <c r="J753" s="26" t="s">
        <v>12</v>
      </c>
      <c r="K753" s="26" t="s">
        <v>13</v>
      </c>
      <c r="L753" s="55">
        <v>46096.489198437499</v>
      </c>
      <c r="M753" s="26"/>
    </row>
    <row r="754" spans="1:13" ht="75" customHeight="1" thickTop="1" thickBot="1">
      <c r="A754" s="26">
        <v>752</v>
      </c>
      <c r="B754" s="55">
        <v>46096.475175821703</v>
      </c>
      <c r="C754" s="56" t="s">
        <v>394</v>
      </c>
      <c r="D754" s="56" t="s">
        <v>34</v>
      </c>
      <c r="E754" s="26" t="s">
        <v>22</v>
      </c>
      <c r="F754" s="26" t="s">
        <v>399</v>
      </c>
      <c r="G754" s="26" t="s">
        <v>549</v>
      </c>
      <c r="H754" s="26" t="s">
        <v>1017</v>
      </c>
      <c r="I754" s="26"/>
      <c r="J754" s="26" t="s">
        <v>12</v>
      </c>
      <c r="K754" s="26" t="s">
        <v>13</v>
      </c>
      <c r="L754" s="55">
        <v>46096.489203356483</v>
      </c>
      <c r="M754" s="26"/>
    </row>
    <row r="755" spans="1:13" ht="75" customHeight="1" thickTop="1" thickBot="1">
      <c r="A755" s="34">
        <v>753</v>
      </c>
      <c r="B755" s="55">
        <v>46096.475576481404</v>
      </c>
      <c r="C755" s="56" t="s">
        <v>394</v>
      </c>
      <c r="D755" s="56" t="s">
        <v>34</v>
      </c>
      <c r="E755" s="26" t="s">
        <v>22</v>
      </c>
      <c r="F755" s="26" t="s">
        <v>403</v>
      </c>
      <c r="G755" s="26" t="s">
        <v>549</v>
      </c>
      <c r="H755" s="26" t="s">
        <v>1017</v>
      </c>
      <c r="I755" s="26"/>
      <c r="J755" s="26" t="s">
        <v>12</v>
      </c>
      <c r="K755" s="26" t="s">
        <v>13</v>
      </c>
      <c r="L755" s="55">
        <v>46096.489216145834</v>
      </c>
      <c r="M755" s="26"/>
    </row>
    <row r="756" spans="1:13" ht="75" customHeight="1" thickTop="1" thickBot="1">
      <c r="A756" s="26">
        <v>754</v>
      </c>
      <c r="B756" s="55">
        <v>46096.475872384202</v>
      </c>
      <c r="C756" s="56" t="s">
        <v>394</v>
      </c>
      <c r="D756" s="56" t="s">
        <v>34</v>
      </c>
      <c r="E756" s="26" t="s">
        <v>22</v>
      </c>
      <c r="F756" s="26" t="s">
        <v>401</v>
      </c>
      <c r="G756" s="26" t="s">
        <v>549</v>
      </c>
      <c r="H756" s="26" t="s">
        <v>1017</v>
      </c>
      <c r="I756" s="26"/>
      <c r="J756" s="26" t="s">
        <v>12</v>
      </c>
      <c r="K756" s="26" t="s">
        <v>13</v>
      </c>
      <c r="L756" s="55">
        <v>46096.489218101851</v>
      </c>
      <c r="M756" s="26"/>
    </row>
    <row r="757" spans="1:13" ht="75" customHeight="1" thickTop="1" thickBot="1">
      <c r="A757" s="34">
        <v>755</v>
      </c>
      <c r="B757" s="55">
        <v>46096.476656701299</v>
      </c>
      <c r="C757" s="56" t="s">
        <v>394</v>
      </c>
      <c r="D757" s="56" t="s">
        <v>34</v>
      </c>
      <c r="E757" s="26" t="s">
        <v>22</v>
      </c>
      <c r="F757" s="26" t="s">
        <v>413</v>
      </c>
      <c r="G757" s="26" t="s">
        <v>549</v>
      </c>
      <c r="H757" s="26" t="s">
        <v>1017</v>
      </c>
      <c r="I757" s="26"/>
      <c r="J757" s="26" t="s">
        <v>12</v>
      </c>
      <c r="K757" s="26" t="s">
        <v>13</v>
      </c>
      <c r="L757" s="55">
        <v>46096.48922949074</v>
      </c>
      <c r="M757" s="26"/>
    </row>
    <row r="758" spans="1:13" ht="75" customHeight="1" thickTop="1" thickBot="1">
      <c r="A758" s="26">
        <v>756</v>
      </c>
      <c r="B758" s="55">
        <v>46096.476847488397</v>
      </c>
      <c r="C758" s="56" t="s">
        <v>394</v>
      </c>
      <c r="D758" s="56" t="s">
        <v>34</v>
      </c>
      <c r="E758" s="26" t="s">
        <v>22</v>
      </c>
      <c r="F758" s="26" t="s">
        <v>416</v>
      </c>
      <c r="G758" s="26" t="s">
        <v>549</v>
      </c>
      <c r="H758" s="26" t="s">
        <v>1017</v>
      </c>
      <c r="I758" s="26"/>
      <c r="J758" s="26" t="s">
        <v>12</v>
      </c>
      <c r="K758" s="26" t="s">
        <v>13</v>
      </c>
      <c r="L758" s="55">
        <v>46096.489243067132</v>
      </c>
      <c r="M758" s="26"/>
    </row>
    <row r="759" spans="1:13" ht="75" customHeight="1" thickTop="1" thickBot="1">
      <c r="A759" s="34">
        <v>757</v>
      </c>
      <c r="B759" s="55">
        <v>46096.477182789298</v>
      </c>
      <c r="C759" s="56" t="s">
        <v>394</v>
      </c>
      <c r="D759" s="56" t="s">
        <v>34</v>
      </c>
      <c r="E759" s="26" t="s">
        <v>22</v>
      </c>
      <c r="F759" s="26" t="s">
        <v>447</v>
      </c>
      <c r="G759" s="26" t="s">
        <v>486</v>
      </c>
      <c r="H759" s="26" t="s">
        <v>1017</v>
      </c>
      <c r="I759" s="26"/>
      <c r="J759" s="26" t="s">
        <v>12</v>
      </c>
      <c r="K759" s="26" t="s">
        <v>13</v>
      </c>
      <c r="L759" s="55">
        <v>46096.489244756944</v>
      </c>
      <c r="M759" s="26"/>
    </row>
    <row r="760" spans="1:13" ht="75" customHeight="1" thickTop="1" thickBot="1">
      <c r="A760" s="26">
        <v>758</v>
      </c>
      <c r="B760" s="55">
        <v>46096.477465601798</v>
      </c>
      <c r="C760" s="56" t="s">
        <v>394</v>
      </c>
      <c r="D760" s="56" t="s">
        <v>34</v>
      </c>
      <c r="E760" s="26" t="s">
        <v>22</v>
      </c>
      <c r="F760" s="26" t="s">
        <v>405</v>
      </c>
      <c r="G760" s="26" t="s">
        <v>549</v>
      </c>
      <c r="H760" s="26" t="s">
        <v>1017</v>
      </c>
      <c r="I760" s="26"/>
      <c r="J760" s="26" t="s">
        <v>12</v>
      </c>
      <c r="K760" s="26" t="s">
        <v>13</v>
      </c>
      <c r="L760" s="55">
        <v>46096.489256087967</v>
      </c>
      <c r="M760" s="26"/>
    </row>
    <row r="761" spans="1:13" ht="75" customHeight="1" thickTop="1" thickBot="1">
      <c r="A761" s="34">
        <v>759</v>
      </c>
      <c r="B761" s="55">
        <v>46096.477767025397</v>
      </c>
      <c r="C761" s="56" t="s">
        <v>394</v>
      </c>
      <c r="D761" s="56" t="s">
        <v>34</v>
      </c>
      <c r="E761" s="26" t="s">
        <v>22</v>
      </c>
      <c r="F761" s="26" t="s">
        <v>411</v>
      </c>
      <c r="G761" s="26" t="s">
        <v>439</v>
      </c>
      <c r="H761" s="26" t="s">
        <v>1017</v>
      </c>
      <c r="I761" s="26"/>
      <c r="J761" s="26" t="s">
        <v>12</v>
      </c>
      <c r="K761" s="26" t="s">
        <v>13</v>
      </c>
      <c r="L761" s="55">
        <v>46096.489264398144</v>
      </c>
      <c r="M761" s="26"/>
    </row>
    <row r="762" spans="1:13" ht="75" customHeight="1" thickTop="1" thickBot="1">
      <c r="A762" s="26">
        <v>760</v>
      </c>
      <c r="B762" s="55">
        <v>46096.478168529997</v>
      </c>
      <c r="C762" s="56" t="s">
        <v>394</v>
      </c>
      <c r="D762" s="56" t="s">
        <v>34</v>
      </c>
      <c r="E762" s="26" t="s">
        <v>22</v>
      </c>
      <c r="F762" s="26" t="s">
        <v>412</v>
      </c>
      <c r="G762" s="26" t="s">
        <v>439</v>
      </c>
      <c r="H762" s="26" t="s">
        <v>1017</v>
      </c>
      <c r="I762" s="26"/>
      <c r="J762" s="26" t="s">
        <v>12</v>
      </c>
      <c r="K762" s="26" t="s">
        <v>13</v>
      </c>
      <c r="L762" s="55">
        <v>46096.489287048607</v>
      </c>
      <c r="M762" s="26"/>
    </row>
    <row r="763" spans="1:13" ht="75" customHeight="1" thickTop="1" thickBot="1">
      <c r="A763" s="34">
        <v>761</v>
      </c>
      <c r="B763" s="55">
        <v>46096.478862534699</v>
      </c>
      <c r="C763" s="56" t="s">
        <v>394</v>
      </c>
      <c r="D763" s="56" t="s">
        <v>34</v>
      </c>
      <c r="E763" s="26" t="s">
        <v>22</v>
      </c>
      <c r="F763" s="26" t="s">
        <v>1018</v>
      </c>
      <c r="G763" s="26" t="s">
        <v>439</v>
      </c>
      <c r="H763" s="26" t="s">
        <v>3483</v>
      </c>
      <c r="I763" s="26"/>
      <c r="J763" s="26" t="s">
        <v>12</v>
      </c>
      <c r="K763" s="26" t="s">
        <v>13</v>
      </c>
      <c r="L763" s="55">
        <v>46096.489289432866</v>
      </c>
      <c r="M763" s="26"/>
    </row>
    <row r="764" spans="1:13" ht="75" customHeight="1" thickTop="1" thickBot="1">
      <c r="A764" s="26">
        <v>762</v>
      </c>
      <c r="B764" s="55">
        <v>46096.479327685098</v>
      </c>
      <c r="C764" s="56" t="s">
        <v>394</v>
      </c>
      <c r="D764" s="56" t="s">
        <v>34</v>
      </c>
      <c r="E764" s="26" t="s">
        <v>22</v>
      </c>
      <c r="F764" s="26" t="s">
        <v>405</v>
      </c>
      <c r="G764" s="26" t="s">
        <v>442</v>
      </c>
      <c r="H764" s="26" t="s">
        <v>3484</v>
      </c>
      <c r="I764" s="26"/>
      <c r="J764" s="26" t="s">
        <v>12</v>
      </c>
      <c r="K764" s="26" t="s">
        <v>13</v>
      </c>
      <c r="L764" s="55">
        <v>46096.489312314814</v>
      </c>
      <c r="M764" s="26"/>
    </row>
    <row r="765" spans="1:13" ht="75" customHeight="1" thickTop="1" thickBot="1">
      <c r="A765" s="34">
        <v>763</v>
      </c>
      <c r="B765" s="55">
        <v>46096.479691134198</v>
      </c>
      <c r="C765" s="56" t="s">
        <v>394</v>
      </c>
      <c r="D765" s="56" t="s">
        <v>34</v>
      </c>
      <c r="E765" s="26" t="s">
        <v>22</v>
      </c>
      <c r="F765" s="26" t="s">
        <v>396</v>
      </c>
      <c r="G765" s="26" t="s">
        <v>449</v>
      </c>
      <c r="H765" s="26" t="s">
        <v>3485</v>
      </c>
      <c r="I765" s="26"/>
      <c r="J765" s="26" t="s">
        <v>12</v>
      </c>
      <c r="K765" s="26" t="s">
        <v>13</v>
      </c>
      <c r="L765" s="55">
        <v>46096.48931045139</v>
      </c>
      <c r="M765" s="26"/>
    </row>
    <row r="766" spans="1:13" ht="75" customHeight="1" thickTop="1" thickBot="1">
      <c r="A766" s="26">
        <v>764</v>
      </c>
      <c r="B766" s="55">
        <v>46096.480559490701</v>
      </c>
      <c r="C766" s="56" t="s">
        <v>394</v>
      </c>
      <c r="D766" s="56" t="s">
        <v>34</v>
      </c>
      <c r="E766" s="26" t="s">
        <v>22</v>
      </c>
      <c r="F766" s="26" t="s">
        <v>399</v>
      </c>
      <c r="G766" s="26" t="s">
        <v>449</v>
      </c>
      <c r="H766" s="26" t="s">
        <v>1019</v>
      </c>
      <c r="I766" s="26"/>
      <c r="J766" s="26" t="s">
        <v>12</v>
      </c>
      <c r="K766" s="26" t="s">
        <v>13</v>
      </c>
      <c r="L766" s="55"/>
      <c r="M766" s="26"/>
    </row>
    <row r="767" spans="1:13" ht="75" customHeight="1" thickTop="1" thickBot="1">
      <c r="A767" s="34">
        <v>765</v>
      </c>
      <c r="B767" s="55">
        <v>46096.480576365699</v>
      </c>
      <c r="C767" s="56" t="s">
        <v>394</v>
      </c>
      <c r="D767" s="56" t="s">
        <v>395</v>
      </c>
      <c r="E767" s="26" t="s">
        <v>21</v>
      </c>
      <c r="F767" s="26" t="s">
        <v>401</v>
      </c>
      <c r="G767" s="26" t="s">
        <v>442</v>
      </c>
      <c r="H767" s="26" t="s">
        <v>3486</v>
      </c>
      <c r="I767" s="26"/>
      <c r="J767" s="26" t="s">
        <v>16</v>
      </c>
      <c r="K767" s="26" t="s">
        <v>13</v>
      </c>
      <c r="L767" s="55">
        <v>46096.509334768518</v>
      </c>
      <c r="M767" s="26"/>
    </row>
    <row r="768" spans="1:13" ht="75" customHeight="1" thickTop="1" thickBot="1">
      <c r="A768" s="26">
        <v>766</v>
      </c>
      <c r="B768" s="55">
        <v>46096.481079756901</v>
      </c>
      <c r="C768" s="56" t="s">
        <v>394</v>
      </c>
      <c r="D768" s="56" t="s">
        <v>395</v>
      </c>
      <c r="E768" s="26" t="s">
        <v>21</v>
      </c>
      <c r="F768" s="26" t="s">
        <v>401</v>
      </c>
      <c r="G768" s="26" t="s">
        <v>442</v>
      </c>
      <c r="H768" s="26" t="s">
        <v>3487</v>
      </c>
      <c r="I768" s="26"/>
      <c r="J768" s="26" t="s">
        <v>16</v>
      </c>
      <c r="K768" s="26" t="s">
        <v>13</v>
      </c>
      <c r="L768" s="55">
        <v>46096.509364641199</v>
      </c>
      <c r="M768" s="26"/>
    </row>
    <row r="769" spans="1:13" ht="75" customHeight="1" thickTop="1" thickBot="1">
      <c r="A769" s="34">
        <v>767</v>
      </c>
      <c r="B769" s="55">
        <v>46096.481377997603</v>
      </c>
      <c r="C769" s="56" t="s">
        <v>394</v>
      </c>
      <c r="D769" s="56" t="s">
        <v>34</v>
      </c>
      <c r="E769" s="26" t="s">
        <v>22</v>
      </c>
      <c r="F769" s="26" t="s">
        <v>396</v>
      </c>
      <c r="G769" s="26" t="s">
        <v>449</v>
      </c>
      <c r="H769" s="26" t="s">
        <v>1020</v>
      </c>
      <c r="I769" s="26"/>
      <c r="J769" s="26" t="s">
        <v>12</v>
      </c>
      <c r="K769" s="26" t="s">
        <v>13</v>
      </c>
      <c r="L769" s="55">
        <v>46096.490030578701</v>
      </c>
      <c r="M769" s="26"/>
    </row>
    <row r="770" spans="1:13" ht="75" customHeight="1" thickTop="1" thickBot="1">
      <c r="A770" s="26">
        <v>768</v>
      </c>
      <c r="B770" s="55">
        <v>46096.481491481398</v>
      </c>
      <c r="C770" s="56" t="s">
        <v>394</v>
      </c>
      <c r="D770" s="56" t="s">
        <v>395</v>
      </c>
      <c r="E770" s="26" t="s">
        <v>21</v>
      </c>
      <c r="F770" s="26" t="s">
        <v>401</v>
      </c>
      <c r="G770" s="26" t="s">
        <v>404</v>
      </c>
      <c r="H770" s="26" t="s">
        <v>1184</v>
      </c>
      <c r="I770" s="26"/>
      <c r="J770" s="26" t="s">
        <v>14</v>
      </c>
      <c r="K770" s="26" t="s">
        <v>13</v>
      </c>
      <c r="L770" s="55">
        <v>46096.509385162033</v>
      </c>
      <c r="M770" s="26"/>
    </row>
    <row r="771" spans="1:13" ht="75" customHeight="1" thickTop="1" thickBot="1">
      <c r="A771" s="34">
        <v>769</v>
      </c>
      <c r="B771" s="55">
        <v>46096.481667847198</v>
      </c>
      <c r="C771" s="56" t="s">
        <v>394</v>
      </c>
      <c r="D771" s="56" t="s">
        <v>34</v>
      </c>
      <c r="E771" s="26" t="s">
        <v>22</v>
      </c>
      <c r="F771" s="26" t="s">
        <v>399</v>
      </c>
      <c r="G771" s="26" t="s">
        <v>449</v>
      </c>
      <c r="H771" s="26" t="s">
        <v>1020</v>
      </c>
      <c r="I771" s="26"/>
      <c r="J771" s="26" t="s">
        <v>12</v>
      </c>
      <c r="K771" s="26" t="s">
        <v>13</v>
      </c>
      <c r="L771" s="55">
        <v>46096.490057395829</v>
      </c>
      <c r="M771" s="26" t="s">
        <v>119</v>
      </c>
    </row>
    <row r="772" spans="1:13" ht="75" customHeight="1" thickTop="1" thickBot="1">
      <c r="A772" s="26">
        <v>770</v>
      </c>
      <c r="B772" s="55">
        <v>46096.482162766202</v>
      </c>
      <c r="C772" s="56" t="s">
        <v>394</v>
      </c>
      <c r="D772" s="56" t="s">
        <v>34</v>
      </c>
      <c r="E772" s="26" t="s">
        <v>22</v>
      </c>
      <c r="F772" s="26" t="s">
        <v>449</v>
      </c>
      <c r="G772" s="26" t="s">
        <v>449</v>
      </c>
      <c r="H772" s="26" t="s">
        <v>1021</v>
      </c>
      <c r="I772" s="26"/>
      <c r="J772" s="26" t="s">
        <v>12</v>
      </c>
      <c r="K772" s="26" t="s">
        <v>13</v>
      </c>
      <c r="L772" s="55">
        <v>46096.490070057873</v>
      </c>
      <c r="M772" s="26"/>
    </row>
    <row r="773" spans="1:13" ht="75" customHeight="1" thickTop="1" thickBot="1">
      <c r="A773" s="34">
        <v>771</v>
      </c>
      <c r="B773" s="55">
        <v>46096.482495601798</v>
      </c>
      <c r="C773" s="56" t="s">
        <v>394</v>
      </c>
      <c r="D773" s="56" t="s">
        <v>34</v>
      </c>
      <c r="E773" s="26" t="s">
        <v>22</v>
      </c>
      <c r="F773" s="26" t="s">
        <v>639</v>
      </c>
      <c r="G773" s="26" t="s">
        <v>449</v>
      </c>
      <c r="H773" s="26" t="s">
        <v>3488</v>
      </c>
      <c r="I773" s="26"/>
      <c r="J773" s="26" t="s">
        <v>12</v>
      </c>
      <c r="K773" s="26" t="s">
        <v>13</v>
      </c>
      <c r="L773" s="55">
        <v>46096.490085231482</v>
      </c>
      <c r="M773" s="26"/>
    </row>
    <row r="774" spans="1:13" ht="75" customHeight="1" thickTop="1" thickBot="1">
      <c r="A774" s="26">
        <v>772</v>
      </c>
      <c r="B774" s="55">
        <v>46096.482832650399</v>
      </c>
      <c r="C774" s="56" t="s">
        <v>394</v>
      </c>
      <c r="D774" s="56" t="s">
        <v>34</v>
      </c>
      <c r="E774" s="26" t="s">
        <v>22</v>
      </c>
      <c r="F774" s="26" t="s">
        <v>403</v>
      </c>
      <c r="G774" s="26" t="s">
        <v>449</v>
      </c>
      <c r="H774" s="26" t="s">
        <v>3489</v>
      </c>
      <c r="I774" s="26"/>
      <c r="J774" s="26" t="s">
        <v>12</v>
      </c>
      <c r="K774" s="26" t="s">
        <v>13</v>
      </c>
      <c r="L774" s="55">
        <v>46096.490095972222</v>
      </c>
      <c r="M774" s="26"/>
    </row>
    <row r="775" spans="1:13" ht="75" customHeight="1" thickTop="1" thickBot="1">
      <c r="A775" s="34">
        <v>773</v>
      </c>
      <c r="B775" s="55">
        <v>46096.4832160648</v>
      </c>
      <c r="C775" s="56" t="s">
        <v>394</v>
      </c>
      <c r="D775" s="56" t="s">
        <v>34</v>
      </c>
      <c r="E775" s="26" t="s">
        <v>22</v>
      </c>
      <c r="F775" s="26" t="s">
        <v>639</v>
      </c>
      <c r="G775" s="26" t="s">
        <v>449</v>
      </c>
      <c r="H775" s="26" t="s">
        <v>3490</v>
      </c>
      <c r="I775" s="26"/>
      <c r="J775" s="26" t="s">
        <v>12</v>
      </c>
      <c r="K775" s="26" t="s">
        <v>13</v>
      </c>
      <c r="L775" s="55">
        <v>46096.49009663194</v>
      </c>
      <c r="M775" s="26" t="s">
        <v>120</v>
      </c>
    </row>
    <row r="776" spans="1:13" ht="75" customHeight="1" thickTop="1" thickBot="1">
      <c r="A776" s="26">
        <v>774</v>
      </c>
      <c r="B776" s="55">
        <v>46096.483563275397</v>
      </c>
      <c r="C776" s="56" t="s">
        <v>394</v>
      </c>
      <c r="D776" s="56" t="s">
        <v>34</v>
      </c>
      <c r="E776" s="26" t="s">
        <v>22</v>
      </c>
      <c r="F776" s="26" t="s">
        <v>1022</v>
      </c>
      <c r="G776" s="26" t="s">
        <v>449</v>
      </c>
      <c r="H776" s="26" t="s">
        <v>1023</v>
      </c>
      <c r="I776" s="26"/>
      <c r="J776" s="26" t="s">
        <v>12</v>
      </c>
      <c r="K776" s="26" t="s">
        <v>13</v>
      </c>
      <c r="L776" s="55">
        <v>46096.490109513892</v>
      </c>
      <c r="M776" s="26"/>
    </row>
    <row r="777" spans="1:13" ht="75" customHeight="1" thickTop="1" thickBot="1">
      <c r="A777" s="34">
        <v>775</v>
      </c>
      <c r="B777" s="55">
        <v>46096.483884062502</v>
      </c>
      <c r="C777" s="56" t="s">
        <v>394</v>
      </c>
      <c r="D777" s="56" t="s">
        <v>34</v>
      </c>
      <c r="E777" s="26" t="s">
        <v>22</v>
      </c>
      <c r="F777" s="26" t="s">
        <v>537</v>
      </c>
      <c r="G777" s="26" t="s">
        <v>449</v>
      </c>
      <c r="H777" s="26" t="s">
        <v>3491</v>
      </c>
      <c r="I777" s="26"/>
      <c r="J777" s="26" t="s">
        <v>12</v>
      </c>
      <c r="K777" s="26" t="s">
        <v>13</v>
      </c>
      <c r="L777" s="55">
        <v>46096.490113981483</v>
      </c>
      <c r="M777" s="26"/>
    </row>
    <row r="778" spans="1:13" ht="75" customHeight="1" thickTop="1" thickBot="1">
      <c r="A778" s="26">
        <v>776</v>
      </c>
      <c r="B778" s="55">
        <v>46096.485079918901</v>
      </c>
      <c r="C778" s="56" t="s">
        <v>394</v>
      </c>
      <c r="D778" s="56" t="s">
        <v>34</v>
      </c>
      <c r="E778" s="26" t="s">
        <v>22</v>
      </c>
      <c r="F778" s="26" t="s">
        <v>401</v>
      </c>
      <c r="G778" s="26" t="s">
        <v>449</v>
      </c>
      <c r="H778" s="26" t="s">
        <v>1024</v>
      </c>
      <c r="I778" s="26"/>
      <c r="J778" s="26" t="s">
        <v>12</v>
      </c>
      <c r="K778" s="26" t="s">
        <v>13</v>
      </c>
      <c r="L778" s="55">
        <v>46096.490128368052</v>
      </c>
      <c r="M778" s="26"/>
    </row>
    <row r="779" spans="1:13" ht="75" customHeight="1" thickTop="1" thickBot="1">
      <c r="A779" s="34">
        <v>777</v>
      </c>
      <c r="B779" s="55">
        <v>46096.485442303201</v>
      </c>
      <c r="C779" s="56" t="s">
        <v>394</v>
      </c>
      <c r="D779" s="56" t="s">
        <v>34</v>
      </c>
      <c r="E779" s="26" t="s">
        <v>22</v>
      </c>
      <c r="F779" s="26" t="s">
        <v>113</v>
      </c>
      <c r="G779" s="26" t="s">
        <v>449</v>
      </c>
      <c r="H779" s="26" t="s">
        <v>3492</v>
      </c>
      <c r="I779" s="26"/>
      <c r="J779" s="26" t="s">
        <v>12</v>
      </c>
      <c r="K779" s="26" t="s">
        <v>13</v>
      </c>
      <c r="L779" s="55">
        <v>46096.490128634265</v>
      </c>
      <c r="M779" s="26"/>
    </row>
    <row r="780" spans="1:13" ht="75" customHeight="1" thickTop="1" thickBot="1">
      <c r="A780" s="26">
        <v>778</v>
      </c>
      <c r="B780" s="55">
        <v>46096.486059618001</v>
      </c>
      <c r="C780" s="56" t="s">
        <v>394</v>
      </c>
      <c r="D780" s="56" t="s">
        <v>34</v>
      </c>
      <c r="E780" s="26" t="s">
        <v>22</v>
      </c>
      <c r="F780" s="26" t="s">
        <v>59</v>
      </c>
      <c r="G780" s="26" t="s">
        <v>1025</v>
      </c>
      <c r="H780" s="26" t="s">
        <v>1026</v>
      </c>
      <c r="I780" s="26"/>
      <c r="J780" s="26" t="s">
        <v>12</v>
      </c>
      <c r="K780" s="26" t="s">
        <v>13</v>
      </c>
      <c r="L780" s="55">
        <v>46096.490142372684</v>
      </c>
      <c r="M780" s="26"/>
    </row>
    <row r="781" spans="1:13" ht="75" customHeight="1" thickTop="1" thickBot="1">
      <c r="A781" s="34">
        <v>779</v>
      </c>
      <c r="B781" s="55">
        <v>46096.486464039299</v>
      </c>
      <c r="C781" s="56" t="s">
        <v>394</v>
      </c>
      <c r="D781" s="56" t="s">
        <v>34</v>
      </c>
      <c r="E781" s="26" t="s">
        <v>22</v>
      </c>
      <c r="F781" s="26" t="s">
        <v>405</v>
      </c>
      <c r="G781" s="26" t="s">
        <v>439</v>
      </c>
      <c r="H781" s="26" t="s">
        <v>3493</v>
      </c>
      <c r="I781" s="26"/>
      <c r="J781" s="26" t="s">
        <v>12</v>
      </c>
      <c r="K781" s="26" t="s">
        <v>13</v>
      </c>
      <c r="L781" s="55">
        <v>46096.490183819449</v>
      </c>
      <c r="M781" s="26"/>
    </row>
    <row r="782" spans="1:13" ht="75" customHeight="1" thickTop="1" thickBot="1">
      <c r="A782" s="26">
        <v>780</v>
      </c>
      <c r="B782" s="55">
        <v>46096.487693379597</v>
      </c>
      <c r="C782" s="56" t="s">
        <v>394</v>
      </c>
      <c r="D782" s="56" t="s">
        <v>34</v>
      </c>
      <c r="E782" s="26" t="s">
        <v>22</v>
      </c>
      <c r="F782" s="26" t="s">
        <v>405</v>
      </c>
      <c r="G782" s="26" t="s">
        <v>1027</v>
      </c>
      <c r="H782" s="26" t="s">
        <v>3494</v>
      </c>
      <c r="I782" s="26"/>
      <c r="J782" s="26" t="s">
        <v>12</v>
      </c>
      <c r="K782" s="26" t="s">
        <v>13</v>
      </c>
      <c r="L782" s="55">
        <v>46096.490191041667</v>
      </c>
      <c r="M782" s="26"/>
    </row>
    <row r="783" spans="1:13" ht="75" customHeight="1" thickTop="1" thickBot="1">
      <c r="A783" s="34">
        <v>781</v>
      </c>
      <c r="B783" s="55">
        <v>46096.488030208297</v>
      </c>
      <c r="C783" s="56" t="s">
        <v>394</v>
      </c>
      <c r="D783" s="56" t="s">
        <v>34</v>
      </c>
      <c r="E783" s="26" t="s">
        <v>22</v>
      </c>
      <c r="F783" s="26" t="s">
        <v>449</v>
      </c>
      <c r="G783" s="26" t="s">
        <v>449</v>
      </c>
      <c r="H783" s="26" t="s">
        <v>1028</v>
      </c>
      <c r="I783" s="26"/>
      <c r="J783" s="26" t="s">
        <v>12</v>
      </c>
      <c r="K783" s="26" t="s">
        <v>13</v>
      </c>
      <c r="L783" s="55">
        <v>46096.490199236112</v>
      </c>
      <c r="M783" s="26"/>
    </row>
    <row r="784" spans="1:13" ht="75" customHeight="1" thickTop="1" thickBot="1">
      <c r="A784" s="26">
        <v>782</v>
      </c>
      <c r="B784" s="55">
        <v>46096.491037129599</v>
      </c>
      <c r="C784" s="56" t="s">
        <v>394</v>
      </c>
      <c r="D784" s="56" t="s">
        <v>34</v>
      </c>
      <c r="E784" s="26" t="s">
        <v>22</v>
      </c>
      <c r="F784" s="26" t="s">
        <v>411</v>
      </c>
      <c r="G784" s="26" t="s">
        <v>733</v>
      </c>
      <c r="H784" s="26" t="s">
        <v>1029</v>
      </c>
      <c r="I784" s="26"/>
      <c r="J784" s="26" t="s">
        <v>12</v>
      </c>
      <c r="K784" s="26" t="s">
        <v>13</v>
      </c>
      <c r="L784" s="55">
        <v>46096.496154907407</v>
      </c>
      <c r="M784" s="26"/>
    </row>
    <row r="785" spans="1:13" ht="75" customHeight="1" thickTop="1" thickBot="1">
      <c r="A785" s="34">
        <v>783</v>
      </c>
      <c r="B785" s="55">
        <v>46096.491759247598</v>
      </c>
      <c r="C785" s="56" t="s">
        <v>394</v>
      </c>
      <c r="D785" s="56" t="s">
        <v>34</v>
      </c>
      <c r="E785" s="26" t="s">
        <v>22</v>
      </c>
      <c r="F785" s="26" t="s">
        <v>405</v>
      </c>
      <c r="G785" s="26" t="s">
        <v>1030</v>
      </c>
      <c r="H785" s="26" t="s">
        <v>1031</v>
      </c>
      <c r="I785" s="26"/>
      <c r="J785" s="26" t="s">
        <v>12</v>
      </c>
      <c r="K785" s="26" t="s">
        <v>13</v>
      </c>
      <c r="L785" s="55">
        <v>46096.496162303243</v>
      </c>
      <c r="M785" s="26"/>
    </row>
    <row r="786" spans="1:13" ht="75" customHeight="1" thickTop="1" thickBot="1">
      <c r="A786" s="26">
        <v>784</v>
      </c>
      <c r="B786" s="55">
        <v>46096.492196921201</v>
      </c>
      <c r="C786" s="56" t="s">
        <v>394</v>
      </c>
      <c r="D786" s="56" t="s">
        <v>34</v>
      </c>
      <c r="E786" s="26" t="s">
        <v>22</v>
      </c>
      <c r="F786" s="26" t="s">
        <v>412</v>
      </c>
      <c r="G786" s="26" t="s">
        <v>770</v>
      </c>
      <c r="H786" s="26" t="s">
        <v>1032</v>
      </c>
      <c r="I786" s="26"/>
      <c r="J786" s="26" t="s">
        <v>12</v>
      </c>
      <c r="K786" s="26" t="s">
        <v>13</v>
      </c>
      <c r="L786" s="55">
        <v>46096.496169513892</v>
      </c>
      <c r="M786" s="26"/>
    </row>
    <row r="787" spans="1:13" ht="75" customHeight="1" thickTop="1" thickBot="1">
      <c r="A787" s="34">
        <v>785</v>
      </c>
      <c r="B787" s="55">
        <v>46096.492470810103</v>
      </c>
      <c r="C787" s="56" t="s">
        <v>394</v>
      </c>
      <c r="D787" s="56" t="s">
        <v>34</v>
      </c>
      <c r="E787" s="26" t="s">
        <v>22</v>
      </c>
      <c r="F787" s="26" t="s">
        <v>413</v>
      </c>
      <c r="G787" s="26" t="s">
        <v>770</v>
      </c>
      <c r="H787" s="26" t="s">
        <v>1032</v>
      </c>
      <c r="I787" s="26"/>
      <c r="J787" s="26" t="s">
        <v>12</v>
      </c>
      <c r="K787" s="26" t="s">
        <v>13</v>
      </c>
      <c r="L787" s="55">
        <v>46096.496177280089</v>
      </c>
      <c r="M787" s="26"/>
    </row>
    <row r="788" spans="1:13" ht="75" customHeight="1" thickTop="1" thickBot="1">
      <c r="A788" s="26">
        <v>786</v>
      </c>
      <c r="B788" s="55">
        <v>46096.4928373148</v>
      </c>
      <c r="C788" s="56" t="s">
        <v>394</v>
      </c>
      <c r="D788" s="56" t="s">
        <v>34</v>
      </c>
      <c r="E788" s="26" t="s">
        <v>22</v>
      </c>
      <c r="F788" s="26" t="s">
        <v>416</v>
      </c>
      <c r="G788" s="26" t="s">
        <v>770</v>
      </c>
      <c r="H788" s="26" t="s">
        <v>1032</v>
      </c>
      <c r="I788" s="26"/>
      <c r="J788" s="26" t="s">
        <v>12</v>
      </c>
      <c r="K788" s="26" t="s">
        <v>13</v>
      </c>
      <c r="L788" s="55">
        <v>46096.496191331018</v>
      </c>
      <c r="M788" s="26"/>
    </row>
    <row r="789" spans="1:13" ht="75" customHeight="1" thickTop="1" thickBot="1">
      <c r="A789" s="34">
        <v>787</v>
      </c>
      <c r="B789" s="55">
        <v>46096.493136365702</v>
      </c>
      <c r="C789" s="56" t="s">
        <v>394</v>
      </c>
      <c r="D789" s="56" t="s">
        <v>34</v>
      </c>
      <c r="E789" s="26" t="s">
        <v>22</v>
      </c>
      <c r="F789" s="26" t="s">
        <v>481</v>
      </c>
      <c r="G789" s="26" t="s">
        <v>770</v>
      </c>
      <c r="H789" s="26" t="s">
        <v>1032</v>
      </c>
      <c r="I789" s="26"/>
      <c r="J789" s="26" t="s">
        <v>12</v>
      </c>
      <c r="K789" s="26" t="s">
        <v>13</v>
      </c>
      <c r="L789" s="55">
        <v>46096.49620065972</v>
      </c>
      <c r="M789" s="26"/>
    </row>
    <row r="790" spans="1:13" ht="75" customHeight="1" thickTop="1" thickBot="1">
      <c r="A790" s="26">
        <v>788</v>
      </c>
      <c r="B790" s="55">
        <v>46096.493747824003</v>
      </c>
      <c r="C790" s="56" t="s">
        <v>394</v>
      </c>
      <c r="D790" s="56" t="s">
        <v>34</v>
      </c>
      <c r="E790" s="26" t="s">
        <v>22</v>
      </c>
      <c r="F790" s="26" t="s">
        <v>450</v>
      </c>
      <c r="G790" s="26" t="s">
        <v>1033</v>
      </c>
      <c r="H790" s="26" t="s">
        <v>1034</v>
      </c>
      <c r="I790" s="26"/>
      <c r="J790" s="26" t="s">
        <v>12</v>
      </c>
      <c r="K790" s="26" t="s">
        <v>13</v>
      </c>
      <c r="L790" s="55">
        <v>46096.496208993056</v>
      </c>
      <c r="M790" s="26"/>
    </row>
    <row r="791" spans="1:13" ht="75" customHeight="1" thickTop="1" thickBot="1">
      <c r="A791" s="34">
        <v>789</v>
      </c>
      <c r="B791" s="55">
        <v>46096.494361365701</v>
      </c>
      <c r="C791" s="56" t="s">
        <v>394</v>
      </c>
      <c r="D791" s="56" t="s">
        <v>34</v>
      </c>
      <c r="E791" s="26" t="s">
        <v>22</v>
      </c>
      <c r="F791" s="26" t="s">
        <v>59</v>
      </c>
      <c r="G791" s="26" t="s">
        <v>1025</v>
      </c>
      <c r="H791" s="26" t="s">
        <v>3495</v>
      </c>
      <c r="I791" s="26"/>
      <c r="J791" s="26" t="s">
        <v>12</v>
      </c>
      <c r="K791" s="26" t="s">
        <v>13</v>
      </c>
      <c r="L791" s="55">
        <v>46096.496217048611</v>
      </c>
      <c r="M791" s="26"/>
    </row>
    <row r="792" spans="1:13" ht="75" customHeight="1" thickTop="1" thickBot="1">
      <c r="A792" s="26">
        <v>790</v>
      </c>
      <c r="B792" s="55">
        <v>46096.494753286999</v>
      </c>
      <c r="C792" s="56" t="s">
        <v>394</v>
      </c>
      <c r="D792" s="56" t="s">
        <v>34</v>
      </c>
      <c r="E792" s="26" t="s">
        <v>22</v>
      </c>
      <c r="F792" s="26" t="s">
        <v>405</v>
      </c>
      <c r="G792" s="26" t="s">
        <v>1035</v>
      </c>
      <c r="H792" s="26" t="s">
        <v>1036</v>
      </c>
      <c r="I792" s="26"/>
      <c r="J792" s="26" t="s">
        <v>12</v>
      </c>
      <c r="K792" s="26" t="s">
        <v>13</v>
      </c>
      <c r="L792" s="55">
        <v>46096.49622883102</v>
      </c>
      <c r="M792" s="26"/>
    </row>
    <row r="793" spans="1:13" ht="75" customHeight="1" thickTop="1" thickBot="1">
      <c r="A793" s="34">
        <v>791</v>
      </c>
      <c r="B793" s="55">
        <v>46096.495047604098</v>
      </c>
      <c r="C793" s="56" t="s">
        <v>394</v>
      </c>
      <c r="D793" s="56" t="s">
        <v>34</v>
      </c>
      <c r="E793" s="26" t="s">
        <v>22</v>
      </c>
      <c r="F793" s="26" t="s">
        <v>399</v>
      </c>
      <c r="G793" s="26" t="s">
        <v>549</v>
      </c>
      <c r="H793" s="26" t="s">
        <v>1037</v>
      </c>
      <c r="I793" s="26"/>
      <c r="J793" s="26" t="s">
        <v>12</v>
      </c>
      <c r="K793" s="26" t="s">
        <v>13</v>
      </c>
      <c r="L793" s="55">
        <v>46096.496234259263</v>
      </c>
      <c r="M793" s="26"/>
    </row>
    <row r="794" spans="1:13" ht="75" customHeight="1" thickTop="1" thickBot="1">
      <c r="A794" s="26">
        <v>792</v>
      </c>
      <c r="B794" s="55">
        <v>46096.511274976801</v>
      </c>
      <c r="C794" s="56" t="s">
        <v>394</v>
      </c>
      <c r="D794" s="56" t="s">
        <v>395</v>
      </c>
      <c r="E794" s="26" t="s">
        <v>21</v>
      </c>
      <c r="F794" s="26" t="s">
        <v>411</v>
      </c>
      <c r="G794" s="26" t="s">
        <v>442</v>
      </c>
      <c r="H794" s="26" t="s">
        <v>1126</v>
      </c>
      <c r="I794" s="26"/>
      <c r="J794" s="26" t="s">
        <v>16</v>
      </c>
      <c r="K794" s="26" t="s">
        <v>13</v>
      </c>
      <c r="L794" s="55">
        <v>46097.342037546296</v>
      </c>
      <c r="M794" s="26"/>
    </row>
    <row r="795" spans="1:13" ht="75" customHeight="1" thickTop="1" thickBot="1">
      <c r="A795" s="34">
        <v>793</v>
      </c>
      <c r="B795" s="55">
        <v>46096.522248576301</v>
      </c>
      <c r="C795" s="56" t="s">
        <v>394</v>
      </c>
      <c r="D795" s="56" t="s">
        <v>395</v>
      </c>
      <c r="E795" s="26" t="s">
        <v>21</v>
      </c>
      <c r="F795" s="26" t="s">
        <v>403</v>
      </c>
      <c r="G795" s="26" t="s">
        <v>442</v>
      </c>
      <c r="H795" s="26" t="s">
        <v>1486</v>
      </c>
      <c r="I795" s="26"/>
      <c r="J795" s="26" t="s">
        <v>14</v>
      </c>
      <c r="K795" s="26" t="s">
        <v>13</v>
      </c>
      <c r="L795" s="55">
        <v>46096.531021111106</v>
      </c>
      <c r="M795" s="26"/>
    </row>
    <row r="796" spans="1:13" ht="75" customHeight="1" thickTop="1" thickBot="1">
      <c r="A796" s="26">
        <v>794</v>
      </c>
      <c r="B796" s="55">
        <v>46096.5459420486</v>
      </c>
      <c r="C796" s="56" t="s">
        <v>394</v>
      </c>
      <c r="D796" s="56" t="s">
        <v>395</v>
      </c>
      <c r="E796" s="26" t="s">
        <v>21</v>
      </c>
      <c r="F796" s="26" t="s">
        <v>405</v>
      </c>
      <c r="G796" s="26" t="s">
        <v>955</v>
      </c>
      <c r="H796" s="26" t="s">
        <v>956</v>
      </c>
      <c r="I796" s="26"/>
      <c r="J796" s="26" t="s">
        <v>15</v>
      </c>
      <c r="K796" s="26" t="s">
        <v>13</v>
      </c>
      <c r="L796" s="55">
        <v>46097.352312534727</v>
      </c>
      <c r="M796" s="26"/>
    </row>
    <row r="797" spans="1:13" ht="75" customHeight="1" thickTop="1" thickBot="1">
      <c r="A797" s="34">
        <v>795</v>
      </c>
      <c r="B797" s="55">
        <v>46097.340738634201</v>
      </c>
      <c r="C797" s="56" t="s">
        <v>394</v>
      </c>
      <c r="D797" s="56" t="s">
        <v>34</v>
      </c>
      <c r="E797" s="26" t="s">
        <v>22</v>
      </c>
      <c r="F797" s="26" t="s">
        <v>433</v>
      </c>
      <c r="G797" s="26" t="s">
        <v>449</v>
      </c>
      <c r="H797" s="26" t="s">
        <v>3496</v>
      </c>
      <c r="I797" s="26"/>
      <c r="J797" s="26" t="s">
        <v>12</v>
      </c>
      <c r="K797" s="26" t="s">
        <v>13</v>
      </c>
      <c r="L797" s="55">
        <v>46097.343370625</v>
      </c>
      <c r="M797" s="26"/>
    </row>
    <row r="798" spans="1:13" ht="75" customHeight="1" thickTop="1" thickBot="1">
      <c r="A798" s="26">
        <v>796</v>
      </c>
      <c r="B798" s="55">
        <v>46097.341187083301</v>
      </c>
      <c r="C798" s="56" t="s">
        <v>394</v>
      </c>
      <c r="D798" s="56" t="s">
        <v>34</v>
      </c>
      <c r="E798" s="26" t="s">
        <v>22</v>
      </c>
      <c r="F798" s="26" t="s">
        <v>639</v>
      </c>
      <c r="G798" s="26" t="s">
        <v>449</v>
      </c>
      <c r="H798" s="26" t="s">
        <v>3497</v>
      </c>
      <c r="I798" s="26"/>
      <c r="J798" s="26" t="s">
        <v>12</v>
      </c>
      <c r="K798" s="26" t="s">
        <v>13</v>
      </c>
      <c r="L798" s="55">
        <v>46097.343380034727</v>
      </c>
      <c r="M798" s="26"/>
    </row>
    <row r="799" spans="1:13" ht="75" customHeight="1" thickTop="1" thickBot="1">
      <c r="A799" s="34">
        <v>797</v>
      </c>
      <c r="B799" s="55">
        <v>46097.341591053198</v>
      </c>
      <c r="C799" s="56" t="s">
        <v>394</v>
      </c>
      <c r="D799" s="56" t="s">
        <v>34</v>
      </c>
      <c r="E799" s="26" t="s">
        <v>22</v>
      </c>
      <c r="F799" s="26" t="s">
        <v>639</v>
      </c>
      <c r="G799" s="26" t="s">
        <v>449</v>
      </c>
      <c r="H799" s="26" t="s">
        <v>3498</v>
      </c>
      <c r="I799" s="26"/>
      <c r="J799" s="26" t="s">
        <v>12</v>
      </c>
      <c r="K799" s="26" t="s">
        <v>13</v>
      </c>
      <c r="L799" s="55">
        <v>46097.34339454861</v>
      </c>
      <c r="M799" s="26"/>
    </row>
    <row r="800" spans="1:13" ht="75" customHeight="1" thickTop="1" thickBot="1">
      <c r="A800" s="26">
        <v>798</v>
      </c>
      <c r="B800" s="55">
        <v>46097.342222951302</v>
      </c>
      <c r="C800" s="56" t="s">
        <v>394</v>
      </c>
      <c r="D800" s="56" t="s">
        <v>395</v>
      </c>
      <c r="E800" s="26" t="s">
        <v>21</v>
      </c>
      <c r="F800" s="26" t="s">
        <v>411</v>
      </c>
      <c r="G800" s="26" t="s">
        <v>1127</v>
      </c>
      <c r="H800" s="26" t="s">
        <v>567</v>
      </c>
      <c r="I800" s="26"/>
      <c r="J800" s="26" t="s">
        <v>16</v>
      </c>
      <c r="K800" s="26" t="s">
        <v>13</v>
      </c>
      <c r="L800" s="55">
        <v>46097.370513055561</v>
      </c>
      <c r="M800" s="26"/>
    </row>
    <row r="801" spans="1:13" ht="75" customHeight="1" thickTop="1" thickBot="1">
      <c r="A801" s="34">
        <v>799</v>
      </c>
      <c r="B801" s="55">
        <v>46097.342226585599</v>
      </c>
      <c r="C801" s="56" t="s">
        <v>394</v>
      </c>
      <c r="D801" s="56" t="s">
        <v>34</v>
      </c>
      <c r="E801" s="26" t="s">
        <v>22</v>
      </c>
      <c r="F801" s="26" t="s">
        <v>413</v>
      </c>
      <c r="G801" s="26" t="s">
        <v>449</v>
      </c>
      <c r="H801" s="26" t="s">
        <v>3499</v>
      </c>
      <c r="I801" s="26"/>
      <c r="J801" s="26" t="s">
        <v>12</v>
      </c>
      <c r="K801" s="26" t="s">
        <v>13</v>
      </c>
      <c r="L801" s="55">
        <v>46097.343438391203</v>
      </c>
      <c r="M801" s="26"/>
    </row>
    <row r="802" spans="1:13" ht="75" customHeight="1" thickTop="1" thickBot="1">
      <c r="A802" s="26">
        <v>800</v>
      </c>
      <c r="B802" s="55">
        <v>46097.342563171303</v>
      </c>
      <c r="C802" s="56" t="s">
        <v>394</v>
      </c>
      <c r="D802" s="56" t="s">
        <v>34</v>
      </c>
      <c r="E802" s="26" t="s">
        <v>22</v>
      </c>
      <c r="F802" s="26" t="s">
        <v>403</v>
      </c>
      <c r="G802" s="26" t="s">
        <v>449</v>
      </c>
      <c r="H802" s="26" t="s">
        <v>1038</v>
      </c>
      <c r="I802" s="26"/>
      <c r="J802" s="26" t="s">
        <v>12</v>
      </c>
      <c r="K802" s="26" t="s">
        <v>13</v>
      </c>
      <c r="L802" s="55">
        <v>46097.343447754625</v>
      </c>
      <c r="M802" s="26"/>
    </row>
    <row r="803" spans="1:13" ht="75" customHeight="1" thickTop="1" thickBot="1">
      <c r="A803" s="34">
        <v>801</v>
      </c>
      <c r="B803" s="55">
        <v>46097.342740243002</v>
      </c>
      <c r="C803" s="56" t="s">
        <v>394</v>
      </c>
      <c r="D803" s="56" t="s">
        <v>395</v>
      </c>
      <c r="E803" s="26" t="s">
        <v>21</v>
      </c>
      <c r="F803" s="26" t="s">
        <v>399</v>
      </c>
      <c r="G803" s="26" t="s">
        <v>1128</v>
      </c>
      <c r="H803" s="26" t="s">
        <v>3500</v>
      </c>
      <c r="I803" s="26"/>
      <c r="J803" s="26" t="s">
        <v>16</v>
      </c>
      <c r="K803" s="26" t="s">
        <v>13</v>
      </c>
      <c r="L803" s="55">
        <v>46097.343463240744</v>
      </c>
      <c r="M803" s="26"/>
    </row>
    <row r="804" spans="1:13" ht="75" customHeight="1" thickTop="1" thickBot="1">
      <c r="A804" s="26">
        <v>802</v>
      </c>
      <c r="B804" s="55">
        <v>46097.394428240703</v>
      </c>
      <c r="C804" s="56" t="s">
        <v>394</v>
      </c>
      <c r="D804" s="56" t="s">
        <v>113</v>
      </c>
      <c r="E804" s="26" t="s">
        <v>22</v>
      </c>
      <c r="F804" s="26" t="s">
        <v>396</v>
      </c>
      <c r="G804" s="26" t="s">
        <v>404</v>
      </c>
      <c r="H804" s="26" t="s">
        <v>849</v>
      </c>
      <c r="I804" s="26"/>
      <c r="J804" s="26" t="s">
        <v>16</v>
      </c>
      <c r="K804" s="26" t="s">
        <v>13</v>
      </c>
      <c r="L804" s="55">
        <v>46097.39469158565</v>
      </c>
      <c r="M804" s="26"/>
    </row>
    <row r="805" spans="1:13" ht="75" customHeight="1" thickTop="1" thickBot="1">
      <c r="A805" s="34">
        <v>803</v>
      </c>
      <c r="B805" s="55">
        <v>46097.3979951273</v>
      </c>
      <c r="C805" s="56" t="s">
        <v>394</v>
      </c>
      <c r="D805" s="56" t="s">
        <v>395</v>
      </c>
      <c r="E805" s="26" t="s">
        <v>21</v>
      </c>
      <c r="F805" s="26" t="s">
        <v>435</v>
      </c>
      <c r="G805" s="26" t="s">
        <v>895</v>
      </c>
      <c r="H805" s="26" t="s">
        <v>898</v>
      </c>
      <c r="I805" s="26"/>
      <c r="J805" s="26" t="s">
        <v>16</v>
      </c>
      <c r="K805" s="26" t="s">
        <v>13</v>
      </c>
      <c r="L805" s="55"/>
      <c r="M805" s="26"/>
    </row>
    <row r="806" spans="1:13" ht="75" customHeight="1" thickTop="1" thickBot="1">
      <c r="A806" s="26">
        <v>804</v>
      </c>
      <c r="B806" s="55">
        <v>46097.398662696702</v>
      </c>
      <c r="C806" s="56" t="s">
        <v>394</v>
      </c>
      <c r="D806" s="56" t="s">
        <v>395</v>
      </c>
      <c r="E806" s="26" t="s">
        <v>21</v>
      </c>
      <c r="F806" s="26" t="s">
        <v>435</v>
      </c>
      <c r="G806" s="26" t="s">
        <v>895</v>
      </c>
      <c r="H806" s="26" t="s">
        <v>905</v>
      </c>
      <c r="I806" s="26"/>
      <c r="J806" s="26" t="s">
        <v>16</v>
      </c>
      <c r="K806" s="26" t="s">
        <v>13</v>
      </c>
      <c r="L806" s="55"/>
      <c r="M806" s="26"/>
    </row>
    <row r="807" spans="1:13" ht="75" customHeight="1" thickTop="1" thickBot="1">
      <c r="A807" s="34">
        <v>805</v>
      </c>
      <c r="B807" s="55">
        <v>46097.399098310103</v>
      </c>
      <c r="C807" s="56" t="s">
        <v>394</v>
      </c>
      <c r="D807" s="56" t="s">
        <v>395</v>
      </c>
      <c r="E807" s="26" t="s">
        <v>21</v>
      </c>
      <c r="F807" s="26" t="s">
        <v>435</v>
      </c>
      <c r="G807" s="26" t="s">
        <v>895</v>
      </c>
      <c r="H807" s="26" t="s">
        <v>858</v>
      </c>
      <c r="I807" s="26"/>
      <c r="J807" s="26" t="s">
        <v>16</v>
      </c>
      <c r="K807" s="26" t="s">
        <v>13</v>
      </c>
      <c r="L807" s="55"/>
      <c r="M807" s="26"/>
    </row>
    <row r="808" spans="1:13" ht="75" customHeight="1" thickTop="1" thickBot="1">
      <c r="A808" s="26">
        <v>806</v>
      </c>
      <c r="B808" s="55">
        <v>46097.4002625578</v>
      </c>
      <c r="C808" s="56" t="s">
        <v>394</v>
      </c>
      <c r="D808" s="56" t="s">
        <v>395</v>
      </c>
      <c r="E808" s="26" t="s">
        <v>21</v>
      </c>
      <c r="F808" s="26" t="s">
        <v>434</v>
      </c>
      <c r="G808" s="26" t="s">
        <v>1129</v>
      </c>
      <c r="H808" s="26" t="s">
        <v>1130</v>
      </c>
      <c r="I808" s="26"/>
      <c r="J808" s="26" t="s">
        <v>16</v>
      </c>
      <c r="K808" s="26" t="s">
        <v>13</v>
      </c>
      <c r="L808" s="55"/>
      <c r="M808" s="26"/>
    </row>
    <row r="809" spans="1:13" ht="75" customHeight="1" thickTop="1" thickBot="1">
      <c r="A809" s="34">
        <v>807</v>
      </c>
      <c r="B809" s="55">
        <v>46097.400662361099</v>
      </c>
      <c r="C809" s="56" t="s">
        <v>394</v>
      </c>
      <c r="D809" s="56" t="s">
        <v>395</v>
      </c>
      <c r="E809" s="26" t="s">
        <v>21</v>
      </c>
      <c r="F809" s="26" t="s">
        <v>435</v>
      </c>
      <c r="G809" s="26" t="s">
        <v>1131</v>
      </c>
      <c r="H809" s="26" t="s">
        <v>1132</v>
      </c>
      <c r="I809" s="26"/>
      <c r="J809" s="26" t="s">
        <v>16</v>
      </c>
      <c r="K809" s="26" t="s">
        <v>13</v>
      </c>
      <c r="L809" s="55"/>
      <c r="M809" s="26"/>
    </row>
    <row r="810" spans="1:13" ht="75" customHeight="1" thickTop="1" thickBot="1">
      <c r="A810" s="26">
        <v>808</v>
      </c>
      <c r="B810" s="55">
        <v>46097.401137962901</v>
      </c>
      <c r="C810" s="56" t="s">
        <v>394</v>
      </c>
      <c r="D810" s="56" t="s">
        <v>395</v>
      </c>
      <c r="E810" s="26" t="s">
        <v>21</v>
      </c>
      <c r="F810" s="26" t="s">
        <v>413</v>
      </c>
      <c r="G810" s="26" t="s">
        <v>1131</v>
      </c>
      <c r="H810" s="26" t="s">
        <v>1132</v>
      </c>
      <c r="I810" s="26"/>
      <c r="J810" s="26" t="s">
        <v>16</v>
      </c>
      <c r="K810" s="26" t="s">
        <v>13</v>
      </c>
      <c r="L810" s="55"/>
      <c r="M810" s="26"/>
    </row>
    <row r="811" spans="1:13" ht="75" customHeight="1" thickTop="1" thickBot="1">
      <c r="A811" s="34">
        <v>809</v>
      </c>
      <c r="B811" s="55">
        <v>46097.401585601801</v>
      </c>
      <c r="C811" s="56" t="s">
        <v>394</v>
      </c>
      <c r="D811" s="56" t="s">
        <v>395</v>
      </c>
      <c r="E811" s="26" t="s">
        <v>21</v>
      </c>
      <c r="F811" s="26" t="s">
        <v>508</v>
      </c>
      <c r="G811" s="26" t="s">
        <v>895</v>
      </c>
      <c r="H811" s="26" t="s">
        <v>1133</v>
      </c>
      <c r="I811" s="26"/>
      <c r="J811" s="26" t="s">
        <v>16</v>
      </c>
      <c r="K811" s="26" t="s">
        <v>13</v>
      </c>
      <c r="L811" s="55"/>
      <c r="M811" s="26"/>
    </row>
    <row r="812" spans="1:13" ht="75" customHeight="1" thickTop="1" thickBot="1">
      <c r="A812" s="26">
        <v>810</v>
      </c>
      <c r="B812" s="55">
        <v>46097.4019471875</v>
      </c>
      <c r="C812" s="56" t="s">
        <v>394</v>
      </c>
      <c r="D812" s="56" t="s">
        <v>395</v>
      </c>
      <c r="E812" s="26" t="s">
        <v>21</v>
      </c>
      <c r="F812" s="26" t="s">
        <v>508</v>
      </c>
      <c r="G812" s="26" t="s">
        <v>1134</v>
      </c>
      <c r="H812" s="26" t="s">
        <v>858</v>
      </c>
      <c r="I812" s="26"/>
      <c r="J812" s="26" t="s">
        <v>16</v>
      </c>
      <c r="K812" s="26" t="s">
        <v>13</v>
      </c>
      <c r="L812" s="55"/>
      <c r="M812" s="26"/>
    </row>
    <row r="813" spans="1:13" ht="75" customHeight="1" thickTop="1" thickBot="1">
      <c r="A813" s="34">
        <v>811</v>
      </c>
      <c r="B813" s="55">
        <v>46097.402337731401</v>
      </c>
      <c r="C813" s="56" t="s">
        <v>394</v>
      </c>
      <c r="D813" s="56" t="s">
        <v>395</v>
      </c>
      <c r="E813" s="26" t="s">
        <v>21</v>
      </c>
      <c r="F813" s="26" t="s">
        <v>508</v>
      </c>
      <c r="G813" s="26" t="s">
        <v>1131</v>
      </c>
      <c r="H813" s="26" t="s">
        <v>1132</v>
      </c>
      <c r="I813" s="26"/>
      <c r="J813" s="26" t="s">
        <v>16</v>
      </c>
      <c r="K813" s="26" t="s">
        <v>13</v>
      </c>
      <c r="L813" s="55"/>
      <c r="M813" s="26"/>
    </row>
    <row r="814" spans="1:13" ht="75" customHeight="1" thickTop="1" thickBot="1">
      <c r="A814" s="26">
        <v>812</v>
      </c>
      <c r="B814" s="55">
        <v>46097.402759456003</v>
      </c>
      <c r="C814" s="56" t="s">
        <v>394</v>
      </c>
      <c r="D814" s="56" t="s">
        <v>395</v>
      </c>
      <c r="E814" s="26" t="s">
        <v>21</v>
      </c>
      <c r="F814" s="26" t="s">
        <v>497</v>
      </c>
      <c r="G814" s="26" t="s">
        <v>895</v>
      </c>
      <c r="H814" s="26" t="s">
        <v>1133</v>
      </c>
      <c r="I814" s="26"/>
      <c r="J814" s="26" t="s">
        <v>16</v>
      </c>
      <c r="K814" s="26" t="s">
        <v>13</v>
      </c>
      <c r="L814" s="55"/>
      <c r="M814" s="26"/>
    </row>
    <row r="815" spans="1:13" ht="75" customHeight="1" thickTop="1" thickBot="1">
      <c r="A815" s="34">
        <v>813</v>
      </c>
      <c r="B815" s="55">
        <v>46097.403228043899</v>
      </c>
      <c r="C815" s="56" t="s">
        <v>394</v>
      </c>
      <c r="D815" s="56" t="s">
        <v>395</v>
      </c>
      <c r="E815" s="26" t="s">
        <v>21</v>
      </c>
      <c r="F815" s="26" t="s">
        <v>497</v>
      </c>
      <c r="G815" s="26" t="s">
        <v>1134</v>
      </c>
      <c r="H815" s="26" t="s">
        <v>1135</v>
      </c>
      <c r="I815" s="26"/>
      <c r="J815" s="26" t="s">
        <v>16</v>
      </c>
      <c r="K815" s="26" t="s">
        <v>13</v>
      </c>
      <c r="L815" s="55"/>
      <c r="M815" s="26"/>
    </row>
    <row r="816" spans="1:13" ht="75" customHeight="1" thickTop="1" thickBot="1">
      <c r="A816" s="26">
        <v>814</v>
      </c>
      <c r="B816" s="55">
        <v>46097.403523379602</v>
      </c>
      <c r="C816" s="56" t="s">
        <v>394</v>
      </c>
      <c r="D816" s="56" t="s">
        <v>395</v>
      </c>
      <c r="E816" s="26" t="s">
        <v>21</v>
      </c>
      <c r="F816" s="26" t="s">
        <v>497</v>
      </c>
      <c r="G816" s="26" t="s">
        <v>1134</v>
      </c>
      <c r="H816" s="26" t="s">
        <v>858</v>
      </c>
      <c r="I816" s="26"/>
      <c r="J816" s="26" t="s">
        <v>16</v>
      </c>
      <c r="K816" s="26" t="s">
        <v>13</v>
      </c>
      <c r="L816" s="55"/>
      <c r="M816" s="26"/>
    </row>
    <row r="817" spans="1:13" ht="75" customHeight="1" thickTop="1" thickBot="1">
      <c r="A817" s="34">
        <v>815</v>
      </c>
      <c r="B817" s="55">
        <v>46097.424905786997</v>
      </c>
      <c r="C817" s="56" t="s">
        <v>394</v>
      </c>
      <c r="D817" s="56" t="s">
        <v>395</v>
      </c>
      <c r="E817" s="26" t="s">
        <v>21</v>
      </c>
      <c r="F817" s="26" t="s">
        <v>481</v>
      </c>
      <c r="G817" s="26" t="s">
        <v>442</v>
      </c>
      <c r="H817" s="26" t="s">
        <v>3501</v>
      </c>
      <c r="I817" s="26"/>
      <c r="J817" s="26" t="s">
        <v>14</v>
      </c>
      <c r="K817" s="26" t="s">
        <v>13</v>
      </c>
      <c r="L817" s="55">
        <v>46097.489515393521</v>
      </c>
      <c r="M817" s="26"/>
    </row>
    <row r="818" spans="1:13" ht="75" customHeight="1" thickTop="1" thickBot="1">
      <c r="A818" s="26">
        <v>816</v>
      </c>
      <c r="B818" s="55">
        <v>46097.453230937499</v>
      </c>
      <c r="C818" s="56" t="s">
        <v>394</v>
      </c>
      <c r="D818" s="56" t="s">
        <v>395</v>
      </c>
      <c r="E818" s="26" t="s">
        <v>21</v>
      </c>
      <c r="F818" s="26" t="s">
        <v>396</v>
      </c>
      <c r="G818" s="26" t="s">
        <v>957</v>
      </c>
      <c r="H818" s="26" t="s">
        <v>958</v>
      </c>
      <c r="I818" s="26"/>
      <c r="J818" s="26" t="s">
        <v>15</v>
      </c>
      <c r="K818" s="26" t="s">
        <v>13</v>
      </c>
      <c r="L818" s="55">
        <v>46097.503401111113</v>
      </c>
      <c r="M818" s="26"/>
    </row>
    <row r="819" spans="1:13" ht="75" customHeight="1" thickTop="1" thickBot="1">
      <c r="A819" s="34">
        <v>817</v>
      </c>
      <c r="B819" s="55">
        <v>46097.509821666601</v>
      </c>
      <c r="C819" s="56" t="s">
        <v>394</v>
      </c>
      <c r="D819" s="56" t="s">
        <v>395</v>
      </c>
      <c r="E819" s="26" t="s">
        <v>21</v>
      </c>
      <c r="F819" s="26" t="s">
        <v>416</v>
      </c>
      <c r="G819" s="26" t="s">
        <v>1039</v>
      </c>
      <c r="H819" s="26" t="s">
        <v>1040</v>
      </c>
      <c r="I819" s="26"/>
      <c r="J819" s="26" t="s">
        <v>12</v>
      </c>
      <c r="K819" s="26" t="s">
        <v>13</v>
      </c>
      <c r="L819" s="55">
        <v>46097.566527893519</v>
      </c>
      <c r="M819" s="26"/>
    </row>
    <row r="820" spans="1:13" ht="75" customHeight="1" thickTop="1" thickBot="1">
      <c r="A820" s="26">
        <v>818</v>
      </c>
      <c r="B820" s="55">
        <v>46098.377633263801</v>
      </c>
      <c r="C820" s="56" t="s">
        <v>394</v>
      </c>
      <c r="D820" s="56" t="s">
        <v>395</v>
      </c>
      <c r="E820" s="26" t="s">
        <v>21</v>
      </c>
      <c r="F820" s="26" t="s">
        <v>405</v>
      </c>
      <c r="G820" s="26" t="s">
        <v>397</v>
      </c>
      <c r="H820" s="26" t="s">
        <v>1136</v>
      </c>
      <c r="I820" s="26"/>
      <c r="J820" s="26" t="s">
        <v>16</v>
      </c>
      <c r="K820" s="26" t="s">
        <v>13</v>
      </c>
      <c r="L820" s="55">
        <v>46098.412922488424</v>
      </c>
      <c r="M820" s="26"/>
    </row>
    <row r="821" spans="1:13" ht="75" customHeight="1" thickTop="1" thickBot="1">
      <c r="A821" s="34">
        <v>819</v>
      </c>
      <c r="B821" s="55">
        <v>46098.378472580996</v>
      </c>
      <c r="C821" s="56" t="s">
        <v>394</v>
      </c>
      <c r="D821" s="56" t="s">
        <v>395</v>
      </c>
      <c r="E821" s="26" t="s">
        <v>21</v>
      </c>
      <c r="F821" s="26" t="s">
        <v>416</v>
      </c>
      <c r="G821" s="26" t="s">
        <v>1137</v>
      </c>
      <c r="H821" s="26" t="s">
        <v>1138</v>
      </c>
      <c r="I821" s="26"/>
      <c r="J821" s="26" t="s">
        <v>16</v>
      </c>
      <c r="K821" s="26" t="s">
        <v>13</v>
      </c>
      <c r="L821" s="55">
        <v>46098.412938425929</v>
      </c>
      <c r="M821" s="26"/>
    </row>
    <row r="822" spans="1:13" ht="75" customHeight="1" thickTop="1" thickBot="1">
      <c r="A822" s="26">
        <v>820</v>
      </c>
      <c r="B822" s="55">
        <v>46098.382611087902</v>
      </c>
      <c r="C822" s="56" t="s">
        <v>394</v>
      </c>
      <c r="D822" s="56" t="s">
        <v>395</v>
      </c>
      <c r="E822" s="26" t="s">
        <v>21</v>
      </c>
      <c r="F822" s="26" t="s">
        <v>396</v>
      </c>
      <c r="G822" s="26" t="s">
        <v>1139</v>
      </c>
      <c r="H822" s="26" t="s">
        <v>1140</v>
      </c>
      <c r="I822" s="26"/>
      <c r="J822" s="26" t="s">
        <v>16</v>
      </c>
      <c r="K822" s="26" t="s">
        <v>13</v>
      </c>
      <c r="L822" s="55">
        <v>46098.759832638891</v>
      </c>
      <c r="M822" s="26"/>
    </row>
    <row r="823" spans="1:13" ht="75" customHeight="1" thickTop="1" thickBot="1">
      <c r="A823" s="34">
        <v>821</v>
      </c>
      <c r="B823" s="55">
        <v>46098.395423182803</v>
      </c>
      <c r="C823" s="56" t="s">
        <v>394</v>
      </c>
      <c r="D823" s="56" t="s">
        <v>395</v>
      </c>
      <c r="E823" s="26" t="s">
        <v>21</v>
      </c>
      <c r="F823" s="26" t="s">
        <v>399</v>
      </c>
      <c r="G823" s="26" t="s">
        <v>404</v>
      </c>
      <c r="H823" s="26" t="s">
        <v>1141</v>
      </c>
      <c r="I823" s="26"/>
      <c r="J823" s="26" t="s">
        <v>16</v>
      </c>
      <c r="K823" s="26" t="s">
        <v>13</v>
      </c>
      <c r="L823" s="55">
        <v>46098.759814872683</v>
      </c>
      <c r="M823" s="26"/>
    </row>
    <row r="824" spans="1:13" ht="75" customHeight="1" thickTop="1" thickBot="1">
      <c r="A824" s="26">
        <v>822</v>
      </c>
      <c r="B824" s="55">
        <v>46099.422426284698</v>
      </c>
      <c r="C824" s="56" t="s">
        <v>394</v>
      </c>
      <c r="D824" s="56" t="s">
        <v>395</v>
      </c>
      <c r="E824" s="26" t="s">
        <v>21</v>
      </c>
      <c r="F824" s="26" t="s">
        <v>405</v>
      </c>
      <c r="G824" s="26" t="s">
        <v>959</v>
      </c>
      <c r="H824" s="26" t="s">
        <v>398</v>
      </c>
      <c r="I824" s="26"/>
      <c r="J824" s="26" t="s">
        <v>15</v>
      </c>
      <c r="K824" s="26" t="s">
        <v>13</v>
      </c>
      <c r="L824" s="55">
        <v>46103.591180972224</v>
      </c>
      <c r="M824" s="26"/>
    </row>
    <row r="825" spans="1:13" ht="75" customHeight="1" thickTop="1" thickBot="1">
      <c r="A825" s="34">
        <v>823</v>
      </c>
      <c r="B825" s="55">
        <v>46105.3102271643</v>
      </c>
      <c r="C825" s="56" t="s">
        <v>394</v>
      </c>
      <c r="D825" s="56" t="s">
        <v>34</v>
      </c>
      <c r="E825" s="26" t="s">
        <v>22</v>
      </c>
      <c r="F825" s="26" t="s">
        <v>434</v>
      </c>
      <c r="G825" s="26" t="s">
        <v>1041</v>
      </c>
      <c r="H825" s="26" t="s">
        <v>1042</v>
      </c>
      <c r="I825" s="26"/>
      <c r="J825" s="26" t="s">
        <v>12</v>
      </c>
      <c r="K825" s="26" t="s">
        <v>13</v>
      </c>
      <c r="L825" s="55">
        <v>46105.330159837962</v>
      </c>
      <c r="M825" s="26"/>
    </row>
    <row r="826" spans="1:13" ht="75" customHeight="1" thickTop="1" thickBot="1">
      <c r="A826" s="26">
        <v>824</v>
      </c>
      <c r="B826" s="55">
        <v>46105.310455046201</v>
      </c>
      <c r="C826" s="56" t="s">
        <v>394</v>
      </c>
      <c r="D826" s="56" t="s">
        <v>34</v>
      </c>
      <c r="E826" s="26" t="s">
        <v>22</v>
      </c>
      <c r="F826" s="26" t="s">
        <v>435</v>
      </c>
      <c r="G826" s="26" t="s">
        <v>74</v>
      </c>
      <c r="H826" s="26" t="s">
        <v>1042</v>
      </c>
      <c r="I826" s="26"/>
      <c r="J826" s="26" t="s">
        <v>12</v>
      </c>
      <c r="K826" s="26" t="s">
        <v>13</v>
      </c>
      <c r="L826" s="55">
        <v>46105.330169837966</v>
      </c>
      <c r="M826" s="26"/>
    </row>
    <row r="827" spans="1:13" ht="75" customHeight="1" thickTop="1" thickBot="1">
      <c r="A827" s="34">
        <v>825</v>
      </c>
      <c r="B827" s="55">
        <v>46105.311282881899</v>
      </c>
      <c r="C827" s="56" t="s">
        <v>394</v>
      </c>
      <c r="D827" s="56" t="s">
        <v>34</v>
      </c>
      <c r="E827" s="26" t="s">
        <v>22</v>
      </c>
      <c r="F827" s="26" t="s">
        <v>405</v>
      </c>
      <c r="G827" s="26" t="s">
        <v>404</v>
      </c>
      <c r="H827" s="26" t="s">
        <v>1043</v>
      </c>
      <c r="I827" s="26"/>
      <c r="J827" s="26" t="s">
        <v>12</v>
      </c>
      <c r="K827" s="26" t="s">
        <v>13</v>
      </c>
      <c r="L827" s="55">
        <v>46105.33018715278</v>
      </c>
      <c r="M827" s="26"/>
    </row>
    <row r="828" spans="1:13" ht="75" customHeight="1" thickTop="1" thickBot="1">
      <c r="A828" s="26">
        <v>826</v>
      </c>
      <c r="B828" s="55">
        <v>46105.311904664297</v>
      </c>
      <c r="C828" s="56" t="s">
        <v>394</v>
      </c>
      <c r="D828" s="56" t="s">
        <v>34</v>
      </c>
      <c r="E828" s="26" t="s">
        <v>22</v>
      </c>
      <c r="F828" s="26" t="s">
        <v>639</v>
      </c>
      <c r="G828" s="26" t="s">
        <v>449</v>
      </c>
      <c r="H828" s="26" t="s">
        <v>1044</v>
      </c>
      <c r="I828" s="26"/>
      <c r="J828" s="26" t="s">
        <v>12</v>
      </c>
      <c r="K828" s="26" t="s">
        <v>13</v>
      </c>
      <c r="L828" s="55">
        <v>46105.33019043981</v>
      </c>
      <c r="M828" s="26"/>
    </row>
    <row r="829" spans="1:13" ht="75" customHeight="1" thickTop="1" thickBot="1">
      <c r="A829" s="34">
        <v>827</v>
      </c>
      <c r="B829" s="55">
        <v>46105.312589687499</v>
      </c>
      <c r="C829" s="56" t="s">
        <v>394</v>
      </c>
      <c r="D829" s="56" t="s">
        <v>34</v>
      </c>
      <c r="E829" s="26" t="s">
        <v>22</v>
      </c>
      <c r="F829" s="26" t="s">
        <v>396</v>
      </c>
      <c r="G829" s="26" t="s">
        <v>454</v>
      </c>
      <c r="H829" s="26" t="s">
        <v>3502</v>
      </c>
      <c r="I829" s="26"/>
      <c r="J829" s="26" t="s">
        <v>12</v>
      </c>
      <c r="K829" s="26" t="s">
        <v>13</v>
      </c>
      <c r="L829" s="55">
        <v>46105.330214710644</v>
      </c>
      <c r="M829" s="26"/>
    </row>
    <row r="830" spans="1:13" ht="75" customHeight="1" thickTop="1" thickBot="1">
      <c r="A830" s="26">
        <v>828</v>
      </c>
      <c r="B830" s="55">
        <v>46105.313347349504</v>
      </c>
      <c r="C830" s="56" t="s">
        <v>394</v>
      </c>
      <c r="D830" s="56" t="s">
        <v>34</v>
      </c>
      <c r="E830" s="26" t="s">
        <v>22</v>
      </c>
      <c r="F830" s="26" t="s">
        <v>399</v>
      </c>
      <c r="G830" s="26" t="s">
        <v>454</v>
      </c>
      <c r="H830" s="26" t="s">
        <v>3503</v>
      </c>
      <c r="I830" s="26"/>
      <c r="J830" s="26" t="s">
        <v>12</v>
      </c>
      <c r="K830" s="26" t="s">
        <v>13</v>
      </c>
      <c r="L830" s="55">
        <v>46105.330213854162</v>
      </c>
      <c r="M830" s="26"/>
    </row>
    <row r="831" spans="1:13" ht="75" customHeight="1" thickTop="1" thickBot="1">
      <c r="A831" s="34">
        <v>829</v>
      </c>
      <c r="B831" s="55">
        <v>46105.313617858701</v>
      </c>
      <c r="C831" s="56" t="s">
        <v>394</v>
      </c>
      <c r="D831" s="56" t="s">
        <v>34</v>
      </c>
      <c r="E831" s="26" t="s">
        <v>22</v>
      </c>
      <c r="F831" s="26" t="s">
        <v>403</v>
      </c>
      <c r="G831" s="26" t="s">
        <v>454</v>
      </c>
      <c r="H831" s="26" t="s">
        <v>3502</v>
      </c>
      <c r="I831" s="26"/>
      <c r="J831" s="26" t="s">
        <v>12</v>
      </c>
      <c r="K831" s="26" t="s">
        <v>13</v>
      </c>
      <c r="L831" s="55"/>
      <c r="M831" s="26"/>
    </row>
    <row r="832" spans="1:13" ht="75" customHeight="1" thickTop="1" thickBot="1">
      <c r="A832" s="26">
        <v>830</v>
      </c>
      <c r="B832" s="55">
        <v>46105.314089687497</v>
      </c>
      <c r="C832" s="56" t="s">
        <v>394</v>
      </c>
      <c r="D832" s="56" t="s">
        <v>395</v>
      </c>
      <c r="E832" s="26" t="s">
        <v>21</v>
      </c>
      <c r="F832" s="26" t="s">
        <v>413</v>
      </c>
      <c r="G832" s="26" t="s">
        <v>442</v>
      </c>
      <c r="H832" s="26" t="s">
        <v>1185</v>
      </c>
      <c r="I832" s="26"/>
      <c r="J832" s="26" t="s">
        <v>14</v>
      </c>
      <c r="K832" s="26" t="s">
        <v>13</v>
      </c>
      <c r="L832" s="55">
        <v>46105.331447025463</v>
      </c>
      <c r="M832" s="26"/>
    </row>
    <row r="833" spans="1:13" ht="75" customHeight="1" thickTop="1" thickBot="1">
      <c r="A833" s="34">
        <v>831</v>
      </c>
      <c r="B833" s="55">
        <v>46105.314165486103</v>
      </c>
      <c r="C833" s="56" t="s">
        <v>394</v>
      </c>
      <c r="D833" s="56" t="s">
        <v>34</v>
      </c>
      <c r="E833" s="26" t="s">
        <v>22</v>
      </c>
      <c r="F833" s="26" t="s">
        <v>401</v>
      </c>
      <c r="G833" s="26" t="s">
        <v>454</v>
      </c>
      <c r="H833" s="26" t="s">
        <v>3503</v>
      </c>
      <c r="I833" s="26"/>
      <c r="J833" s="26" t="s">
        <v>12</v>
      </c>
      <c r="K833" s="26" t="s">
        <v>13</v>
      </c>
      <c r="L833" s="55">
        <v>46105.330287465273</v>
      </c>
      <c r="M833" s="26"/>
    </row>
    <row r="834" spans="1:13" ht="75" customHeight="1" thickTop="1" thickBot="1">
      <c r="A834" s="26">
        <v>832</v>
      </c>
      <c r="B834" s="55">
        <v>46105.314773599501</v>
      </c>
      <c r="C834" s="56" t="s">
        <v>394</v>
      </c>
      <c r="D834" s="56" t="s">
        <v>34</v>
      </c>
      <c r="E834" s="26" t="s">
        <v>22</v>
      </c>
      <c r="F834" s="26" t="s">
        <v>1045</v>
      </c>
      <c r="G834" s="26" t="s">
        <v>1046</v>
      </c>
      <c r="H834" s="26" t="s">
        <v>1047</v>
      </c>
      <c r="I834" s="26"/>
      <c r="J834" s="26" t="s">
        <v>12</v>
      </c>
      <c r="K834" s="26" t="s">
        <v>13</v>
      </c>
      <c r="L834" s="55">
        <v>46105.330293055551</v>
      </c>
      <c r="M834" s="26"/>
    </row>
    <row r="835" spans="1:13" ht="75" customHeight="1" thickTop="1" thickBot="1">
      <c r="A835" s="34">
        <v>833</v>
      </c>
      <c r="B835" s="55">
        <v>46105.315206840198</v>
      </c>
      <c r="C835" s="56" t="s">
        <v>394</v>
      </c>
      <c r="D835" s="56" t="s">
        <v>34</v>
      </c>
      <c r="E835" s="26" t="s">
        <v>22</v>
      </c>
      <c r="F835" s="26" t="s">
        <v>405</v>
      </c>
      <c r="G835" s="26" t="s">
        <v>454</v>
      </c>
      <c r="H835" s="26" t="s">
        <v>1048</v>
      </c>
      <c r="I835" s="26"/>
      <c r="J835" s="26" t="s">
        <v>12</v>
      </c>
      <c r="K835" s="26" t="s">
        <v>13</v>
      </c>
      <c r="L835" s="55">
        <v>46105.330303923613</v>
      </c>
      <c r="M835" s="26"/>
    </row>
    <row r="836" spans="1:13" ht="75" customHeight="1" thickTop="1" thickBot="1">
      <c r="A836" s="26">
        <v>834</v>
      </c>
      <c r="B836" s="55">
        <v>46105.316668333297</v>
      </c>
      <c r="C836" s="56" t="s">
        <v>394</v>
      </c>
      <c r="D836" s="56" t="s">
        <v>34</v>
      </c>
      <c r="E836" s="26" t="s">
        <v>22</v>
      </c>
      <c r="F836" s="26" t="s">
        <v>1049</v>
      </c>
      <c r="G836" s="26" t="s">
        <v>74</v>
      </c>
      <c r="H836" s="26" t="s">
        <v>1050</v>
      </c>
      <c r="I836" s="26"/>
      <c r="J836" s="26" t="s">
        <v>12</v>
      </c>
      <c r="K836" s="26" t="s">
        <v>13</v>
      </c>
      <c r="L836" s="55">
        <v>46105.330309618061</v>
      </c>
      <c r="M836" s="26"/>
    </row>
    <row r="837" spans="1:13" ht="75" customHeight="1" thickTop="1" thickBot="1">
      <c r="A837" s="34">
        <v>835</v>
      </c>
      <c r="B837" s="55">
        <v>46105.316935196701</v>
      </c>
      <c r="C837" s="56" t="s">
        <v>394</v>
      </c>
      <c r="D837" s="56" t="s">
        <v>34</v>
      </c>
      <c r="E837" s="26" t="s">
        <v>22</v>
      </c>
      <c r="F837" s="26" t="s">
        <v>1051</v>
      </c>
      <c r="G837" s="26" t="s">
        <v>74</v>
      </c>
      <c r="H837" s="26" t="s">
        <v>1050</v>
      </c>
      <c r="I837" s="26"/>
      <c r="J837" s="26" t="s">
        <v>12</v>
      </c>
      <c r="K837" s="26" t="s">
        <v>13</v>
      </c>
      <c r="L837" s="55">
        <v>46105.330327928241</v>
      </c>
      <c r="M837" s="26"/>
    </row>
    <row r="838" spans="1:13" ht="75" customHeight="1" thickTop="1" thickBot="1">
      <c r="A838" s="26">
        <v>836</v>
      </c>
      <c r="B838" s="55">
        <v>46105.319067418903</v>
      </c>
      <c r="C838" s="56" t="s">
        <v>394</v>
      </c>
      <c r="D838" s="56" t="s">
        <v>34</v>
      </c>
      <c r="E838" s="26" t="s">
        <v>22</v>
      </c>
      <c r="F838" s="26" t="s">
        <v>1052</v>
      </c>
      <c r="G838" s="26" t="s">
        <v>1053</v>
      </c>
      <c r="H838" s="26" t="s">
        <v>3504</v>
      </c>
      <c r="I838" s="26"/>
      <c r="J838" s="26" t="s">
        <v>12</v>
      </c>
      <c r="K838" s="26" t="s">
        <v>13</v>
      </c>
      <c r="L838" s="55">
        <v>46105.330327847223</v>
      </c>
      <c r="M838" s="26"/>
    </row>
    <row r="839" spans="1:13" ht="75" customHeight="1" thickTop="1" thickBot="1">
      <c r="A839" s="34">
        <v>837</v>
      </c>
      <c r="B839" s="55">
        <v>46105.319529884197</v>
      </c>
      <c r="C839" s="56" t="s">
        <v>394</v>
      </c>
      <c r="D839" s="56" t="s">
        <v>34</v>
      </c>
      <c r="E839" s="26" t="s">
        <v>22</v>
      </c>
      <c r="F839" s="26" t="s">
        <v>1054</v>
      </c>
      <c r="G839" s="26" t="s">
        <v>404</v>
      </c>
      <c r="H839" s="26" t="s">
        <v>3505</v>
      </c>
      <c r="I839" s="26"/>
      <c r="J839" s="26" t="s">
        <v>12</v>
      </c>
      <c r="K839" s="26" t="s">
        <v>13</v>
      </c>
      <c r="L839" s="55">
        <v>46105.330336574072</v>
      </c>
      <c r="M839" s="26"/>
    </row>
    <row r="840" spans="1:13" ht="75" customHeight="1" thickTop="1" thickBot="1">
      <c r="A840" s="26">
        <v>838</v>
      </c>
      <c r="B840" s="55">
        <v>46105.320345567103</v>
      </c>
      <c r="C840" s="56" t="s">
        <v>394</v>
      </c>
      <c r="D840" s="56" t="s">
        <v>34</v>
      </c>
      <c r="E840" s="26" t="s">
        <v>22</v>
      </c>
      <c r="F840" s="26" t="s">
        <v>405</v>
      </c>
      <c r="G840" s="26" t="s">
        <v>449</v>
      </c>
      <c r="H840" s="26" t="s">
        <v>1055</v>
      </c>
      <c r="I840" s="26"/>
      <c r="J840" s="26" t="s">
        <v>12</v>
      </c>
      <c r="K840" s="26" t="s">
        <v>13</v>
      </c>
      <c r="L840" s="55">
        <v>46105.330353900463</v>
      </c>
      <c r="M840" s="26"/>
    </row>
    <row r="841" spans="1:13" ht="75" customHeight="1" thickTop="1" thickBot="1">
      <c r="A841" s="34">
        <v>839</v>
      </c>
      <c r="B841" s="55">
        <v>46105.320837997599</v>
      </c>
      <c r="C841" s="56" t="s">
        <v>394</v>
      </c>
      <c r="D841" s="56" t="s">
        <v>34</v>
      </c>
      <c r="E841" s="26" t="s">
        <v>22</v>
      </c>
      <c r="F841" s="26" t="s">
        <v>396</v>
      </c>
      <c r="G841" s="26" t="s">
        <v>451</v>
      </c>
      <c r="H841" s="26" t="s">
        <v>3506</v>
      </c>
      <c r="I841" s="26"/>
      <c r="J841" s="26" t="s">
        <v>12</v>
      </c>
      <c r="K841" s="26" t="s">
        <v>13</v>
      </c>
      <c r="L841" s="55">
        <v>46105.330353518519</v>
      </c>
      <c r="M841" s="26"/>
    </row>
    <row r="842" spans="1:13" ht="75" customHeight="1" thickTop="1" thickBot="1">
      <c r="A842" s="26">
        <v>840</v>
      </c>
      <c r="B842" s="55">
        <v>46105.321931562503</v>
      </c>
      <c r="C842" s="56" t="s">
        <v>394</v>
      </c>
      <c r="D842" s="56" t="s">
        <v>34</v>
      </c>
      <c r="E842" s="26" t="s">
        <v>22</v>
      </c>
      <c r="F842" s="26" t="s">
        <v>396</v>
      </c>
      <c r="G842" s="26" t="s">
        <v>454</v>
      </c>
      <c r="H842" s="26" t="s">
        <v>1056</v>
      </c>
      <c r="I842" s="26"/>
      <c r="J842" s="26" t="s">
        <v>12</v>
      </c>
      <c r="K842" s="26" t="s">
        <v>13</v>
      </c>
      <c r="L842" s="55">
        <v>46105.330371041666</v>
      </c>
      <c r="M842" s="26"/>
    </row>
    <row r="843" spans="1:13" ht="75" customHeight="1" thickTop="1" thickBot="1">
      <c r="A843" s="34">
        <v>841</v>
      </c>
      <c r="B843" s="55">
        <v>46105.3234651967</v>
      </c>
      <c r="C843" s="56" t="s">
        <v>394</v>
      </c>
      <c r="D843" s="56" t="s">
        <v>34</v>
      </c>
      <c r="E843" s="26" t="s">
        <v>22</v>
      </c>
      <c r="F843" s="26" t="s">
        <v>401</v>
      </c>
      <c r="G843" s="26" t="s">
        <v>449</v>
      </c>
      <c r="H843" s="26" t="s">
        <v>1057</v>
      </c>
      <c r="I843" s="26"/>
      <c r="J843" s="26" t="s">
        <v>12</v>
      </c>
      <c r="K843" s="26" t="s">
        <v>13</v>
      </c>
      <c r="L843" s="55">
        <v>46105.330371550925</v>
      </c>
      <c r="M843" s="26"/>
    </row>
    <row r="844" spans="1:13" ht="75" customHeight="1" thickTop="1" thickBot="1">
      <c r="A844" s="26">
        <v>842</v>
      </c>
      <c r="B844" s="55">
        <v>46105.324001168898</v>
      </c>
      <c r="C844" s="56" t="s">
        <v>394</v>
      </c>
      <c r="D844" s="56" t="s">
        <v>34</v>
      </c>
      <c r="E844" s="26" t="s">
        <v>22</v>
      </c>
      <c r="F844" s="26" t="s">
        <v>497</v>
      </c>
      <c r="G844" s="26" t="s">
        <v>1058</v>
      </c>
      <c r="H844" s="26" t="s">
        <v>3507</v>
      </c>
      <c r="I844" s="26"/>
      <c r="J844" s="26" t="s">
        <v>12</v>
      </c>
      <c r="K844" s="26" t="s">
        <v>13</v>
      </c>
      <c r="L844" s="55">
        <v>46105.330375115736</v>
      </c>
      <c r="M844" s="26"/>
    </row>
    <row r="845" spans="1:13" ht="75" customHeight="1" thickTop="1" thickBot="1">
      <c r="A845" s="34">
        <v>843</v>
      </c>
      <c r="B845" s="55">
        <v>46105.3247663078</v>
      </c>
      <c r="C845" s="56" t="s">
        <v>394</v>
      </c>
      <c r="D845" s="56" t="s">
        <v>34</v>
      </c>
      <c r="E845" s="26" t="s">
        <v>22</v>
      </c>
      <c r="F845" s="26" t="s">
        <v>396</v>
      </c>
      <c r="G845" s="26" t="s">
        <v>449</v>
      </c>
      <c r="H845" s="26" t="s">
        <v>3508</v>
      </c>
      <c r="I845" s="26"/>
      <c r="J845" s="26" t="s">
        <v>12</v>
      </c>
      <c r="K845" s="26" t="s">
        <v>13</v>
      </c>
      <c r="L845" s="55">
        <v>46105.330386759262</v>
      </c>
      <c r="M845" s="26"/>
    </row>
    <row r="846" spans="1:13" ht="75" customHeight="1" thickTop="1" thickBot="1">
      <c r="A846" s="26">
        <v>844</v>
      </c>
      <c r="B846" s="55">
        <v>46105.325365995297</v>
      </c>
      <c r="C846" s="56" t="s">
        <v>394</v>
      </c>
      <c r="D846" s="56" t="s">
        <v>34</v>
      </c>
      <c r="E846" s="26" t="s">
        <v>22</v>
      </c>
      <c r="F846" s="26" t="s">
        <v>405</v>
      </c>
      <c r="G846" s="26" t="s">
        <v>770</v>
      </c>
      <c r="H846" s="26" t="s">
        <v>1059</v>
      </c>
      <c r="I846" s="26"/>
      <c r="J846" s="26" t="s">
        <v>12</v>
      </c>
      <c r="K846" s="26" t="s">
        <v>13</v>
      </c>
      <c r="L846" s="55">
        <v>46105.330394594908</v>
      </c>
      <c r="M846" s="26"/>
    </row>
    <row r="847" spans="1:13" ht="75" customHeight="1" thickTop="1" thickBot="1">
      <c r="A847" s="34">
        <v>845</v>
      </c>
      <c r="B847" s="55">
        <v>46105.328597395797</v>
      </c>
      <c r="C847" s="56" t="s">
        <v>394</v>
      </c>
      <c r="D847" s="56" t="s">
        <v>34</v>
      </c>
      <c r="E847" s="26" t="s">
        <v>22</v>
      </c>
      <c r="F847" s="26" t="s">
        <v>399</v>
      </c>
      <c r="G847" s="26" t="s">
        <v>442</v>
      </c>
      <c r="H847" s="26" t="s">
        <v>1060</v>
      </c>
      <c r="I847" s="26"/>
      <c r="J847" s="26" t="s">
        <v>12</v>
      </c>
      <c r="K847" s="26" t="s">
        <v>13</v>
      </c>
      <c r="L847" s="55">
        <v>46105.330409548609</v>
      </c>
      <c r="M847" s="26"/>
    </row>
    <row r="848" spans="1:13" ht="75" customHeight="1" thickTop="1" thickBot="1">
      <c r="A848" s="26">
        <v>846</v>
      </c>
      <c r="B848" s="55">
        <v>46105.373513796199</v>
      </c>
      <c r="C848" s="56" t="s">
        <v>394</v>
      </c>
      <c r="D848" s="56" t="s">
        <v>395</v>
      </c>
      <c r="E848" s="26" t="s">
        <v>21</v>
      </c>
      <c r="F848" s="26" t="s">
        <v>399</v>
      </c>
      <c r="G848" s="26" t="s">
        <v>442</v>
      </c>
      <c r="H848" s="26" t="s">
        <v>3336</v>
      </c>
      <c r="I848" s="26"/>
      <c r="J848" s="26" t="s">
        <v>12</v>
      </c>
      <c r="K848" s="26" t="s">
        <v>13</v>
      </c>
      <c r="L848" s="55"/>
      <c r="M848" s="26"/>
    </row>
    <row r="849" spans="1:13" ht="75" customHeight="1" thickTop="1" thickBot="1">
      <c r="A849" s="34">
        <v>847</v>
      </c>
      <c r="B849" s="55">
        <v>46105.373933564799</v>
      </c>
      <c r="C849" s="56" t="s">
        <v>394</v>
      </c>
      <c r="D849" s="56" t="s">
        <v>395</v>
      </c>
      <c r="E849" s="26" t="s">
        <v>21</v>
      </c>
      <c r="F849" s="26" t="s">
        <v>411</v>
      </c>
      <c r="G849" s="26" t="s">
        <v>442</v>
      </c>
      <c r="H849" s="26" t="s">
        <v>3509</v>
      </c>
      <c r="I849" s="26"/>
      <c r="J849" s="26" t="s">
        <v>14</v>
      </c>
      <c r="K849" s="26" t="s">
        <v>13</v>
      </c>
      <c r="L849" s="55">
        <v>46105.523643657405</v>
      </c>
      <c r="M849" s="26"/>
    </row>
    <row r="850" spans="1:13" ht="75" customHeight="1" thickTop="1" thickBot="1">
      <c r="A850" s="26">
        <v>848</v>
      </c>
      <c r="B850" s="55">
        <v>46105.374241238402</v>
      </c>
      <c r="C850" s="56" t="s">
        <v>394</v>
      </c>
      <c r="D850" s="56" t="s">
        <v>395</v>
      </c>
      <c r="E850" s="26" t="s">
        <v>21</v>
      </c>
      <c r="F850" s="26" t="s">
        <v>412</v>
      </c>
      <c r="G850" s="26" t="s">
        <v>442</v>
      </c>
      <c r="H850" s="26" t="s">
        <v>933</v>
      </c>
      <c r="I850" s="26"/>
      <c r="J850" s="26" t="s">
        <v>14</v>
      </c>
      <c r="K850" s="26" t="s">
        <v>13</v>
      </c>
      <c r="L850" s="55">
        <v>46105.523698368052</v>
      </c>
      <c r="M850" s="26"/>
    </row>
    <row r="851" spans="1:13" ht="75" customHeight="1" thickTop="1" thickBot="1">
      <c r="A851" s="34">
        <v>849</v>
      </c>
      <c r="B851" s="55">
        <v>46105.398788668899</v>
      </c>
      <c r="C851" s="56" t="s">
        <v>394</v>
      </c>
      <c r="D851" s="56" t="s">
        <v>395</v>
      </c>
      <c r="E851" s="26" t="s">
        <v>21</v>
      </c>
      <c r="F851" s="26" t="s">
        <v>416</v>
      </c>
      <c r="G851" s="26" t="s">
        <v>442</v>
      </c>
      <c r="H851" s="26" t="s">
        <v>3369</v>
      </c>
      <c r="I851" s="26"/>
      <c r="J851" s="26" t="s">
        <v>12</v>
      </c>
      <c r="K851" s="26" t="s">
        <v>13</v>
      </c>
      <c r="L851" s="55">
        <v>46105.523747951389</v>
      </c>
      <c r="M851" s="26"/>
    </row>
    <row r="852" spans="1:13" ht="75" customHeight="1" thickTop="1" thickBot="1">
      <c r="A852" s="26">
        <v>850</v>
      </c>
      <c r="B852" s="55">
        <v>46105.471916770803</v>
      </c>
      <c r="C852" s="56" t="s">
        <v>394</v>
      </c>
      <c r="D852" s="56" t="s">
        <v>395</v>
      </c>
      <c r="E852" s="26" t="s">
        <v>21</v>
      </c>
      <c r="F852" s="26" t="s">
        <v>481</v>
      </c>
      <c r="G852" s="26" t="s">
        <v>442</v>
      </c>
      <c r="H852" s="26" t="s">
        <v>1186</v>
      </c>
      <c r="I852" s="26"/>
      <c r="J852" s="26" t="s">
        <v>14</v>
      </c>
      <c r="K852" s="26" t="s">
        <v>13</v>
      </c>
      <c r="L852" s="55">
        <v>46105.523812245374</v>
      </c>
      <c r="M852" s="26"/>
    </row>
    <row r="853" spans="1:13" ht="75" customHeight="1" thickTop="1" thickBot="1">
      <c r="A853" s="34">
        <v>851</v>
      </c>
      <c r="B853" s="55">
        <v>46106.3560735879</v>
      </c>
      <c r="C853" s="56" t="s">
        <v>394</v>
      </c>
      <c r="D853" s="56" t="s">
        <v>395</v>
      </c>
      <c r="E853" s="26" t="s">
        <v>21</v>
      </c>
      <c r="F853" s="26" t="s">
        <v>413</v>
      </c>
      <c r="G853" s="26" t="s">
        <v>446</v>
      </c>
      <c r="H853" s="26" t="s">
        <v>907</v>
      </c>
      <c r="I853" s="26"/>
      <c r="J853" s="26" t="s">
        <v>16</v>
      </c>
      <c r="K853" s="26" t="s">
        <v>13</v>
      </c>
      <c r="L853" s="55">
        <v>46106.454601620368</v>
      </c>
      <c r="M853" s="26"/>
    </row>
    <row r="854" spans="1:13" ht="75" customHeight="1" thickTop="1" thickBot="1">
      <c r="A854" s="26">
        <v>852</v>
      </c>
      <c r="B854" s="55">
        <v>46106.357893865701</v>
      </c>
      <c r="C854" s="56" t="s">
        <v>394</v>
      </c>
      <c r="D854" s="56" t="s">
        <v>395</v>
      </c>
      <c r="E854" s="26" t="s">
        <v>21</v>
      </c>
      <c r="F854" s="26" t="s">
        <v>413</v>
      </c>
      <c r="G854" s="26" t="s">
        <v>439</v>
      </c>
      <c r="H854" s="26" t="s">
        <v>3510</v>
      </c>
      <c r="I854" s="26"/>
      <c r="J854" s="26" t="s">
        <v>16</v>
      </c>
      <c r="K854" s="26" t="s">
        <v>13</v>
      </c>
      <c r="L854" s="55">
        <v>46106.454657592592</v>
      </c>
      <c r="M854" s="26"/>
    </row>
    <row r="855" spans="1:13" ht="75" customHeight="1" thickTop="1" thickBot="1">
      <c r="A855" s="34">
        <v>853</v>
      </c>
      <c r="B855" s="55">
        <v>46106.366588344899</v>
      </c>
      <c r="C855" s="56" t="s">
        <v>394</v>
      </c>
      <c r="D855" s="56" t="s">
        <v>395</v>
      </c>
      <c r="E855" s="26" t="s">
        <v>21</v>
      </c>
      <c r="F855" s="26" t="s">
        <v>405</v>
      </c>
      <c r="G855" s="26" t="s">
        <v>446</v>
      </c>
      <c r="H855" s="26" t="s">
        <v>553</v>
      </c>
      <c r="I855" s="26"/>
      <c r="J855" s="26" t="s">
        <v>12</v>
      </c>
      <c r="K855" s="26" t="s">
        <v>13</v>
      </c>
      <c r="L855" s="55">
        <v>46107.533355358799</v>
      </c>
      <c r="M855" s="26"/>
    </row>
    <row r="856" spans="1:13" ht="75" customHeight="1" thickTop="1" thickBot="1">
      <c r="A856" s="26">
        <v>854</v>
      </c>
      <c r="B856" s="55">
        <v>46106.507804201297</v>
      </c>
      <c r="C856" s="56" t="s">
        <v>394</v>
      </c>
      <c r="D856" s="56" t="s">
        <v>395</v>
      </c>
      <c r="E856" s="26" t="s">
        <v>21</v>
      </c>
      <c r="F856" s="26" t="s">
        <v>413</v>
      </c>
      <c r="G856" s="26" t="s">
        <v>442</v>
      </c>
      <c r="H856" s="26" t="s">
        <v>1061</v>
      </c>
      <c r="I856" s="26"/>
      <c r="J856" s="26" t="s">
        <v>12</v>
      </c>
      <c r="K856" s="26" t="s">
        <v>13</v>
      </c>
      <c r="L856" s="55">
        <v>46107.563070092598</v>
      </c>
      <c r="M856" s="26"/>
    </row>
    <row r="857" spans="1:13" ht="75" customHeight="1" thickTop="1" thickBot="1">
      <c r="A857" s="34">
        <v>855</v>
      </c>
      <c r="B857" s="55">
        <v>46106.508540219897</v>
      </c>
      <c r="C857" s="56" t="s">
        <v>394</v>
      </c>
      <c r="D857" s="56" t="s">
        <v>395</v>
      </c>
      <c r="E857" s="26" t="s">
        <v>21</v>
      </c>
      <c r="F857" s="26" t="s">
        <v>413</v>
      </c>
      <c r="G857" s="26" t="s">
        <v>1142</v>
      </c>
      <c r="H857" s="26" t="s">
        <v>1143</v>
      </c>
      <c r="I857" s="26"/>
      <c r="J857" s="26" t="s">
        <v>16</v>
      </c>
      <c r="K857" s="26" t="s">
        <v>13</v>
      </c>
      <c r="L857" s="55">
        <v>46112.782386678242</v>
      </c>
      <c r="M857" s="26"/>
    </row>
    <row r="858" spans="1:13" ht="75" customHeight="1" thickTop="1" thickBot="1">
      <c r="A858" s="26">
        <v>856</v>
      </c>
      <c r="B858" s="55">
        <v>46106.547597800898</v>
      </c>
      <c r="C858" s="56" t="s">
        <v>394</v>
      </c>
      <c r="D858" s="56" t="s">
        <v>395</v>
      </c>
      <c r="E858" s="26" t="s">
        <v>21</v>
      </c>
      <c r="F858" s="26" t="s">
        <v>497</v>
      </c>
      <c r="G858" s="26" t="s">
        <v>1062</v>
      </c>
      <c r="H858" s="26" t="s">
        <v>1063</v>
      </c>
      <c r="I858" s="26"/>
      <c r="J858" s="26" t="s">
        <v>12</v>
      </c>
      <c r="K858" s="26" t="s">
        <v>750</v>
      </c>
      <c r="L858" s="55">
        <v>46110.75958268519</v>
      </c>
      <c r="M858" s="26"/>
    </row>
    <row r="859" spans="1:13" ht="75" customHeight="1" thickTop="1" thickBot="1">
      <c r="A859" s="34">
        <v>857</v>
      </c>
      <c r="B859" s="55">
        <v>46110.433722835602</v>
      </c>
      <c r="C859" s="56" t="s">
        <v>394</v>
      </c>
      <c r="D859" s="56" t="s">
        <v>395</v>
      </c>
      <c r="E859" s="26" t="s">
        <v>21</v>
      </c>
      <c r="F859" s="26" t="s">
        <v>1144</v>
      </c>
      <c r="G859" s="26" t="s">
        <v>442</v>
      </c>
      <c r="H859" s="26" t="s">
        <v>821</v>
      </c>
      <c r="I859" s="26"/>
      <c r="J859" s="26" t="s">
        <v>16</v>
      </c>
      <c r="K859" s="26" t="s">
        <v>13</v>
      </c>
      <c r="L859" s="55">
        <v>46110.491084317131</v>
      </c>
      <c r="M859" s="26"/>
    </row>
    <row r="860" spans="1:13" ht="75" customHeight="1" thickTop="1" thickBot="1">
      <c r="A860" s="26">
        <v>858</v>
      </c>
      <c r="B860" s="55">
        <v>46110.434185127298</v>
      </c>
      <c r="C860" s="56" t="s">
        <v>394</v>
      </c>
      <c r="D860" s="56" t="s">
        <v>395</v>
      </c>
      <c r="E860" s="26" t="s">
        <v>21</v>
      </c>
      <c r="F860" s="26" t="s">
        <v>405</v>
      </c>
      <c r="G860" s="26" t="s">
        <v>442</v>
      </c>
      <c r="H860" s="26" t="s">
        <v>1145</v>
      </c>
      <c r="I860" s="26"/>
      <c r="J860" s="26" t="s">
        <v>16</v>
      </c>
      <c r="K860" s="26" t="s">
        <v>13</v>
      </c>
      <c r="L860" s="55"/>
      <c r="M860" s="26"/>
    </row>
    <row r="861" spans="1:13" ht="75" customHeight="1" thickTop="1" thickBot="1">
      <c r="A861" s="34">
        <v>859</v>
      </c>
      <c r="B861" s="55">
        <v>46110.4405742245</v>
      </c>
      <c r="C861" s="56" t="s">
        <v>394</v>
      </c>
      <c r="D861" s="56" t="s">
        <v>395</v>
      </c>
      <c r="E861" s="26" t="s">
        <v>21</v>
      </c>
      <c r="F861" s="26" t="s">
        <v>416</v>
      </c>
      <c r="G861" s="26" t="s">
        <v>404</v>
      </c>
      <c r="H861" s="26" t="s">
        <v>476</v>
      </c>
      <c r="I861" s="26"/>
      <c r="J861" s="26" t="s">
        <v>12</v>
      </c>
      <c r="K861" s="26" t="s">
        <v>13</v>
      </c>
      <c r="L861" s="55"/>
      <c r="M861" s="26"/>
    </row>
    <row r="862" spans="1:13" ht="75" customHeight="1" thickTop="1" thickBot="1">
      <c r="A862" s="26">
        <v>860</v>
      </c>
      <c r="B862" s="55">
        <v>46110.441050219903</v>
      </c>
      <c r="C862" s="56" t="s">
        <v>394</v>
      </c>
      <c r="D862" s="56" t="s">
        <v>395</v>
      </c>
      <c r="E862" s="26" t="s">
        <v>21</v>
      </c>
      <c r="F862" s="26" t="s">
        <v>416</v>
      </c>
      <c r="G862" s="26" t="s">
        <v>442</v>
      </c>
      <c r="H862" s="26" t="s">
        <v>1064</v>
      </c>
      <c r="I862" s="26"/>
      <c r="J862" s="26" t="s">
        <v>12</v>
      </c>
      <c r="K862" s="26" t="s">
        <v>13</v>
      </c>
      <c r="L862" s="55"/>
      <c r="M862" s="26"/>
    </row>
    <row r="863" spans="1:13" ht="75" customHeight="1" thickTop="1" thickBot="1">
      <c r="A863" s="34">
        <v>861</v>
      </c>
      <c r="B863" s="55">
        <v>46110.4416070023</v>
      </c>
      <c r="C863" s="56" t="s">
        <v>394</v>
      </c>
      <c r="D863" s="56" t="s">
        <v>395</v>
      </c>
      <c r="E863" s="26" t="s">
        <v>21</v>
      </c>
      <c r="F863" s="26" t="s">
        <v>413</v>
      </c>
      <c r="G863" s="26" t="s">
        <v>549</v>
      </c>
      <c r="H863" s="26" t="s">
        <v>1187</v>
      </c>
      <c r="I863" s="26"/>
      <c r="J863" s="26" t="s">
        <v>14</v>
      </c>
      <c r="K863" s="26" t="s">
        <v>13</v>
      </c>
      <c r="L863" s="55"/>
      <c r="M863" s="26"/>
    </row>
    <row r="864" spans="1:13" ht="75" customHeight="1" thickTop="1" thickBot="1">
      <c r="A864" s="26">
        <v>862</v>
      </c>
      <c r="B864" s="55">
        <v>46110.441940266202</v>
      </c>
      <c r="C864" s="56" t="s">
        <v>394</v>
      </c>
      <c r="D864" s="56" t="s">
        <v>395</v>
      </c>
      <c r="E864" s="26" t="s">
        <v>21</v>
      </c>
      <c r="F864" s="26" t="s">
        <v>413</v>
      </c>
      <c r="G864" s="26" t="s">
        <v>602</v>
      </c>
      <c r="H864" s="26" t="s">
        <v>1188</v>
      </c>
      <c r="I864" s="26"/>
      <c r="J864" s="26" t="s">
        <v>14</v>
      </c>
      <c r="K864" s="26" t="s">
        <v>13</v>
      </c>
      <c r="L864" s="55"/>
      <c r="M864" s="26"/>
    </row>
    <row r="865" spans="1:13" ht="75" customHeight="1" thickTop="1" thickBot="1">
      <c r="A865" s="34">
        <v>863</v>
      </c>
      <c r="B865" s="55">
        <v>46110.442341180496</v>
      </c>
      <c r="C865" s="56" t="s">
        <v>394</v>
      </c>
      <c r="D865" s="56" t="s">
        <v>395</v>
      </c>
      <c r="E865" s="26" t="s">
        <v>21</v>
      </c>
      <c r="F865" s="26" t="s">
        <v>413</v>
      </c>
      <c r="G865" s="26" t="s">
        <v>549</v>
      </c>
      <c r="H865" s="26" t="s">
        <v>1146</v>
      </c>
      <c r="I865" s="26"/>
      <c r="J865" s="26" t="s">
        <v>16</v>
      </c>
      <c r="K865" s="26" t="s">
        <v>13</v>
      </c>
      <c r="L865" s="55"/>
      <c r="M865" s="26"/>
    </row>
    <row r="866" spans="1:13" ht="75" customHeight="1" thickTop="1" thickBot="1">
      <c r="A866" s="26">
        <v>864</v>
      </c>
      <c r="B866" s="55">
        <v>46110.443184583302</v>
      </c>
      <c r="C866" s="56" t="s">
        <v>394</v>
      </c>
      <c r="D866" s="56" t="s">
        <v>395</v>
      </c>
      <c r="E866" s="26" t="s">
        <v>21</v>
      </c>
      <c r="F866" s="26" t="s">
        <v>405</v>
      </c>
      <c r="G866" s="26" t="s">
        <v>437</v>
      </c>
      <c r="H866" s="26" t="s">
        <v>1147</v>
      </c>
      <c r="I866" s="26"/>
      <c r="J866" s="26" t="s">
        <v>16</v>
      </c>
      <c r="K866" s="26" t="s">
        <v>13</v>
      </c>
      <c r="L866" s="55"/>
      <c r="M866" s="26"/>
    </row>
    <row r="867" spans="1:13" ht="75" customHeight="1" thickTop="1" thickBot="1">
      <c r="A867" s="34">
        <v>865</v>
      </c>
      <c r="B867" s="55">
        <v>46110.445925138803</v>
      </c>
      <c r="C867" s="56" t="s">
        <v>394</v>
      </c>
      <c r="D867" s="56" t="s">
        <v>395</v>
      </c>
      <c r="E867" s="26" t="s">
        <v>21</v>
      </c>
      <c r="F867" s="26" t="s">
        <v>405</v>
      </c>
      <c r="G867" s="26" t="s">
        <v>442</v>
      </c>
      <c r="H867" s="26" t="s">
        <v>1148</v>
      </c>
      <c r="I867" s="26"/>
      <c r="J867" s="26" t="s">
        <v>16</v>
      </c>
      <c r="K867" s="26" t="s">
        <v>13</v>
      </c>
      <c r="L867" s="55"/>
      <c r="M867" s="26"/>
    </row>
    <row r="868" spans="1:13" ht="75" customHeight="1" thickTop="1" thickBot="1">
      <c r="A868" s="26">
        <v>866</v>
      </c>
      <c r="B868" s="55">
        <v>46110.4463735069</v>
      </c>
      <c r="C868" s="56" t="s">
        <v>394</v>
      </c>
      <c r="D868" s="56" t="s">
        <v>678</v>
      </c>
      <c r="E868" s="26" t="s">
        <v>22</v>
      </c>
      <c r="F868" s="26" t="s">
        <v>405</v>
      </c>
      <c r="G868" s="26" t="s">
        <v>40</v>
      </c>
      <c r="H868" s="26" t="s">
        <v>960</v>
      </c>
      <c r="I868" s="26"/>
      <c r="J868" s="26" t="s">
        <v>15</v>
      </c>
      <c r="K868" s="26" t="s">
        <v>13</v>
      </c>
      <c r="L868" s="55"/>
      <c r="M868" s="26"/>
    </row>
    <row r="869" spans="1:13" ht="75" customHeight="1" thickTop="1" thickBot="1">
      <c r="A869" s="34">
        <v>867</v>
      </c>
      <c r="B869" s="55">
        <v>46110.446590196698</v>
      </c>
      <c r="C869" s="56" t="s">
        <v>394</v>
      </c>
      <c r="D869" s="56" t="s">
        <v>678</v>
      </c>
      <c r="E869" s="26" t="s">
        <v>22</v>
      </c>
      <c r="F869" s="26" t="s">
        <v>411</v>
      </c>
      <c r="G869" s="26" t="s">
        <v>40</v>
      </c>
      <c r="H869" s="26" t="s">
        <v>960</v>
      </c>
      <c r="I869" s="26"/>
      <c r="J869" s="26" t="s">
        <v>15</v>
      </c>
      <c r="K869" s="26" t="s">
        <v>13</v>
      </c>
      <c r="L869" s="55"/>
      <c r="M869" s="26"/>
    </row>
    <row r="870" spans="1:13" ht="75" customHeight="1" thickTop="1" thickBot="1">
      <c r="A870" s="26">
        <v>868</v>
      </c>
      <c r="B870" s="55">
        <v>46110.447083576299</v>
      </c>
      <c r="C870" s="56" t="s">
        <v>394</v>
      </c>
      <c r="D870" s="56" t="s">
        <v>395</v>
      </c>
      <c r="E870" s="26" t="s">
        <v>21</v>
      </c>
      <c r="F870" s="26" t="s">
        <v>405</v>
      </c>
      <c r="G870" s="26" t="s">
        <v>442</v>
      </c>
      <c r="H870" s="26" t="s">
        <v>1065</v>
      </c>
      <c r="I870" s="26"/>
      <c r="J870" s="26" t="s">
        <v>12</v>
      </c>
      <c r="K870" s="26" t="s">
        <v>13</v>
      </c>
      <c r="L870" s="55"/>
      <c r="M870" s="26"/>
    </row>
    <row r="871" spans="1:13" ht="75" customHeight="1" thickTop="1" thickBot="1">
      <c r="A871" s="34">
        <v>869</v>
      </c>
      <c r="B871" s="55">
        <v>46110.447645219901</v>
      </c>
      <c r="C871" s="56" t="s">
        <v>394</v>
      </c>
      <c r="D871" s="56" t="s">
        <v>699</v>
      </c>
      <c r="E871" s="26" t="s">
        <v>22</v>
      </c>
      <c r="F871" s="26" t="s">
        <v>412</v>
      </c>
      <c r="G871" s="26" t="s">
        <v>40</v>
      </c>
      <c r="H871" s="26" t="s">
        <v>960</v>
      </c>
      <c r="I871" s="26"/>
      <c r="J871" s="26" t="s">
        <v>15</v>
      </c>
      <c r="K871" s="26" t="s">
        <v>13</v>
      </c>
      <c r="L871" s="55"/>
      <c r="M871" s="26"/>
    </row>
    <row r="872" spans="1:13" ht="75" customHeight="1" thickTop="1" thickBot="1">
      <c r="A872" s="26">
        <v>870</v>
      </c>
      <c r="B872" s="55">
        <v>46110.456442766197</v>
      </c>
      <c r="C872" s="56" t="s">
        <v>394</v>
      </c>
      <c r="D872" s="56" t="s">
        <v>699</v>
      </c>
      <c r="E872" s="26" t="s">
        <v>22</v>
      </c>
      <c r="F872" s="26" t="s">
        <v>396</v>
      </c>
      <c r="G872" s="26" t="s">
        <v>40</v>
      </c>
      <c r="H872" s="26" t="s">
        <v>960</v>
      </c>
      <c r="I872" s="26"/>
      <c r="J872" s="26" t="s">
        <v>15</v>
      </c>
      <c r="K872" s="26" t="s">
        <v>13</v>
      </c>
      <c r="L872" s="55"/>
      <c r="M872" s="26"/>
    </row>
    <row r="873" spans="1:13" ht="75" customHeight="1" thickTop="1" thickBot="1">
      <c r="A873" s="34">
        <v>871</v>
      </c>
      <c r="B873" s="55">
        <v>46110.456869988397</v>
      </c>
      <c r="C873" s="56" t="s">
        <v>394</v>
      </c>
      <c r="D873" s="56" t="s">
        <v>699</v>
      </c>
      <c r="E873" s="26" t="s">
        <v>22</v>
      </c>
      <c r="F873" s="26" t="s">
        <v>399</v>
      </c>
      <c r="G873" s="26" t="s">
        <v>40</v>
      </c>
      <c r="H873" s="26" t="s">
        <v>960</v>
      </c>
      <c r="I873" s="26"/>
      <c r="J873" s="26" t="s">
        <v>15</v>
      </c>
      <c r="K873" s="26" t="s">
        <v>13</v>
      </c>
      <c r="L873" s="55"/>
      <c r="M873" s="26"/>
    </row>
    <row r="874" spans="1:13" ht="75" customHeight="1" thickTop="1" thickBot="1">
      <c r="A874" s="26">
        <v>872</v>
      </c>
      <c r="B874" s="55">
        <v>46110.457093101802</v>
      </c>
      <c r="C874" s="56" t="s">
        <v>394</v>
      </c>
      <c r="D874" s="56" t="s">
        <v>699</v>
      </c>
      <c r="E874" s="26" t="s">
        <v>22</v>
      </c>
      <c r="F874" s="26" t="s">
        <v>403</v>
      </c>
      <c r="G874" s="26" t="s">
        <v>40</v>
      </c>
      <c r="H874" s="26" t="s">
        <v>960</v>
      </c>
      <c r="I874" s="26"/>
      <c r="J874" s="26" t="s">
        <v>15</v>
      </c>
      <c r="K874" s="26" t="s">
        <v>13</v>
      </c>
      <c r="L874" s="55"/>
      <c r="M874" s="26"/>
    </row>
    <row r="875" spans="1:13" ht="75" customHeight="1" thickTop="1" thickBot="1">
      <c r="A875" s="34">
        <v>873</v>
      </c>
      <c r="B875" s="55">
        <v>46110.457468287001</v>
      </c>
      <c r="C875" s="56" t="s">
        <v>394</v>
      </c>
      <c r="D875" s="56" t="s">
        <v>699</v>
      </c>
      <c r="E875" s="26" t="s">
        <v>22</v>
      </c>
      <c r="F875" s="26" t="s">
        <v>401</v>
      </c>
      <c r="G875" s="26" t="s">
        <v>40</v>
      </c>
      <c r="H875" s="26" t="s">
        <v>960</v>
      </c>
      <c r="I875" s="26"/>
      <c r="J875" s="26" t="s">
        <v>15</v>
      </c>
      <c r="K875" s="26" t="s">
        <v>13</v>
      </c>
      <c r="L875" s="55"/>
      <c r="M875" s="26"/>
    </row>
    <row r="876" spans="1:13" ht="75" customHeight="1" thickTop="1" thickBot="1">
      <c r="A876" s="26">
        <v>874</v>
      </c>
      <c r="B876" s="55">
        <v>46110.457683437497</v>
      </c>
      <c r="C876" s="56" t="s">
        <v>394</v>
      </c>
      <c r="D876" s="56" t="s">
        <v>699</v>
      </c>
      <c r="E876" s="26" t="s">
        <v>22</v>
      </c>
      <c r="F876" s="26" t="s">
        <v>413</v>
      </c>
      <c r="G876" s="26" t="s">
        <v>40</v>
      </c>
      <c r="H876" s="26" t="s">
        <v>960</v>
      </c>
      <c r="I876" s="26"/>
      <c r="J876" s="26" t="s">
        <v>15</v>
      </c>
      <c r="K876" s="26" t="s">
        <v>13</v>
      </c>
      <c r="L876" s="55"/>
      <c r="M876" s="26"/>
    </row>
    <row r="877" spans="1:13" ht="75" customHeight="1" thickTop="1" thickBot="1">
      <c r="A877" s="34">
        <v>875</v>
      </c>
      <c r="B877" s="55">
        <v>46110.457915613399</v>
      </c>
      <c r="C877" s="56" t="s">
        <v>394</v>
      </c>
      <c r="D877" s="56" t="s">
        <v>699</v>
      </c>
      <c r="E877" s="26" t="s">
        <v>22</v>
      </c>
      <c r="F877" s="26" t="s">
        <v>416</v>
      </c>
      <c r="G877" s="26" t="s">
        <v>40</v>
      </c>
      <c r="H877" s="26" t="s">
        <v>960</v>
      </c>
      <c r="I877" s="26"/>
      <c r="J877" s="26" t="s">
        <v>15</v>
      </c>
      <c r="K877" s="26" t="s">
        <v>13</v>
      </c>
      <c r="L877" s="55"/>
      <c r="M877" s="26"/>
    </row>
    <row r="878" spans="1:13" ht="75" customHeight="1" thickTop="1" thickBot="1">
      <c r="A878" s="26">
        <v>876</v>
      </c>
      <c r="B878" s="55">
        <v>46110.458110821703</v>
      </c>
      <c r="C878" s="56" t="s">
        <v>394</v>
      </c>
      <c r="D878" s="56" t="s">
        <v>699</v>
      </c>
      <c r="E878" s="26" t="s">
        <v>22</v>
      </c>
      <c r="F878" s="26" t="s">
        <v>417</v>
      </c>
      <c r="G878" s="26" t="s">
        <v>40</v>
      </c>
      <c r="H878" s="26" t="s">
        <v>960</v>
      </c>
      <c r="I878" s="26"/>
      <c r="J878" s="26" t="s">
        <v>15</v>
      </c>
      <c r="K878" s="26" t="s">
        <v>13</v>
      </c>
      <c r="L878" s="55"/>
      <c r="M878" s="26"/>
    </row>
    <row r="879" spans="1:13" ht="75" customHeight="1" thickTop="1" thickBot="1">
      <c r="A879" s="34">
        <v>877</v>
      </c>
      <c r="B879" s="55">
        <v>46110.459054282401</v>
      </c>
      <c r="C879" s="56" t="s">
        <v>394</v>
      </c>
      <c r="D879" s="56" t="s">
        <v>699</v>
      </c>
      <c r="E879" s="26" t="s">
        <v>22</v>
      </c>
      <c r="F879" s="26" t="s">
        <v>405</v>
      </c>
      <c r="G879" s="26" t="s">
        <v>961</v>
      </c>
      <c r="H879" s="26" t="s">
        <v>962</v>
      </c>
      <c r="I879" s="26"/>
      <c r="J879" s="26" t="s">
        <v>15</v>
      </c>
      <c r="K879" s="26" t="s">
        <v>13</v>
      </c>
      <c r="L879" s="55"/>
      <c r="M879" s="26"/>
    </row>
    <row r="880" spans="1:13" ht="75" customHeight="1" thickTop="1" thickBot="1">
      <c r="A880" s="26">
        <v>878</v>
      </c>
      <c r="B880" s="55">
        <v>46110.459259131901</v>
      </c>
      <c r="C880" s="56" t="s">
        <v>394</v>
      </c>
      <c r="D880" s="56" t="s">
        <v>699</v>
      </c>
      <c r="E880" s="26" t="s">
        <v>22</v>
      </c>
      <c r="F880" s="26" t="s">
        <v>405</v>
      </c>
      <c r="G880" s="26" t="s">
        <v>701</v>
      </c>
      <c r="H880" s="26" t="s">
        <v>962</v>
      </c>
      <c r="I880" s="26"/>
      <c r="J880" s="26" t="s">
        <v>15</v>
      </c>
      <c r="K880" s="26" t="s">
        <v>13</v>
      </c>
      <c r="L880" s="55"/>
      <c r="M880" s="26"/>
    </row>
    <row r="881" spans="1:13" ht="75" customHeight="1" thickTop="1" thickBot="1">
      <c r="A881" s="34">
        <v>879</v>
      </c>
      <c r="B881" s="55">
        <v>46110.459488136497</v>
      </c>
      <c r="C881" s="56" t="s">
        <v>394</v>
      </c>
      <c r="D881" s="56" t="s">
        <v>699</v>
      </c>
      <c r="E881" s="26" t="s">
        <v>22</v>
      </c>
      <c r="F881" s="26" t="s">
        <v>411</v>
      </c>
      <c r="G881" s="26" t="s">
        <v>424</v>
      </c>
      <c r="H881" s="26" t="s">
        <v>962</v>
      </c>
      <c r="I881" s="26"/>
      <c r="J881" s="26" t="s">
        <v>15</v>
      </c>
      <c r="K881" s="26" t="s">
        <v>13</v>
      </c>
      <c r="L881" s="55"/>
      <c r="M881" s="26"/>
    </row>
    <row r="882" spans="1:13" ht="75" customHeight="1" thickTop="1" thickBot="1">
      <c r="A882" s="26">
        <v>880</v>
      </c>
      <c r="B882" s="55">
        <v>46110.459688576302</v>
      </c>
      <c r="C882" s="56" t="s">
        <v>394</v>
      </c>
      <c r="D882" s="56" t="s">
        <v>699</v>
      </c>
      <c r="E882" s="26" t="s">
        <v>22</v>
      </c>
      <c r="F882" s="26" t="s">
        <v>412</v>
      </c>
      <c r="G882" s="26" t="s">
        <v>424</v>
      </c>
      <c r="H882" s="26" t="s">
        <v>962</v>
      </c>
      <c r="I882" s="26"/>
      <c r="J882" s="26" t="s">
        <v>15</v>
      </c>
      <c r="K882" s="26" t="s">
        <v>13</v>
      </c>
      <c r="L882" s="55"/>
      <c r="M882" s="26"/>
    </row>
    <row r="883" spans="1:13" ht="75" customHeight="1" thickTop="1" thickBot="1">
      <c r="A883" s="34">
        <v>881</v>
      </c>
      <c r="B883" s="55">
        <v>46110.459993252298</v>
      </c>
      <c r="C883" s="56" t="s">
        <v>394</v>
      </c>
      <c r="D883" s="56" t="s">
        <v>699</v>
      </c>
      <c r="E883" s="26" t="s">
        <v>22</v>
      </c>
      <c r="F883" s="26" t="s">
        <v>396</v>
      </c>
      <c r="G883" s="26" t="s">
        <v>424</v>
      </c>
      <c r="H883" s="26" t="s">
        <v>962</v>
      </c>
      <c r="I883" s="26"/>
      <c r="J883" s="26" t="s">
        <v>15</v>
      </c>
      <c r="K883" s="26" t="s">
        <v>13</v>
      </c>
      <c r="L883" s="55"/>
      <c r="M883" s="26"/>
    </row>
    <row r="884" spans="1:13" ht="75" customHeight="1" thickTop="1" thickBot="1">
      <c r="A884" s="26">
        <v>882</v>
      </c>
      <c r="B884" s="55">
        <v>46110.460118148098</v>
      </c>
      <c r="C884" s="56" t="s">
        <v>394</v>
      </c>
      <c r="D884" s="56" t="s">
        <v>395</v>
      </c>
      <c r="E884" s="26" t="s">
        <v>21</v>
      </c>
      <c r="F884" s="26" t="s">
        <v>401</v>
      </c>
      <c r="G884" s="26" t="s">
        <v>442</v>
      </c>
      <c r="H884" s="26" t="s">
        <v>1149</v>
      </c>
      <c r="I884" s="26"/>
      <c r="J884" s="26" t="s">
        <v>16</v>
      </c>
      <c r="K884" s="26" t="s">
        <v>13</v>
      </c>
      <c r="L884" s="55"/>
      <c r="M884" s="26"/>
    </row>
    <row r="885" spans="1:13" ht="75" customHeight="1" thickTop="1" thickBot="1">
      <c r="A885" s="34">
        <v>883</v>
      </c>
      <c r="B885" s="55">
        <v>46110.460450532402</v>
      </c>
      <c r="C885" s="56" t="s">
        <v>394</v>
      </c>
      <c r="D885" s="56" t="s">
        <v>699</v>
      </c>
      <c r="E885" s="26" t="s">
        <v>22</v>
      </c>
      <c r="F885" s="26" t="s">
        <v>399</v>
      </c>
      <c r="G885" s="26" t="s">
        <v>424</v>
      </c>
      <c r="H885" s="26" t="s">
        <v>962</v>
      </c>
      <c r="I885" s="26"/>
      <c r="J885" s="26" t="s">
        <v>15</v>
      </c>
      <c r="K885" s="26" t="s">
        <v>13</v>
      </c>
      <c r="L885" s="55"/>
      <c r="M885" s="26"/>
    </row>
    <row r="886" spans="1:13" ht="75" customHeight="1" thickTop="1" thickBot="1">
      <c r="A886" s="26">
        <v>884</v>
      </c>
      <c r="B886" s="55">
        <v>46110.460649537003</v>
      </c>
      <c r="C886" s="56" t="s">
        <v>394</v>
      </c>
      <c r="D886" s="56" t="s">
        <v>395</v>
      </c>
      <c r="E886" s="26" t="s">
        <v>21</v>
      </c>
      <c r="F886" s="26" t="s">
        <v>396</v>
      </c>
      <c r="G886" s="26" t="s">
        <v>486</v>
      </c>
      <c r="H886" s="26" t="s">
        <v>1150</v>
      </c>
      <c r="I886" s="26"/>
      <c r="J886" s="26" t="s">
        <v>16</v>
      </c>
      <c r="K886" s="26" t="s">
        <v>13</v>
      </c>
      <c r="L886" s="55"/>
      <c r="M886" s="26"/>
    </row>
    <row r="887" spans="1:13" ht="75" customHeight="1" thickTop="1" thickBot="1">
      <c r="A887" s="34">
        <v>885</v>
      </c>
      <c r="B887" s="55">
        <v>46110.460677407398</v>
      </c>
      <c r="C887" s="56" t="s">
        <v>394</v>
      </c>
      <c r="D887" s="56" t="s">
        <v>699</v>
      </c>
      <c r="E887" s="26" t="s">
        <v>22</v>
      </c>
      <c r="F887" s="26" t="s">
        <v>403</v>
      </c>
      <c r="G887" s="26" t="s">
        <v>424</v>
      </c>
      <c r="H887" s="26" t="s">
        <v>962</v>
      </c>
      <c r="I887" s="26"/>
      <c r="J887" s="26" t="s">
        <v>15</v>
      </c>
      <c r="K887" s="26" t="s">
        <v>13</v>
      </c>
      <c r="L887" s="55"/>
      <c r="M887" s="26"/>
    </row>
    <row r="888" spans="1:13" ht="75" customHeight="1" thickTop="1" thickBot="1">
      <c r="A888" s="26">
        <v>886</v>
      </c>
      <c r="B888" s="55">
        <v>46110.460881724503</v>
      </c>
      <c r="C888" s="56" t="s">
        <v>394</v>
      </c>
      <c r="D888" s="56" t="s">
        <v>699</v>
      </c>
      <c r="E888" s="26" t="s">
        <v>22</v>
      </c>
      <c r="F888" s="26" t="s">
        <v>403</v>
      </c>
      <c r="G888" s="26" t="s">
        <v>424</v>
      </c>
      <c r="H888" s="26" t="s">
        <v>962</v>
      </c>
      <c r="I888" s="26"/>
      <c r="J888" s="26" t="s">
        <v>15</v>
      </c>
      <c r="K888" s="26" t="s">
        <v>13</v>
      </c>
      <c r="L888" s="55"/>
      <c r="M888" s="26"/>
    </row>
    <row r="889" spans="1:13" ht="75" customHeight="1" thickTop="1" thickBot="1">
      <c r="A889" s="34">
        <v>887</v>
      </c>
      <c r="B889" s="55">
        <v>46110.461071203703</v>
      </c>
      <c r="C889" s="56" t="s">
        <v>394</v>
      </c>
      <c r="D889" s="56" t="s">
        <v>699</v>
      </c>
      <c r="E889" s="26" t="s">
        <v>22</v>
      </c>
      <c r="F889" s="26" t="s">
        <v>401</v>
      </c>
      <c r="G889" s="26" t="s">
        <v>424</v>
      </c>
      <c r="H889" s="26" t="s">
        <v>962</v>
      </c>
      <c r="I889" s="26"/>
      <c r="J889" s="26" t="s">
        <v>15</v>
      </c>
      <c r="K889" s="26" t="s">
        <v>13</v>
      </c>
      <c r="L889" s="55"/>
      <c r="M889" s="26"/>
    </row>
    <row r="890" spans="1:13" ht="75" customHeight="1" thickTop="1" thickBot="1">
      <c r="A890" s="26">
        <v>888</v>
      </c>
      <c r="B890" s="55">
        <v>46110.4612825</v>
      </c>
      <c r="C890" s="56" t="s">
        <v>394</v>
      </c>
      <c r="D890" s="56" t="s">
        <v>699</v>
      </c>
      <c r="E890" s="26" t="s">
        <v>22</v>
      </c>
      <c r="F890" s="26" t="s">
        <v>413</v>
      </c>
      <c r="G890" s="26" t="s">
        <v>424</v>
      </c>
      <c r="H890" s="26" t="s">
        <v>962</v>
      </c>
      <c r="I890" s="26"/>
      <c r="J890" s="26" t="s">
        <v>15</v>
      </c>
      <c r="K890" s="26" t="s">
        <v>13</v>
      </c>
      <c r="L890" s="55"/>
      <c r="M890" s="26"/>
    </row>
    <row r="891" spans="1:13" ht="75" customHeight="1" thickTop="1" thickBot="1">
      <c r="A891" s="34">
        <v>889</v>
      </c>
      <c r="B891" s="55">
        <v>46110.461519201301</v>
      </c>
      <c r="C891" s="56" t="s">
        <v>394</v>
      </c>
      <c r="D891" s="56" t="s">
        <v>699</v>
      </c>
      <c r="E891" s="26" t="s">
        <v>22</v>
      </c>
      <c r="F891" s="26" t="s">
        <v>416</v>
      </c>
      <c r="G891" s="26" t="s">
        <v>424</v>
      </c>
      <c r="H891" s="26" t="s">
        <v>962</v>
      </c>
      <c r="I891" s="26"/>
      <c r="J891" s="26" t="s">
        <v>15</v>
      </c>
      <c r="K891" s="26" t="s">
        <v>13</v>
      </c>
      <c r="L891" s="55"/>
      <c r="M891" s="26"/>
    </row>
    <row r="892" spans="1:13" ht="75" customHeight="1" thickTop="1" thickBot="1">
      <c r="A892" s="26">
        <v>890</v>
      </c>
      <c r="B892" s="55">
        <v>46110.461712488403</v>
      </c>
      <c r="C892" s="56" t="s">
        <v>394</v>
      </c>
      <c r="D892" s="56" t="s">
        <v>699</v>
      </c>
      <c r="E892" s="26" t="s">
        <v>22</v>
      </c>
      <c r="F892" s="26" t="s">
        <v>417</v>
      </c>
      <c r="G892" s="26" t="s">
        <v>424</v>
      </c>
      <c r="H892" s="26" t="s">
        <v>962</v>
      </c>
      <c r="I892" s="26"/>
      <c r="J892" s="26" t="s">
        <v>15</v>
      </c>
      <c r="K892" s="26" t="s">
        <v>13</v>
      </c>
      <c r="L892" s="55"/>
      <c r="M892" s="26"/>
    </row>
    <row r="893" spans="1:13" ht="75" customHeight="1" thickTop="1" thickBot="1">
      <c r="A893" s="34">
        <v>891</v>
      </c>
      <c r="B893" s="55">
        <v>46110.463404629598</v>
      </c>
      <c r="C893" s="56" t="s">
        <v>394</v>
      </c>
      <c r="D893" s="56" t="s">
        <v>395</v>
      </c>
      <c r="E893" s="26" t="s">
        <v>21</v>
      </c>
      <c r="F893" s="26" t="s">
        <v>401</v>
      </c>
      <c r="G893" s="26" t="s">
        <v>442</v>
      </c>
      <c r="H893" s="26" t="s">
        <v>1149</v>
      </c>
      <c r="I893" s="26"/>
      <c r="J893" s="26" t="s">
        <v>16</v>
      </c>
      <c r="K893" s="26" t="s">
        <v>13</v>
      </c>
      <c r="L893" s="55"/>
      <c r="M893" s="26"/>
    </row>
    <row r="894" spans="1:13" ht="75" customHeight="1" thickTop="1" thickBot="1">
      <c r="A894" s="26">
        <v>892</v>
      </c>
      <c r="B894" s="55">
        <v>46110.463467071699</v>
      </c>
      <c r="C894" s="56" t="s">
        <v>394</v>
      </c>
      <c r="D894" s="56" t="s">
        <v>699</v>
      </c>
      <c r="E894" s="26" t="s">
        <v>22</v>
      </c>
      <c r="F894" s="26" t="s">
        <v>405</v>
      </c>
      <c r="G894" s="26" t="s">
        <v>423</v>
      </c>
      <c r="H894" s="26" t="s">
        <v>3511</v>
      </c>
      <c r="I894" s="26"/>
      <c r="J894" s="26" t="s">
        <v>15</v>
      </c>
      <c r="K894" s="26" t="s">
        <v>13</v>
      </c>
      <c r="L894" s="55"/>
      <c r="M894" s="26"/>
    </row>
    <row r="895" spans="1:13" ht="75" customHeight="1" thickTop="1" thickBot="1">
      <c r="A895" s="34">
        <v>893</v>
      </c>
      <c r="B895" s="55">
        <v>46110.463767314803</v>
      </c>
      <c r="C895" s="56" t="s">
        <v>394</v>
      </c>
      <c r="D895" s="56" t="s">
        <v>699</v>
      </c>
      <c r="E895" s="26" t="s">
        <v>22</v>
      </c>
      <c r="F895" s="26" t="s">
        <v>433</v>
      </c>
      <c r="G895" s="26" t="s">
        <v>424</v>
      </c>
      <c r="H895" s="26" t="s">
        <v>3511</v>
      </c>
      <c r="I895" s="26"/>
      <c r="J895" s="26" t="s">
        <v>15</v>
      </c>
      <c r="K895" s="26" t="s">
        <v>13</v>
      </c>
      <c r="L895" s="55"/>
      <c r="M895" s="26"/>
    </row>
    <row r="896" spans="1:13" ht="75" customHeight="1" thickTop="1" thickBot="1">
      <c r="A896" s="26">
        <v>894</v>
      </c>
      <c r="B896" s="55">
        <v>46110.464161573997</v>
      </c>
      <c r="C896" s="56" t="s">
        <v>394</v>
      </c>
      <c r="D896" s="56" t="s">
        <v>699</v>
      </c>
      <c r="E896" s="26" t="s">
        <v>22</v>
      </c>
      <c r="F896" s="26" t="s">
        <v>396</v>
      </c>
      <c r="G896" s="26" t="s">
        <v>424</v>
      </c>
      <c r="H896" s="26" t="s">
        <v>3512</v>
      </c>
      <c r="I896" s="26"/>
      <c r="J896" s="26" t="s">
        <v>15</v>
      </c>
      <c r="K896" s="26" t="s">
        <v>13</v>
      </c>
      <c r="L896" s="55"/>
      <c r="M896" s="26"/>
    </row>
    <row r="897" spans="1:13" ht="75" customHeight="1" thickTop="1" thickBot="1">
      <c r="A897" s="34">
        <v>895</v>
      </c>
      <c r="B897" s="55">
        <v>46110.464373807801</v>
      </c>
      <c r="C897" s="56" t="s">
        <v>394</v>
      </c>
      <c r="D897" s="56" t="s">
        <v>395</v>
      </c>
      <c r="E897" s="26" t="s">
        <v>21</v>
      </c>
      <c r="F897" s="26" t="s">
        <v>401</v>
      </c>
      <c r="G897" s="26" t="s">
        <v>442</v>
      </c>
      <c r="H897" s="26" t="s">
        <v>1189</v>
      </c>
      <c r="I897" s="26"/>
      <c r="J897" s="26" t="s">
        <v>14</v>
      </c>
      <c r="K897" s="26" t="s">
        <v>13</v>
      </c>
      <c r="L897" s="55"/>
      <c r="M897" s="26"/>
    </row>
    <row r="898" spans="1:13" ht="75" customHeight="1" thickTop="1" thickBot="1">
      <c r="A898" s="26">
        <v>896</v>
      </c>
      <c r="B898" s="55">
        <v>46110.464388981403</v>
      </c>
      <c r="C898" s="56" t="s">
        <v>394</v>
      </c>
      <c r="D898" s="56" t="s">
        <v>699</v>
      </c>
      <c r="E898" s="26" t="s">
        <v>22</v>
      </c>
      <c r="F898" s="26" t="s">
        <v>399</v>
      </c>
      <c r="G898" s="26" t="s">
        <v>712</v>
      </c>
      <c r="H898" s="26" t="s">
        <v>3512</v>
      </c>
      <c r="I898" s="26"/>
      <c r="J898" s="26" t="s">
        <v>15</v>
      </c>
      <c r="K898" s="26" t="s">
        <v>13</v>
      </c>
      <c r="L898" s="55"/>
      <c r="M898" s="26"/>
    </row>
    <row r="899" spans="1:13" ht="75" customHeight="1" thickTop="1" thickBot="1">
      <c r="A899" s="34">
        <v>897</v>
      </c>
      <c r="B899" s="55">
        <v>46110.464658136501</v>
      </c>
      <c r="C899" s="56" t="s">
        <v>394</v>
      </c>
      <c r="D899" s="56" t="s">
        <v>699</v>
      </c>
      <c r="E899" s="26" t="s">
        <v>22</v>
      </c>
      <c r="F899" s="26" t="s">
        <v>403</v>
      </c>
      <c r="G899" s="26" t="s">
        <v>712</v>
      </c>
      <c r="H899" s="26" t="s">
        <v>3512</v>
      </c>
      <c r="I899" s="26"/>
      <c r="J899" s="26" t="s">
        <v>15</v>
      </c>
      <c r="K899" s="26" t="s">
        <v>13</v>
      </c>
      <c r="L899" s="55"/>
      <c r="M899" s="26"/>
    </row>
    <row r="900" spans="1:13" ht="75" customHeight="1" thickTop="1" thickBot="1">
      <c r="A900" s="26">
        <v>898</v>
      </c>
      <c r="B900" s="55">
        <v>46110.464847661999</v>
      </c>
      <c r="C900" s="56" t="s">
        <v>394</v>
      </c>
      <c r="D900" s="56" t="s">
        <v>699</v>
      </c>
      <c r="E900" s="26" t="s">
        <v>22</v>
      </c>
      <c r="F900" s="26" t="s">
        <v>401</v>
      </c>
      <c r="G900" s="26" t="s">
        <v>712</v>
      </c>
      <c r="H900" s="26" t="s">
        <v>3512</v>
      </c>
      <c r="I900" s="26"/>
      <c r="J900" s="26" t="s">
        <v>15</v>
      </c>
      <c r="K900" s="26" t="s">
        <v>13</v>
      </c>
      <c r="L900" s="55"/>
      <c r="M900" s="26"/>
    </row>
    <row r="901" spans="1:13" ht="75" customHeight="1" thickTop="1" thickBot="1">
      <c r="A901" s="34">
        <v>899</v>
      </c>
      <c r="B901" s="55">
        <v>46110.464925972199</v>
      </c>
      <c r="C901" s="56" t="s">
        <v>394</v>
      </c>
      <c r="D901" s="56" t="s">
        <v>395</v>
      </c>
      <c r="E901" s="26" t="s">
        <v>21</v>
      </c>
      <c r="F901" s="26" t="s">
        <v>1190</v>
      </c>
      <c r="G901" s="26" t="s">
        <v>442</v>
      </c>
      <c r="H901" s="26" t="s">
        <v>1191</v>
      </c>
      <c r="I901" s="26"/>
      <c r="J901" s="26" t="s">
        <v>14</v>
      </c>
      <c r="K901" s="26" t="s">
        <v>13</v>
      </c>
      <c r="L901" s="55"/>
      <c r="M901" s="26"/>
    </row>
    <row r="902" spans="1:13" ht="75" customHeight="1" thickTop="1" thickBot="1">
      <c r="A902" s="26">
        <v>900</v>
      </c>
      <c r="B902" s="55">
        <v>46110.465068171201</v>
      </c>
      <c r="C902" s="56" t="s">
        <v>394</v>
      </c>
      <c r="D902" s="56" t="s">
        <v>699</v>
      </c>
      <c r="E902" s="26" t="s">
        <v>22</v>
      </c>
      <c r="F902" s="26" t="s">
        <v>413</v>
      </c>
      <c r="G902" s="26" t="s">
        <v>712</v>
      </c>
      <c r="H902" s="26" t="s">
        <v>3512</v>
      </c>
      <c r="I902" s="26"/>
      <c r="J902" s="26" t="s">
        <v>15</v>
      </c>
      <c r="K902" s="26" t="s">
        <v>13</v>
      </c>
      <c r="L902" s="55"/>
      <c r="M902" s="26"/>
    </row>
    <row r="903" spans="1:13" ht="75" customHeight="1" thickTop="1" thickBot="1">
      <c r="A903" s="34">
        <v>901</v>
      </c>
      <c r="B903" s="55">
        <v>46110.465259525401</v>
      </c>
      <c r="C903" s="56" t="s">
        <v>394</v>
      </c>
      <c r="D903" s="56" t="s">
        <v>699</v>
      </c>
      <c r="E903" s="26" t="s">
        <v>22</v>
      </c>
      <c r="F903" s="26" t="s">
        <v>416</v>
      </c>
      <c r="G903" s="26" t="s">
        <v>712</v>
      </c>
      <c r="H903" s="26" t="s">
        <v>3512</v>
      </c>
      <c r="I903" s="26"/>
      <c r="J903" s="26" t="s">
        <v>15</v>
      </c>
      <c r="K903" s="26" t="s">
        <v>13</v>
      </c>
      <c r="L903" s="55"/>
      <c r="M903" s="26"/>
    </row>
    <row r="904" spans="1:13" ht="75" customHeight="1" thickTop="1" thickBot="1">
      <c r="A904" s="26">
        <v>902</v>
      </c>
      <c r="B904" s="55">
        <v>46110.465542742997</v>
      </c>
      <c r="C904" s="56" t="s">
        <v>394</v>
      </c>
      <c r="D904" s="56" t="s">
        <v>699</v>
      </c>
      <c r="E904" s="26" t="s">
        <v>22</v>
      </c>
      <c r="F904" s="26" t="s">
        <v>417</v>
      </c>
      <c r="G904" s="26" t="s">
        <v>712</v>
      </c>
      <c r="H904" s="26" t="s">
        <v>3512</v>
      </c>
      <c r="I904" s="26"/>
      <c r="J904" s="26" t="s">
        <v>15</v>
      </c>
      <c r="K904" s="26" t="s">
        <v>13</v>
      </c>
      <c r="L904" s="55"/>
      <c r="M904" s="26"/>
    </row>
    <row r="905" spans="1:13" ht="75" customHeight="1" thickTop="1" thickBot="1">
      <c r="A905" s="34">
        <v>903</v>
      </c>
      <c r="B905" s="55">
        <v>46110.466174930501</v>
      </c>
      <c r="C905" s="56" t="s">
        <v>394</v>
      </c>
      <c r="D905" s="56" t="s">
        <v>699</v>
      </c>
      <c r="E905" s="26" t="s">
        <v>22</v>
      </c>
      <c r="F905" s="26" t="s">
        <v>963</v>
      </c>
      <c r="G905" s="26" t="s">
        <v>442</v>
      </c>
      <c r="H905" s="26" t="s">
        <v>3513</v>
      </c>
      <c r="I905" s="26"/>
      <c r="J905" s="26" t="s">
        <v>15</v>
      </c>
      <c r="K905" s="26" t="s">
        <v>13</v>
      </c>
      <c r="L905" s="55"/>
      <c r="M905" s="26"/>
    </row>
    <row r="906" spans="1:13" ht="75" customHeight="1" thickTop="1" thickBot="1">
      <c r="A906" s="26">
        <v>904</v>
      </c>
      <c r="B906" s="55">
        <v>46110.491653495301</v>
      </c>
      <c r="C906" s="56" t="s">
        <v>394</v>
      </c>
      <c r="D906" s="56" t="s">
        <v>699</v>
      </c>
      <c r="E906" s="26" t="s">
        <v>22</v>
      </c>
      <c r="F906" s="26" t="s">
        <v>405</v>
      </c>
      <c r="G906" s="26" t="s">
        <v>706</v>
      </c>
      <c r="H906" s="26" t="s">
        <v>964</v>
      </c>
      <c r="I906" s="26"/>
      <c r="J906" s="26" t="s">
        <v>15</v>
      </c>
      <c r="K906" s="26" t="s">
        <v>13</v>
      </c>
      <c r="L906" s="55"/>
      <c r="M906" s="26"/>
    </row>
    <row r="907" spans="1:13" ht="75" customHeight="1" thickTop="1" thickBot="1">
      <c r="A907" s="34">
        <v>905</v>
      </c>
      <c r="B907" s="55">
        <v>46110.4919531134</v>
      </c>
      <c r="C907" s="56" t="s">
        <v>394</v>
      </c>
      <c r="D907" s="56" t="s">
        <v>699</v>
      </c>
      <c r="E907" s="26" t="s">
        <v>22</v>
      </c>
      <c r="F907" s="26" t="s">
        <v>411</v>
      </c>
      <c r="G907" s="26" t="s">
        <v>712</v>
      </c>
      <c r="H907" s="26" t="s">
        <v>964</v>
      </c>
      <c r="I907" s="26"/>
      <c r="J907" s="26" t="s">
        <v>15</v>
      </c>
      <c r="K907" s="26" t="s">
        <v>13</v>
      </c>
      <c r="L907" s="55"/>
      <c r="M907" s="26"/>
    </row>
    <row r="908" spans="1:13" ht="75" customHeight="1" thickTop="1" thickBot="1">
      <c r="A908" s="26">
        <v>906</v>
      </c>
      <c r="B908" s="55">
        <v>46110.492150949001</v>
      </c>
      <c r="C908" s="56" t="s">
        <v>394</v>
      </c>
      <c r="D908" s="56" t="s">
        <v>699</v>
      </c>
      <c r="E908" s="26" t="s">
        <v>22</v>
      </c>
      <c r="F908" s="26" t="s">
        <v>412</v>
      </c>
      <c r="G908" s="26" t="s">
        <v>712</v>
      </c>
      <c r="H908" s="26" t="s">
        <v>964</v>
      </c>
      <c r="I908" s="26"/>
      <c r="J908" s="26" t="s">
        <v>15</v>
      </c>
      <c r="K908" s="26" t="s">
        <v>13</v>
      </c>
      <c r="L908" s="55"/>
      <c r="M908" s="26"/>
    </row>
    <row r="909" spans="1:13" ht="75" customHeight="1" thickTop="1" thickBot="1">
      <c r="A909" s="34">
        <v>907</v>
      </c>
      <c r="B909" s="55">
        <v>46110.492344861101</v>
      </c>
      <c r="C909" s="56" t="s">
        <v>394</v>
      </c>
      <c r="D909" s="56" t="s">
        <v>699</v>
      </c>
      <c r="E909" s="26" t="s">
        <v>22</v>
      </c>
      <c r="F909" s="26" t="s">
        <v>396</v>
      </c>
      <c r="G909" s="26" t="s">
        <v>712</v>
      </c>
      <c r="H909" s="26" t="s">
        <v>964</v>
      </c>
      <c r="I909" s="26"/>
      <c r="J909" s="26" t="s">
        <v>15</v>
      </c>
      <c r="K909" s="26" t="s">
        <v>13</v>
      </c>
      <c r="L909" s="55"/>
      <c r="M909" s="26"/>
    </row>
    <row r="910" spans="1:13" ht="75" customHeight="1" thickTop="1" thickBot="1">
      <c r="A910" s="26">
        <v>908</v>
      </c>
      <c r="B910" s="55">
        <v>46110.492576411998</v>
      </c>
      <c r="C910" s="56" t="s">
        <v>394</v>
      </c>
      <c r="D910" s="56" t="s">
        <v>699</v>
      </c>
      <c r="E910" s="26" t="s">
        <v>22</v>
      </c>
      <c r="F910" s="26" t="s">
        <v>399</v>
      </c>
      <c r="G910" s="26" t="s">
        <v>712</v>
      </c>
      <c r="H910" s="26" t="s">
        <v>964</v>
      </c>
      <c r="I910" s="26"/>
      <c r="J910" s="26" t="s">
        <v>15</v>
      </c>
      <c r="K910" s="26" t="s">
        <v>13</v>
      </c>
      <c r="L910" s="55"/>
      <c r="M910" s="26"/>
    </row>
    <row r="911" spans="1:13" ht="75" customHeight="1" thickTop="1" thickBot="1">
      <c r="A911" s="34">
        <v>909</v>
      </c>
      <c r="B911" s="55">
        <v>46110.492800347201</v>
      </c>
      <c r="C911" s="56" t="s">
        <v>394</v>
      </c>
      <c r="D911" s="56" t="s">
        <v>699</v>
      </c>
      <c r="E911" s="26" t="s">
        <v>22</v>
      </c>
      <c r="F911" s="26" t="s">
        <v>403</v>
      </c>
      <c r="G911" s="26" t="s">
        <v>712</v>
      </c>
      <c r="H911" s="26" t="s">
        <v>964</v>
      </c>
      <c r="I911" s="26"/>
      <c r="J911" s="26" t="s">
        <v>15</v>
      </c>
      <c r="K911" s="26" t="s">
        <v>13</v>
      </c>
      <c r="L911" s="55"/>
      <c r="M911" s="26"/>
    </row>
    <row r="912" spans="1:13" ht="75" customHeight="1" thickTop="1" thickBot="1">
      <c r="A912" s="26">
        <v>910</v>
      </c>
      <c r="B912" s="55">
        <v>46110.493003553202</v>
      </c>
      <c r="C912" s="56" t="s">
        <v>394</v>
      </c>
      <c r="D912" s="56" t="s">
        <v>699</v>
      </c>
      <c r="E912" s="26" t="s">
        <v>22</v>
      </c>
      <c r="F912" s="26" t="s">
        <v>401</v>
      </c>
      <c r="G912" s="26" t="s">
        <v>712</v>
      </c>
      <c r="H912" s="26" t="s">
        <v>964</v>
      </c>
      <c r="I912" s="26"/>
      <c r="J912" s="26" t="s">
        <v>15</v>
      </c>
      <c r="K912" s="26" t="s">
        <v>13</v>
      </c>
      <c r="L912" s="55"/>
      <c r="M912" s="26"/>
    </row>
    <row r="913" spans="1:13" ht="75" customHeight="1" thickTop="1" thickBot="1">
      <c r="A913" s="34">
        <v>911</v>
      </c>
      <c r="B913" s="55">
        <v>46110.493185706</v>
      </c>
      <c r="C913" s="56" t="s">
        <v>394</v>
      </c>
      <c r="D913" s="56" t="s">
        <v>699</v>
      </c>
      <c r="E913" s="26" t="s">
        <v>22</v>
      </c>
      <c r="F913" s="26" t="s">
        <v>413</v>
      </c>
      <c r="G913" s="26" t="s">
        <v>712</v>
      </c>
      <c r="H913" s="26" t="s">
        <v>964</v>
      </c>
      <c r="I913" s="26"/>
      <c r="J913" s="26" t="s">
        <v>15</v>
      </c>
      <c r="K913" s="26" t="s">
        <v>13</v>
      </c>
      <c r="L913" s="55"/>
      <c r="M913" s="26"/>
    </row>
    <row r="914" spans="1:13" ht="75" customHeight="1" thickTop="1" thickBot="1">
      <c r="A914" s="26">
        <v>912</v>
      </c>
      <c r="B914" s="55">
        <v>46110.493629652701</v>
      </c>
      <c r="C914" s="56" t="s">
        <v>394</v>
      </c>
      <c r="D914" s="56" t="s">
        <v>699</v>
      </c>
      <c r="E914" s="26" t="s">
        <v>22</v>
      </c>
      <c r="F914" s="26" t="s">
        <v>416</v>
      </c>
      <c r="G914" s="26" t="s">
        <v>712</v>
      </c>
      <c r="H914" s="26" t="s">
        <v>965</v>
      </c>
      <c r="I914" s="26"/>
      <c r="J914" s="26" t="s">
        <v>15</v>
      </c>
      <c r="K914" s="26" t="s">
        <v>13</v>
      </c>
      <c r="L914" s="55"/>
      <c r="M914" s="26" t="s">
        <v>116</v>
      </c>
    </row>
    <row r="915" spans="1:13" ht="75" customHeight="1" thickTop="1" thickBot="1">
      <c r="A915" s="34">
        <v>913</v>
      </c>
      <c r="B915" s="55">
        <v>46110.493856979097</v>
      </c>
      <c r="C915" s="56" t="s">
        <v>394</v>
      </c>
      <c r="D915" s="56" t="s">
        <v>699</v>
      </c>
      <c r="E915" s="26" t="s">
        <v>22</v>
      </c>
      <c r="F915" s="26" t="s">
        <v>417</v>
      </c>
      <c r="G915" s="26" t="s">
        <v>712</v>
      </c>
      <c r="H915" s="26" t="s">
        <v>964</v>
      </c>
      <c r="I915" s="26"/>
      <c r="J915" s="26" t="s">
        <v>15</v>
      </c>
      <c r="K915" s="26" t="s">
        <v>13</v>
      </c>
      <c r="L915" s="55"/>
      <c r="M915" s="26"/>
    </row>
    <row r="916" spans="1:13" ht="75" customHeight="1" thickTop="1" thickBot="1">
      <c r="A916" s="26">
        <v>914</v>
      </c>
      <c r="B916" s="55">
        <v>46110.494790486096</v>
      </c>
      <c r="C916" s="56" t="s">
        <v>394</v>
      </c>
      <c r="D916" s="56" t="s">
        <v>699</v>
      </c>
      <c r="E916" s="26" t="s">
        <v>22</v>
      </c>
      <c r="F916" s="26" t="s">
        <v>401</v>
      </c>
      <c r="G916" s="26" t="s">
        <v>439</v>
      </c>
      <c r="H916" s="26" t="s">
        <v>966</v>
      </c>
      <c r="I916" s="26"/>
      <c r="J916" s="26" t="s">
        <v>15</v>
      </c>
      <c r="K916" s="26" t="s">
        <v>13</v>
      </c>
      <c r="L916" s="55"/>
      <c r="M916" s="26"/>
    </row>
    <row r="917" spans="1:13" ht="75" customHeight="1" thickTop="1" thickBot="1">
      <c r="A917" s="34">
        <v>915</v>
      </c>
      <c r="B917" s="55">
        <v>46110.495221111101</v>
      </c>
      <c r="C917" s="56" t="s">
        <v>394</v>
      </c>
      <c r="D917" s="56" t="s">
        <v>699</v>
      </c>
      <c r="E917" s="26" t="s">
        <v>22</v>
      </c>
      <c r="F917" s="26" t="s">
        <v>405</v>
      </c>
      <c r="G917" s="26" t="s">
        <v>40</v>
      </c>
      <c r="H917" s="26" t="s">
        <v>967</v>
      </c>
      <c r="I917" s="26"/>
      <c r="J917" s="26" t="s">
        <v>15</v>
      </c>
      <c r="K917" s="26" t="s">
        <v>13</v>
      </c>
      <c r="L917" s="55"/>
      <c r="M917" s="26"/>
    </row>
    <row r="918" spans="1:13" ht="75" customHeight="1" thickTop="1" thickBot="1">
      <c r="A918" s="26">
        <v>916</v>
      </c>
      <c r="B918" s="55">
        <v>46110.496567152702</v>
      </c>
      <c r="C918" s="56" t="s">
        <v>394</v>
      </c>
      <c r="D918" s="56" t="s">
        <v>699</v>
      </c>
      <c r="E918" s="26" t="s">
        <v>22</v>
      </c>
      <c r="F918" s="26" t="s">
        <v>405</v>
      </c>
      <c r="G918" s="26" t="s">
        <v>968</v>
      </c>
      <c r="H918" s="26" t="s">
        <v>969</v>
      </c>
      <c r="I918" s="26"/>
      <c r="J918" s="26" t="s">
        <v>15</v>
      </c>
      <c r="K918" s="26" t="s">
        <v>13</v>
      </c>
      <c r="L918" s="55"/>
      <c r="M918" s="26"/>
    </row>
    <row r="919" spans="1:13" ht="75" customHeight="1" thickTop="1" thickBot="1">
      <c r="A919" s="34">
        <v>917</v>
      </c>
      <c r="B919" s="55">
        <v>46110.497697222199</v>
      </c>
      <c r="C919" s="56" t="s">
        <v>394</v>
      </c>
      <c r="D919" s="56" t="s">
        <v>699</v>
      </c>
      <c r="E919" s="26" t="s">
        <v>22</v>
      </c>
      <c r="F919" s="26" t="s">
        <v>411</v>
      </c>
      <c r="G919" s="26" t="s">
        <v>970</v>
      </c>
      <c r="H919" s="26" t="s">
        <v>971</v>
      </c>
      <c r="I919" s="26"/>
      <c r="J919" s="26" t="s">
        <v>15</v>
      </c>
      <c r="K919" s="26" t="s">
        <v>13</v>
      </c>
      <c r="L919" s="55"/>
      <c r="M919" s="26"/>
    </row>
    <row r="920" spans="1:13" ht="75" customHeight="1" thickTop="1" thickBot="1">
      <c r="A920" s="26">
        <v>918</v>
      </c>
      <c r="B920" s="55">
        <v>46110.498263657399</v>
      </c>
      <c r="C920" s="56" t="s">
        <v>394</v>
      </c>
      <c r="D920" s="56" t="s">
        <v>699</v>
      </c>
      <c r="E920" s="26" t="s">
        <v>22</v>
      </c>
      <c r="F920" s="26" t="s">
        <v>411</v>
      </c>
      <c r="G920" s="26" t="s">
        <v>972</v>
      </c>
      <c r="H920" s="26" t="s">
        <v>973</v>
      </c>
      <c r="I920" s="26"/>
      <c r="J920" s="26" t="s">
        <v>15</v>
      </c>
      <c r="K920" s="26" t="s">
        <v>13</v>
      </c>
      <c r="L920" s="55"/>
      <c r="M920" s="26"/>
    </row>
    <row r="921" spans="1:13" ht="75" customHeight="1" thickTop="1" thickBot="1">
      <c r="A921" s="34">
        <v>919</v>
      </c>
      <c r="B921" s="55">
        <v>46110.498623460597</v>
      </c>
      <c r="C921" s="56" t="s">
        <v>394</v>
      </c>
      <c r="D921" s="56" t="s">
        <v>699</v>
      </c>
      <c r="E921" s="26" t="s">
        <v>22</v>
      </c>
      <c r="F921" s="26" t="s">
        <v>412</v>
      </c>
      <c r="G921" s="26" t="s">
        <v>974</v>
      </c>
      <c r="H921" s="26" t="s">
        <v>973</v>
      </c>
      <c r="I921" s="26"/>
      <c r="J921" s="26" t="s">
        <v>15</v>
      </c>
      <c r="K921" s="26" t="s">
        <v>13</v>
      </c>
      <c r="L921" s="55"/>
      <c r="M921" s="26"/>
    </row>
    <row r="922" spans="1:13" ht="75" customHeight="1" thickTop="1" thickBot="1">
      <c r="A922" s="26">
        <v>920</v>
      </c>
      <c r="B922" s="55">
        <v>46110.499055161999</v>
      </c>
      <c r="C922" s="56" t="s">
        <v>394</v>
      </c>
      <c r="D922" s="56" t="s">
        <v>699</v>
      </c>
      <c r="E922" s="26" t="s">
        <v>22</v>
      </c>
      <c r="F922" s="26" t="s">
        <v>412</v>
      </c>
      <c r="G922" s="26" t="s">
        <v>975</v>
      </c>
      <c r="H922" s="26" t="s">
        <v>973</v>
      </c>
      <c r="I922" s="26"/>
      <c r="J922" s="26" t="s">
        <v>15</v>
      </c>
      <c r="K922" s="26" t="s">
        <v>13</v>
      </c>
      <c r="L922" s="55"/>
      <c r="M922" s="26"/>
    </row>
    <row r="923" spans="1:13" ht="75" customHeight="1" thickTop="1" thickBot="1">
      <c r="A923" s="34">
        <v>921</v>
      </c>
      <c r="B923" s="55">
        <v>46110.499867569401</v>
      </c>
      <c r="C923" s="56" t="s">
        <v>394</v>
      </c>
      <c r="D923" s="56" t="s">
        <v>699</v>
      </c>
      <c r="E923" s="26" t="s">
        <v>22</v>
      </c>
      <c r="F923" s="26" t="s">
        <v>405</v>
      </c>
      <c r="G923" s="26" t="s">
        <v>976</v>
      </c>
      <c r="H923" s="26" t="s">
        <v>710</v>
      </c>
      <c r="I923" s="26"/>
      <c r="J923" s="26" t="s">
        <v>15</v>
      </c>
      <c r="K923" s="26" t="s">
        <v>13</v>
      </c>
      <c r="L923" s="55"/>
      <c r="M923" s="26"/>
    </row>
    <row r="924" spans="1:13" ht="75" customHeight="1" thickTop="1" thickBot="1">
      <c r="A924" s="26">
        <v>922</v>
      </c>
      <c r="B924" s="55">
        <v>46110.500493391199</v>
      </c>
      <c r="C924" s="56" t="s">
        <v>394</v>
      </c>
      <c r="D924" s="56" t="s">
        <v>699</v>
      </c>
      <c r="E924" s="26" t="s">
        <v>22</v>
      </c>
      <c r="F924" s="26" t="s">
        <v>405</v>
      </c>
      <c r="G924" s="26" t="s">
        <v>977</v>
      </c>
      <c r="H924" s="26" t="s">
        <v>710</v>
      </c>
      <c r="I924" s="26"/>
      <c r="J924" s="26" t="s">
        <v>15</v>
      </c>
      <c r="K924" s="26" t="s">
        <v>13</v>
      </c>
      <c r="L924" s="55"/>
      <c r="M924" s="26"/>
    </row>
    <row r="925" spans="1:13" ht="75" customHeight="1" thickTop="1" thickBot="1">
      <c r="A925" s="34">
        <v>923</v>
      </c>
      <c r="B925" s="55">
        <v>46110.5012419907</v>
      </c>
      <c r="C925" s="56" t="s">
        <v>394</v>
      </c>
      <c r="D925" s="56" t="s">
        <v>699</v>
      </c>
      <c r="E925" s="26" t="s">
        <v>22</v>
      </c>
      <c r="F925" s="26" t="s">
        <v>405</v>
      </c>
      <c r="G925" s="26" t="s">
        <v>978</v>
      </c>
      <c r="H925" s="26" t="s">
        <v>711</v>
      </c>
      <c r="I925" s="26"/>
      <c r="J925" s="26" t="s">
        <v>15</v>
      </c>
      <c r="K925" s="26" t="s">
        <v>13</v>
      </c>
      <c r="L925" s="55"/>
      <c r="M925" s="26"/>
    </row>
    <row r="926" spans="1:13" ht="75" customHeight="1" thickTop="1" thickBot="1">
      <c r="A926" s="26">
        <v>924</v>
      </c>
      <c r="B926" s="55">
        <v>46110.502014837897</v>
      </c>
      <c r="C926" s="56" t="s">
        <v>394</v>
      </c>
      <c r="D926" s="56" t="s">
        <v>699</v>
      </c>
      <c r="E926" s="26" t="s">
        <v>22</v>
      </c>
      <c r="F926" s="26" t="s">
        <v>405</v>
      </c>
      <c r="G926" s="26" t="s">
        <v>427</v>
      </c>
      <c r="H926" s="26" t="s">
        <v>979</v>
      </c>
      <c r="I926" s="26"/>
      <c r="J926" s="26" t="s">
        <v>15</v>
      </c>
      <c r="K926" s="26" t="s">
        <v>13</v>
      </c>
      <c r="L926" s="55"/>
      <c r="M926" s="26"/>
    </row>
    <row r="927" spans="1:13" ht="75" customHeight="1" thickTop="1" thickBot="1">
      <c r="A927" s="34">
        <v>925</v>
      </c>
      <c r="B927" s="55">
        <v>46110.576704386498</v>
      </c>
      <c r="C927" s="56" t="s">
        <v>394</v>
      </c>
      <c r="D927" s="56" t="s">
        <v>395</v>
      </c>
      <c r="E927" s="26" t="s">
        <v>21</v>
      </c>
      <c r="F927" s="26" t="s">
        <v>413</v>
      </c>
      <c r="G927" s="26" t="s">
        <v>404</v>
      </c>
      <c r="H927" s="26" t="s">
        <v>1192</v>
      </c>
      <c r="I927" s="26"/>
      <c r="J927" s="26" t="s">
        <v>14</v>
      </c>
      <c r="K927" s="26" t="s">
        <v>13</v>
      </c>
      <c r="L927" s="55">
        <v>46110.59325027778</v>
      </c>
      <c r="M927" s="26"/>
    </row>
    <row r="928" spans="1:13" ht="75" customHeight="1" thickTop="1" thickBot="1">
      <c r="A928" s="26">
        <v>926</v>
      </c>
      <c r="B928" s="55">
        <v>46110.580184722203</v>
      </c>
      <c r="C928" s="56" t="s">
        <v>394</v>
      </c>
      <c r="D928" s="56" t="s">
        <v>395</v>
      </c>
      <c r="E928" s="26" t="s">
        <v>21</v>
      </c>
      <c r="F928" s="26" t="s">
        <v>413</v>
      </c>
      <c r="G928" s="26" t="s">
        <v>439</v>
      </c>
      <c r="H928" s="26" t="s">
        <v>1193</v>
      </c>
      <c r="I928" s="26"/>
      <c r="J928" s="26" t="s">
        <v>14</v>
      </c>
      <c r="K928" s="26" t="s">
        <v>13</v>
      </c>
      <c r="L928" s="55">
        <v>46110.758081724533</v>
      </c>
      <c r="M928" s="26"/>
    </row>
    <row r="929" spans="1:13" ht="75" customHeight="1" thickTop="1" thickBot="1">
      <c r="A929" s="34">
        <v>927</v>
      </c>
      <c r="B929" s="55">
        <v>46110.581360173601</v>
      </c>
      <c r="C929" s="56" t="s">
        <v>394</v>
      </c>
      <c r="D929" s="56" t="s">
        <v>395</v>
      </c>
      <c r="E929" s="26" t="s">
        <v>21</v>
      </c>
      <c r="F929" s="26" t="s">
        <v>413</v>
      </c>
      <c r="G929" s="26" t="s">
        <v>439</v>
      </c>
      <c r="H929" s="26" t="s">
        <v>980</v>
      </c>
      <c r="I929" s="26"/>
      <c r="J929" s="26" t="s">
        <v>15</v>
      </c>
      <c r="K929" s="26" t="s">
        <v>13</v>
      </c>
      <c r="L929" s="55">
        <v>46110.759110798608</v>
      </c>
      <c r="M929" s="26"/>
    </row>
    <row r="930" spans="1:13" ht="75" customHeight="1" thickTop="1" thickBot="1">
      <c r="A930" s="26">
        <v>928</v>
      </c>
      <c r="B930" s="55">
        <v>46110.582244745303</v>
      </c>
      <c r="C930" s="56" t="s">
        <v>394</v>
      </c>
      <c r="D930" s="56" t="s">
        <v>395</v>
      </c>
      <c r="E930" s="26" t="s">
        <v>21</v>
      </c>
      <c r="F930" s="26" t="s">
        <v>413</v>
      </c>
      <c r="G930" s="26" t="s">
        <v>442</v>
      </c>
      <c r="H930" s="26" t="s">
        <v>1066</v>
      </c>
      <c r="I930" s="26"/>
      <c r="J930" s="26" t="s">
        <v>12</v>
      </c>
      <c r="K930" s="26" t="s">
        <v>13</v>
      </c>
      <c r="L930" s="55">
        <v>46111.468464895835</v>
      </c>
      <c r="M930" s="26"/>
    </row>
    <row r="931" spans="1:13" ht="75" customHeight="1" thickTop="1" thickBot="1">
      <c r="A931" s="34">
        <v>929</v>
      </c>
      <c r="B931" s="55">
        <v>46110.582811087901</v>
      </c>
      <c r="C931" s="56" t="s">
        <v>394</v>
      </c>
      <c r="D931" s="56" t="s">
        <v>395</v>
      </c>
      <c r="E931" s="26" t="s">
        <v>21</v>
      </c>
      <c r="F931" s="26" t="s">
        <v>413</v>
      </c>
      <c r="G931" s="26" t="s">
        <v>549</v>
      </c>
      <c r="H931" s="26" t="s">
        <v>1151</v>
      </c>
      <c r="I931" s="26"/>
      <c r="J931" s="26" t="s">
        <v>16</v>
      </c>
      <c r="K931" s="26" t="s">
        <v>13</v>
      </c>
      <c r="L931" s="55">
        <v>46110.593018576386</v>
      </c>
      <c r="M931" s="26"/>
    </row>
    <row r="932" spans="1:13" ht="75" customHeight="1" thickTop="1" thickBot="1">
      <c r="A932" s="26">
        <v>930</v>
      </c>
      <c r="B932" s="55">
        <v>46110.585582604101</v>
      </c>
      <c r="C932" s="56" t="s">
        <v>394</v>
      </c>
      <c r="D932" s="56" t="s">
        <v>395</v>
      </c>
      <c r="E932" s="26" t="s">
        <v>21</v>
      </c>
      <c r="F932" s="26" t="s">
        <v>413</v>
      </c>
      <c r="G932" s="26" t="s">
        <v>442</v>
      </c>
      <c r="H932" s="26" t="s">
        <v>1194</v>
      </c>
      <c r="I932" s="26"/>
      <c r="J932" s="26" t="s">
        <v>14</v>
      </c>
      <c r="K932" s="26" t="s">
        <v>17</v>
      </c>
      <c r="L932" s="55">
        <v>46111.468367997688</v>
      </c>
      <c r="M932" s="26" t="s">
        <v>131</v>
      </c>
    </row>
    <row r="933" spans="1:13" ht="75" customHeight="1" thickTop="1" thickBot="1">
      <c r="A933" s="34">
        <v>931</v>
      </c>
      <c r="B933" s="55">
        <v>46110.586722164298</v>
      </c>
      <c r="C933" s="56" t="s">
        <v>394</v>
      </c>
      <c r="D933" s="56" t="s">
        <v>395</v>
      </c>
      <c r="E933" s="26" t="s">
        <v>21</v>
      </c>
      <c r="F933" s="26" t="s">
        <v>413</v>
      </c>
      <c r="G933" s="26" t="s">
        <v>439</v>
      </c>
      <c r="H933" s="26" t="s">
        <v>1195</v>
      </c>
      <c r="I933" s="26"/>
      <c r="J933" s="26" t="s">
        <v>14</v>
      </c>
      <c r="K933" s="26" t="s">
        <v>13</v>
      </c>
      <c r="L933" s="55">
        <v>46110.592811643517</v>
      </c>
      <c r="M933" s="26"/>
    </row>
    <row r="934" spans="1:13" ht="75" customHeight="1" thickTop="1" thickBot="1">
      <c r="A934" s="26">
        <v>932</v>
      </c>
      <c r="B934" s="55">
        <v>46110.587285000001</v>
      </c>
      <c r="C934" s="56" t="s">
        <v>394</v>
      </c>
      <c r="D934" s="56" t="s">
        <v>395</v>
      </c>
      <c r="E934" s="26" t="s">
        <v>21</v>
      </c>
      <c r="F934" s="26" t="s">
        <v>403</v>
      </c>
      <c r="G934" s="26" t="s">
        <v>442</v>
      </c>
      <c r="H934" s="26" t="s">
        <v>1196</v>
      </c>
      <c r="I934" s="26"/>
      <c r="J934" s="26" t="s">
        <v>14</v>
      </c>
      <c r="K934" s="26" t="s">
        <v>13</v>
      </c>
      <c r="L934" s="55">
        <v>46110.592726076386</v>
      </c>
      <c r="M934" s="26"/>
    </row>
    <row r="935" spans="1:13" ht="75" customHeight="1" thickTop="1" thickBot="1">
      <c r="A935" s="34">
        <v>933</v>
      </c>
      <c r="B935" s="55">
        <v>46111.353327395802</v>
      </c>
      <c r="C935" s="56" t="s">
        <v>394</v>
      </c>
      <c r="D935" s="56" t="s">
        <v>395</v>
      </c>
      <c r="E935" s="26" t="s">
        <v>21</v>
      </c>
      <c r="F935" s="26" t="s">
        <v>434</v>
      </c>
      <c r="G935" s="26" t="s">
        <v>442</v>
      </c>
      <c r="H935" s="26" t="s">
        <v>981</v>
      </c>
      <c r="I935" s="26"/>
      <c r="J935" s="26" t="s">
        <v>15</v>
      </c>
      <c r="K935" s="26" t="s">
        <v>13</v>
      </c>
      <c r="L935" s="55">
        <v>46111.464066342596</v>
      </c>
      <c r="M935" s="26"/>
    </row>
    <row r="936" spans="1:13" ht="75" customHeight="1" thickTop="1" thickBot="1">
      <c r="A936" s="26">
        <v>934</v>
      </c>
      <c r="B936" s="55">
        <v>46111.380960613402</v>
      </c>
      <c r="C936" s="56" t="s">
        <v>394</v>
      </c>
      <c r="D936" s="56" t="s">
        <v>395</v>
      </c>
      <c r="E936" s="26" t="s">
        <v>21</v>
      </c>
      <c r="F936" s="26" t="s">
        <v>405</v>
      </c>
      <c r="G936" s="26" t="s">
        <v>442</v>
      </c>
      <c r="H936" s="26" t="s">
        <v>1067</v>
      </c>
      <c r="I936" s="26"/>
      <c r="J936" s="26" t="s">
        <v>12</v>
      </c>
      <c r="K936" s="26" t="s">
        <v>13</v>
      </c>
      <c r="L936" s="55">
        <v>46111.428712013891</v>
      </c>
      <c r="M936" s="26"/>
    </row>
    <row r="937" spans="1:13" ht="75" customHeight="1" thickTop="1" thickBot="1">
      <c r="A937" s="34">
        <v>935</v>
      </c>
      <c r="B937" s="55">
        <v>46111.382001620303</v>
      </c>
      <c r="C937" s="56" t="s">
        <v>394</v>
      </c>
      <c r="D937" s="56" t="s">
        <v>395</v>
      </c>
      <c r="E937" s="26" t="s">
        <v>21</v>
      </c>
      <c r="F937" s="26" t="s">
        <v>481</v>
      </c>
      <c r="G937" s="26" t="s">
        <v>442</v>
      </c>
      <c r="H937" s="26" t="s">
        <v>1197</v>
      </c>
      <c r="I937" s="26"/>
      <c r="J937" s="26" t="s">
        <v>14</v>
      </c>
      <c r="K937" s="26" t="s">
        <v>13</v>
      </c>
      <c r="L937" s="55">
        <v>46111.468119814817</v>
      </c>
      <c r="M937" s="26"/>
    </row>
    <row r="938" spans="1:13" ht="75" customHeight="1" thickTop="1" thickBot="1">
      <c r="A938" s="26">
        <v>936</v>
      </c>
      <c r="B938" s="55">
        <v>46111.401875127303</v>
      </c>
      <c r="C938" s="56" t="s">
        <v>394</v>
      </c>
      <c r="D938" s="56" t="s">
        <v>395</v>
      </c>
      <c r="E938" s="26" t="s">
        <v>21</v>
      </c>
      <c r="F938" s="26" t="s">
        <v>982</v>
      </c>
      <c r="G938" s="26" t="s">
        <v>983</v>
      </c>
      <c r="H938" s="26" t="s">
        <v>984</v>
      </c>
      <c r="I938" s="26"/>
      <c r="J938" s="26" t="s">
        <v>15</v>
      </c>
      <c r="K938" s="26" t="s">
        <v>13</v>
      </c>
      <c r="L938" s="55">
        <v>46111.464125625003</v>
      </c>
      <c r="M938" s="26"/>
    </row>
    <row r="939" spans="1:13" ht="75" customHeight="1" thickTop="1" thickBot="1">
      <c r="A939" s="34">
        <v>937</v>
      </c>
      <c r="B939" s="55">
        <v>46111.503476608697</v>
      </c>
      <c r="C939" s="56" t="s">
        <v>394</v>
      </c>
      <c r="D939" s="56" t="s">
        <v>395</v>
      </c>
      <c r="E939" s="26" t="s">
        <v>21</v>
      </c>
      <c r="F939" s="26" t="s">
        <v>399</v>
      </c>
      <c r="G939" s="26" t="s">
        <v>404</v>
      </c>
      <c r="H939" s="26" t="s">
        <v>1152</v>
      </c>
      <c r="I939" s="26"/>
      <c r="J939" s="26" t="s">
        <v>16</v>
      </c>
      <c r="K939" s="26" t="s">
        <v>13</v>
      </c>
      <c r="L939" s="55">
        <v>46111.775469328699</v>
      </c>
      <c r="M939" s="26"/>
    </row>
    <row r="940" spans="1:13" ht="75" customHeight="1" thickTop="1" thickBot="1">
      <c r="A940" s="26">
        <v>938</v>
      </c>
      <c r="B940" s="55">
        <v>46111.527327905002</v>
      </c>
      <c r="C940" s="56" t="s">
        <v>394</v>
      </c>
      <c r="D940" s="56" t="s">
        <v>395</v>
      </c>
      <c r="E940" s="26" t="s">
        <v>21</v>
      </c>
      <c r="F940" s="26" t="s">
        <v>416</v>
      </c>
      <c r="G940" s="26" t="s">
        <v>442</v>
      </c>
      <c r="H940" s="26" t="s">
        <v>3514</v>
      </c>
      <c r="I940" s="26"/>
      <c r="J940" s="26" t="s">
        <v>14</v>
      </c>
      <c r="K940" s="26" t="s">
        <v>13</v>
      </c>
      <c r="L940" s="55">
        <v>46111.546846215278</v>
      </c>
      <c r="M940" s="26"/>
    </row>
    <row r="941" spans="1:13" ht="75" customHeight="1" thickTop="1" thickBot="1">
      <c r="A941" s="34">
        <v>939</v>
      </c>
      <c r="B941" s="55">
        <v>46111.529336215201</v>
      </c>
      <c r="C941" s="56" t="s">
        <v>394</v>
      </c>
      <c r="D941" s="56" t="s">
        <v>395</v>
      </c>
      <c r="E941" s="26" t="s">
        <v>21</v>
      </c>
      <c r="F941" s="26" t="s">
        <v>413</v>
      </c>
      <c r="G941" s="26" t="s">
        <v>439</v>
      </c>
      <c r="H941" s="26" t="s">
        <v>1153</v>
      </c>
      <c r="I941" s="26"/>
      <c r="J941" s="26" t="s">
        <v>16</v>
      </c>
      <c r="K941" s="26" t="s">
        <v>13</v>
      </c>
      <c r="L941" s="55">
        <v>46111.775437280092</v>
      </c>
      <c r="M941" s="26"/>
    </row>
    <row r="942" spans="1:13" ht="75" customHeight="1" thickTop="1" thickBot="1">
      <c r="A942" s="26">
        <v>940</v>
      </c>
      <c r="B942" s="55">
        <v>46112.3306096874</v>
      </c>
      <c r="C942" s="56" t="s">
        <v>394</v>
      </c>
      <c r="D942" s="56" t="s">
        <v>395</v>
      </c>
      <c r="E942" s="26" t="s">
        <v>21</v>
      </c>
      <c r="F942" s="26" t="s">
        <v>497</v>
      </c>
      <c r="G942" s="26" t="s">
        <v>1198</v>
      </c>
      <c r="H942" s="26" t="s">
        <v>1199</v>
      </c>
      <c r="I942" s="26"/>
      <c r="J942" s="26" t="s">
        <v>14</v>
      </c>
      <c r="K942" s="26" t="s">
        <v>13</v>
      </c>
      <c r="L942" s="55">
        <v>46112.554230104171</v>
      </c>
      <c r="M942" s="26"/>
    </row>
    <row r="943" spans="1:13" ht="75" customHeight="1" thickTop="1" thickBot="1">
      <c r="A943" s="34">
        <v>941</v>
      </c>
      <c r="B943" s="55">
        <v>46112.351616099499</v>
      </c>
      <c r="C943" s="56" t="s">
        <v>394</v>
      </c>
      <c r="D943" s="56" t="s">
        <v>395</v>
      </c>
      <c r="E943" s="26" t="s">
        <v>21</v>
      </c>
      <c r="F943" s="26" t="s">
        <v>403</v>
      </c>
      <c r="G943" s="26" t="s">
        <v>442</v>
      </c>
      <c r="H943" s="26" t="s">
        <v>933</v>
      </c>
      <c r="I943" s="26"/>
      <c r="J943" s="26" t="s">
        <v>14</v>
      </c>
      <c r="K943" s="26" t="s">
        <v>13</v>
      </c>
      <c r="L943" s="55">
        <v>46112.554137974541</v>
      </c>
      <c r="M943" s="26"/>
    </row>
    <row r="944" spans="1:13" ht="75" customHeight="1" thickTop="1" thickBot="1">
      <c r="A944" s="26">
        <v>942</v>
      </c>
      <c r="B944" s="55">
        <v>46112.352075671297</v>
      </c>
      <c r="C944" s="56" t="s">
        <v>394</v>
      </c>
      <c r="D944" s="56" t="s">
        <v>395</v>
      </c>
      <c r="E944" s="26" t="s">
        <v>21</v>
      </c>
      <c r="F944" s="26" t="s">
        <v>1154</v>
      </c>
      <c r="G944" s="26" t="s">
        <v>446</v>
      </c>
      <c r="H944" s="26" t="s">
        <v>1155</v>
      </c>
      <c r="I944" s="26"/>
      <c r="J944" s="26" t="s">
        <v>16</v>
      </c>
      <c r="K944" s="26" t="s">
        <v>13</v>
      </c>
      <c r="L944" s="55">
        <v>46112.782300034727</v>
      </c>
      <c r="M944" s="26"/>
    </row>
    <row r="945" spans="1:13" ht="75" customHeight="1" thickTop="1" thickBot="1">
      <c r="A945" s="34">
        <v>943</v>
      </c>
      <c r="B945" s="55">
        <v>46112.394815601801</v>
      </c>
      <c r="C945" s="56" t="s">
        <v>394</v>
      </c>
      <c r="D945" s="56" t="s">
        <v>34</v>
      </c>
      <c r="E945" s="26" t="s">
        <v>22</v>
      </c>
      <c r="F945" s="26" t="s">
        <v>399</v>
      </c>
      <c r="G945" s="26" t="s">
        <v>449</v>
      </c>
      <c r="H945" s="26" t="s">
        <v>1068</v>
      </c>
      <c r="I945" s="26"/>
      <c r="J945" s="26" t="s">
        <v>12</v>
      </c>
      <c r="K945" s="26" t="s">
        <v>13</v>
      </c>
      <c r="L945" s="55">
        <v>46112.398017488427</v>
      </c>
      <c r="M945" s="26"/>
    </row>
    <row r="946" spans="1:13" ht="75" customHeight="1" thickTop="1" thickBot="1">
      <c r="A946" s="26">
        <v>944</v>
      </c>
      <c r="B946" s="55">
        <v>46112.395326111102</v>
      </c>
      <c r="C946" s="56" t="s">
        <v>394</v>
      </c>
      <c r="D946" s="56" t="s">
        <v>34</v>
      </c>
      <c r="E946" s="26" t="s">
        <v>22</v>
      </c>
      <c r="F946" s="26" t="s">
        <v>737</v>
      </c>
      <c r="G946" s="26" t="s">
        <v>449</v>
      </c>
      <c r="H946" s="26" t="s">
        <v>1069</v>
      </c>
      <c r="I946" s="26"/>
      <c r="J946" s="26" t="s">
        <v>12</v>
      </c>
      <c r="K946" s="26" t="s">
        <v>13</v>
      </c>
      <c r="L946" s="55">
        <v>46112.398057210652</v>
      </c>
      <c r="M946" s="26"/>
    </row>
    <row r="947" spans="1:13" ht="75" customHeight="1" thickTop="1" thickBot="1">
      <c r="A947" s="34">
        <v>945</v>
      </c>
      <c r="B947" s="55">
        <v>46112.3973921875</v>
      </c>
      <c r="C947" s="56" t="s">
        <v>394</v>
      </c>
      <c r="D947" s="56" t="s">
        <v>34</v>
      </c>
      <c r="E947" s="26" t="s">
        <v>22</v>
      </c>
      <c r="F947" s="26" t="s">
        <v>1070</v>
      </c>
      <c r="G947" s="26" t="s">
        <v>449</v>
      </c>
      <c r="H947" s="26" t="s">
        <v>1071</v>
      </c>
      <c r="I947" s="26"/>
      <c r="J947" s="26" t="s">
        <v>12</v>
      </c>
      <c r="K947" s="26" t="s">
        <v>13</v>
      </c>
      <c r="L947" s="55">
        <v>46112.398200520838</v>
      </c>
      <c r="M947" s="26"/>
    </row>
    <row r="948" spans="1:13" ht="75" customHeight="1" thickTop="1" thickBot="1">
      <c r="A948" s="26">
        <v>946</v>
      </c>
      <c r="B948" s="55">
        <v>46112.398070948999</v>
      </c>
      <c r="C948" s="56" t="s">
        <v>394</v>
      </c>
      <c r="D948" s="56" t="s">
        <v>34</v>
      </c>
      <c r="E948" s="26" t="s">
        <v>22</v>
      </c>
      <c r="F948" s="26" t="s">
        <v>396</v>
      </c>
      <c r="G948" s="26" t="s">
        <v>449</v>
      </c>
      <c r="H948" s="26" t="s">
        <v>1072</v>
      </c>
      <c r="I948" s="26"/>
      <c r="J948" s="26" t="s">
        <v>12</v>
      </c>
      <c r="K948" s="26" t="s">
        <v>13</v>
      </c>
      <c r="L948" s="55">
        <v>46112.398273831015</v>
      </c>
      <c r="M948" s="26"/>
    </row>
    <row r="949" spans="1:13" ht="75" customHeight="1" thickTop="1" thickBot="1">
      <c r="A949" s="34">
        <v>947</v>
      </c>
      <c r="B949" s="55">
        <v>46112.398840740701</v>
      </c>
      <c r="C949" s="56" t="s">
        <v>394</v>
      </c>
      <c r="D949" s="56" t="s">
        <v>34</v>
      </c>
      <c r="E949" s="26" t="s">
        <v>22</v>
      </c>
      <c r="F949" s="26" t="s">
        <v>1073</v>
      </c>
      <c r="G949" s="26" t="s">
        <v>449</v>
      </c>
      <c r="H949" s="26" t="s">
        <v>3515</v>
      </c>
      <c r="I949" s="26"/>
      <c r="J949" s="26" t="s">
        <v>12</v>
      </c>
      <c r="K949" s="26" t="s">
        <v>13</v>
      </c>
      <c r="L949" s="55">
        <v>46112.399314421295</v>
      </c>
      <c r="M949" s="26"/>
    </row>
    <row r="950" spans="1:13" ht="75" customHeight="1" thickTop="1" thickBot="1">
      <c r="A950" s="26">
        <v>948</v>
      </c>
      <c r="B950" s="55">
        <v>46112.3993414004</v>
      </c>
      <c r="C950" s="56" t="s">
        <v>394</v>
      </c>
      <c r="D950" s="56" t="s">
        <v>34</v>
      </c>
      <c r="E950" s="26" t="s">
        <v>22</v>
      </c>
      <c r="F950" s="26" t="s">
        <v>403</v>
      </c>
      <c r="G950" s="26" t="s">
        <v>449</v>
      </c>
      <c r="H950" s="26" t="s">
        <v>3516</v>
      </c>
      <c r="I950" s="26"/>
      <c r="J950" s="26" t="s">
        <v>12</v>
      </c>
      <c r="K950" s="26" t="s">
        <v>13</v>
      </c>
      <c r="L950" s="55">
        <v>46112.399615162038</v>
      </c>
      <c r="M950" s="26"/>
    </row>
    <row r="951" spans="1:13" ht="75" customHeight="1" thickTop="1" thickBot="1">
      <c r="A951" s="34">
        <v>949</v>
      </c>
      <c r="B951" s="55">
        <v>46112.399694791602</v>
      </c>
      <c r="C951" s="56" t="s">
        <v>394</v>
      </c>
      <c r="D951" s="56" t="s">
        <v>34</v>
      </c>
      <c r="E951" s="26" t="s">
        <v>22</v>
      </c>
      <c r="F951" s="26" t="s">
        <v>396</v>
      </c>
      <c r="G951" s="26" t="s">
        <v>449</v>
      </c>
      <c r="H951" s="26" t="s">
        <v>3517</v>
      </c>
      <c r="I951" s="26"/>
      <c r="J951" s="26" t="s">
        <v>12</v>
      </c>
      <c r="K951" s="26" t="s">
        <v>13</v>
      </c>
      <c r="L951" s="55">
        <v>46112.399783275461</v>
      </c>
      <c r="M951" s="26"/>
    </row>
    <row r="952" spans="1:13" ht="75" customHeight="1" thickTop="1" thickBot="1">
      <c r="A952" s="26">
        <v>950</v>
      </c>
      <c r="B952" s="55">
        <v>46112.400268043901</v>
      </c>
      <c r="C952" s="56" t="s">
        <v>394</v>
      </c>
      <c r="D952" s="56" t="s">
        <v>34</v>
      </c>
      <c r="E952" s="26" t="s">
        <v>22</v>
      </c>
      <c r="F952" s="26" t="s">
        <v>405</v>
      </c>
      <c r="G952" s="26" t="s">
        <v>449</v>
      </c>
      <c r="H952" s="26" t="s">
        <v>1074</v>
      </c>
      <c r="I952" s="26"/>
      <c r="J952" s="26" t="s">
        <v>12</v>
      </c>
      <c r="K952" s="26" t="s">
        <v>13</v>
      </c>
      <c r="L952" s="55">
        <v>46112.399922650467</v>
      </c>
      <c r="M952" s="26"/>
    </row>
    <row r="953" spans="1:13" ht="75" customHeight="1" thickTop="1" thickBot="1">
      <c r="A953" s="34">
        <v>951</v>
      </c>
      <c r="B953" s="55">
        <v>46112.401198981403</v>
      </c>
      <c r="C953" s="56" t="s">
        <v>394</v>
      </c>
      <c r="D953" s="56" t="s">
        <v>34</v>
      </c>
      <c r="E953" s="26" t="s">
        <v>22</v>
      </c>
      <c r="F953" s="26" t="s">
        <v>401</v>
      </c>
      <c r="G953" s="26" t="s">
        <v>449</v>
      </c>
      <c r="H953" s="26" t="s">
        <v>1075</v>
      </c>
      <c r="I953" s="26"/>
      <c r="J953" s="26" t="s">
        <v>12</v>
      </c>
      <c r="K953" s="26" t="s">
        <v>13</v>
      </c>
      <c r="L953" s="55">
        <v>46112.400441631944</v>
      </c>
      <c r="M953" s="26"/>
    </row>
    <row r="954" spans="1:13" ht="75" customHeight="1" thickTop="1" thickBot="1">
      <c r="A954" s="26">
        <v>952</v>
      </c>
      <c r="B954" s="55">
        <v>46112.4018753009</v>
      </c>
      <c r="C954" s="56" t="s">
        <v>394</v>
      </c>
      <c r="D954" s="56" t="s">
        <v>34</v>
      </c>
      <c r="E954" s="26" t="s">
        <v>22</v>
      </c>
      <c r="F954" s="26" t="s">
        <v>800</v>
      </c>
      <c r="G954" s="26" t="s">
        <v>449</v>
      </c>
      <c r="H954" s="26" t="s">
        <v>1076</v>
      </c>
      <c r="I954" s="26"/>
      <c r="J954" s="26" t="s">
        <v>12</v>
      </c>
      <c r="K954" s="26" t="s">
        <v>13</v>
      </c>
      <c r="L954" s="55">
        <v>46112.401127245372</v>
      </c>
      <c r="M954" s="26"/>
    </row>
    <row r="955" spans="1:13" ht="75" customHeight="1" thickTop="1" thickBot="1">
      <c r="A955" s="34">
        <v>953</v>
      </c>
      <c r="B955" s="55">
        <v>46112.402270486098</v>
      </c>
      <c r="C955" s="56" t="s">
        <v>394</v>
      </c>
      <c r="D955" s="56" t="s">
        <v>34</v>
      </c>
      <c r="E955" s="26" t="s">
        <v>22</v>
      </c>
      <c r="F955" s="26" t="s">
        <v>396</v>
      </c>
      <c r="G955" s="26" t="s">
        <v>449</v>
      </c>
      <c r="H955" s="26" t="s">
        <v>1077</v>
      </c>
      <c r="I955" s="26"/>
      <c r="J955" s="26" t="s">
        <v>12</v>
      </c>
      <c r="K955" s="26" t="s">
        <v>13</v>
      </c>
      <c r="L955" s="55">
        <v>46112.401490081014</v>
      </c>
      <c r="M955" s="26"/>
    </row>
    <row r="956" spans="1:13" ht="75" customHeight="1" thickTop="1" thickBot="1">
      <c r="A956" s="26">
        <v>954</v>
      </c>
      <c r="B956" s="55">
        <v>46112.402758275399</v>
      </c>
      <c r="C956" s="56" t="s">
        <v>394</v>
      </c>
      <c r="D956" s="56" t="s">
        <v>34</v>
      </c>
      <c r="E956" s="26" t="s">
        <v>22</v>
      </c>
      <c r="F956" s="26" t="s">
        <v>435</v>
      </c>
      <c r="G956" s="26" t="s">
        <v>449</v>
      </c>
      <c r="H956" s="26" t="s">
        <v>3518</v>
      </c>
      <c r="I956" s="26"/>
      <c r="J956" s="26" t="s">
        <v>12</v>
      </c>
      <c r="K956" s="26" t="s">
        <v>13</v>
      </c>
      <c r="L956" s="55">
        <v>46112.40160484954</v>
      </c>
      <c r="M956" s="26"/>
    </row>
    <row r="957" spans="1:13" ht="75" customHeight="1" thickTop="1" thickBot="1">
      <c r="A957" s="34">
        <v>955</v>
      </c>
      <c r="B957" s="55">
        <v>46112.403353865702</v>
      </c>
      <c r="C957" s="56" t="s">
        <v>394</v>
      </c>
      <c r="D957" s="56" t="s">
        <v>34</v>
      </c>
      <c r="E957" s="26" t="s">
        <v>22</v>
      </c>
      <c r="F957" s="26" t="s">
        <v>399</v>
      </c>
      <c r="G957" s="26" t="s">
        <v>449</v>
      </c>
      <c r="H957" s="26" t="s">
        <v>1078</v>
      </c>
      <c r="I957" s="26"/>
      <c r="J957" s="26" t="s">
        <v>12</v>
      </c>
      <c r="K957" s="26" t="s">
        <v>13</v>
      </c>
      <c r="L957" s="55">
        <v>46112.401938333336</v>
      </c>
      <c r="M957" s="26"/>
    </row>
    <row r="958" spans="1:13" ht="75" customHeight="1" thickTop="1" thickBot="1">
      <c r="A958" s="26">
        <v>956</v>
      </c>
      <c r="B958" s="55">
        <v>46112.403797904997</v>
      </c>
      <c r="C958" s="56" t="s">
        <v>394</v>
      </c>
      <c r="D958" s="56" t="s">
        <v>34</v>
      </c>
      <c r="E958" s="26" t="s">
        <v>22</v>
      </c>
      <c r="F958" s="26" t="s">
        <v>497</v>
      </c>
      <c r="G958" s="26" t="s">
        <v>449</v>
      </c>
      <c r="H958" s="26" t="s">
        <v>3519</v>
      </c>
      <c r="I958" s="26"/>
      <c r="J958" s="26" t="s">
        <v>12</v>
      </c>
      <c r="K958" s="26" t="s">
        <v>13</v>
      </c>
      <c r="L958" s="55">
        <v>46112.401959629628</v>
      </c>
      <c r="M958" s="26"/>
    </row>
    <row r="959" spans="1:13" ht="75" customHeight="1" thickTop="1" thickBot="1">
      <c r="A959" s="34">
        <v>957</v>
      </c>
      <c r="B959" s="55">
        <v>46112.405029953698</v>
      </c>
      <c r="C959" s="56" t="s">
        <v>394</v>
      </c>
      <c r="D959" s="56" t="s">
        <v>34</v>
      </c>
      <c r="E959" s="26" t="s">
        <v>22</v>
      </c>
      <c r="F959" s="26" t="s">
        <v>1073</v>
      </c>
      <c r="G959" s="26" t="s">
        <v>449</v>
      </c>
      <c r="H959" s="26" t="s">
        <v>3520</v>
      </c>
      <c r="I959" s="26"/>
      <c r="J959" s="26" t="s">
        <v>12</v>
      </c>
      <c r="K959" s="26" t="s">
        <v>13</v>
      </c>
      <c r="L959" s="55">
        <v>46112.401999606482</v>
      </c>
      <c r="M959" s="26"/>
    </row>
    <row r="960" spans="1:13" ht="75" customHeight="1" thickTop="1" thickBot="1">
      <c r="A960" s="26">
        <v>958</v>
      </c>
      <c r="B960" s="55">
        <v>46112.406252094901</v>
      </c>
      <c r="C960" s="56" t="s">
        <v>394</v>
      </c>
      <c r="D960" s="56" t="s">
        <v>34</v>
      </c>
      <c r="E960" s="26" t="s">
        <v>22</v>
      </c>
      <c r="F960" s="26" t="s">
        <v>1073</v>
      </c>
      <c r="G960" s="26" t="s">
        <v>449</v>
      </c>
      <c r="H960" s="26" t="s">
        <v>3521</v>
      </c>
      <c r="I960" s="26"/>
      <c r="J960" s="26" t="s">
        <v>12</v>
      </c>
      <c r="K960" s="26" t="s">
        <v>13</v>
      </c>
      <c r="L960" s="55">
        <v>46112.40203085648</v>
      </c>
      <c r="M960" s="26"/>
    </row>
    <row r="961" spans="1:13" ht="75" customHeight="1" thickTop="1" thickBot="1">
      <c r="A961" s="34">
        <v>959</v>
      </c>
      <c r="B961" s="55">
        <v>46112.406617083303</v>
      </c>
      <c r="C961" s="56" t="s">
        <v>394</v>
      </c>
      <c r="D961" s="56" t="s">
        <v>34</v>
      </c>
      <c r="E961" s="26" t="s">
        <v>22</v>
      </c>
      <c r="F961" s="26" t="s">
        <v>416</v>
      </c>
      <c r="G961" s="26" t="s">
        <v>549</v>
      </c>
      <c r="H961" s="26" t="s">
        <v>1079</v>
      </c>
      <c r="I961" s="26"/>
      <c r="J961" s="26" t="s">
        <v>12</v>
      </c>
      <c r="K961" s="26" t="s">
        <v>13</v>
      </c>
      <c r="L961" s="55">
        <v>46112.401999884256</v>
      </c>
      <c r="M961" s="26"/>
    </row>
    <row r="962" spans="1:13" ht="75" customHeight="1" thickTop="1" thickBot="1">
      <c r="A962" s="26">
        <v>960</v>
      </c>
      <c r="B962" s="55">
        <v>46112.407108252301</v>
      </c>
      <c r="C962" s="56" t="s">
        <v>394</v>
      </c>
      <c r="D962" s="56" t="s">
        <v>34</v>
      </c>
      <c r="E962" s="26" t="s">
        <v>22</v>
      </c>
      <c r="F962" s="26" t="s">
        <v>401</v>
      </c>
      <c r="G962" s="26" t="s">
        <v>449</v>
      </c>
      <c r="H962" s="26" t="s">
        <v>1080</v>
      </c>
      <c r="I962" s="26"/>
      <c r="J962" s="26" t="s">
        <v>12</v>
      </c>
      <c r="K962" s="26" t="s">
        <v>13</v>
      </c>
      <c r="L962" s="55">
        <v>46112.40723759259</v>
      </c>
      <c r="M962" s="26"/>
    </row>
    <row r="963" spans="1:13" ht="75" customHeight="1" thickTop="1" thickBot="1">
      <c r="A963" s="34">
        <v>961</v>
      </c>
      <c r="B963" s="55">
        <v>46112.407876458303</v>
      </c>
      <c r="C963" s="56" t="s">
        <v>394</v>
      </c>
      <c r="D963" s="56" t="s">
        <v>34</v>
      </c>
      <c r="E963" s="26" t="s">
        <v>22</v>
      </c>
      <c r="F963" s="26" t="s">
        <v>449</v>
      </c>
      <c r="G963" s="26" t="s">
        <v>449</v>
      </c>
      <c r="H963" s="26" t="s">
        <v>1081</v>
      </c>
      <c r="I963" s="26"/>
      <c r="J963" s="26" t="s">
        <v>12</v>
      </c>
      <c r="K963" s="26" t="s">
        <v>13</v>
      </c>
      <c r="L963" s="55">
        <v>46112.407200300921</v>
      </c>
      <c r="M963" s="26"/>
    </row>
    <row r="964" spans="1:13" ht="75" customHeight="1" thickTop="1" thickBot="1">
      <c r="A964" s="26">
        <v>962</v>
      </c>
      <c r="B964" s="55">
        <v>46112.408671539299</v>
      </c>
      <c r="C964" s="56" t="s">
        <v>394</v>
      </c>
      <c r="D964" s="56" t="s">
        <v>34</v>
      </c>
      <c r="E964" s="26" t="s">
        <v>22</v>
      </c>
      <c r="F964" s="26" t="s">
        <v>449</v>
      </c>
      <c r="G964" s="26" t="s">
        <v>449</v>
      </c>
      <c r="H964" s="26" t="s">
        <v>1082</v>
      </c>
      <c r="I964" s="26"/>
      <c r="J964" s="26" t="s">
        <v>12</v>
      </c>
      <c r="K964" s="26" t="s">
        <v>13</v>
      </c>
      <c r="L964" s="55">
        <v>46112.407559097221</v>
      </c>
      <c r="M964" s="26"/>
    </row>
    <row r="965" spans="1:13" ht="75" customHeight="1" thickTop="1" thickBot="1">
      <c r="A965" s="34">
        <v>963</v>
      </c>
      <c r="B965" s="55">
        <v>46112.409285208298</v>
      </c>
      <c r="C965" s="56" t="s">
        <v>394</v>
      </c>
      <c r="D965" s="56" t="s">
        <v>34</v>
      </c>
      <c r="E965" s="26" t="s">
        <v>22</v>
      </c>
      <c r="F965" s="26" t="s">
        <v>1083</v>
      </c>
      <c r="G965" s="26" t="s">
        <v>449</v>
      </c>
      <c r="H965" s="26" t="s">
        <v>1084</v>
      </c>
      <c r="I965" s="26"/>
      <c r="J965" s="26" t="s">
        <v>12</v>
      </c>
      <c r="K965" s="26" t="s">
        <v>13</v>
      </c>
      <c r="L965" s="55">
        <v>46112.407697893519</v>
      </c>
      <c r="M965" s="26"/>
    </row>
    <row r="966" spans="1:13" ht="75" customHeight="1" thickTop="1" thickBot="1">
      <c r="A966" s="26">
        <v>964</v>
      </c>
      <c r="B966" s="55">
        <v>46112.4102309027</v>
      </c>
      <c r="C966" s="56" t="s">
        <v>394</v>
      </c>
      <c r="D966" s="56" t="s">
        <v>34</v>
      </c>
      <c r="E966" s="26" t="s">
        <v>22</v>
      </c>
      <c r="F966" s="26" t="s">
        <v>800</v>
      </c>
      <c r="G966" s="26" t="s">
        <v>449</v>
      </c>
      <c r="H966" s="26" t="s">
        <v>1085</v>
      </c>
      <c r="I966" s="26"/>
      <c r="J966" s="26" t="s">
        <v>12</v>
      </c>
      <c r="K966" s="26" t="s">
        <v>13</v>
      </c>
      <c r="L966" s="55">
        <v>46112.408170115741</v>
      </c>
      <c r="M966" s="26"/>
    </row>
    <row r="967" spans="1:13" ht="75" customHeight="1" thickTop="1" thickBot="1">
      <c r="A967" s="34">
        <v>965</v>
      </c>
      <c r="B967" s="55">
        <v>46112.412369120299</v>
      </c>
      <c r="C967" s="56" t="s">
        <v>394</v>
      </c>
      <c r="D967" s="56" t="s">
        <v>34</v>
      </c>
      <c r="E967" s="26" t="s">
        <v>22</v>
      </c>
      <c r="F967" s="26" t="s">
        <v>1070</v>
      </c>
      <c r="G967" s="26" t="s">
        <v>449</v>
      </c>
      <c r="H967" s="26" t="s">
        <v>1086</v>
      </c>
      <c r="I967" s="26"/>
      <c r="J967" s="26" t="s">
        <v>12</v>
      </c>
      <c r="K967" s="26" t="s">
        <v>13</v>
      </c>
      <c r="L967" s="55">
        <v>46112.409502430557</v>
      </c>
      <c r="M967" s="26"/>
    </row>
    <row r="968" spans="1:13" ht="75" customHeight="1" thickTop="1" thickBot="1">
      <c r="A968" s="26">
        <v>966</v>
      </c>
      <c r="B968" s="55">
        <v>46112.4129012962</v>
      </c>
      <c r="C968" s="56" t="s">
        <v>394</v>
      </c>
      <c r="D968" s="56" t="s">
        <v>34</v>
      </c>
      <c r="E968" s="26" t="s">
        <v>22</v>
      </c>
      <c r="F968" s="26" t="s">
        <v>59</v>
      </c>
      <c r="G968" s="26" t="s">
        <v>113</v>
      </c>
      <c r="H968" s="26" t="s">
        <v>1087</v>
      </c>
      <c r="I968" s="26"/>
      <c r="J968" s="26" t="s">
        <v>12</v>
      </c>
      <c r="K968" s="26" t="s">
        <v>13</v>
      </c>
      <c r="L968" s="55">
        <v>46112.409489398153</v>
      </c>
      <c r="M968" s="26"/>
    </row>
    <row r="969" spans="1:13" ht="75" customHeight="1" thickTop="1" thickBot="1">
      <c r="A969" s="34">
        <v>967</v>
      </c>
      <c r="B969" s="55">
        <v>46112.414212083298</v>
      </c>
      <c r="C969" s="56" t="s">
        <v>394</v>
      </c>
      <c r="D969" s="56" t="s">
        <v>34</v>
      </c>
      <c r="E969" s="26" t="s">
        <v>22</v>
      </c>
      <c r="F969" s="26" t="s">
        <v>403</v>
      </c>
      <c r="G969" s="26" t="s">
        <v>449</v>
      </c>
      <c r="H969" s="26" t="s">
        <v>3522</v>
      </c>
      <c r="I969" s="26"/>
      <c r="J969" s="26" t="s">
        <v>12</v>
      </c>
      <c r="K969" s="26" t="s">
        <v>13</v>
      </c>
      <c r="L969" s="55">
        <v>46112.414016030089</v>
      </c>
      <c r="M969" s="26"/>
    </row>
    <row r="970" spans="1:13" ht="75" customHeight="1" thickTop="1" thickBot="1">
      <c r="A970" s="26">
        <v>968</v>
      </c>
      <c r="B970" s="55">
        <v>46112.414746238399</v>
      </c>
      <c r="C970" s="56" t="s">
        <v>394</v>
      </c>
      <c r="D970" s="56" t="s">
        <v>34</v>
      </c>
      <c r="E970" s="26" t="s">
        <v>22</v>
      </c>
      <c r="F970" s="26" t="s">
        <v>399</v>
      </c>
      <c r="G970" s="26" t="s">
        <v>449</v>
      </c>
      <c r="H970" s="26" t="s">
        <v>1088</v>
      </c>
      <c r="I970" s="26"/>
      <c r="J970" s="26" t="s">
        <v>12</v>
      </c>
      <c r="K970" s="26" t="s">
        <v>13</v>
      </c>
      <c r="L970" s="55">
        <v>46112.415192719913</v>
      </c>
      <c r="M970" s="26"/>
    </row>
    <row r="971" spans="1:13" ht="75" customHeight="1" thickTop="1" thickBot="1">
      <c r="A971" s="34">
        <v>969</v>
      </c>
      <c r="B971" s="55">
        <v>46112.415094710603</v>
      </c>
      <c r="C971" s="56" t="s">
        <v>394</v>
      </c>
      <c r="D971" s="56" t="s">
        <v>34</v>
      </c>
      <c r="E971" s="26" t="s">
        <v>22</v>
      </c>
      <c r="F971" s="26" t="s">
        <v>497</v>
      </c>
      <c r="G971" s="26" t="s">
        <v>449</v>
      </c>
      <c r="H971" s="26" t="s">
        <v>1089</v>
      </c>
      <c r="I971" s="26"/>
      <c r="J971" s="26" t="s">
        <v>12</v>
      </c>
      <c r="K971" s="26" t="s">
        <v>13</v>
      </c>
      <c r="L971" s="55">
        <v>46112.415219155097</v>
      </c>
      <c r="M971" s="26"/>
    </row>
    <row r="972" spans="1:13" ht="75" customHeight="1" thickTop="1" thickBot="1">
      <c r="A972" s="26">
        <v>970</v>
      </c>
      <c r="B972" s="55">
        <v>46112.459008726801</v>
      </c>
      <c r="C972" s="56" t="s">
        <v>394</v>
      </c>
      <c r="D972" s="56" t="s">
        <v>395</v>
      </c>
      <c r="E972" s="26" t="s">
        <v>21</v>
      </c>
      <c r="F972" s="26" t="s">
        <v>412</v>
      </c>
      <c r="G972" s="26" t="s">
        <v>1156</v>
      </c>
      <c r="H972" s="26" t="s">
        <v>3523</v>
      </c>
      <c r="I972" s="26"/>
      <c r="J972" s="26" t="s">
        <v>16</v>
      </c>
      <c r="K972" s="26" t="s">
        <v>13</v>
      </c>
      <c r="L972" s="55">
        <v>46112.782216666666</v>
      </c>
      <c r="M972" s="26"/>
    </row>
    <row r="973" spans="1:13" ht="75" customHeight="1" thickTop="1" thickBot="1">
      <c r="A973" s="34">
        <v>971</v>
      </c>
      <c r="B973" s="55">
        <v>46112.4823517361</v>
      </c>
      <c r="C973" s="56" t="s">
        <v>394</v>
      </c>
      <c r="D973" s="56" t="s">
        <v>395</v>
      </c>
      <c r="E973" s="26" t="s">
        <v>21</v>
      </c>
      <c r="F973" s="26" t="s">
        <v>399</v>
      </c>
      <c r="G973" s="26" t="s">
        <v>446</v>
      </c>
      <c r="H973" s="26" t="s">
        <v>1157</v>
      </c>
      <c r="I973" s="26"/>
      <c r="J973" s="26" t="s">
        <v>16</v>
      </c>
      <c r="K973" s="26" t="s">
        <v>13</v>
      </c>
      <c r="L973" s="55">
        <v>46112.782196851855</v>
      </c>
      <c r="M973" s="26"/>
    </row>
    <row r="974" spans="1:13" ht="75" customHeight="1" thickTop="1" thickBot="1">
      <c r="A974" s="26">
        <v>972</v>
      </c>
      <c r="B974" s="55">
        <v>46112.513120763797</v>
      </c>
      <c r="C974" s="56" t="s">
        <v>394</v>
      </c>
      <c r="D974" s="56" t="s">
        <v>395</v>
      </c>
      <c r="E974" s="26" t="s">
        <v>21</v>
      </c>
      <c r="F974" s="26" t="s">
        <v>416</v>
      </c>
      <c r="G974" s="26" t="s">
        <v>440</v>
      </c>
      <c r="H974" s="26" t="s">
        <v>664</v>
      </c>
      <c r="I974" s="26"/>
      <c r="J974" s="26" t="s">
        <v>16</v>
      </c>
      <c r="K974" s="26" t="s">
        <v>13</v>
      </c>
      <c r="L974" s="55">
        <v>46112.782177615736</v>
      </c>
      <c r="M974" s="26"/>
    </row>
    <row r="975" spans="1:13" ht="75" customHeight="1" thickTop="1" thickBot="1">
      <c r="A975" s="34">
        <v>973</v>
      </c>
      <c r="B975" s="55">
        <v>46112.513617777702</v>
      </c>
      <c r="C975" s="56" t="s">
        <v>394</v>
      </c>
      <c r="D975" s="56" t="s">
        <v>395</v>
      </c>
      <c r="E975" s="26" t="s">
        <v>21</v>
      </c>
      <c r="F975" s="26" t="s">
        <v>416</v>
      </c>
      <c r="G975" s="26" t="s">
        <v>404</v>
      </c>
      <c r="H975" s="26" t="s">
        <v>673</v>
      </c>
      <c r="I975" s="26"/>
      <c r="J975" s="26" t="s">
        <v>14</v>
      </c>
      <c r="K975" s="26" t="s">
        <v>13</v>
      </c>
      <c r="L975" s="55">
        <v>46112.53504318287</v>
      </c>
      <c r="M975" s="26"/>
    </row>
    <row r="976" spans="1:13" ht="75" customHeight="1" thickTop="1" thickBot="1">
      <c r="A976" s="26">
        <v>974</v>
      </c>
      <c r="B976" s="55">
        <v>46112.514115081001</v>
      </c>
      <c r="C976" s="56" t="s">
        <v>394</v>
      </c>
      <c r="D976" s="56" t="s">
        <v>395</v>
      </c>
      <c r="E976" s="26" t="s">
        <v>21</v>
      </c>
      <c r="F976" s="26" t="s">
        <v>416</v>
      </c>
      <c r="G976" s="26" t="s">
        <v>439</v>
      </c>
      <c r="H976" s="26" t="s">
        <v>876</v>
      </c>
      <c r="I976" s="26"/>
      <c r="J976" s="26" t="s">
        <v>16</v>
      </c>
      <c r="K976" s="26" t="s">
        <v>13</v>
      </c>
      <c r="L976" s="55">
        <v>46112.782153391207</v>
      </c>
      <c r="M976" s="26"/>
    </row>
    <row r="977" spans="1:13" ht="75" customHeight="1" thickTop="1" thickBot="1">
      <c r="A977" s="34">
        <v>975</v>
      </c>
      <c r="B977" s="55">
        <v>46112.514682303197</v>
      </c>
      <c r="C977" s="56" t="s">
        <v>394</v>
      </c>
      <c r="D977" s="56" t="s">
        <v>395</v>
      </c>
      <c r="E977" s="26" t="s">
        <v>21</v>
      </c>
      <c r="F977" s="26" t="s">
        <v>416</v>
      </c>
      <c r="G977" s="26" t="s">
        <v>439</v>
      </c>
      <c r="H977" s="26" t="s">
        <v>1158</v>
      </c>
      <c r="I977" s="26"/>
      <c r="J977" s="26" t="s">
        <v>16</v>
      </c>
      <c r="K977" s="26" t="s">
        <v>13</v>
      </c>
      <c r="L977" s="55">
        <v>46112.78213324074</v>
      </c>
      <c r="M977" s="26"/>
    </row>
    <row r="978" spans="1:13" ht="75" customHeight="1" thickTop="1" thickBot="1">
      <c r="A978" s="26">
        <v>976</v>
      </c>
      <c r="B978" s="55">
        <v>46112.516164872599</v>
      </c>
      <c r="C978" s="56" t="s">
        <v>394</v>
      </c>
      <c r="D978" s="56" t="s">
        <v>395</v>
      </c>
      <c r="E978" s="26" t="s">
        <v>21</v>
      </c>
      <c r="F978" s="26" t="s">
        <v>481</v>
      </c>
      <c r="G978" s="26" t="s">
        <v>3524</v>
      </c>
      <c r="H978" s="26" t="s">
        <v>3525</v>
      </c>
      <c r="I978" s="26"/>
      <c r="J978" s="26" t="s">
        <v>14</v>
      </c>
      <c r="K978" s="26" t="s">
        <v>13</v>
      </c>
      <c r="L978" s="55">
        <v>46112.534525138894</v>
      </c>
      <c r="M978" s="26"/>
    </row>
    <row r="979" spans="1:13" ht="75" customHeight="1" thickTop="1" thickBot="1">
      <c r="A979" s="34">
        <v>977</v>
      </c>
      <c r="B979" s="55">
        <v>46112.5167876388</v>
      </c>
      <c r="C979" s="56" t="s">
        <v>394</v>
      </c>
      <c r="D979" s="56" t="s">
        <v>395</v>
      </c>
      <c r="E979" s="26" t="s">
        <v>21</v>
      </c>
      <c r="F979" s="26" t="s">
        <v>416</v>
      </c>
      <c r="G979" s="26" t="s">
        <v>446</v>
      </c>
      <c r="H979" s="26" t="s">
        <v>985</v>
      </c>
      <c r="I979" s="26"/>
      <c r="J979" s="26" t="s">
        <v>15</v>
      </c>
      <c r="K979" s="26" t="s">
        <v>13</v>
      </c>
      <c r="L979" s="55">
        <v>46112.53466203704</v>
      </c>
      <c r="M979" s="26"/>
    </row>
    <row r="980" spans="1:13" ht="75" customHeight="1" thickTop="1" thickBot="1">
      <c r="A980" s="26">
        <v>978</v>
      </c>
      <c r="B980" s="55">
        <v>46112.519043506902</v>
      </c>
      <c r="C980" s="56" t="s">
        <v>394</v>
      </c>
      <c r="D980" s="56" t="s">
        <v>395</v>
      </c>
      <c r="E980" s="26" t="s">
        <v>21</v>
      </c>
      <c r="F980" s="26" t="s">
        <v>411</v>
      </c>
      <c r="G980" s="26" t="s">
        <v>1159</v>
      </c>
      <c r="H980" s="26" t="s">
        <v>1160</v>
      </c>
      <c r="I980" s="26"/>
      <c r="J980" s="26" t="s">
        <v>16</v>
      </c>
      <c r="K980" s="26" t="s">
        <v>13</v>
      </c>
      <c r="L980" s="55">
        <v>46112.782102557874</v>
      </c>
      <c r="M980" s="26"/>
    </row>
    <row r="981" spans="1:13" ht="75" customHeight="1" thickTop="1" thickBot="1">
      <c r="A981" s="34">
        <v>979</v>
      </c>
      <c r="B981" s="55">
        <v>46112.555317395803</v>
      </c>
      <c r="C981" s="56" t="s">
        <v>394</v>
      </c>
      <c r="D981" s="56" t="s">
        <v>395</v>
      </c>
      <c r="E981" s="26" t="s">
        <v>21</v>
      </c>
      <c r="F981" s="26" t="s">
        <v>447</v>
      </c>
      <c r="G981" s="26" t="s">
        <v>404</v>
      </c>
      <c r="H981" s="26" t="s">
        <v>1161</v>
      </c>
      <c r="I981" s="26"/>
      <c r="J981" s="26" t="s">
        <v>16</v>
      </c>
      <c r="K981" s="26" t="s">
        <v>13</v>
      </c>
      <c r="L981" s="55">
        <v>46112.555731701388</v>
      </c>
      <c r="M981" s="26"/>
    </row>
    <row r="982" spans="1:13" ht="75" customHeight="1" thickTop="1" thickBot="1">
      <c r="A982" s="26">
        <v>980</v>
      </c>
      <c r="B982" s="55">
        <v>46112.555643460597</v>
      </c>
      <c r="C982" s="56" t="s">
        <v>394</v>
      </c>
      <c r="D982" s="56" t="s">
        <v>395</v>
      </c>
      <c r="E982" s="26" t="s">
        <v>21</v>
      </c>
      <c r="F982" s="26" t="s">
        <v>481</v>
      </c>
      <c r="G982" s="26" t="s">
        <v>442</v>
      </c>
      <c r="H982" s="26" t="s">
        <v>1162</v>
      </c>
      <c r="I982" s="26"/>
      <c r="J982" s="26" t="s">
        <v>16</v>
      </c>
      <c r="K982" s="26" t="s">
        <v>13</v>
      </c>
      <c r="L982" s="55">
        <v>46112.555743749996</v>
      </c>
      <c r="M982" s="26"/>
    </row>
    <row r="983" spans="1:13" ht="75" customHeight="1" thickTop="1" thickBot="1">
      <c r="A983" s="34">
        <v>981</v>
      </c>
      <c r="B983" s="55">
        <v>46112.590073831001</v>
      </c>
      <c r="C983" s="56" t="s">
        <v>394</v>
      </c>
      <c r="D983" s="56" t="s">
        <v>395</v>
      </c>
      <c r="E983" s="26" t="s">
        <v>21</v>
      </c>
      <c r="F983" s="26" t="s">
        <v>401</v>
      </c>
      <c r="G983" s="26" t="s">
        <v>442</v>
      </c>
      <c r="H983" s="26" t="s">
        <v>1163</v>
      </c>
      <c r="I983" s="26"/>
      <c r="J983" s="26" t="s">
        <v>16</v>
      </c>
      <c r="K983" s="26" t="s">
        <v>13</v>
      </c>
      <c r="L983" s="55"/>
      <c r="M983" s="26"/>
    </row>
    <row r="984" spans="1:13" ht="75" customHeight="1" thickTop="1" thickBot="1">
      <c r="A984" s="26">
        <v>982</v>
      </c>
      <c r="B984" s="55">
        <v>46112.599480347199</v>
      </c>
      <c r="C984" s="56" t="s">
        <v>394</v>
      </c>
      <c r="D984" s="56" t="s">
        <v>395</v>
      </c>
      <c r="E984" s="26" t="s">
        <v>21</v>
      </c>
      <c r="F984" s="26" t="s">
        <v>401</v>
      </c>
      <c r="G984" s="26" t="s">
        <v>442</v>
      </c>
      <c r="H984" s="26" t="s">
        <v>1164</v>
      </c>
      <c r="I984" s="26"/>
      <c r="J984" s="26" t="s">
        <v>16</v>
      </c>
      <c r="K984" s="26" t="s">
        <v>13</v>
      </c>
      <c r="L984" s="55"/>
      <c r="M984" s="26"/>
    </row>
    <row r="985" spans="1:13" ht="75" customHeight="1" thickTop="1" thickBot="1">
      <c r="A985" s="34">
        <v>983</v>
      </c>
      <c r="B985" s="55">
        <v>46112.601365833303</v>
      </c>
      <c r="C985" s="56" t="s">
        <v>394</v>
      </c>
      <c r="D985" s="56" t="s">
        <v>395</v>
      </c>
      <c r="E985" s="26" t="s">
        <v>21</v>
      </c>
      <c r="F985" s="26" t="s">
        <v>401</v>
      </c>
      <c r="G985" s="26" t="s">
        <v>442</v>
      </c>
      <c r="H985" s="26" t="s">
        <v>1165</v>
      </c>
      <c r="I985" s="26"/>
      <c r="J985" s="26" t="s">
        <v>16</v>
      </c>
      <c r="K985" s="26" t="s">
        <v>13</v>
      </c>
      <c r="L985" s="55"/>
      <c r="M985" s="26"/>
    </row>
    <row r="986" spans="1:13" ht="75" customHeight="1" thickTop="1" thickBot="1">
      <c r="A986" s="26">
        <v>984</v>
      </c>
      <c r="B986" s="55">
        <v>46112.602439722199</v>
      </c>
      <c r="C986" s="56" t="s">
        <v>394</v>
      </c>
      <c r="D986" s="56" t="s">
        <v>395</v>
      </c>
      <c r="E986" s="26" t="s">
        <v>21</v>
      </c>
      <c r="F986" s="26" t="s">
        <v>405</v>
      </c>
      <c r="G986" s="26" t="s">
        <v>40</v>
      </c>
      <c r="H986" s="26" t="s">
        <v>1166</v>
      </c>
      <c r="I986" s="26"/>
      <c r="J986" s="26" t="s">
        <v>16</v>
      </c>
      <c r="K986" s="26" t="s">
        <v>13</v>
      </c>
      <c r="L986" s="55"/>
      <c r="M986" s="26"/>
    </row>
    <row r="987" spans="1:13" ht="75" customHeight="1" thickTop="1" thickBot="1">
      <c r="A987" s="34">
        <v>985</v>
      </c>
      <c r="B987" s="55">
        <v>46112.603704073998</v>
      </c>
      <c r="C987" s="56" t="s">
        <v>394</v>
      </c>
      <c r="D987" s="56" t="s">
        <v>395</v>
      </c>
      <c r="E987" s="26" t="s">
        <v>21</v>
      </c>
      <c r="F987" s="26" t="s">
        <v>405</v>
      </c>
      <c r="G987" s="26" t="s">
        <v>40</v>
      </c>
      <c r="H987" s="26" t="s">
        <v>1167</v>
      </c>
      <c r="I987" s="26"/>
      <c r="J987" s="26" t="s">
        <v>16</v>
      </c>
      <c r="K987" s="26" t="s">
        <v>13</v>
      </c>
      <c r="L987" s="55"/>
      <c r="M987" s="26"/>
    </row>
    <row r="988" spans="1:13" ht="75" customHeight="1" thickTop="1" thickBot="1">
      <c r="A988" s="26">
        <v>986</v>
      </c>
      <c r="B988" s="55">
        <v>46112.606101979101</v>
      </c>
      <c r="C988" s="56" t="s">
        <v>394</v>
      </c>
      <c r="D988" s="56" t="s">
        <v>395</v>
      </c>
      <c r="E988" s="26" t="s">
        <v>21</v>
      </c>
      <c r="F988" s="26" t="s">
        <v>399</v>
      </c>
      <c r="G988" s="26" t="s">
        <v>40</v>
      </c>
      <c r="H988" s="26" t="s">
        <v>1168</v>
      </c>
      <c r="I988" s="26"/>
      <c r="J988" s="26" t="s">
        <v>16</v>
      </c>
      <c r="K988" s="26" t="s">
        <v>13</v>
      </c>
      <c r="L988" s="55"/>
      <c r="M988" s="26"/>
    </row>
    <row r="989" spans="1:13" ht="75" customHeight="1" thickTop="1" thickBot="1">
      <c r="A989" s="34">
        <v>987</v>
      </c>
      <c r="B989" s="55">
        <v>46112.606642766201</v>
      </c>
      <c r="C989" s="56" t="s">
        <v>394</v>
      </c>
      <c r="D989" s="56" t="s">
        <v>395</v>
      </c>
      <c r="E989" s="26" t="s">
        <v>21</v>
      </c>
      <c r="F989" s="26" t="s">
        <v>403</v>
      </c>
      <c r="G989" s="26" t="s">
        <v>40</v>
      </c>
      <c r="H989" s="26" t="s">
        <v>1169</v>
      </c>
      <c r="I989" s="26"/>
      <c r="J989" s="26" t="s">
        <v>16</v>
      </c>
      <c r="K989" s="26" t="s">
        <v>13</v>
      </c>
      <c r="L989" s="55"/>
      <c r="M989" s="26"/>
    </row>
    <row r="990" spans="1:13" ht="75" customHeight="1" thickTop="1" thickBot="1">
      <c r="A990" s="26">
        <v>988</v>
      </c>
      <c r="B990" s="55">
        <v>46113.270468969902</v>
      </c>
      <c r="C990" s="56" t="s">
        <v>394</v>
      </c>
      <c r="D990" s="56" t="s">
        <v>34</v>
      </c>
      <c r="E990" s="26" t="s">
        <v>22</v>
      </c>
      <c r="F990" s="26" t="s">
        <v>411</v>
      </c>
      <c r="G990" s="26" t="s">
        <v>1090</v>
      </c>
      <c r="H990" s="26" t="s">
        <v>1091</v>
      </c>
      <c r="I990" s="26"/>
      <c r="J990" s="26" t="s">
        <v>12</v>
      </c>
      <c r="K990" s="26" t="s">
        <v>13</v>
      </c>
      <c r="L990" s="55">
        <v>46113.274505451387</v>
      </c>
      <c r="M990" s="26"/>
    </row>
    <row r="991" spans="1:13" ht="75" customHeight="1" thickTop="1" thickBot="1">
      <c r="A991" s="34">
        <v>989</v>
      </c>
      <c r="B991" s="55">
        <v>46113.271084872598</v>
      </c>
      <c r="C991" s="56" t="s">
        <v>394</v>
      </c>
      <c r="D991" s="56" t="s">
        <v>34</v>
      </c>
      <c r="E991" s="26" t="s">
        <v>22</v>
      </c>
      <c r="F991" s="26" t="s">
        <v>399</v>
      </c>
      <c r="G991" s="26" t="s">
        <v>451</v>
      </c>
      <c r="H991" s="26" t="s">
        <v>1092</v>
      </c>
      <c r="I991" s="26"/>
      <c r="J991" s="26" t="s">
        <v>12</v>
      </c>
      <c r="K991" s="26" t="s">
        <v>13</v>
      </c>
      <c r="L991" s="55">
        <v>46113.274529166665</v>
      </c>
      <c r="M991" s="26"/>
    </row>
    <row r="992" spans="1:13" ht="75" customHeight="1" thickTop="1" thickBot="1">
      <c r="A992" s="26">
        <v>990</v>
      </c>
      <c r="B992" s="55">
        <v>46113.271814432803</v>
      </c>
      <c r="C992" s="56" t="s">
        <v>394</v>
      </c>
      <c r="D992" s="56" t="s">
        <v>34</v>
      </c>
      <c r="E992" s="26" t="s">
        <v>22</v>
      </c>
      <c r="F992" s="26" t="s">
        <v>450</v>
      </c>
      <c r="G992" s="26" t="s">
        <v>449</v>
      </c>
      <c r="H992" s="26" t="s">
        <v>3526</v>
      </c>
      <c r="I992" s="26"/>
      <c r="J992" s="26" t="s">
        <v>12</v>
      </c>
      <c r="K992" s="26" t="s">
        <v>13</v>
      </c>
      <c r="L992" s="55">
        <v>46113.274549085647</v>
      </c>
      <c r="M992" s="26"/>
    </row>
    <row r="993" spans="1:13" ht="75" customHeight="1" thickTop="1" thickBot="1">
      <c r="A993" s="34">
        <v>991</v>
      </c>
      <c r="B993" s="55">
        <v>46113.2721301157</v>
      </c>
      <c r="C993" s="56" t="s">
        <v>394</v>
      </c>
      <c r="D993" s="56" t="s">
        <v>34</v>
      </c>
      <c r="E993" s="26" t="s">
        <v>22</v>
      </c>
      <c r="F993" s="26" t="s">
        <v>405</v>
      </c>
      <c r="G993" s="26" t="s">
        <v>449</v>
      </c>
      <c r="H993" s="26" t="s">
        <v>1093</v>
      </c>
      <c r="I993" s="26"/>
      <c r="J993" s="26" t="s">
        <v>12</v>
      </c>
      <c r="K993" s="26" t="s">
        <v>13</v>
      </c>
      <c r="L993" s="55">
        <v>46113.274543217594</v>
      </c>
      <c r="M993" s="26"/>
    </row>
    <row r="994" spans="1:13" ht="75" customHeight="1" thickTop="1" thickBot="1">
      <c r="A994" s="26">
        <v>992</v>
      </c>
      <c r="B994" s="55">
        <v>46113.272291492998</v>
      </c>
      <c r="C994" s="56" t="s">
        <v>394</v>
      </c>
      <c r="D994" s="56" t="s">
        <v>34</v>
      </c>
      <c r="E994" s="26" t="s">
        <v>22</v>
      </c>
      <c r="F994" s="26" t="s">
        <v>411</v>
      </c>
      <c r="G994" s="26" t="s">
        <v>449</v>
      </c>
      <c r="H994" s="26" t="s">
        <v>1093</v>
      </c>
      <c r="I994" s="26"/>
      <c r="J994" s="26" t="s">
        <v>12</v>
      </c>
      <c r="K994" s="26" t="s">
        <v>13</v>
      </c>
      <c r="L994" s="55">
        <v>46113.274554270829</v>
      </c>
      <c r="M994" s="26"/>
    </row>
    <row r="995" spans="1:13" ht="75" customHeight="1" thickTop="1" thickBot="1">
      <c r="A995" s="34">
        <v>993</v>
      </c>
      <c r="B995" s="55">
        <v>46113.272525520799</v>
      </c>
      <c r="C995" s="56" t="s">
        <v>394</v>
      </c>
      <c r="D995" s="56" t="s">
        <v>34</v>
      </c>
      <c r="E995" s="26" t="s">
        <v>22</v>
      </c>
      <c r="F995" s="26" t="s">
        <v>412</v>
      </c>
      <c r="G995" s="26" t="s">
        <v>449</v>
      </c>
      <c r="H995" s="26" t="s">
        <v>1093</v>
      </c>
      <c r="I995" s="26"/>
      <c r="J995" s="26" t="s">
        <v>12</v>
      </c>
      <c r="K995" s="26" t="s">
        <v>13</v>
      </c>
      <c r="L995" s="55">
        <v>46113.274558159726</v>
      </c>
      <c r="M995" s="26"/>
    </row>
    <row r="996" spans="1:13" ht="75" customHeight="1" thickTop="1" thickBot="1">
      <c r="A996" s="26">
        <v>994</v>
      </c>
      <c r="B996" s="55">
        <v>46113.272707962897</v>
      </c>
      <c r="C996" s="56" t="s">
        <v>394</v>
      </c>
      <c r="D996" s="56" t="s">
        <v>34</v>
      </c>
      <c r="E996" s="26" t="s">
        <v>22</v>
      </c>
      <c r="F996" s="26" t="s">
        <v>396</v>
      </c>
      <c r="G996" s="26" t="s">
        <v>449</v>
      </c>
      <c r="H996" s="26" t="s">
        <v>1093</v>
      </c>
      <c r="I996" s="26"/>
      <c r="J996" s="26" t="s">
        <v>12</v>
      </c>
      <c r="K996" s="26" t="s">
        <v>13</v>
      </c>
      <c r="L996" s="55">
        <v>46113.274571064816</v>
      </c>
      <c r="M996" s="26"/>
    </row>
    <row r="997" spans="1:13" ht="75" customHeight="1" thickTop="1" thickBot="1">
      <c r="A997" s="34">
        <v>995</v>
      </c>
      <c r="B997" s="55">
        <v>46113.272925069403</v>
      </c>
      <c r="C997" s="56" t="s">
        <v>394</v>
      </c>
      <c r="D997" s="56" t="s">
        <v>34</v>
      </c>
      <c r="E997" s="26" t="s">
        <v>22</v>
      </c>
      <c r="F997" s="26" t="s">
        <v>399</v>
      </c>
      <c r="G997" s="26" t="s">
        <v>449</v>
      </c>
      <c r="H997" s="26" t="s">
        <v>1093</v>
      </c>
      <c r="I997" s="26"/>
      <c r="J997" s="26" t="s">
        <v>12</v>
      </c>
      <c r="K997" s="26" t="s">
        <v>13</v>
      </c>
      <c r="L997" s="55">
        <v>46113.27456795139</v>
      </c>
      <c r="M997" s="26"/>
    </row>
    <row r="998" spans="1:13" ht="75" customHeight="1" thickTop="1" thickBot="1">
      <c r="A998" s="26">
        <v>996</v>
      </c>
      <c r="B998" s="55">
        <v>46113.273172685098</v>
      </c>
      <c r="C998" s="56" t="s">
        <v>394</v>
      </c>
      <c r="D998" s="56" t="s">
        <v>34</v>
      </c>
      <c r="E998" s="26" t="s">
        <v>22</v>
      </c>
      <c r="F998" s="26" t="s">
        <v>403</v>
      </c>
      <c r="G998" s="26" t="s">
        <v>449</v>
      </c>
      <c r="H998" s="26" t="s">
        <v>1093</v>
      </c>
      <c r="I998" s="26"/>
      <c r="J998" s="26" t="s">
        <v>12</v>
      </c>
      <c r="K998" s="26" t="s">
        <v>13</v>
      </c>
      <c r="L998" s="55">
        <v>46113.274563680556</v>
      </c>
      <c r="M998" s="26"/>
    </row>
    <row r="999" spans="1:13" ht="75" customHeight="1" thickTop="1" thickBot="1">
      <c r="A999" s="34">
        <v>997</v>
      </c>
      <c r="B999" s="55">
        <v>46113.273380405</v>
      </c>
      <c r="C999" s="56" t="s">
        <v>394</v>
      </c>
      <c r="D999" s="56" t="s">
        <v>34</v>
      </c>
      <c r="E999" s="26" t="s">
        <v>22</v>
      </c>
      <c r="F999" s="26" t="s">
        <v>401</v>
      </c>
      <c r="G999" s="26" t="s">
        <v>449</v>
      </c>
      <c r="H999" s="26" t="s">
        <v>1093</v>
      </c>
      <c r="I999" s="26"/>
      <c r="J999" s="26" t="s">
        <v>12</v>
      </c>
      <c r="K999" s="26" t="s">
        <v>13</v>
      </c>
      <c r="L999" s="55">
        <v>46113.274575937496</v>
      </c>
      <c r="M999" s="26"/>
    </row>
    <row r="1000" spans="1:13" ht="75" customHeight="1" thickTop="1" thickBot="1">
      <c r="A1000" s="26">
        <v>998</v>
      </c>
      <c r="B1000" s="55">
        <v>46113.273619375002</v>
      </c>
      <c r="C1000" s="56" t="s">
        <v>394</v>
      </c>
      <c r="D1000" s="56" t="s">
        <v>34</v>
      </c>
      <c r="E1000" s="26" t="s">
        <v>22</v>
      </c>
      <c r="F1000" s="26" t="s">
        <v>413</v>
      </c>
      <c r="G1000" s="26" t="s">
        <v>449</v>
      </c>
      <c r="H1000" s="26" t="s">
        <v>1093</v>
      </c>
      <c r="I1000" s="26"/>
      <c r="J1000" s="26" t="s">
        <v>12</v>
      </c>
      <c r="K1000" s="26" t="s">
        <v>13</v>
      </c>
      <c r="L1000" s="55">
        <v>46113.274583321763</v>
      </c>
      <c r="M1000" s="26"/>
    </row>
    <row r="1001" spans="1:13" ht="75" customHeight="1" thickTop="1" thickBot="1">
      <c r="A1001" s="34">
        <v>999</v>
      </c>
      <c r="B1001" s="55">
        <v>46113.273967523099</v>
      </c>
      <c r="C1001" s="56" t="s">
        <v>394</v>
      </c>
      <c r="D1001" s="56" t="s">
        <v>34</v>
      </c>
      <c r="E1001" s="26" t="s">
        <v>22</v>
      </c>
      <c r="F1001" s="26" t="s">
        <v>416</v>
      </c>
      <c r="G1001" s="26" t="s">
        <v>449</v>
      </c>
      <c r="H1001" s="26" t="s">
        <v>1093</v>
      </c>
      <c r="I1001" s="26"/>
      <c r="J1001" s="26" t="s">
        <v>12</v>
      </c>
      <c r="K1001" s="26" t="s">
        <v>13</v>
      </c>
      <c r="L1001" s="55"/>
      <c r="M1001" s="26"/>
    </row>
    <row r="1002" spans="1:13" ht="75" customHeight="1" thickTop="1" thickBot="1">
      <c r="A1002" s="26">
        <v>1000</v>
      </c>
      <c r="B1002" s="57">
        <v>46113.2741934722</v>
      </c>
      <c r="C1002" s="58" t="s">
        <v>394</v>
      </c>
      <c r="D1002" s="58" t="s">
        <v>34</v>
      </c>
      <c r="E1002" s="48" t="s">
        <v>22</v>
      </c>
      <c r="F1002" s="48" t="s">
        <v>447</v>
      </c>
      <c r="G1002" s="48" t="s">
        <v>449</v>
      </c>
      <c r="H1002" s="48" t="s">
        <v>1093</v>
      </c>
      <c r="I1002" s="48"/>
      <c r="J1002" s="48" t="s">
        <v>12</v>
      </c>
      <c r="K1002" s="48" t="s">
        <v>13</v>
      </c>
      <c r="L1002" s="57">
        <v>46113.274596296294</v>
      </c>
      <c r="M1002" s="48"/>
    </row>
    <row r="1003" spans="1:13" ht="75" customHeight="1" thickTop="1" thickBot="1">
      <c r="A1003" s="31">
        <v>1001</v>
      </c>
      <c r="B1003" s="2"/>
      <c r="C1003" s="3"/>
      <c r="D1003" s="3"/>
      <c r="E1003" s="4"/>
      <c r="F1003" s="43"/>
      <c r="G1003" s="4"/>
      <c r="H1003" s="30"/>
      <c r="I1003" s="4"/>
      <c r="J1003" s="26"/>
      <c r="K1003" s="27"/>
      <c r="L1003" s="2"/>
      <c r="M1003" s="24"/>
    </row>
    <row r="1004" spans="1:13" ht="75" customHeight="1" thickTop="1" thickBot="1">
      <c r="A1004" s="4">
        <v>1002</v>
      </c>
      <c r="B1004" s="2"/>
      <c r="C1004" s="3"/>
      <c r="D1004" s="3"/>
      <c r="E1004" s="4"/>
      <c r="F1004" s="43"/>
      <c r="G1004" s="4"/>
      <c r="H1004" s="30"/>
      <c r="I1004" s="4"/>
      <c r="J1004" s="26"/>
      <c r="K1004" s="27"/>
      <c r="L1004" s="2"/>
      <c r="M1004" s="24"/>
    </row>
    <row r="1005" spans="1:13" ht="75" customHeight="1" thickTop="1" thickBot="1">
      <c r="A1005" s="31">
        <v>1003</v>
      </c>
      <c r="B1005" s="2"/>
      <c r="C1005" s="3"/>
      <c r="D1005" s="3"/>
      <c r="E1005" s="4"/>
      <c r="F1005" s="43"/>
      <c r="G1005" s="4"/>
      <c r="H1005" s="30"/>
      <c r="I1005" s="4"/>
      <c r="J1005" s="26"/>
      <c r="K1005" s="27"/>
      <c r="L1005" s="2"/>
      <c r="M1005" s="24"/>
    </row>
    <row r="1006" spans="1:13" ht="75" customHeight="1" thickTop="1" thickBot="1">
      <c r="A1006" s="4">
        <v>1004</v>
      </c>
      <c r="B1006" s="2"/>
      <c r="C1006" s="3"/>
      <c r="D1006" s="3"/>
      <c r="E1006" s="4"/>
      <c r="F1006" s="43"/>
      <c r="G1006" s="4"/>
      <c r="H1006" s="30"/>
      <c r="I1006" s="4"/>
      <c r="J1006" s="26"/>
      <c r="K1006" s="27"/>
      <c r="L1006" s="2"/>
      <c r="M1006" s="24"/>
    </row>
    <row r="1007" spans="1:13" ht="75" customHeight="1" thickTop="1" thickBot="1">
      <c r="A1007" s="31">
        <v>1005</v>
      </c>
      <c r="B1007" s="2"/>
      <c r="C1007" s="3"/>
      <c r="D1007" s="3"/>
      <c r="E1007" s="4"/>
      <c r="F1007" s="43"/>
      <c r="G1007" s="4"/>
      <c r="H1007" s="30"/>
      <c r="I1007" s="4"/>
      <c r="J1007" s="26"/>
      <c r="K1007" s="27"/>
      <c r="L1007" s="2"/>
      <c r="M1007" s="24"/>
    </row>
    <row r="1008" spans="1:13" ht="75" customHeight="1" thickTop="1" thickBot="1">
      <c r="A1008" s="4"/>
      <c r="B1008" s="2"/>
      <c r="C1008" s="3"/>
      <c r="D1008" s="3"/>
      <c r="E1008" s="4"/>
      <c r="F1008" s="43"/>
      <c r="G1008" s="4"/>
      <c r="H1008" s="30"/>
      <c r="I1008" s="4"/>
      <c r="J1008" s="26"/>
      <c r="K1008" s="27"/>
      <c r="L1008" s="2"/>
      <c r="M1008" s="24"/>
    </row>
    <row r="1009" spans="1:13" ht="75" customHeight="1" thickTop="1" thickBot="1">
      <c r="A1009" s="4"/>
      <c r="B1009" s="2"/>
      <c r="C1009" s="3"/>
      <c r="D1009" s="3"/>
      <c r="E1009" s="4"/>
      <c r="F1009" s="43"/>
      <c r="G1009" s="4"/>
      <c r="H1009" s="30"/>
      <c r="I1009" s="4"/>
      <c r="J1009" s="26"/>
      <c r="K1009" s="27"/>
      <c r="L1009" s="2"/>
      <c r="M1009" s="24"/>
    </row>
    <row r="1010" spans="1:13" ht="75" customHeight="1" thickTop="1" thickBot="1">
      <c r="A1010" s="4"/>
      <c r="B1010" s="2"/>
      <c r="C1010" s="3"/>
      <c r="D1010" s="3"/>
      <c r="E1010" s="4"/>
      <c r="F1010" s="43"/>
      <c r="G1010" s="4"/>
      <c r="H1010" s="30"/>
      <c r="I1010" s="4"/>
      <c r="J1010" s="26"/>
      <c r="K1010" s="27"/>
      <c r="L1010" s="2"/>
      <c r="M1010" s="24"/>
    </row>
    <row r="1011" spans="1:13" ht="75" customHeight="1" thickTop="1" thickBot="1">
      <c r="A1011" s="4"/>
      <c r="B1011" s="2"/>
      <c r="C1011" s="3"/>
      <c r="D1011" s="3"/>
      <c r="E1011" s="4"/>
      <c r="F1011" s="43"/>
      <c r="G1011" s="4"/>
      <c r="H1011" s="30"/>
      <c r="I1011" s="4"/>
      <c r="J1011" s="26"/>
      <c r="K1011" s="27"/>
      <c r="L1011" s="2"/>
      <c r="M1011" s="24"/>
    </row>
    <row r="1012" spans="1:13" ht="75" customHeight="1" thickTop="1" thickBot="1">
      <c r="A1012" s="4"/>
      <c r="B1012" s="2"/>
      <c r="C1012" s="3"/>
      <c r="D1012" s="3"/>
      <c r="E1012" s="4"/>
      <c r="F1012" s="43"/>
      <c r="G1012" s="4"/>
      <c r="H1012" s="30"/>
      <c r="I1012" s="4"/>
      <c r="J1012" s="26"/>
      <c r="K1012" s="27"/>
      <c r="L1012" s="2"/>
      <c r="M1012" s="24"/>
    </row>
    <row r="1013" spans="1:13" ht="75" customHeight="1" thickTop="1" thickBot="1">
      <c r="A1013" s="4"/>
      <c r="B1013" s="2"/>
      <c r="C1013" s="3"/>
      <c r="D1013" s="3"/>
      <c r="E1013" s="4"/>
      <c r="F1013" s="43"/>
      <c r="G1013" s="4"/>
      <c r="H1013" s="30"/>
      <c r="I1013" s="4"/>
      <c r="J1013" s="26"/>
      <c r="K1013" s="27"/>
      <c r="L1013" s="2"/>
      <c r="M1013" s="24"/>
    </row>
    <row r="1014" spans="1:13" ht="75" customHeight="1" thickTop="1" thickBot="1">
      <c r="A1014" s="4"/>
      <c r="B1014" s="2"/>
      <c r="C1014" s="3"/>
      <c r="D1014" s="3"/>
      <c r="E1014" s="4"/>
      <c r="F1014" s="43"/>
      <c r="G1014" s="4"/>
      <c r="H1014" s="30"/>
      <c r="I1014" s="4"/>
      <c r="J1014" s="26"/>
      <c r="K1014" s="27"/>
      <c r="L1014" s="2"/>
      <c r="M1014" s="24"/>
    </row>
    <row r="1015" spans="1:13" ht="75" customHeight="1" thickTop="1" thickBot="1">
      <c r="A1015" s="4"/>
      <c r="B1015" s="2"/>
      <c r="C1015" s="3"/>
      <c r="D1015" s="3"/>
      <c r="E1015" s="4"/>
      <c r="F1015" s="43"/>
      <c r="G1015" s="4"/>
      <c r="H1015" s="30"/>
      <c r="I1015" s="4"/>
      <c r="J1015" s="26"/>
      <c r="K1015" s="27"/>
      <c r="L1015" s="2"/>
      <c r="M1015" s="24"/>
    </row>
    <row r="1016" spans="1:13" ht="75" customHeight="1" thickTop="1" thickBot="1">
      <c r="A1016" s="4"/>
      <c r="B1016" s="2"/>
      <c r="C1016" s="3"/>
      <c r="D1016" s="3"/>
      <c r="E1016" s="4"/>
      <c r="F1016" s="43"/>
      <c r="G1016" s="4"/>
      <c r="H1016" s="30"/>
      <c r="I1016" s="4"/>
      <c r="J1016" s="26"/>
      <c r="K1016" s="27"/>
      <c r="L1016" s="2"/>
      <c r="M1016" s="24"/>
    </row>
    <row r="1017" spans="1:13" ht="75" customHeight="1" thickTop="1" thickBot="1">
      <c r="A1017" s="4"/>
      <c r="B1017" s="2"/>
      <c r="C1017" s="3"/>
      <c r="D1017" s="3"/>
      <c r="E1017" s="4"/>
      <c r="F1017" s="43"/>
      <c r="G1017" s="4"/>
      <c r="H1017" s="30"/>
      <c r="I1017" s="4"/>
      <c r="J1017" s="26"/>
      <c r="K1017" s="27"/>
      <c r="L1017" s="2"/>
      <c r="M1017" s="24"/>
    </row>
    <row r="1018" spans="1:13" ht="75" customHeight="1" thickTop="1" thickBot="1">
      <c r="A1018" s="4"/>
      <c r="B1018" s="2"/>
      <c r="C1018" s="3"/>
      <c r="D1018" s="3"/>
      <c r="E1018" s="4"/>
      <c r="F1018" s="43"/>
      <c r="G1018" s="4"/>
      <c r="H1018" s="30"/>
      <c r="I1018" s="4"/>
      <c r="J1018" s="26"/>
      <c r="K1018" s="27"/>
      <c r="L1018" s="2"/>
      <c r="M1018" s="24"/>
    </row>
    <row r="1019" spans="1:13" ht="75" customHeight="1" thickTop="1" thickBot="1">
      <c r="A1019" s="4"/>
      <c r="B1019" s="2"/>
      <c r="C1019" s="3"/>
      <c r="D1019" s="3"/>
      <c r="E1019" s="4"/>
      <c r="F1019" s="43"/>
      <c r="G1019" s="4"/>
      <c r="H1019" s="30"/>
      <c r="I1019" s="4"/>
      <c r="J1019" s="26"/>
      <c r="K1019" s="27"/>
      <c r="L1019" s="2"/>
      <c r="M1019" s="24"/>
    </row>
    <row r="1020" spans="1:13" ht="75" customHeight="1" thickTop="1" thickBot="1">
      <c r="A1020" s="4"/>
      <c r="B1020" s="2"/>
      <c r="C1020" s="3"/>
      <c r="D1020" s="3"/>
      <c r="E1020" s="4"/>
      <c r="F1020" s="43"/>
      <c r="G1020" s="4"/>
      <c r="H1020" s="30"/>
      <c r="I1020" s="4"/>
      <c r="J1020" s="26"/>
      <c r="K1020" s="27"/>
      <c r="L1020" s="2"/>
      <c r="M1020" s="24"/>
    </row>
    <row r="1021" spans="1:13" ht="75" customHeight="1" thickTop="1" thickBot="1">
      <c r="A1021" s="4"/>
      <c r="B1021" s="2"/>
      <c r="C1021" s="3"/>
      <c r="D1021" s="3"/>
      <c r="E1021" s="4"/>
      <c r="F1021" s="43"/>
      <c r="G1021" s="4"/>
      <c r="H1021" s="30"/>
      <c r="I1021" s="4"/>
      <c r="J1021" s="26"/>
      <c r="K1021" s="27"/>
      <c r="L1021" s="2"/>
      <c r="M1021" s="24"/>
    </row>
    <row r="1022" spans="1:13" ht="75" customHeight="1" thickTop="1" thickBot="1">
      <c r="A1022" s="4"/>
      <c r="B1022" s="2"/>
      <c r="C1022" s="3"/>
      <c r="D1022" s="3"/>
      <c r="E1022" s="4"/>
      <c r="F1022" s="43"/>
      <c r="G1022" s="4"/>
      <c r="H1022" s="30"/>
      <c r="I1022" s="4"/>
      <c r="J1022" s="26"/>
      <c r="K1022" s="27"/>
      <c r="L1022" s="2"/>
      <c r="M1022" s="24"/>
    </row>
    <row r="1023" spans="1:13" ht="75" customHeight="1" thickTop="1" thickBot="1">
      <c r="A1023" s="4"/>
      <c r="B1023" s="2"/>
      <c r="C1023" s="3"/>
      <c r="D1023" s="3"/>
      <c r="E1023" s="4"/>
      <c r="F1023" s="43"/>
      <c r="G1023" s="4"/>
      <c r="H1023" s="30"/>
      <c r="I1023" s="4"/>
      <c r="J1023" s="26"/>
      <c r="K1023" s="27"/>
      <c r="L1023" s="2"/>
      <c r="M1023" s="24"/>
    </row>
    <row r="1024" spans="1:13" ht="75" customHeight="1" thickTop="1" thickBot="1">
      <c r="A1024" s="4"/>
      <c r="B1024" s="2"/>
      <c r="C1024" s="3"/>
      <c r="D1024" s="3"/>
      <c r="E1024" s="4"/>
      <c r="F1024" s="43"/>
      <c r="G1024" s="4"/>
      <c r="H1024" s="30"/>
      <c r="I1024" s="4"/>
      <c r="J1024" s="26"/>
      <c r="K1024" s="27"/>
      <c r="L1024" s="2"/>
      <c r="M1024" s="24"/>
    </row>
    <row r="1025" spans="1:13" ht="75" customHeight="1" thickTop="1" thickBot="1">
      <c r="A1025" s="4"/>
      <c r="B1025" s="2"/>
      <c r="C1025" s="3"/>
      <c r="D1025" s="3"/>
      <c r="E1025" s="4"/>
      <c r="F1025" s="43"/>
      <c r="G1025" s="4"/>
      <c r="H1025" s="30"/>
      <c r="I1025" s="4"/>
      <c r="J1025" s="26"/>
      <c r="K1025" s="27"/>
      <c r="L1025" s="2"/>
      <c r="M1025" s="24"/>
    </row>
    <row r="1026" spans="1:13" ht="75" customHeight="1" thickTop="1" thickBot="1">
      <c r="A1026" s="4"/>
      <c r="B1026" s="2"/>
      <c r="C1026" s="3"/>
      <c r="D1026" s="3"/>
      <c r="E1026" s="4"/>
      <c r="F1026" s="43"/>
      <c r="G1026" s="4"/>
      <c r="H1026" s="30"/>
      <c r="I1026" s="4"/>
      <c r="J1026" s="26"/>
      <c r="K1026" s="27"/>
      <c r="L1026" s="2"/>
      <c r="M1026" s="24"/>
    </row>
    <row r="1027" spans="1:13" ht="75" customHeight="1" thickTop="1" thickBot="1">
      <c r="A1027" s="4"/>
      <c r="B1027" s="2"/>
      <c r="C1027" s="3"/>
      <c r="D1027" s="3"/>
      <c r="E1027" s="4"/>
      <c r="F1027" s="43"/>
      <c r="G1027" s="4"/>
      <c r="H1027" s="30"/>
      <c r="I1027" s="4"/>
      <c r="J1027" s="26"/>
      <c r="K1027" s="27"/>
      <c r="L1027" s="2"/>
      <c r="M1027" s="24"/>
    </row>
    <row r="1028" spans="1:13" ht="75" customHeight="1" thickTop="1" thickBot="1">
      <c r="A1028" s="4"/>
      <c r="B1028" s="2"/>
      <c r="C1028" s="3"/>
      <c r="D1028" s="3"/>
      <c r="E1028" s="4"/>
      <c r="F1028" s="43"/>
      <c r="G1028" s="4"/>
      <c r="H1028" s="30"/>
      <c r="I1028" s="4"/>
      <c r="J1028" s="26"/>
      <c r="K1028" s="27"/>
      <c r="L1028" s="2"/>
      <c r="M1028" s="24"/>
    </row>
    <row r="1029" spans="1:13" ht="75" customHeight="1" thickTop="1" thickBot="1">
      <c r="A1029" s="4"/>
      <c r="B1029" s="2"/>
      <c r="C1029" s="3"/>
      <c r="D1029" s="3"/>
      <c r="E1029" s="4"/>
      <c r="F1029" s="43"/>
      <c r="G1029" s="4"/>
      <c r="H1029" s="30"/>
      <c r="I1029" s="4"/>
      <c r="J1029" s="26"/>
      <c r="K1029" s="27"/>
      <c r="L1029" s="2"/>
      <c r="M1029" s="24"/>
    </row>
    <row r="1030" spans="1:13" ht="75" customHeight="1" thickTop="1" thickBot="1">
      <c r="A1030" s="4"/>
      <c r="B1030" s="2"/>
      <c r="C1030" s="3"/>
      <c r="D1030" s="3"/>
      <c r="E1030" s="4"/>
      <c r="F1030" s="43"/>
      <c r="G1030" s="4"/>
      <c r="H1030" s="30"/>
      <c r="I1030" s="4"/>
      <c r="J1030" s="26"/>
      <c r="K1030" s="27"/>
      <c r="L1030" s="2"/>
      <c r="M1030" s="24"/>
    </row>
    <row r="1031" spans="1:13" ht="75" customHeight="1" thickTop="1" thickBot="1">
      <c r="A1031" s="4"/>
      <c r="B1031" s="2"/>
      <c r="C1031" s="3"/>
      <c r="D1031" s="3"/>
      <c r="E1031" s="4"/>
      <c r="F1031" s="43"/>
      <c r="G1031" s="4"/>
      <c r="H1031" s="30"/>
      <c r="I1031" s="4"/>
      <c r="J1031" s="26"/>
      <c r="K1031" s="27"/>
      <c r="L1031" s="2"/>
      <c r="M1031" s="24"/>
    </row>
    <row r="1032" spans="1:13" ht="75" customHeight="1" thickTop="1" thickBot="1">
      <c r="A1032" s="4"/>
      <c r="B1032" s="2"/>
      <c r="C1032" s="3"/>
      <c r="D1032" s="3"/>
      <c r="E1032" s="4"/>
      <c r="F1032" s="43"/>
      <c r="G1032" s="4"/>
      <c r="H1032" s="30"/>
      <c r="I1032" s="4"/>
      <c r="J1032" s="26"/>
      <c r="K1032" s="27"/>
      <c r="L1032" s="2"/>
      <c r="M1032" s="24"/>
    </row>
    <row r="1033" spans="1:13" ht="75" customHeight="1" thickTop="1" thickBot="1">
      <c r="A1033" s="4"/>
      <c r="B1033" s="2"/>
      <c r="C1033" s="3"/>
      <c r="D1033" s="3"/>
      <c r="E1033" s="4"/>
      <c r="F1033" s="43"/>
      <c r="G1033" s="4"/>
      <c r="H1033" s="30"/>
      <c r="I1033" s="4"/>
      <c r="J1033" s="26"/>
      <c r="K1033" s="27"/>
      <c r="L1033" s="2"/>
      <c r="M1033" s="24"/>
    </row>
    <row r="1034" spans="1:13" ht="75" customHeight="1" thickTop="1" thickBot="1">
      <c r="A1034" s="4"/>
      <c r="B1034" s="2"/>
      <c r="C1034" s="3"/>
      <c r="D1034" s="3"/>
      <c r="E1034" s="4"/>
      <c r="F1034" s="43"/>
      <c r="G1034" s="4"/>
      <c r="H1034" s="30"/>
      <c r="I1034" s="4"/>
      <c r="J1034" s="26"/>
      <c r="K1034" s="27"/>
      <c r="L1034" s="2"/>
      <c r="M1034" s="24"/>
    </row>
    <row r="1035" spans="1:13" ht="75" customHeight="1" thickTop="1" thickBot="1">
      <c r="A1035" s="4"/>
      <c r="B1035" s="2"/>
      <c r="C1035" s="3"/>
      <c r="D1035" s="3"/>
      <c r="E1035" s="4"/>
      <c r="F1035" s="43"/>
      <c r="G1035" s="4"/>
      <c r="H1035" s="30"/>
      <c r="I1035" s="4"/>
      <c r="J1035" s="26"/>
      <c r="K1035" s="27"/>
      <c r="L1035" s="2"/>
      <c r="M1035" s="24"/>
    </row>
    <row r="1036" spans="1:13" ht="75" customHeight="1" thickTop="1" thickBot="1">
      <c r="A1036" s="4"/>
      <c r="B1036" s="2"/>
      <c r="C1036" s="3"/>
      <c r="D1036" s="3"/>
      <c r="E1036" s="4"/>
      <c r="F1036" s="43"/>
      <c r="G1036" s="4"/>
      <c r="H1036" s="30"/>
      <c r="I1036" s="4"/>
      <c r="J1036" s="26"/>
      <c r="K1036" s="27"/>
      <c r="L1036" s="2"/>
      <c r="M1036" s="24"/>
    </row>
    <row r="1037" spans="1:13" ht="75" customHeight="1" thickTop="1" thickBot="1">
      <c r="A1037" s="4"/>
      <c r="B1037" s="2"/>
      <c r="C1037" s="3"/>
      <c r="D1037" s="3"/>
      <c r="E1037" s="4"/>
      <c r="F1037" s="43"/>
      <c r="G1037" s="4"/>
      <c r="H1037" s="30"/>
      <c r="I1037" s="4"/>
      <c r="J1037" s="26"/>
      <c r="K1037" s="27"/>
      <c r="L1037" s="2"/>
      <c r="M1037" s="24"/>
    </row>
    <row r="1038" spans="1:13" ht="75" customHeight="1" thickTop="1" thickBot="1">
      <c r="A1038" s="4"/>
      <c r="B1038" s="2"/>
      <c r="C1038" s="3"/>
      <c r="D1038" s="3"/>
      <c r="E1038" s="4"/>
      <c r="F1038" s="43"/>
      <c r="G1038" s="4"/>
      <c r="H1038" s="30"/>
      <c r="I1038" s="4"/>
      <c r="J1038" s="26"/>
      <c r="K1038" s="27"/>
      <c r="L1038" s="2"/>
      <c r="M1038" s="24"/>
    </row>
    <row r="1039" spans="1:13" ht="75" customHeight="1" thickTop="1" thickBot="1">
      <c r="A1039" s="4"/>
      <c r="B1039" s="2"/>
      <c r="C1039" s="3"/>
      <c r="D1039" s="3"/>
      <c r="E1039" s="4"/>
      <c r="F1039" s="43"/>
      <c r="G1039" s="4"/>
      <c r="H1039" s="30"/>
      <c r="I1039" s="4"/>
      <c r="J1039" s="26"/>
      <c r="K1039" s="27"/>
      <c r="L1039" s="2"/>
      <c r="M1039" s="24"/>
    </row>
    <row r="1040" spans="1:13" ht="75" customHeight="1" thickTop="1" thickBot="1">
      <c r="A1040" s="4"/>
      <c r="B1040" s="2"/>
      <c r="C1040" s="3"/>
      <c r="D1040" s="3"/>
      <c r="E1040" s="4"/>
      <c r="F1040" s="43"/>
      <c r="G1040" s="4"/>
      <c r="H1040" s="30"/>
      <c r="I1040" s="4"/>
      <c r="J1040" s="26"/>
      <c r="K1040" s="27"/>
      <c r="L1040" s="2"/>
      <c r="M1040" s="24"/>
    </row>
    <row r="1041" spans="1:13" ht="75" customHeight="1" thickTop="1" thickBot="1">
      <c r="A1041" s="4"/>
      <c r="B1041" s="2"/>
      <c r="C1041" s="3"/>
      <c r="D1041" s="3"/>
      <c r="E1041" s="4"/>
      <c r="F1041" s="43"/>
      <c r="G1041" s="4"/>
      <c r="H1041" s="30"/>
      <c r="I1041" s="4"/>
      <c r="J1041" s="26"/>
      <c r="K1041" s="27"/>
      <c r="L1041" s="2"/>
      <c r="M1041" s="24"/>
    </row>
    <row r="1042" spans="1:13" ht="75" customHeight="1" thickTop="1" thickBot="1">
      <c r="A1042" s="4"/>
      <c r="B1042" s="2"/>
      <c r="C1042" s="3"/>
      <c r="D1042" s="3"/>
      <c r="E1042" s="4"/>
      <c r="F1042" s="43"/>
      <c r="G1042" s="4"/>
      <c r="H1042" s="30"/>
      <c r="I1042" s="4"/>
      <c r="J1042" s="26"/>
      <c r="K1042" s="27"/>
      <c r="L1042" s="2"/>
      <c r="M1042" s="24"/>
    </row>
    <row r="1043" spans="1:13" ht="75" customHeight="1" thickTop="1" thickBot="1">
      <c r="A1043" s="4"/>
      <c r="B1043" s="2"/>
      <c r="C1043" s="3"/>
      <c r="D1043" s="3"/>
      <c r="E1043" s="4"/>
      <c r="F1043" s="43"/>
      <c r="G1043" s="4"/>
      <c r="H1043" s="30"/>
      <c r="I1043" s="4"/>
      <c r="J1043" s="26"/>
      <c r="K1043" s="27"/>
      <c r="L1043" s="2"/>
      <c r="M1043" s="24"/>
    </row>
    <row r="1044" spans="1:13" ht="75" customHeight="1" thickTop="1" thickBot="1">
      <c r="A1044" s="4"/>
      <c r="B1044" s="2"/>
      <c r="C1044" s="3"/>
      <c r="D1044" s="3"/>
      <c r="E1044" s="4"/>
      <c r="F1044" s="43"/>
      <c r="G1044" s="4"/>
      <c r="H1044" s="30"/>
      <c r="I1044" s="4"/>
      <c r="J1044" s="26"/>
      <c r="K1044" s="27"/>
      <c r="L1044" s="2"/>
      <c r="M1044" s="24"/>
    </row>
    <row r="1045" spans="1:13" ht="75" customHeight="1" thickTop="1" thickBot="1">
      <c r="A1045" s="4"/>
      <c r="B1045" s="2"/>
      <c r="C1045" s="3"/>
      <c r="D1045" s="3"/>
      <c r="E1045" s="4"/>
      <c r="F1045" s="43"/>
      <c r="G1045" s="4"/>
      <c r="H1045" s="30"/>
      <c r="I1045" s="4"/>
      <c r="J1045" s="26"/>
      <c r="K1045" s="27"/>
      <c r="L1045" s="2"/>
      <c r="M1045" s="24"/>
    </row>
    <row r="1046" spans="1:13" ht="75" customHeight="1" thickTop="1" thickBot="1">
      <c r="A1046" s="4"/>
      <c r="B1046" s="2"/>
      <c r="C1046" s="3"/>
      <c r="D1046" s="3"/>
      <c r="E1046" s="4"/>
      <c r="F1046" s="43"/>
      <c r="G1046" s="4"/>
      <c r="H1046" s="30"/>
      <c r="I1046" s="4"/>
      <c r="J1046" s="26"/>
      <c r="K1046" s="27"/>
      <c r="L1046" s="2"/>
      <c r="M1046" s="24"/>
    </row>
    <row r="1047" spans="1:13" ht="75" customHeight="1" thickTop="1" thickBot="1">
      <c r="A1047" s="4"/>
      <c r="B1047" s="2"/>
      <c r="C1047" s="3"/>
      <c r="D1047" s="3"/>
      <c r="E1047" s="4"/>
      <c r="F1047" s="43"/>
      <c r="G1047" s="4"/>
      <c r="H1047" s="30"/>
      <c r="I1047" s="4"/>
      <c r="J1047" s="26"/>
      <c r="K1047" s="27"/>
      <c r="L1047" s="2"/>
      <c r="M1047" s="24"/>
    </row>
    <row r="1048" spans="1:13" ht="75" customHeight="1" thickTop="1" thickBot="1">
      <c r="A1048" s="4"/>
      <c r="B1048" s="2"/>
      <c r="C1048" s="3"/>
      <c r="D1048" s="3"/>
      <c r="E1048" s="4"/>
      <c r="F1048" s="43"/>
      <c r="G1048" s="4"/>
      <c r="H1048" s="30"/>
      <c r="I1048" s="4"/>
      <c r="J1048" s="26"/>
      <c r="K1048" s="27"/>
      <c r="L1048" s="2"/>
      <c r="M1048" s="24"/>
    </row>
    <row r="1049" spans="1:13" ht="75" customHeight="1" thickTop="1" thickBot="1">
      <c r="A1049" s="4"/>
      <c r="B1049" s="2"/>
      <c r="C1049" s="3"/>
      <c r="D1049" s="3"/>
      <c r="E1049" s="4"/>
      <c r="F1049" s="43"/>
      <c r="G1049" s="4"/>
      <c r="H1049" s="30"/>
      <c r="I1049" s="4"/>
      <c r="J1049" s="26"/>
      <c r="K1049" s="27"/>
      <c r="L1049" s="2"/>
      <c r="M1049" s="24"/>
    </row>
    <row r="1050" spans="1:13" ht="75" customHeight="1" thickTop="1" thickBot="1">
      <c r="A1050" s="4"/>
      <c r="B1050" s="2"/>
      <c r="C1050" s="3"/>
      <c r="D1050" s="3"/>
      <c r="E1050" s="4"/>
      <c r="F1050" s="43"/>
      <c r="G1050" s="4"/>
      <c r="H1050" s="30"/>
      <c r="I1050" s="4"/>
      <c r="J1050" s="26"/>
      <c r="K1050" s="27"/>
      <c r="L1050" s="2"/>
      <c r="M1050" s="24"/>
    </row>
    <row r="1051" spans="1:13" ht="75" customHeight="1" thickTop="1" thickBot="1">
      <c r="A1051" s="4"/>
      <c r="B1051" s="2"/>
      <c r="C1051" s="3"/>
      <c r="D1051" s="3"/>
      <c r="E1051" s="4"/>
      <c r="F1051" s="43"/>
      <c r="G1051" s="4"/>
      <c r="H1051" s="30"/>
      <c r="I1051" s="4"/>
      <c r="J1051" s="26"/>
      <c r="K1051" s="27"/>
      <c r="L1051" s="2"/>
      <c r="M1051" s="24"/>
    </row>
    <row r="1052" spans="1:13" ht="75" customHeight="1" thickTop="1" thickBot="1">
      <c r="A1052" s="4"/>
      <c r="B1052" s="2"/>
      <c r="C1052" s="3"/>
      <c r="D1052" s="3"/>
      <c r="E1052" s="4"/>
      <c r="F1052" s="43"/>
      <c r="G1052" s="4"/>
      <c r="H1052" s="30"/>
      <c r="I1052" s="4"/>
      <c r="J1052" s="26"/>
      <c r="K1052" s="27"/>
      <c r="L1052" s="2"/>
      <c r="M1052" s="24"/>
    </row>
    <row r="1053" spans="1:13" ht="75" customHeight="1" thickTop="1" thickBot="1">
      <c r="A1053" s="4"/>
      <c r="B1053" s="2"/>
      <c r="C1053" s="3"/>
      <c r="D1053" s="3"/>
      <c r="E1053" s="4"/>
      <c r="F1053" s="43"/>
      <c r="G1053" s="4"/>
      <c r="H1053" s="30"/>
      <c r="I1053" s="4"/>
      <c r="J1053" s="26"/>
      <c r="K1053" s="27"/>
      <c r="L1053" s="2"/>
      <c r="M1053" s="24"/>
    </row>
    <row r="1054" spans="1:13" ht="75" customHeight="1" thickTop="1" thickBot="1">
      <c r="A1054" s="4"/>
      <c r="B1054" s="2"/>
      <c r="C1054" s="3"/>
      <c r="D1054" s="3"/>
      <c r="E1054" s="4"/>
      <c r="F1054" s="43"/>
      <c r="G1054" s="4"/>
      <c r="H1054" s="30"/>
      <c r="I1054" s="4"/>
      <c r="J1054" s="26"/>
      <c r="K1054" s="27"/>
      <c r="L1054" s="2"/>
      <c r="M1054" s="24"/>
    </row>
    <row r="1055" spans="1:13" ht="75" customHeight="1" thickTop="1" thickBot="1">
      <c r="A1055" s="4"/>
      <c r="B1055" s="2"/>
      <c r="C1055" s="3"/>
      <c r="D1055" s="3"/>
      <c r="E1055" s="4"/>
      <c r="F1055" s="43"/>
      <c r="G1055" s="4"/>
      <c r="H1055" s="30"/>
      <c r="I1055" s="4"/>
      <c r="J1055" s="26"/>
      <c r="K1055" s="27"/>
      <c r="L1055" s="2"/>
      <c r="M1055" s="24"/>
    </row>
    <row r="1056" spans="1:13" ht="75" customHeight="1" thickTop="1" thickBot="1">
      <c r="A1056" s="4"/>
      <c r="B1056" s="2"/>
      <c r="C1056" s="3"/>
      <c r="D1056" s="3"/>
      <c r="E1056" s="4"/>
      <c r="F1056" s="43"/>
      <c r="G1056" s="4"/>
      <c r="H1056" s="30"/>
      <c r="I1056" s="4"/>
      <c r="J1056" s="26"/>
      <c r="K1056" s="27"/>
      <c r="L1056" s="2"/>
      <c r="M1056" s="24"/>
    </row>
    <row r="1057" spans="1:13" ht="75" customHeight="1" thickTop="1" thickBot="1">
      <c r="A1057" s="4"/>
      <c r="B1057" s="2"/>
      <c r="C1057" s="3"/>
      <c r="D1057" s="3"/>
      <c r="E1057" s="4"/>
      <c r="F1057" s="43"/>
      <c r="G1057" s="4"/>
      <c r="H1057" s="30"/>
      <c r="I1057" s="4"/>
      <c r="J1057" s="26"/>
      <c r="K1057" s="27"/>
      <c r="L1057" s="2"/>
      <c r="M1057" s="24"/>
    </row>
    <row r="1058" spans="1:13" ht="75" customHeight="1" thickTop="1" thickBot="1">
      <c r="A1058" s="4"/>
      <c r="B1058" s="2"/>
      <c r="C1058" s="3"/>
      <c r="D1058" s="3"/>
      <c r="E1058" s="4"/>
      <c r="F1058" s="43"/>
      <c r="G1058" s="4"/>
      <c r="H1058" s="30"/>
      <c r="I1058" s="4"/>
      <c r="J1058" s="26"/>
      <c r="K1058" s="27"/>
      <c r="L1058" s="2"/>
      <c r="M1058" s="24"/>
    </row>
    <row r="1059" spans="1:13" ht="75" customHeight="1" thickTop="1" thickBot="1">
      <c r="A1059" s="4"/>
      <c r="B1059" s="2"/>
      <c r="C1059" s="3"/>
      <c r="D1059" s="3"/>
      <c r="E1059" s="4"/>
      <c r="F1059" s="43"/>
      <c r="G1059" s="4"/>
      <c r="H1059" s="30"/>
      <c r="I1059" s="4"/>
      <c r="J1059" s="26"/>
      <c r="K1059" s="27"/>
      <c r="L1059" s="2"/>
      <c r="M1059" s="24"/>
    </row>
    <row r="1060" spans="1:13" ht="75" customHeight="1" thickTop="1" thickBot="1">
      <c r="A1060" s="4"/>
      <c r="B1060" s="2"/>
      <c r="C1060" s="3"/>
      <c r="D1060" s="3"/>
      <c r="E1060" s="4"/>
      <c r="F1060" s="43"/>
      <c r="G1060" s="4"/>
      <c r="H1060" s="30"/>
      <c r="I1060" s="4"/>
      <c r="J1060" s="26"/>
      <c r="K1060" s="27"/>
      <c r="L1060" s="2"/>
      <c r="M1060" s="24"/>
    </row>
    <row r="1061" spans="1:13" ht="75" customHeight="1" thickTop="1" thickBot="1">
      <c r="A1061" s="4"/>
      <c r="B1061" s="2"/>
      <c r="C1061" s="3"/>
      <c r="D1061" s="3"/>
      <c r="E1061" s="4"/>
      <c r="F1061" s="43"/>
      <c r="G1061" s="4"/>
      <c r="H1061" s="30"/>
      <c r="I1061" s="4"/>
      <c r="J1061" s="26"/>
      <c r="K1061" s="27"/>
      <c r="L1061" s="2"/>
      <c r="M1061" s="24"/>
    </row>
    <row r="1062" spans="1:13" ht="75" customHeight="1" thickTop="1" thickBot="1">
      <c r="A1062" s="4"/>
      <c r="B1062" s="2"/>
      <c r="C1062" s="3"/>
      <c r="D1062" s="3"/>
      <c r="E1062" s="4"/>
      <c r="F1062" s="43"/>
      <c r="G1062" s="4"/>
      <c r="H1062" s="30"/>
      <c r="I1062" s="4"/>
      <c r="J1062" s="26"/>
      <c r="K1062" s="27"/>
      <c r="L1062" s="2"/>
      <c r="M1062" s="24"/>
    </row>
    <row r="1063" spans="1:13" ht="75" customHeight="1" thickTop="1" thickBot="1">
      <c r="A1063" s="4"/>
      <c r="B1063" s="2"/>
      <c r="C1063" s="3"/>
      <c r="D1063" s="3"/>
      <c r="E1063" s="4"/>
      <c r="F1063" s="43"/>
      <c r="G1063" s="4"/>
      <c r="H1063" s="30"/>
      <c r="I1063" s="4"/>
      <c r="J1063" s="26"/>
      <c r="K1063" s="27"/>
      <c r="L1063" s="2"/>
      <c r="M1063" s="24"/>
    </row>
    <row r="1064" spans="1:13" ht="75" customHeight="1" thickTop="1" thickBot="1">
      <c r="A1064" s="4"/>
      <c r="B1064" s="2"/>
      <c r="C1064" s="3"/>
      <c r="D1064" s="3"/>
      <c r="E1064" s="4"/>
      <c r="F1064" s="43"/>
      <c r="G1064" s="4"/>
      <c r="H1064" s="30"/>
      <c r="I1064" s="4"/>
      <c r="J1064" s="26"/>
      <c r="K1064" s="27"/>
      <c r="L1064" s="2"/>
      <c r="M1064" s="24"/>
    </row>
    <row r="1065" spans="1:13" ht="75" customHeight="1" thickTop="1" thickBot="1">
      <c r="A1065" s="4"/>
      <c r="B1065" s="2"/>
      <c r="C1065" s="3"/>
      <c r="D1065" s="3"/>
      <c r="E1065" s="4"/>
      <c r="F1065" s="43"/>
      <c r="G1065" s="4"/>
      <c r="H1065" s="30"/>
      <c r="I1065" s="4"/>
      <c r="J1065" s="26"/>
      <c r="K1065" s="27"/>
      <c r="L1065" s="2"/>
      <c r="M1065" s="24"/>
    </row>
    <row r="1066" spans="1:13" ht="75" customHeight="1" thickTop="1" thickBot="1">
      <c r="A1066" s="4"/>
      <c r="B1066" s="2"/>
      <c r="C1066" s="3"/>
      <c r="D1066" s="3"/>
      <c r="E1066" s="4"/>
      <c r="F1066" s="43"/>
      <c r="G1066" s="4"/>
      <c r="H1066" s="30"/>
      <c r="I1066" s="4"/>
      <c r="J1066" s="26"/>
      <c r="K1066" s="27"/>
      <c r="L1066" s="2"/>
      <c r="M1066" s="24"/>
    </row>
    <row r="1067" spans="1:13" ht="75" customHeight="1" thickTop="1" thickBot="1">
      <c r="A1067" s="4"/>
      <c r="B1067" s="2"/>
      <c r="C1067" s="3"/>
      <c r="D1067" s="3"/>
      <c r="E1067" s="4"/>
      <c r="F1067" s="43"/>
      <c r="G1067" s="4"/>
      <c r="H1067" s="30"/>
      <c r="I1067" s="4"/>
      <c r="J1067" s="26"/>
      <c r="K1067" s="27"/>
      <c r="L1067" s="2"/>
      <c r="M1067" s="24"/>
    </row>
    <row r="1068" spans="1:13" ht="75" customHeight="1" thickTop="1" thickBot="1">
      <c r="A1068" s="4"/>
      <c r="B1068" s="2"/>
      <c r="C1068" s="3"/>
      <c r="D1068" s="3"/>
      <c r="E1068" s="4"/>
      <c r="F1068" s="43"/>
      <c r="G1068" s="4"/>
      <c r="H1068" s="30"/>
      <c r="I1068" s="4"/>
      <c r="J1068" s="26"/>
      <c r="K1068" s="27"/>
      <c r="L1068" s="2"/>
      <c r="M1068" s="24"/>
    </row>
    <row r="1069" spans="1:13" ht="75" customHeight="1" thickTop="1" thickBot="1">
      <c r="A1069" s="4"/>
      <c r="B1069" s="2"/>
      <c r="C1069" s="3"/>
      <c r="D1069" s="3"/>
      <c r="E1069" s="4"/>
      <c r="F1069" s="43"/>
      <c r="G1069" s="4"/>
      <c r="H1069" s="30"/>
      <c r="I1069" s="4"/>
      <c r="J1069" s="26"/>
      <c r="K1069" s="27"/>
      <c r="L1069" s="2"/>
      <c r="M1069" s="24"/>
    </row>
    <row r="1070" spans="1:13" ht="75" customHeight="1" thickTop="1" thickBot="1">
      <c r="A1070" s="4"/>
      <c r="B1070" s="2"/>
      <c r="C1070" s="3"/>
      <c r="D1070" s="3"/>
      <c r="E1070" s="4"/>
      <c r="F1070" s="43"/>
      <c r="G1070" s="4"/>
      <c r="H1070" s="30"/>
      <c r="I1070" s="4"/>
      <c r="J1070" s="26"/>
      <c r="K1070" s="27"/>
      <c r="L1070" s="2"/>
      <c r="M1070" s="24"/>
    </row>
    <row r="1071" spans="1:13" ht="75" customHeight="1" thickTop="1" thickBot="1">
      <c r="A1071" s="4"/>
      <c r="B1071" s="2"/>
      <c r="C1071" s="3"/>
      <c r="D1071" s="3"/>
      <c r="E1071" s="4"/>
      <c r="F1071" s="43"/>
      <c r="G1071" s="4"/>
      <c r="H1071" s="30"/>
      <c r="I1071" s="4"/>
      <c r="J1071" s="26"/>
      <c r="K1071" s="27"/>
      <c r="L1071" s="2"/>
      <c r="M1071" s="24"/>
    </row>
    <row r="1072" spans="1:13" ht="75" customHeight="1" thickTop="1" thickBot="1">
      <c r="A1072" s="4"/>
      <c r="B1072" s="2"/>
      <c r="C1072" s="3"/>
      <c r="D1072" s="3"/>
      <c r="E1072" s="4"/>
      <c r="F1072" s="43"/>
      <c r="G1072" s="4"/>
      <c r="H1072" s="30"/>
      <c r="I1072" s="4"/>
      <c r="J1072" s="26"/>
      <c r="K1072" s="27"/>
      <c r="L1072" s="2"/>
      <c r="M1072" s="24"/>
    </row>
    <row r="1073" spans="1:13" ht="75" customHeight="1" thickTop="1" thickBot="1">
      <c r="A1073" s="4"/>
      <c r="B1073" s="2"/>
      <c r="C1073" s="3"/>
      <c r="D1073" s="3"/>
      <c r="E1073" s="4"/>
      <c r="F1073" s="43"/>
      <c r="G1073" s="4"/>
      <c r="H1073" s="30"/>
      <c r="I1073" s="4"/>
      <c r="J1073" s="26"/>
      <c r="K1073" s="27"/>
      <c r="L1073" s="2"/>
      <c r="M1073" s="24"/>
    </row>
    <row r="1074" spans="1:13" ht="75" customHeight="1" thickTop="1" thickBot="1">
      <c r="A1074" s="4"/>
      <c r="B1074" s="2"/>
      <c r="C1074" s="3"/>
      <c r="D1074" s="3"/>
      <c r="E1074" s="4"/>
      <c r="F1074" s="43"/>
      <c r="G1074" s="4"/>
      <c r="H1074" s="30"/>
      <c r="I1074" s="4"/>
      <c r="J1074" s="26"/>
      <c r="K1074" s="27"/>
      <c r="L1074" s="2"/>
      <c r="M1074" s="24"/>
    </row>
    <row r="1075" spans="1:13" ht="75" customHeight="1" thickTop="1" thickBot="1">
      <c r="A1075" s="4"/>
      <c r="B1075" s="2"/>
      <c r="C1075" s="3"/>
      <c r="D1075" s="3"/>
      <c r="E1075" s="4"/>
      <c r="F1075" s="43"/>
      <c r="G1075" s="4"/>
      <c r="H1075" s="30"/>
      <c r="I1075" s="4"/>
      <c r="J1075" s="26"/>
      <c r="K1075" s="27"/>
      <c r="L1075" s="2"/>
      <c r="M1075" s="24"/>
    </row>
    <row r="1076" spans="1:13" ht="75" customHeight="1" thickTop="1"/>
  </sheetData>
  <autoFilter ref="A2:A590" xr:uid="{00000000-0009-0000-0000-000000000000}"/>
  <conditionalFormatting sqref="B3:B1075">
    <cfRule type="expression" dxfId="67" priority="3">
      <formula>AND($B3&lt;&gt;"", TRIM($K3)="")</formula>
    </cfRule>
    <cfRule type="expression" dxfId="66" priority="4">
      <formula>INT($B3) &lt; TODAY()</formula>
    </cfRule>
    <cfRule type="expression" dxfId="65" priority="5">
      <formula>INT($B3) = TODAY()</formula>
    </cfRule>
  </conditionalFormatting>
  <conditionalFormatting sqref="K1:K1048576">
    <cfRule type="containsText" dxfId="64" priority="1" operator="containsText" text="منجز">
      <formula>NOT(ISERROR(SEARCH("منجز",K1)))</formula>
    </cfRule>
    <cfRule type="containsText" dxfId="63" priority="2" operator="containsText" text="منجز">
      <formula>NOT(ISERROR(SEARCH("منجز",K1)))</formula>
    </cfRule>
  </conditionalFormatting>
  <dataValidations disablePrompts="1" count="2">
    <dataValidation type="list" allowBlank="1" sqref="J3:J1002" xr:uid="{1EC3273F-44BC-46E8-8F8D-60D440E164CF}">
      <formula1>#REF!</formula1>
    </dataValidation>
    <dataValidation type="list" allowBlank="1" sqref="K3:K1002" xr:uid="{B13FA9F1-64E7-45CF-9D50-B273A6447221}">
      <formula1>"منجز,ملغي,تابع للتربية,مؤجل"</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605C1-83F9-4084-8473-869CFE4F6334}">
  <sheetPr>
    <tabColor rgb="FF2ECC71"/>
    <outlinePr summaryBelow="0" summaryRight="0"/>
    <pageSetUpPr fitToPage="1"/>
  </sheetPr>
  <dimension ref="A1:N1076"/>
  <sheetViews>
    <sheetView showGridLines="0" zoomScale="70" zoomScaleNormal="70" workbookViewId="0">
      <pane ySplit="2" topLeftCell="A3" activePane="bottomLeft" state="frozen"/>
      <selection activeCell="H213" sqref="H213"/>
      <selection pane="bottomLeft" activeCell="O3" sqref="O3"/>
    </sheetView>
  </sheetViews>
  <sheetFormatPr defaultColWidth="12.5546875" defaultRowHeight="15.75" customHeight="1"/>
  <cols>
    <col min="1" max="1" width="9.33203125" style="25" customWidth="1"/>
    <col min="2" max="2" width="24.88671875" bestFit="1" customWidth="1"/>
    <col min="3" max="4" width="6" customWidth="1"/>
    <col min="5" max="5" width="13" style="25" customWidth="1"/>
    <col min="6" max="6" width="45.33203125" style="25" bestFit="1" customWidth="1"/>
    <col min="7" max="7" width="25.109375" style="25" customWidth="1"/>
    <col min="8" max="8" width="55.33203125" style="51" customWidth="1"/>
    <col min="9" max="9" width="18.88671875" style="25" customWidth="1"/>
    <col min="10" max="10" width="10.6640625" style="25" customWidth="1"/>
    <col min="11" max="11" width="10" style="25" customWidth="1"/>
    <col min="12" max="12" width="25" style="25" bestFit="1" customWidth="1"/>
    <col min="13" max="13" width="18.88671875" style="28" customWidth="1"/>
    <col min="14" max="14" width="15.109375" hidden="1" customWidth="1"/>
  </cols>
  <sheetData>
    <row r="1" spans="1:14" ht="99.9" customHeight="1" thickBot="1">
      <c r="M1" s="25"/>
    </row>
    <row r="2" spans="1:14" ht="50.1" customHeight="1" thickTop="1" thickBot="1">
      <c r="A2" s="37" t="s">
        <v>112</v>
      </c>
      <c r="B2" s="37" t="s">
        <v>0</v>
      </c>
      <c r="C2" s="38" t="s">
        <v>1</v>
      </c>
      <c r="D2" s="38" t="s">
        <v>2</v>
      </c>
      <c r="E2" s="37" t="s">
        <v>3</v>
      </c>
      <c r="F2" s="37" t="s">
        <v>4</v>
      </c>
      <c r="G2" s="37" t="s">
        <v>18</v>
      </c>
      <c r="H2" s="50" t="s">
        <v>5</v>
      </c>
      <c r="I2" s="37" t="s">
        <v>6</v>
      </c>
      <c r="J2" s="40" t="s">
        <v>7</v>
      </c>
      <c r="K2" s="40" t="s">
        <v>8</v>
      </c>
      <c r="L2" s="40" t="s">
        <v>9</v>
      </c>
      <c r="M2" s="41" t="s">
        <v>10</v>
      </c>
      <c r="N2" s="1" t="s">
        <v>11</v>
      </c>
    </row>
    <row r="3" spans="1:14" ht="100.2" customHeight="1" thickTop="1" thickBot="1">
      <c r="A3" s="31">
        <v>1</v>
      </c>
      <c r="B3" s="32">
        <v>45963.353289282401</v>
      </c>
      <c r="C3" s="33" t="s">
        <v>394</v>
      </c>
      <c r="D3" s="33" t="s">
        <v>1200</v>
      </c>
      <c r="E3" s="31" t="s">
        <v>21</v>
      </c>
      <c r="F3" s="42" t="s">
        <v>396</v>
      </c>
      <c r="G3" s="31" t="s">
        <v>1201</v>
      </c>
      <c r="H3" s="42" t="s">
        <v>1202</v>
      </c>
      <c r="I3" s="31"/>
      <c r="J3" s="34" t="s">
        <v>15</v>
      </c>
      <c r="K3" s="35" t="s">
        <v>13</v>
      </c>
      <c r="L3" s="32">
        <v>45963.367684895835</v>
      </c>
      <c r="M3" s="36"/>
      <c r="N3" s="4" t="s">
        <v>121</v>
      </c>
    </row>
    <row r="4" spans="1:14" ht="100.2" customHeight="1" thickTop="1" thickBot="1">
      <c r="A4" s="4">
        <v>2</v>
      </c>
      <c r="B4" s="2">
        <v>45964.338396446699</v>
      </c>
      <c r="C4" s="3" t="s">
        <v>394</v>
      </c>
      <c r="D4" s="3" t="s">
        <v>1200</v>
      </c>
      <c r="E4" s="4" t="s">
        <v>21</v>
      </c>
      <c r="F4" s="43" t="s">
        <v>396</v>
      </c>
      <c r="G4" s="4" t="s">
        <v>1203</v>
      </c>
      <c r="H4" s="43" t="s">
        <v>1204</v>
      </c>
      <c r="I4" s="4"/>
      <c r="J4" s="26" t="s">
        <v>15</v>
      </c>
      <c r="K4" s="27" t="s">
        <v>13</v>
      </c>
      <c r="L4" s="2">
        <v>45964.360687835651</v>
      </c>
      <c r="M4" s="24"/>
      <c r="N4" s="4" t="s">
        <v>121</v>
      </c>
    </row>
    <row r="5" spans="1:14" ht="100.2" customHeight="1" thickTop="1" thickBot="1">
      <c r="A5" s="31">
        <v>3</v>
      </c>
      <c r="B5" s="2">
        <v>45964.548432823998</v>
      </c>
      <c r="C5" s="3" t="s">
        <v>394</v>
      </c>
      <c r="D5" s="3" t="s">
        <v>1200</v>
      </c>
      <c r="E5" s="4" t="s">
        <v>21</v>
      </c>
      <c r="F5" s="43" t="s">
        <v>396</v>
      </c>
      <c r="G5" s="4" t="s">
        <v>1205</v>
      </c>
      <c r="H5" s="43" t="s">
        <v>1206</v>
      </c>
      <c r="I5" s="4"/>
      <c r="J5" s="26" t="s">
        <v>15</v>
      </c>
      <c r="K5" s="27" t="s">
        <v>13</v>
      </c>
      <c r="L5" s="2">
        <v>45964.592914097222</v>
      </c>
      <c r="M5" s="24"/>
      <c r="N5" s="4" t="s">
        <v>121</v>
      </c>
    </row>
    <row r="6" spans="1:14" ht="100.2" customHeight="1" thickTop="1" thickBot="1">
      <c r="A6" s="4">
        <v>4</v>
      </c>
      <c r="B6" s="2">
        <v>45973.323378993002</v>
      </c>
      <c r="C6" s="3" t="s">
        <v>394</v>
      </c>
      <c r="D6" s="3" t="s">
        <v>410</v>
      </c>
      <c r="E6" s="4" t="s">
        <v>22</v>
      </c>
      <c r="F6" s="43" t="s">
        <v>396</v>
      </c>
      <c r="G6" s="4" t="s">
        <v>36</v>
      </c>
      <c r="H6" s="43" t="s">
        <v>1207</v>
      </c>
      <c r="I6" s="4"/>
      <c r="J6" s="26" t="s">
        <v>15</v>
      </c>
      <c r="K6" s="27" t="s">
        <v>13</v>
      </c>
      <c r="L6" s="2">
        <v>45973.323516620367</v>
      </c>
      <c r="M6" s="24"/>
      <c r="N6" s="4" t="s">
        <v>121</v>
      </c>
    </row>
    <row r="7" spans="1:14" ht="100.2" customHeight="1" thickTop="1" thickBot="1">
      <c r="A7" s="31">
        <v>5</v>
      </c>
      <c r="B7" s="2">
        <v>45978.4476986921</v>
      </c>
      <c r="C7" s="3" t="s">
        <v>394</v>
      </c>
      <c r="D7" s="3" t="s">
        <v>1200</v>
      </c>
      <c r="E7" s="4" t="s">
        <v>21</v>
      </c>
      <c r="F7" s="43" t="s">
        <v>396</v>
      </c>
      <c r="G7" s="4" t="s">
        <v>1208</v>
      </c>
      <c r="H7" s="43" t="s">
        <v>1209</v>
      </c>
      <c r="I7" s="4"/>
      <c r="J7" s="26" t="s">
        <v>15</v>
      </c>
      <c r="K7" s="27" t="s">
        <v>13</v>
      </c>
      <c r="L7" s="2">
        <v>45978.545575613425</v>
      </c>
      <c r="M7" s="24"/>
      <c r="N7" s="4" t="s">
        <v>121</v>
      </c>
    </row>
    <row r="8" spans="1:14" ht="100.2" customHeight="1" thickTop="1" thickBot="1">
      <c r="A8" s="4">
        <v>6</v>
      </c>
      <c r="B8" s="2">
        <v>45979.3121824884</v>
      </c>
      <c r="C8" s="3" t="s">
        <v>394</v>
      </c>
      <c r="D8" s="3" t="s">
        <v>1200</v>
      </c>
      <c r="E8" s="4" t="s">
        <v>21</v>
      </c>
      <c r="F8" s="43" t="s">
        <v>411</v>
      </c>
      <c r="G8" s="4" t="s">
        <v>40</v>
      </c>
      <c r="H8" s="43" t="s">
        <v>1210</v>
      </c>
      <c r="I8" s="4"/>
      <c r="J8" s="26" t="s">
        <v>15</v>
      </c>
      <c r="K8" s="27" t="s">
        <v>13</v>
      </c>
      <c r="L8" s="2">
        <v>45979.31229548611</v>
      </c>
      <c r="M8" s="24"/>
      <c r="N8" s="4" t="s">
        <v>121</v>
      </c>
    </row>
    <row r="9" spans="1:14" ht="100.2" customHeight="1" thickTop="1" thickBot="1">
      <c r="A9" s="31">
        <v>7</v>
      </c>
      <c r="B9" s="2">
        <v>45983.369126689802</v>
      </c>
      <c r="C9" s="3" t="s">
        <v>394</v>
      </c>
      <c r="D9" s="3" t="s">
        <v>1200</v>
      </c>
      <c r="E9" s="4" t="s">
        <v>21</v>
      </c>
      <c r="F9" s="43" t="s">
        <v>416</v>
      </c>
      <c r="G9" s="4" t="s">
        <v>1211</v>
      </c>
      <c r="H9" s="43" t="s">
        <v>1212</v>
      </c>
      <c r="I9" s="4"/>
      <c r="J9" s="26" t="s">
        <v>15</v>
      </c>
      <c r="K9" s="27" t="s">
        <v>13</v>
      </c>
      <c r="L9" s="2">
        <v>45983.452218993058</v>
      </c>
      <c r="M9" s="24"/>
      <c r="N9" s="4" t="s">
        <v>121</v>
      </c>
    </row>
    <row r="10" spans="1:14" ht="100.2" customHeight="1" thickTop="1" thickBot="1">
      <c r="A10" s="4">
        <v>8</v>
      </c>
      <c r="B10" s="2">
        <v>45983.455292742998</v>
      </c>
      <c r="C10" s="3" t="s">
        <v>394</v>
      </c>
      <c r="D10" s="3" t="s">
        <v>1200</v>
      </c>
      <c r="E10" s="4" t="s">
        <v>21</v>
      </c>
      <c r="F10" s="43" t="s">
        <v>405</v>
      </c>
      <c r="G10" s="4" t="s">
        <v>1213</v>
      </c>
      <c r="H10" s="43" t="s">
        <v>1214</v>
      </c>
      <c r="I10" s="4"/>
      <c r="J10" s="26" t="s">
        <v>15</v>
      </c>
      <c r="K10" s="27" t="s">
        <v>13</v>
      </c>
      <c r="L10" s="2">
        <v>45984.33637341435</v>
      </c>
      <c r="M10" s="24"/>
      <c r="N10" s="4" t="s">
        <v>121</v>
      </c>
    </row>
    <row r="11" spans="1:14" ht="100.2" customHeight="1" thickTop="1" thickBot="1">
      <c r="A11" s="31">
        <v>9</v>
      </c>
      <c r="B11" s="2">
        <v>45987.412844733801</v>
      </c>
      <c r="C11" s="3" t="s">
        <v>394</v>
      </c>
      <c r="D11" s="3" t="s">
        <v>1200</v>
      </c>
      <c r="E11" s="4" t="s">
        <v>21</v>
      </c>
      <c r="F11" s="43" t="s">
        <v>405</v>
      </c>
      <c r="G11" s="4" t="s">
        <v>1215</v>
      </c>
      <c r="H11" s="43" t="s">
        <v>1216</v>
      </c>
      <c r="I11" s="4"/>
      <c r="J11" s="26" t="s">
        <v>15</v>
      </c>
      <c r="K11" s="27" t="s">
        <v>13</v>
      </c>
      <c r="L11" s="2">
        <v>45988.402474074072</v>
      </c>
      <c r="M11" s="24"/>
      <c r="N11" s="4" t="s">
        <v>121</v>
      </c>
    </row>
    <row r="12" spans="1:14" ht="100.2" customHeight="1" thickTop="1" thickBot="1">
      <c r="A12" s="4">
        <v>10</v>
      </c>
      <c r="B12" s="2">
        <v>45962.566807233801</v>
      </c>
      <c r="C12" s="3" t="s">
        <v>394</v>
      </c>
      <c r="D12" s="3" t="s">
        <v>1200</v>
      </c>
      <c r="E12" s="4" t="s">
        <v>21</v>
      </c>
      <c r="F12" s="43" t="s">
        <v>401</v>
      </c>
      <c r="G12" s="4" t="s">
        <v>1217</v>
      </c>
      <c r="H12" s="43" t="s">
        <v>1218</v>
      </c>
      <c r="I12" s="4"/>
      <c r="J12" s="26" t="s">
        <v>12</v>
      </c>
      <c r="K12" s="27" t="s">
        <v>13</v>
      </c>
      <c r="L12" s="2">
        <v>45962.568106932871</v>
      </c>
      <c r="M12" s="24"/>
      <c r="N12" s="4" t="s">
        <v>121</v>
      </c>
    </row>
    <row r="13" spans="1:14" ht="100.2" customHeight="1" thickTop="1" thickBot="1">
      <c r="A13" s="31">
        <v>11</v>
      </c>
      <c r="B13" s="2">
        <v>45963.3668344791</v>
      </c>
      <c r="C13" s="3" t="s">
        <v>394</v>
      </c>
      <c r="D13" s="3" t="s">
        <v>598</v>
      </c>
      <c r="E13" s="4" t="s">
        <v>21</v>
      </c>
      <c r="F13" s="43" t="s">
        <v>405</v>
      </c>
      <c r="G13" s="4" t="s">
        <v>1219</v>
      </c>
      <c r="H13" s="43" t="s">
        <v>1220</v>
      </c>
      <c r="I13" s="4"/>
      <c r="J13" s="26" t="s">
        <v>12</v>
      </c>
      <c r="K13" s="27" t="s">
        <v>13</v>
      </c>
      <c r="L13" s="2">
        <v>45963.367004039348</v>
      </c>
      <c r="M13" s="24"/>
      <c r="N13" s="4" t="s">
        <v>121</v>
      </c>
    </row>
    <row r="14" spans="1:14" ht="100.2" customHeight="1" thickTop="1" thickBot="1">
      <c r="A14" s="4">
        <v>12</v>
      </c>
      <c r="B14" s="2">
        <v>45963.436743043902</v>
      </c>
      <c r="C14" s="3" t="s">
        <v>394</v>
      </c>
      <c r="D14" s="3" t="s">
        <v>1200</v>
      </c>
      <c r="E14" s="4" t="s">
        <v>21</v>
      </c>
      <c r="F14" s="43" t="s">
        <v>401</v>
      </c>
      <c r="G14" s="4" t="s">
        <v>1221</v>
      </c>
      <c r="H14" s="43" t="s">
        <v>1222</v>
      </c>
      <c r="I14" s="4"/>
      <c r="J14" s="26" t="s">
        <v>12</v>
      </c>
      <c r="K14" s="27" t="s">
        <v>13</v>
      </c>
      <c r="L14" s="2">
        <v>45964.345760763885</v>
      </c>
      <c r="M14" s="24"/>
      <c r="N14" s="4" t="s">
        <v>121</v>
      </c>
    </row>
    <row r="15" spans="1:14" ht="100.2" customHeight="1" thickTop="1" thickBot="1">
      <c r="A15" s="31">
        <v>13</v>
      </c>
      <c r="B15" s="2">
        <v>45964.337581041596</v>
      </c>
      <c r="C15" s="3" t="s">
        <v>394</v>
      </c>
      <c r="D15" s="3" t="s">
        <v>1200</v>
      </c>
      <c r="E15" s="4" t="s">
        <v>21</v>
      </c>
      <c r="F15" s="43" t="s">
        <v>399</v>
      </c>
      <c r="G15" s="4" t="s">
        <v>1223</v>
      </c>
      <c r="H15" s="43" t="s">
        <v>1224</v>
      </c>
      <c r="I15" s="4"/>
      <c r="J15" s="26" t="s">
        <v>12</v>
      </c>
      <c r="K15" s="27" t="s">
        <v>13</v>
      </c>
      <c r="L15" s="2">
        <v>45966.734782361113</v>
      </c>
      <c r="M15" s="24" t="s">
        <v>1225</v>
      </c>
      <c r="N15" s="4" t="s">
        <v>121</v>
      </c>
    </row>
    <row r="16" spans="1:14" ht="100.2" customHeight="1" thickTop="1" thickBot="1">
      <c r="A16" s="4">
        <v>14</v>
      </c>
      <c r="B16" s="2">
        <v>45964.548961168897</v>
      </c>
      <c r="C16" s="3" t="s">
        <v>394</v>
      </c>
      <c r="D16" s="3" t="s">
        <v>1200</v>
      </c>
      <c r="E16" s="4" t="s">
        <v>21</v>
      </c>
      <c r="F16" s="43" t="s">
        <v>399</v>
      </c>
      <c r="G16" s="4" t="s">
        <v>1226</v>
      </c>
      <c r="H16" s="43" t="s">
        <v>1224</v>
      </c>
      <c r="I16" s="4"/>
      <c r="J16" s="26" t="s">
        <v>12</v>
      </c>
      <c r="K16" s="27" t="s">
        <v>13</v>
      </c>
      <c r="L16" s="2">
        <v>45966.734952349536</v>
      </c>
      <c r="M16" s="24"/>
      <c r="N16" s="4" t="s">
        <v>121</v>
      </c>
    </row>
    <row r="17" spans="1:14" ht="100.2" customHeight="1" thickTop="1" thickBot="1">
      <c r="A17" s="31">
        <v>15</v>
      </c>
      <c r="B17" s="2">
        <v>45965.412781018502</v>
      </c>
      <c r="C17" s="3" t="s">
        <v>394</v>
      </c>
      <c r="D17" s="3" t="s">
        <v>33</v>
      </c>
      <c r="E17" s="4" t="s">
        <v>21</v>
      </c>
      <c r="F17" s="43" t="s">
        <v>1227</v>
      </c>
      <c r="G17" s="4" t="s">
        <v>1228</v>
      </c>
      <c r="H17" s="43" t="s">
        <v>1229</v>
      </c>
      <c r="I17" s="4"/>
      <c r="J17" s="26" t="s">
        <v>12</v>
      </c>
      <c r="K17" s="27" t="s">
        <v>13</v>
      </c>
      <c r="L17" s="2">
        <v>45965.414111608799</v>
      </c>
      <c r="M17" s="24"/>
      <c r="N17" s="4" t="s">
        <v>121</v>
      </c>
    </row>
    <row r="18" spans="1:14" ht="100.2" customHeight="1" thickTop="1" thickBot="1">
      <c r="A18" s="4">
        <v>16</v>
      </c>
      <c r="B18" s="2">
        <v>45965.415157395801</v>
      </c>
      <c r="C18" s="3" t="s">
        <v>394</v>
      </c>
      <c r="D18" s="3" t="s">
        <v>34</v>
      </c>
      <c r="E18" s="4" t="s">
        <v>22</v>
      </c>
      <c r="F18" s="43" t="s">
        <v>405</v>
      </c>
      <c r="G18" s="4" t="s">
        <v>442</v>
      </c>
      <c r="H18" s="43" t="s">
        <v>1230</v>
      </c>
      <c r="I18" s="4"/>
      <c r="J18" s="26" t="s">
        <v>12</v>
      </c>
      <c r="K18" s="27" t="s">
        <v>13</v>
      </c>
      <c r="L18" s="2"/>
      <c r="M18" s="24"/>
      <c r="N18" s="4" t="s">
        <v>121</v>
      </c>
    </row>
    <row r="19" spans="1:14" ht="100.2" customHeight="1" thickTop="1" thickBot="1">
      <c r="A19" s="31">
        <v>17</v>
      </c>
      <c r="B19" s="2">
        <v>45965.416183171299</v>
      </c>
      <c r="C19" s="3" t="s">
        <v>394</v>
      </c>
      <c r="D19" s="3" t="s">
        <v>34</v>
      </c>
      <c r="E19" s="4" t="s">
        <v>22</v>
      </c>
      <c r="F19" s="43" t="s">
        <v>401</v>
      </c>
      <c r="G19" s="4" t="s">
        <v>1231</v>
      </c>
      <c r="H19" s="43" t="s">
        <v>1232</v>
      </c>
      <c r="I19" s="4"/>
      <c r="J19" s="26" t="s">
        <v>12</v>
      </c>
      <c r="K19" s="27" t="s">
        <v>13</v>
      </c>
      <c r="L19" s="2"/>
      <c r="M19" s="24"/>
      <c r="N19" s="4" t="s">
        <v>121</v>
      </c>
    </row>
    <row r="20" spans="1:14" ht="100.2" customHeight="1" thickTop="1" thickBot="1">
      <c r="A20" s="4">
        <v>18</v>
      </c>
      <c r="B20" s="2">
        <v>45965.417475381902</v>
      </c>
      <c r="C20" s="3" t="s">
        <v>394</v>
      </c>
      <c r="D20" s="3" t="s">
        <v>1233</v>
      </c>
      <c r="E20" s="4" t="s">
        <v>21</v>
      </c>
      <c r="F20" s="43" t="s">
        <v>481</v>
      </c>
      <c r="G20" s="4" t="s">
        <v>1234</v>
      </c>
      <c r="H20" s="43" t="s">
        <v>1235</v>
      </c>
      <c r="I20" s="4"/>
      <c r="J20" s="26" t="s">
        <v>12</v>
      </c>
      <c r="K20" s="27" t="s">
        <v>13</v>
      </c>
      <c r="L20" s="2"/>
      <c r="M20" s="24"/>
      <c r="N20" s="4" t="s">
        <v>121</v>
      </c>
    </row>
    <row r="21" spans="1:14" ht="100.2" customHeight="1" thickTop="1" thickBot="1">
      <c r="A21" s="31">
        <v>19</v>
      </c>
      <c r="B21" s="2">
        <v>45965.418488182797</v>
      </c>
      <c r="C21" s="3" t="s">
        <v>394</v>
      </c>
      <c r="D21" s="3" t="s">
        <v>34</v>
      </c>
      <c r="E21" s="4" t="s">
        <v>22</v>
      </c>
      <c r="F21" s="43" t="s">
        <v>450</v>
      </c>
      <c r="G21" s="4" t="s">
        <v>451</v>
      </c>
      <c r="H21" s="43" t="s">
        <v>1236</v>
      </c>
      <c r="I21" s="4"/>
      <c r="J21" s="26" t="s">
        <v>12</v>
      </c>
      <c r="K21" s="27" t="s">
        <v>13</v>
      </c>
      <c r="L21" s="2"/>
      <c r="M21" s="24"/>
      <c r="N21" s="4" t="s">
        <v>121</v>
      </c>
    </row>
    <row r="22" spans="1:14" ht="100.2" customHeight="1" thickTop="1" thickBot="1">
      <c r="A22" s="4">
        <v>20</v>
      </c>
      <c r="B22" s="2">
        <v>45965.4446516319</v>
      </c>
      <c r="C22" s="3" t="s">
        <v>394</v>
      </c>
      <c r="D22" s="3" t="s">
        <v>1200</v>
      </c>
      <c r="E22" s="4" t="s">
        <v>21</v>
      </c>
      <c r="F22" s="43" t="s">
        <v>481</v>
      </c>
      <c r="G22" s="4" t="s">
        <v>25</v>
      </c>
      <c r="H22" s="43" t="s">
        <v>1237</v>
      </c>
      <c r="I22" s="4"/>
      <c r="J22" s="26" t="s">
        <v>12</v>
      </c>
      <c r="K22" s="27" t="s">
        <v>13</v>
      </c>
      <c r="L22" s="2">
        <v>45965.470227962964</v>
      </c>
      <c r="M22" s="24"/>
      <c r="N22" s="4" t="s">
        <v>121</v>
      </c>
    </row>
    <row r="23" spans="1:14" ht="100.2" customHeight="1" thickTop="1" thickBot="1">
      <c r="A23" s="31">
        <v>21</v>
      </c>
      <c r="B23" s="2">
        <v>45965.467504513799</v>
      </c>
      <c r="C23" s="3" t="s">
        <v>394</v>
      </c>
      <c r="D23" s="3" t="s">
        <v>1200</v>
      </c>
      <c r="E23" s="4" t="s">
        <v>21</v>
      </c>
      <c r="F23" s="43" t="s">
        <v>405</v>
      </c>
      <c r="G23" s="4" t="s">
        <v>1238</v>
      </c>
      <c r="H23" s="43" t="s">
        <v>1239</v>
      </c>
      <c r="I23" s="4"/>
      <c r="J23" s="26" t="s">
        <v>12</v>
      </c>
      <c r="K23" s="27" t="s">
        <v>13</v>
      </c>
      <c r="L23" s="2">
        <v>45976.461411354168</v>
      </c>
      <c r="M23" s="24" t="s">
        <v>1240</v>
      </c>
      <c r="N23" s="4" t="s">
        <v>121</v>
      </c>
    </row>
    <row r="24" spans="1:14" ht="100.2" customHeight="1" thickTop="1" thickBot="1">
      <c r="A24" s="4">
        <v>22</v>
      </c>
      <c r="B24" s="2">
        <v>45965.487635381898</v>
      </c>
      <c r="C24" s="3" t="s">
        <v>394</v>
      </c>
      <c r="D24" s="3" t="s">
        <v>1241</v>
      </c>
      <c r="E24" s="4" t="s">
        <v>22</v>
      </c>
      <c r="F24" s="43" t="s">
        <v>405</v>
      </c>
      <c r="G24" s="4" t="s">
        <v>1242</v>
      </c>
      <c r="H24" s="43" t="s">
        <v>1243</v>
      </c>
      <c r="I24" s="4"/>
      <c r="J24" s="26" t="s">
        <v>12</v>
      </c>
      <c r="K24" s="27" t="s">
        <v>13</v>
      </c>
      <c r="L24" s="2"/>
      <c r="M24" s="24" t="s">
        <v>1244</v>
      </c>
      <c r="N24" s="4"/>
    </row>
    <row r="25" spans="1:14" ht="100.2" customHeight="1" thickTop="1" thickBot="1">
      <c r="A25" s="31">
        <v>23</v>
      </c>
      <c r="B25" s="2">
        <v>45965.560053425899</v>
      </c>
      <c r="C25" s="3" t="s">
        <v>394</v>
      </c>
      <c r="D25" s="3" t="s">
        <v>1200</v>
      </c>
      <c r="E25" s="4" t="s">
        <v>21</v>
      </c>
      <c r="F25" s="43" t="s">
        <v>413</v>
      </c>
      <c r="G25" s="4" t="s">
        <v>25</v>
      </c>
      <c r="H25" s="43" t="s">
        <v>1245</v>
      </c>
      <c r="I25" s="4"/>
      <c r="J25" s="26" t="s">
        <v>12</v>
      </c>
      <c r="K25" s="27" t="s">
        <v>13</v>
      </c>
      <c r="L25" s="2">
        <v>45966.53100761574</v>
      </c>
      <c r="M25" s="24"/>
      <c r="N25" s="4"/>
    </row>
    <row r="26" spans="1:14" ht="100.2" customHeight="1" thickTop="1" thickBot="1">
      <c r="A26" s="4">
        <v>24</v>
      </c>
      <c r="B26" s="2">
        <v>45965.561203888799</v>
      </c>
      <c r="C26" s="3" t="s">
        <v>394</v>
      </c>
      <c r="D26" s="3" t="s">
        <v>1200</v>
      </c>
      <c r="E26" s="4" t="s">
        <v>21</v>
      </c>
      <c r="F26" s="43" t="s">
        <v>401</v>
      </c>
      <c r="G26" s="4" t="s">
        <v>25</v>
      </c>
      <c r="H26" s="43" t="s">
        <v>1246</v>
      </c>
      <c r="I26" s="4"/>
      <c r="J26" s="26" t="s">
        <v>12</v>
      </c>
      <c r="K26" s="27" t="s">
        <v>13</v>
      </c>
      <c r="L26" s="2">
        <v>45966.29912689815</v>
      </c>
      <c r="M26" s="24"/>
      <c r="N26" s="4"/>
    </row>
    <row r="27" spans="1:14" ht="100.2" customHeight="1" thickTop="1" thickBot="1">
      <c r="A27" s="31">
        <v>25</v>
      </c>
      <c r="B27" s="2">
        <v>45966.313237962902</v>
      </c>
      <c r="C27" s="3" t="s">
        <v>394</v>
      </c>
      <c r="D27" s="3" t="s">
        <v>1200</v>
      </c>
      <c r="E27" s="4" t="s">
        <v>21</v>
      </c>
      <c r="F27" s="43" t="s">
        <v>1226</v>
      </c>
      <c r="G27" s="4" t="s">
        <v>37</v>
      </c>
      <c r="H27" s="43" t="s">
        <v>1224</v>
      </c>
      <c r="I27" s="4"/>
      <c r="J27" s="26" t="s">
        <v>12</v>
      </c>
      <c r="K27" s="27" t="s">
        <v>13</v>
      </c>
      <c r="L27" s="2">
        <v>45966.735025497685</v>
      </c>
      <c r="M27" s="24"/>
      <c r="N27" s="4"/>
    </row>
    <row r="28" spans="1:14" ht="100.2" customHeight="1" thickTop="1" thickBot="1">
      <c r="A28" s="4">
        <v>26</v>
      </c>
      <c r="B28" s="2">
        <v>45966.319982777699</v>
      </c>
      <c r="C28" s="3" t="s">
        <v>394</v>
      </c>
      <c r="D28" s="3" t="s">
        <v>1200</v>
      </c>
      <c r="E28" s="4" t="s">
        <v>21</v>
      </c>
      <c r="F28" s="43" t="s">
        <v>1247</v>
      </c>
      <c r="G28" s="4" t="s">
        <v>37</v>
      </c>
      <c r="H28" s="43" t="s">
        <v>1224</v>
      </c>
      <c r="I28" s="4"/>
      <c r="J28" s="26" t="s">
        <v>12</v>
      </c>
      <c r="K28" s="27" t="s">
        <v>13</v>
      </c>
      <c r="L28" s="2">
        <v>45966.735078611113</v>
      </c>
      <c r="M28" s="24"/>
      <c r="N28" s="4"/>
    </row>
    <row r="29" spans="1:14" ht="100.2" customHeight="1" thickTop="1" thickBot="1">
      <c r="A29" s="31">
        <v>27</v>
      </c>
      <c r="B29" s="2">
        <v>45967.383939791602</v>
      </c>
      <c r="C29" s="3" t="s">
        <v>394</v>
      </c>
      <c r="D29" s="3" t="s">
        <v>1200</v>
      </c>
      <c r="E29" s="4" t="s">
        <v>21</v>
      </c>
      <c r="F29" s="43" t="s">
        <v>405</v>
      </c>
      <c r="G29" s="4" t="s">
        <v>1248</v>
      </c>
      <c r="H29" s="43" t="s">
        <v>1249</v>
      </c>
      <c r="I29" s="4"/>
      <c r="J29" s="26" t="s">
        <v>12</v>
      </c>
      <c r="K29" s="27" t="s">
        <v>13</v>
      </c>
      <c r="L29" s="2">
        <v>45967.423299016205</v>
      </c>
      <c r="M29" s="24"/>
      <c r="N29" s="4"/>
    </row>
    <row r="30" spans="1:14" ht="100.2" customHeight="1" thickTop="1" thickBot="1">
      <c r="A30" s="4">
        <v>28</v>
      </c>
      <c r="B30" s="2">
        <v>45967.394662337902</v>
      </c>
      <c r="C30" s="3" t="s">
        <v>394</v>
      </c>
      <c r="D30" s="3" t="s">
        <v>1200</v>
      </c>
      <c r="E30" s="4" t="s">
        <v>21</v>
      </c>
      <c r="F30" s="43" t="s">
        <v>399</v>
      </c>
      <c r="G30" s="4" t="s">
        <v>1250</v>
      </c>
      <c r="H30" s="43" t="s">
        <v>1224</v>
      </c>
      <c r="I30" s="4"/>
      <c r="J30" s="26" t="s">
        <v>12</v>
      </c>
      <c r="K30" s="27" t="s">
        <v>13</v>
      </c>
      <c r="L30" s="2">
        <v>45967.423482662038</v>
      </c>
      <c r="M30" s="24"/>
      <c r="N30" s="4"/>
    </row>
    <row r="31" spans="1:14" ht="100.2" customHeight="1" thickTop="1" thickBot="1">
      <c r="A31" s="31">
        <v>29</v>
      </c>
      <c r="B31" s="2">
        <v>45967.840405648101</v>
      </c>
      <c r="C31" s="3" t="s">
        <v>394</v>
      </c>
      <c r="D31" s="3" t="s">
        <v>1241</v>
      </c>
      <c r="E31" s="4" t="s">
        <v>22</v>
      </c>
      <c r="F31" s="43" t="s">
        <v>405</v>
      </c>
      <c r="G31" s="4" t="s">
        <v>437</v>
      </c>
      <c r="H31" s="43" t="s">
        <v>1251</v>
      </c>
      <c r="I31" s="4" t="s">
        <v>1252</v>
      </c>
      <c r="J31" s="26" t="s">
        <v>12</v>
      </c>
      <c r="K31" s="27" t="s">
        <v>13</v>
      </c>
      <c r="L31" s="2">
        <v>45967.840558298616</v>
      </c>
      <c r="M31" s="24"/>
      <c r="N31" s="4"/>
    </row>
    <row r="32" spans="1:14" ht="100.2" customHeight="1" thickTop="1" thickBot="1">
      <c r="A32" s="4">
        <v>30</v>
      </c>
      <c r="B32" s="2">
        <v>45967.8438896527</v>
      </c>
      <c r="C32" s="3" t="s">
        <v>394</v>
      </c>
      <c r="D32" s="3" t="s">
        <v>1241</v>
      </c>
      <c r="E32" s="4" t="s">
        <v>22</v>
      </c>
      <c r="F32" s="43" t="s">
        <v>447</v>
      </c>
      <c r="G32" s="4" t="s">
        <v>1253</v>
      </c>
      <c r="H32" s="43" t="s">
        <v>1254</v>
      </c>
      <c r="I32" s="4" t="s">
        <v>13</v>
      </c>
      <c r="J32" s="26" t="s">
        <v>12</v>
      </c>
      <c r="K32" s="27" t="s">
        <v>13</v>
      </c>
      <c r="L32" s="2">
        <v>45967.844245127315</v>
      </c>
      <c r="M32" s="24"/>
      <c r="N32" s="4"/>
    </row>
    <row r="33" spans="1:14" ht="100.2" customHeight="1" thickTop="1" thickBot="1">
      <c r="A33" s="31">
        <v>31</v>
      </c>
      <c r="B33" s="2">
        <v>45967.847125439803</v>
      </c>
      <c r="C33" s="3" t="s">
        <v>394</v>
      </c>
      <c r="D33" s="3" t="s">
        <v>34</v>
      </c>
      <c r="E33" s="4" t="s">
        <v>22</v>
      </c>
      <c r="F33" s="43" t="s">
        <v>1255</v>
      </c>
      <c r="G33" s="4" t="s">
        <v>1256</v>
      </c>
      <c r="H33" s="43" t="s">
        <v>1257</v>
      </c>
      <c r="I33" s="4"/>
      <c r="J33" s="26" t="s">
        <v>12</v>
      </c>
      <c r="K33" s="27" t="s">
        <v>13</v>
      </c>
      <c r="L33" s="2">
        <v>45968.62311487268</v>
      </c>
      <c r="M33" s="24"/>
      <c r="N33" s="4"/>
    </row>
    <row r="34" spans="1:14" ht="100.2" customHeight="1" thickTop="1" thickBot="1">
      <c r="A34" s="4">
        <v>32</v>
      </c>
      <c r="B34" s="2">
        <v>45969.444801481397</v>
      </c>
      <c r="C34" s="3" t="s">
        <v>394</v>
      </c>
      <c r="D34" s="3" t="s">
        <v>1258</v>
      </c>
      <c r="E34" s="4" t="s">
        <v>22</v>
      </c>
      <c r="F34" s="43" t="s">
        <v>412</v>
      </c>
      <c r="G34" s="4" t="s">
        <v>40</v>
      </c>
      <c r="H34" s="43" t="s">
        <v>1259</v>
      </c>
      <c r="I34" s="4"/>
      <c r="J34" s="26" t="s">
        <v>12</v>
      </c>
      <c r="K34" s="27" t="s">
        <v>13</v>
      </c>
      <c r="L34" s="2">
        <v>45969.446881631942</v>
      </c>
      <c r="M34" s="24"/>
      <c r="N34" s="4"/>
    </row>
    <row r="35" spans="1:14" ht="100.2" customHeight="1" thickTop="1" thickBot="1">
      <c r="A35" s="31">
        <v>33</v>
      </c>
      <c r="B35" s="2">
        <v>45969.4463087615</v>
      </c>
      <c r="C35" s="3" t="s">
        <v>394</v>
      </c>
      <c r="D35" s="3" t="s">
        <v>1258</v>
      </c>
      <c r="E35" s="4" t="s">
        <v>22</v>
      </c>
      <c r="F35" s="43" t="s">
        <v>481</v>
      </c>
      <c r="G35" s="4" t="s">
        <v>41</v>
      </c>
      <c r="H35" s="43" t="s">
        <v>1260</v>
      </c>
      <c r="I35" s="4"/>
      <c r="J35" s="26" t="s">
        <v>12</v>
      </c>
      <c r="K35" s="27" t="s">
        <v>13</v>
      </c>
      <c r="L35" s="2">
        <v>45969.446906365745</v>
      </c>
      <c r="M35" s="24"/>
      <c r="N35" s="4"/>
    </row>
    <row r="36" spans="1:14" ht="100.2" customHeight="1" thickTop="1" thickBot="1">
      <c r="A36" s="4">
        <v>34</v>
      </c>
      <c r="B36" s="2">
        <v>45970.422716990703</v>
      </c>
      <c r="C36" s="3" t="s">
        <v>394</v>
      </c>
      <c r="D36" s="3" t="s">
        <v>1200</v>
      </c>
      <c r="E36" s="4" t="s">
        <v>21</v>
      </c>
      <c r="F36" s="43" t="s">
        <v>1261</v>
      </c>
      <c r="G36" s="4" t="s">
        <v>25</v>
      </c>
      <c r="H36" s="43" t="s">
        <v>1262</v>
      </c>
      <c r="I36" s="4"/>
      <c r="J36" s="26" t="s">
        <v>12</v>
      </c>
      <c r="K36" s="27" t="s">
        <v>13</v>
      </c>
      <c r="L36" s="2">
        <v>45970.512727777779</v>
      </c>
      <c r="M36" s="24"/>
      <c r="N36" s="4"/>
    </row>
    <row r="37" spans="1:14" ht="100.2" customHeight="1" thickTop="1" thickBot="1">
      <c r="A37" s="31">
        <v>35</v>
      </c>
      <c r="B37" s="2">
        <v>45970.550799837903</v>
      </c>
      <c r="C37" s="3" t="s">
        <v>394</v>
      </c>
      <c r="D37" s="3" t="s">
        <v>34</v>
      </c>
      <c r="E37" s="4" t="s">
        <v>22</v>
      </c>
      <c r="F37" s="43" t="s">
        <v>1263</v>
      </c>
      <c r="G37" s="4" t="s">
        <v>1264</v>
      </c>
      <c r="H37" s="43" t="s">
        <v>1265</v>
      </c>
      <c r="I37" s="4" t="s">
        <v>1266</v>
      </c>
      <c r="J37" s="26" t="s">
        <v>12</v>
      </c>
      <c r="K37" s="27" t="s">
        <v>13</v>
      </c>
      <c r="L37" s="2">
        <v>45970.564812199074</v>
      </c>
      <c r="M37" s="24"/>
      <c r="N37" s="4"/>
    </row>
    <row r="38" spans="1:14" ht="100.2" customHeight="1" thickTop="1" thickBot="1">
      <c r="A38" s="4">
        <v>36</v>
      </c>
      <c r="B38" s="2">
        <v>45973.4624412384</v>
      </c>
      <c r="C38" s="3" t="s">
        <v>394</v>
      </c>
      <c r="D38" s="3" t="s">
        <v>1200</v>
      </c>
      <c r="E38" s="4" t="s">
        <v>21</v>
      </c>
      <c r="F38" s="43" t="s">
        <v>401</v>
      </c>
      <c r="G38" s="4" t="s">
        <v>25</v>
      </c>
      <c r="H38" s="43" t="s">
        <v>1267</v>
      </c>
      <c r="I38" s="4"/>
      <c r="J38" s="26" t="s">
        <v>12</v>
      </c>
      <c r="K38" s="27" t="s">
        <v>13</v>
      </c>
      <c r="L38" s="2">
        <v>45976.460548877316</v>
      </c>
      <c r="M38" s="24"/>
      <c r="N38" s="4"/>
    </row>
    <row r="39" spans="1:14" ht="100.2" customHeight="1" thickTop="1" thickBot="1">
      <c r="A39" s="31">
        <v>37</v>
      </c>
      <c r="B39" s="2">
        <v>45973.572160404998</v>
      </c>
      <c r="C39" s="3" t="s">
        <v>394</v>
      </c>
      <c r="D39" s="3" t="s">
        <v>1200</v>
      </c>
      <c r="E39" s="4" t="s">
        <v>21</v>
      </c>
      <c r="F39" s="43" t="s">
        <v>403</v>
      </c>
      <c r="G39" s="4" t="s">
        <v>37</v>
      </c>
      <c r="H39" s="43" t="s">
        <v>1268</v>
      </c>
      <c r="I39" s="4"/>
      <c r="J39" s="26" t="s">
        <v>12</v>
      </c>
      <c r="K39" s="27" t="s">
        <v>13</v>
      </c>
      <c r="L39" s="2">
        <v>45974.299845000001</v>
      </c>
      <c r="M39" s="24"/>
      <c r="N39" s="4"/>
    </row>
    <row r="40" spans="1:14" ht="100.2" customHeight="1" thickTop="1" thickBot="1">
      <c r="A40" s="4">
        <v>38</v>
      </c>
      <c r="B40" s="2">
        <v>45974.488131411999</v>
      </c>
      <c r="C40" s="3" t="s">
        <v>394</v>
      </c>
      <c r="D40" s="3" t="s">
        <v>34</v>
      </c>
      <c r="E40" s="4" t="s">
        <v>22</v>
      </c>
      <c r="F40" s="43" t="s">
        <v>1269</v>
      </c>
      <c r="G40" s="4" t="s">
        <v>1270</v>
      </c>
      <c r="H40" s="43" t="s">
        <v>1271</v>
      </c>
      <c r="I40" s="4"/>
      <c r="J40" s="26" t="s">
        <v>12</v>
      </c>
      <c r="K40" s="27" t="s">
        <v>13</v>
      </c>
      <c r="L40" s="2">
        <v>45974.492397905095</v>
      </c>
      <c r="M40" s="24"/>
      <c r="N40" s="4"/>
    </row>
    <row r="41" spans="1:14" ht="100.2" customHeight="1" thickTop="1" thickBot="1">
      <c r="A41" s="31">
        <v>39</v>
      </c>
      <c r="B41" s="2">
        <v>45974.489396516197</v>
      </c>
      <c r="C41" s="3" t="s">
        <v>394</v>
      </c>
      <c r="D41" s="3" t="s">
        <v>34</v>
      </c>
      <c r="E41" s="4" t="s">
        <v>22</v>
      </c>
      <c r="F41" s="43" t="s">
        <v>481</v>
      </c>
      <c r="G41" s="4" t="s">
        <v>1270</v>
      </c>
      <c r="H41" s="43" t="s">
        <v>1272</v>
      </c>
      <c r="I41" s="4"/>
      <c r="J41" s="26" t="s">
        <v>12</v>
      </c>
      <c r="K41" s="27" t="s">
        <v>13</v>
      </c>
      <c r="L41" s="2">
        <v>45974.492424675926</v>
      </c>
      <c r="M41" s="24"/>
      <c r="N41" s="4"/>
    </row>
    <row r="42" spans="1:14" ht="100.2" customHeight="1" thickTop="1" thickBot="1">
      <c r="A42" s="4">
        <v>40</v>
      </c>
      <c r="B42" s="2">
        <v>45974.495208657398</v>
      </c>
      <c r="C42" s="3" t="s">
        <v>394</v>
      </c>
      <c r="D42" s="3" t="s">
        <v>34</v>
      </c>
      <c r="E42" s="4" t="s">
        <v>22</v>
      </c>
      <c r="F42" s="43" t="s">
        <v>405</v>
      </c>
      <c r="G42" s="4" t="s">
        <v>406</v>
      </c>
      <c r="H42" s="43" t="s">
        <v>1273</v>
      </c>
      <c r="I42" s="4"/>
      <c r="J42" s="26" t="s">
        <v>12</v>
      </c>
      <c r="K42" s="27" t="s">
        <v>13</v>
      </c>
      <c r="L42" s="2">
        <v>45974.495740636572</v>
      </c>
      <c r="M42" s="24"/>
      <c r="N42" s="4"/>
    </row>
    <row r="43" spans="1:14" ht="100.2" customHeight="1" thickTop="1" thickBot="1">
      <c r="A43" s="31">
        <v>41</v>
      </c>
      <c r="B43" s="2">
        <v>45974.497084583301</v>
      </c>
      <c r="C43" s="3" t="s">
        <v>394</v>
      </c>
      <c r="D43" s="3" t="s">
        <v>34</v>
      </c>
      <c r="E43" s="4" t="s">
        <v>22</v>
      </c>
      <c r="F43" s="43" t="s">
        <v>639</v>
      </c>
      <c r="G43" s="4" t="s">
        <v>1274</v>
      </c>
      <c r="H43" s="43" t="s">
        <v>1275</v>
      </c>
      <c r="I43" s="4"/>
      <c r="J43" s="26" t="s">
        <v>12</v>
      </c>
      <c r="K43" s="27" t="s">
        <v>13</v>
      </c>
      <c r="L43" s="2">
        <v>45974.497152129625</v>
      </c>
      <c r="M43" s="24"/>
      <c r="N43" s="4"/>
    </row>
    <row r="44" spans="1:14" ht="100.2" customHeight="1" thickTop="1" thickBot="1">
      <c r="A44" s="4">
        <v>42</v>
      </c>
      <c r="B44" s="2">
        <v>45974.500817129599</v>
      </c>
      <c r="C44" s="3" t="s">
        <v>394</v>
      </c>
      <c r="D44" s="3" t="s">
        <v>34</v>
      </c>
      <c r="E44" s="4" t="s">
        <v>22</v>
      </c>
      <c r="F44" s="43" t="s">
        <v>411</v>
      </c>
      <c r="G44" s="4" t="s">
        <v>1276</v>
      </c>
      <c r="H44" s="43" t="s">
        <v>1277</v>
      </c>
      <c r="I44" s="4"/>
      <c r="J44" s="26" t="s">
        <v>12</v>
      </c>
      <c r="K44" s="27" t="s">
        <v>13</v>
      </c>
      <c r="L44" s="2">
        <v>45974.500938587968</v>
      </c>
      <c r="M44" s="24"/>
      <c r="N44" s="4"/>
    </row>
    <row r="45" spans="1:14" ht="100.2" customHeight="1" thickTop="1" thickBot="1">
      <c r="A45" s="31">
        <v>43</v>
      </c>
      <c r="B45" s="2">
        <v>45974.504976944401</v>
      </c>
      <c r="C45" s="3" t="s">
        <v>394</v>
      </c>
      <c r="D45" s="3" t="s">
        <v>34</v>
      </c>
      <c r="E45" s="4" t="s">
        <v>22</v>
      </c>
      <c r="F45" s="43" t="s">
        <v>396</v>
      </c>
      <c r="G45" s="4" t="s">
        <v>40</v>
      </c>
      <c r="H45" s="43" t="s">
        <v>1278</v>
      </c>
      <c r="I45" s="4"/>
      <c r="J45" s="26" t="s">
        <v>12</v>
      </c>
      <c r="K45" s="27" t="s">
        <v>13</v>
      </c>
      <c r="L45" s="2">
        <v>45974.505052499997</v>
      </c>
      <c r="M45" s="24"/>
      <c r="N45" s="4"/>
    </row>
    <row r="46" spans="1:14" ht="100.2" customHeight="1" thickTop="1" thickBot="1">
      <c r="A46" s="4">
        <v>44</v>
      </c>
      <c r="B46" s="2">
        <v>45974.506951608797</v>
      </c>
      <c r="C46" s="3" t="s">
        <v>394</v>
      </c>
      <c r="D46" s="3" t="s">
        <v>34</v>
      </c>
      <c r="E46" s="4" t="s">
        <v>22</v>
      </c>
      <c r="F46" s="43" t="s">
        <v>405</v>
      </c>
      <c r="G46" s="4" t="s">
        <v>1279</v>
      </c>
      <c r="H46" s="43" t="s">
        <v>1280</v>
      </c>
      <c r="I46" s="4"/>
      <c r="J46" s="26" t="s">
        <v>12</v>
      </c>
      <c r="K46" s="27" t="s">
        <v>13</v>
      </c>
      <c r="L46" s="2">
        <v>45974.507074143519</v>
      </c>
      <c r="M46" s="24"/>
      <c r="N46" s="4"/>
    </row>
    <row r="47" spans="1:14" ht="100.2" customHeight="1" thickTop="1" thickBot="1">
      <c r="A47" s="31">
        <v>45</v>
      </c>
      <c r="B47" s="2">
        <v>45974.5083749884</v>
      </c>
      <c r="C47" s="3" t="s">
        <v>394</v>
      </c>
      <c r="D47" s="3" t="s">
        <v>34</v>
      </c>
      <c r="E47" s="4" t="s">
        <v>22</v>
      </c>
      <c r="F47" s="43" t="s">
        <v>1281</v>
      </c>
      <c r="G47" s="4" t="s">
        <v>1282</v>
      </c>
      <c r="H47" s="43" t="s">
        <v>1283</v>
      </c>
      <c r="I47" s="4"/>
      <c r="J47" s="26" t="s">
        <v>12</v>
      </c>
      <c r="K47" s="27" t="s">
        <v>13</v>
      </c>
      <c r="L47" s="2">
        <v>45974.508553877313</v>
      </c>
      <c r="M47" s="24"/>
      <c r="N47" s="4"/>
    </row>
    <row r="48" spans="1:14" ht="100.2" customHeight="1" thickTop="1" thickBot="1">
      <c r="A48" s="4">
        <v>46</v>
      </c>
      <c r="B48" s="2">
        <v>45974.524977685098</v>
      </c>
      <c r="C48" s="3" t="s">
        <v>394</v>
      </c>
      <c r="D48" s="3" t="s">
        <v>34</v>
      </c>
      <c r="E48" s="4" t="s">
        <v>22</v>
      </c>
      <c r="F48" s="43" t="s">
        <v>396</v>
      </c>
      <c r="G48" s="4" t="s">
        <v>1284</v>
      </c>
      <c r="H48" s="43" t="s">
        <v>1285</v>
      </c>
      <c r="I48" s="4"/>
      <c r="J48" s="26" t="s">
        <v>12</v>
      </c>
      <c r="K48" s="27" t="s">
        <v>13</v>
      </c>
      <c r="L48" s="2">
        <v>45974.526013391209</v>
      </c>
      <c r="M48" s="24"/>
      <c r="N48" s="4"/>
    </row>
    <row r="49" spans="1:14" ht="100.2" customHeight="1" thickTop="1" thickBot="1">
      <c r="A49" s="31">
        <v>47</v>
      </c>
      <c r="B49" s="2">
        <v>45974.527609456003</v>
      </c>
      <c r="C49" s="3" t="s">
        <v>394</v>
      </c>
      <c r="D49" s="3" t="s">
        <v>34</v>
      </c>
      <c r="E49" s="4" t="s">
        <v>22</v>
      </c>
      <c r="F49" s="43" t="s">
        <v>639</v>
      </c>
      <c r="G49" s="4" t="s">
        <v>639</v>
      </c>
      <c r="H49" s="43" t="s">
        <v>1286</v>
      </c>
      <c r="I49" s="4"/>
      <c r="J49" s="26" t="s">
        <v>12</v>
      </c>
      <c r="K49" s="27" t="s">
        <v>13</v>
      </c>
      <c r="L49" s="2">
        <v>45974.527662476852</v>
      </c>
      <c r="M49" s="24"/>
      <c r="N49" s="4"/>
    </row>
    <row r="50" spans="1:14" ht="100.2" customHeight="1" thickTop="1" thickBot="1">
      <c r="A50" s="4">
        <v>48</v>
      </c>
      <c r="B50" s="2">
        <v>45974.528555520803</v>
      </c>
      <c r="C50" s="3" t="s">
        <v>394</v>
      </c>
      <c r="D50" s="3" t="s">
        <v>34</v>
      </c>
      <c r="E50" s="4" t="s">
        <v>22</v>
      </c>
      <c r="F50" s="43" t="s">
        <v>1287</v>
      </c>
      <c r="G50" s="4" t="s">
        <v>647</v>
      </c>
      <c r="H50" s="43" t="s">
        <v>1288</v>
      </c>
      <c r="I50" s="4"/>
      <c r="J50" s="26" t="s">
        <v>12</v>
      </c>
      <c r="K50" s="27" t="s">
        <v>13</v>
      </c>
      <c r="L50" s="2">
        <v>45974.528685902776</v>
      </c>
      <c r="M50" s="24"/>
      <c r="N50" s="4"/>
    </row>
    <row r="51" spans="1:14" ht="100.2" customHeight="1" thickTop="1" thickBot="1">
      <c r="A51" s="31">
        <v>49</v>
      </c>
      <c r="B51" s="2">
        <v>45974.529236979099</v>
      </c>
      <c r="C51" s="3" t="s">
        <v>394</v>
      </c>
      <c r="D51" s="3" t="s">
        <v>34</v>
      </c>
      <c r="E51" s="4" t="s">
        <v>22</v>
      </c>
      <c r="F51" s="43" t="s">
        <v>411</v>
      </c>
      <c r="G51" s="4" t="s">
        <v>696</v>
      </c>
      <c r="H51" s="43" t="s">
        <v>1289</v>
      </c>
      <c r="I51" s="4"/>
      <c r="J51" s="26" t="s">
        <v>12</v>
      </c>
      <c r="K51" s="27" t="s">
        <v>13</v>
      </c>
      <c r="L51" s="2">
        <v>45974.529298483802</v>
      </c>
      <c r="M51" s="24"/>
      <c r="N51" s="4"/>
    </row>
    <row r="52" spans="1:14" ht="100.2" customHeight="1" thickTop="1" thickBot="1">
      <c r="A52" s="4">
        <v>50</v>
      </c>
      <c r="B52" s="2">
        <v>45974.530404583304</v>
      </c>
      <c r="C52" s="3" t="s">
        <v>394</v>
      </c>
      <c r="D52" s="3" t="s">
        <v>34</v>
      </c>
      <c r="E52" s="4" t="s">
        <v>22</v>
      </c>
      <c r="F52" s="43" t="s">
        <v>396</v>
      </c>
      <c r="G52" s="4" t="s">
        <v>1290</v>
      </c>
      <c r="H52" s="43" t="s">
        <v>1291</v>
      </c>
      <c r="I52" s="4"/>
      <c r="J52" s="26" t="s">
        <v>12</v>
      </c>
      <c r="K52" s="27" t="s">
        <v>13</v>
      </c>
      <c r="L52" s="2">
        <v>45974.53046199074</v>
      </c>
      <c r="M52" s="24"/>
      <c r="N52" s="4"/>
    </row>
    <row r="53" spans="1:14" ht="100.2" customHeight="1" thickTop="1" thickBot="1">
      <c r="A53" s="31">
        <v>51</v>
      </c>
      <c r="B53" s="2">
        <v>45974.531459189799</v>
      </c>
      <c r="C53" s="3" t="s">
        <v>394</v>
      </c>
      <c r="D53" s="3" t="s">
        <v>34</v>
      </c>
      <c r="E53" s="4" t="s">
        <v>22</v>
      </c>
      <c r="F53" s="43" t="s">
        <v>405</v>
      </c>
      <c r="G53" s="4" t="s">
        <v>404</v>
      </c>
      <c r="H53" s="43" t="s">
        <v>1292</v>
      </c>
      <c r="I53" s="4"/>
      <c r="J53" s="26" t="s">
        <v>12</v>
      </c>
      <c r="K53" s="27" t="s">
        <v>13</v>
      </c>
      <c r="L53" s="2">
        <v>45974.531519062497</v>
      </c>
      <c r="M53" s="24"/>
      <c r="N53" s="4" t="s">
        <v>121</v>
      </c>
    </row>
    <row r="54" spans="1:14" ht="100.2" customHeight="1" thickTop="1" thickBot="1">
      <c r="A54" s="4">
        <v>52</v>
      </c>
      <c r="B54" s="2">
        <v>45974.532249120202</v>
      </c>
      <c r="C54" s="3" t="s">
        <v>394</v>
      </c>
      <c r="D54" s="3" t="s">
        <v>34</v>
      </c>
      <c r="E54" s="4" t="s">
        <v>22</v>
      </c>
      <c r="F54" s="43" t="s">
        <v>405</v>
      </c>
      <c r="G54" s="4" t="s">
        <v>1293</v>
      </c>
      <c r="H54" s="43" t="s">
        <v>1294</v>
      </c>
      <c r="I54" s="4"/>
      <c r="J54" s="26" t="s">
        <v>12</v>
      </c>
      <c r="K54" s="27" t="s">
        <v>13</v>
      </c>
      <c r="L54" s="2">
        <v>45974.532784351853</v>
      </c>
      <c r="M54" s="24"/>
      <c r="N54" s="4" t="s">
        <v>121</v>
      </c>
    </row>
    <row r="55" spans="1:14" ht="100.2" customHeight="1" thickTop="1" thickBot="1">
      <c r="A55" s="31">
        <v>53</v>
      </c>
      <c r="B55" s="2">
        <v>45974.532718738403</v>
      </c>
      <c r="C55" s="3" t="s">
        <v>394</v>
      </c>
      <c r="D55" s="3" t="s">
        <v>34</v>
      </c>
      <c r="E55" s="4" t="s">
        <v>22</v>
      </c>
      <c r="F55" s="43" t="s">
        <v>405</v>
      </c>
      <c r="G55" s="4" t="s">
        <v>1295</v>
      </c>
      <c r="H55" s="43" t="s">
        <v>1296</v>
      </c>
      <c r="I55" s="4"/>
      <c r="J55" s="26" t="s">
        <v>12</v>
      </c>
      <c r="K55" s="27" t="s">
        <v>13</v>
      </c>
      <c r="L55" s="2">
        <v>45974.532797407403</v>
      </c>
      <c r="M55" s="24"/>
      <c r="N55" s="4" t="s">
        <v>121</v>
      </c>
    </row>
    <row r="56" spans="1:14" ht="100.2" customHeight="1" thickTop="1" thickBot="1">
      <c r="A56" s="4">
        <v>54</v>
      </c>
      <c r="B56" s="2">
        <v>45976.346226481401</v>
      </c>
      <c r="C56" s="3" t="s">
        <v>394</v>
      </c>
      <c r="D56" s="3" t="s">
        <v>1241</v>
      </c>
      <c r="E56" s="4" t="s">
        <v>22</v>
      </c>
      <c r="F56" s="43" t="s">
        <v>1297</v>
      </c>
      <c r="G56" s="4" t="s">
        <v>1298</v>
      </c>
      <c r="H56" s="43" t="s">
        <v>1299</v>
      </c>
      <c r="I56" s="4"/>
      <c r="J56" s="26" t="s">
        <v>12</v>
      </c>
      <c r="K56" s="27" t="s">
        <v>13</v>
      </c>
      <c r="L56" s="2">
        <v>45976.346307118059</v>
      </c>
      <c r="M56" s="24"/>
      <c r="N56" s="4" t="s">
        <v>121</v>
      </c>
    </row>
    <row r="57" spans="1:14" ht="100.2" customHeight="1" thickTop="1" thickBot="1">
      <c r="A57" s="31">
        <v>55</v>
      </c>
      <c r="B57" s="2">
        <v>45977.388978553201</v>
      </c>
      <c r="C57" s="3" t="s">
        <v>394</v>
      </c>
      <c r="D57" s="3" t="s">
        <v>1200</v>
      </c>
      <c r="E57" s="4" t="s">
        <v>21</v>
      </c>
      <c r="F57" s="43" t="s">
        <v>413</v>
      </c>
      <c r="G57" s="4" t="s">
        <v>25</v>
      </c>
      <c r="H57" s="43" t="s">
        <v>553</v>
      </c>
      <c r="I57" s="4"/>
      <c r="J57" s="26" t="s">
        <v>12</v>
      </c>
      <c r="K57" s="27" t="s">
        <v>13</v>
      </c>
      <c r="L57" s="2">
        <v>45978.422182731483</v>
      </c>
      <c r="M57" s="24"/>
      <c r="N57" s="4" t="s">
        <v>121</v>
      </c>
    </row>
    <row r="58" spans="1:14" ht="100.2" customHeight="1" thickTop="1" thickBot="1">
      <c r="A58" s="4">
        <v>56</v>
      </c>
      <c r="B58" s="2">
        <v>45977.435706655</v>
      </c>
      <c r="C58" s="3" t="s">
        <v>394</v>
      </c>
      <c r="D58" s="3" t="s">
        <v>1200</v>
      </c>
      <c r="E58" s="4" t="s">
        <v>21</v>
      </c>
      <c r="F58" s="43" t="s">
        <v>497</v>
      </c>
      <c r="G58" s="4" t="s">
        <v>25</v>
      </c>
      <c r="H58" s="43" t="s">
        <v>1300</v>
      </c>
      <c r="I58" s="4"/>
      <c r="J58" s="26" t="s">
        <v>12</v>
      </c>
      <c r="K58" s="27" t="s">
        <v>13</v>
      </c>
      <c r="L58" s="2">
        <v>45977.54693546296</v>
      </c>
      <c r="M58" s="24"/>
      <c r="N58" s="4" t="s">
        <v>121</v>
      </c>
    </row>
    <row r="59" spans="1:14" ht="100.2" customHeight="1" thickTop="1" thickBot="1">
      <c r="A59" s="31">
        <v>57</v>
      </c>
      <c r="B59" s="2">
        <v>45978.334539907402</v>
      </c>
      <c r="C59" s="3" t="s">
        <v>394</v>
      </c>
      <c r="D59" s="3" t="s">
        <v>1200</v>
      </c>
      <c r="E59" s="4" t="s">
        <v>21</v>
      </c>
      <c r="F59" s="43" t="s">
        <v>405</v>
      </c>
      <c r="G59" s="4" t="s">
        <v>1301</v>
      </c>
      <c r="H59" s="43" t="s">
        <v>1302</v>
      </c>
      <c r="I59" s="4"/>
      <c r="J59" s="26" t="s">
        <v>12</v>
      </c>
      <c r="K59" s="27" t="s">
        <v>13</v>
      </c>
      <c r="L59" s="2">
        <v>45978.420035428237</v>
      </c>
      <c r="M59" s="24"/>
      <c r="N59" s="4" t="s">
        <v>121</v>
      </c>
    </row>
    <row r="60" spans="1:14" ht="100.2" customHeight="1" thickTop="1" thickBot="1">
      <c r="A60" s="4">
        <v>58</v>
      </c>
      <c r="B60" s="2">
        <v>45979.349353877296</v>
      </c>
      <c r="C60" s="3" t="s">
        <v>394</v>
      </c>
      <c r="D60" s="3" t="s">
        <v>1200</v>
      </c>
      <c r="E60" s="4" t="s">
        <v>21</v>
      </c>
      <c r="F60" s="43" t="s">
        <v>405</v>
      </c>
      <c r="G60" s="4" t="s">
        <v>25</v>
      </c>
      <c r="H60" s="43" t="s">
        <v>1303</v>
      </c>
      <c r="I60" s="4"/>
      <c r="J60" s="26" t="s">
        <v>12</v>
      </c>
      <c r="K60" s="27" t="s">
        <v>13</v>
      </c>
      <c r="L60" s="2">
        <v>45981.585219340282</v>
      </c>
      <c r="M60" s="24"/>
      <c r="N60" s="4" t="s">
        <v>121</v>
      </c>
    </row>
    <row r="61" spans="1:14" ht="100.2" customHeight="1" thickTop="1" thickBot="1">
      <c r="A61" s="31">
        <v>59</v>
      </c>
      <c r="B61" s="2">
        <v>45979.379016388797</v>
      </c>
      <c r="C61" s="3" t="s">
        <v>394</v>
      </c>
      <c r="D61" s="3" t="s">
        <v>1200</v>
      </c>
      <c r="E61" s="4" t="s">
        <v>21</v>
      </c>
      <c r="F61" s="43" t="s">
        <v>401</v>
      </c>
      <c r="G61" s="4" t="s">
        <v>25</v>
      </c>
      <c r="H61" s="43" t="s">
        <v>1304</v>
      </c>
      <c r="I61" s="4"/>
      <c r="J61" s="26" t="s">
        <v>12</v>
      </c>
      <c r="K61" s="27" t="s">
        <v>13</v>
      </c>
      <c r="L61" s="2">
        <v>45980.54496211806</v>
      </c>
      <c r="M61" s="24"/>
      <c r="N61" s="4" t="s">
        <v>121</v>
      </c>
    </row>
    <row r="62" spans="1:14" ht="100.2" customHeight="1" thickTop="1" thickBot="1">
      <c r="A62" s="4">
        <v>60</v>
      </c>
      <c r="B62" s="2">
        <v>45979.571927117999</v>
      </c>
      <c r="C62" s="3" t="s">
        <v>394</v>
      </c>
      <c r="D62" s="3" t="s">
        <v>1200</v>
      </c>
      <c r="E62" s="4" t="s">
        <v>21</v>
      </c>
      <c r="F62" s="43" t="s">
        <v>403</v>
      </c>
      <c r="G62" s="4" t="s">
        <v>1221</v>
      </c>
      <c r="H62" s="43" t="s">
        <v>1305</v>
      </c>
      <c r="I62" s="4"/>
      <c r="J62" s="26" t="s">
        <v>12</v>
      </c>
      <c r="K62" s="27" t="s">
        <v>13</v>
      </c>
      <c r="L62" s="2">
        <v>45980.469780543979</v>
      </c>
      <c r="M62" s="24"/>
      <c r="N62" s="4" t="s">
        <v>121</v>
      </c>
    </row>
    <row r="63" spans="1:14" ht="100.2" customHeight="1" thickTop="1" thickBot="1">
      <c r="A63" s="31">
        <v>61</v>
      </c>
      <c r="B63" s="2">
        <v>45979.581556979101</v>
      </c>
      <c r="C63" s="3" t="s">
        <v>394</v>
      </c>
      <c r="D63" s="3" t="s">
        <v>1200</v>
      </c>
      <c r="E63" s="4" t="s">
        <v>21</v>
      </c>
      <c r="F63" s="43" t="s">
        <v>411</v>
      </c>
      <c r="G63" s="4" t="s">
        <v>25</v>
      </c>
      <c r="H63" s="43" t="s">
        <v>1306</v>
      </c>
      <c r="I63" s="4"/>
      <c r="J63" s="26" t="s">
        <v>12</v>
      </c>
      <c r="K63" s="27" t="s">
        <v>13</v>
      </c>
      <c r="L63" s="2">
        <v>45980.308656759255</v>
      </c>
      <c r="M63" s="24"/>
      <c r="N63" s="4" t="s">
        <v>121</v>
      </c>
    </row>
    <row r="64" spans="1:14" ht="100.2" customHeight="1" thickTop="1" thickBot="1">
      <c r="A64" s="4">
        <v>62</v>
      </c>
      <c r="B64" s="2">
        <v>45981.349243541597</v>
      </c>
      <c r="C64" s="3" t="s">
        <v>394</v>
      </c>
      <c r="D64" s="3" t="s">
        <v>1200</v>
      </c>
      <c r="E64" s="4" t="s">
        <v>21</v>
      </c>
      <c r="F64" s="43" t="s">
        <v>428</v>
      </c>
      <c r="G64" s="4" t="s">
        <v>25</v>
      </c>
      <c r="H64" s="43" t="s">
        <v>1307</v>
      </c>
      <c r="I64" s="4"/>
      <c r="J64" s="26" t="s">
        <v>12</v>
      </c>
      <c r="K64" s="27" t="s">
        <v>13</v>
      </c>
      <c r="L64" s="2">
        <v>45981.373689074069</v>
      </c>
      <c r="M64" s="24"/>
      <c r="N64" s="4" t="s">
        <v>121</v>
      </c>
    </row>
    <row r="65" spans="1:14" ht="100.2" customHeight="1" thickTop="1" thickBot="1">
      <c r="A65" s="31">
        <v>63</v>
      </c>
      <c r="B65" s="2">
        <v>45981.350032661998</v>
      </c>
      <c r="C65" s="3" t="s">
        <v>394</v>
      </c>
      <c r="D65" s="3" t="s">
        <v>1200</v>
      </c>
      <c r="E65" s="4" t="s">
        <v>21</v>
      </c>
      <c r="F65" s="43" t="s">
        <v>396</v>
      </c>
      <c r="G65" s="4" t="s">
        <v>38</v>
      </c>
      <c r="H65" s="43" t="s">
        <v>1308</v>
      </c>
      <c r="I65" s="4"/>
      <c r="J65" s="26" t="s">
        <v>12</v>
      </c>
      <c r="K65" s="27" t="s">
        <v>13</v>
      </c>
      <c r="L65" s="2">
        <v>45981.373629884256</v>
      </c>
      <c r="M65" s="24"/>
      <c r="N65" s="4" t="s">
        <v>121</v>
      </c>
    </row>
    <row r="66" spans="1:14" ht="100.2" customHeight="1" thickTop="1" thickBot="1">
      <c r="A66" s="4">
        <v>64</v>
      </c>
      <c r="B66" s="2">
        <v>45981.4290909259</v>
      </c>
      <c r="C66" s="3" t="s">
        <v>394</v>
      </c>
      <c r="D66" s="3" t="s">
        <v>1200</v>
      </c>
      <c r="E66" s="4" t="s">
        <v>21</v>
      </c>
      <c r="F66" s="43" t="s">
        <v>405</v>
      </c>
      <c r="G66" s="4" t="s">
        <v>25</v>
      </c>
      <c r="H66" s="43" t="s">
        <v>1309</v>
      </c>
      <c r="I66" s="4"/>
      <c r="J66" s="26" t="s">
        <v>12</v>
      </c>
      <c r="K66" s="27" t="s">
        <v>13</v>
      </c>
      <c r="L66" s="2">
        <v>45981.582897569446</v>
      </c>
      <c r="M66" s="24"/>
      <c r="N66" s="4" t="s">
        <v>121</v>
      </c>
    </row>
    <row r="67" spans="1:14" ht="100.2" customHeight="1" thickTop="1" thickBot="1">
      <c r="A67" s="31">
        <v>65</v>
      </c>
      <c r="B67" s="2">
        <v>45983.449708448999</v>
      </c>
      <c r="C67" s="3" t="s">
        <v>394</v>
      </c>
      <c r="D67" s="3" t="s">
        <v>1200</v>
      </c>
      <c r="E67" s="4" t="s">
        <v>21</v>
      </c>
      <c r="F67" s="43" t="s">
        <v>1310</v>
      </c>
      <c r="G67" s="4" t="s">
        <v>25</v>
      </c>
      <c r="H67" s="43" t="s">
        <v>1311</v>
      </c>
      <c r="I67" s="4"/>
      <c r="J67" s="26" t="s">
        <v>12</v>
      </c>
      <c r="K67" s="27" t="s">
        <v>13</v>
      </c>
      <c r="L67" s="2">
        <v>45983.473061944445</v>
      </c>
      <c r="M67" s="24"/>
      <c r="N67" s="4" t="s">
        <v>121</v>
      </c>
    </row>
    <row r="68" spans="1:14" ht="100.2" customHeight="1" thickTop="1" thickBot="1">
      <c r="A68" s="4">
        <v>66</v>
      </c>
      <c r="B68" s="2">
        <v>45983.464207800898</v>
      </c>
      <c r="C68" s="3" t="s">
        <v>394</v>
      </c>
      <c r="D68" s="3" t="s">
        <v>1200</v>
      </c>
      <c r="E68" s="4" t="s">
        <v>21</v>
      </c>
      <c r="F68" s="43" t="s">
        <v>1310</v>
      </c>
      <c r="G68" s="4" t="s">
        <v>25</v>
      </c>
      <c r="H68" s="43" t="s">
        <v>1312</v>
      </c>
      <c r="I68" s="4"/>
      <c r="J68" s="26" t="s">
        <v>12</v>
      </c>
      <c r="K68" s="27" t="s">
        <v>13</v>
      </c>
      <c r="L68" s="2">
        <v>45984.365857407407</v>
      </c>
      <c r="M68" s="24"/>
      <c r="N68" s="4" t="s">
        <v>121</v>
      </c>
    </row>
    <row r="69" spans="1:14" ht="100.2" customHeight="1" thickTop="1" thickBot="1">
      <c r="A69" s="31">
        <v>67</v>
      </c>
      <c r="B69" s="2">
        <v>45984.319739305502</v>
      </c>
      <c r="C69" s="3" t="s">
        <v>394</v>
      </c>
      <c r="D69" s="3" t="s">
        <v>1200</v>
      </c>
      <c r="E69" s="4" t="s">
        <v>21</v>
      </c>
      <c r="F69" s="43" t="s">
        <v>416</v>
      </c>
      <c r="G69" s="4" t="s">
        <v>25</v>
      </c>
      <c r="H69" s="43" t="s">
        <v>553</v>
      </c>
      <c r="I69" s="4"/>
      <c r="J69" s="26" t="s">
        <v>12</v>
      </c>
      <c r="K69" s="27" t="s">
        <v>750</v>
      </c>
      <c r="L69" s="2" t="s">
        <v>1313</v>
      </c>
      <c r="M69" s="24"/>
      <c r="N69" s="4" t="s">
        <v>121</v>
      </c>
    </row>
    <row r="70" spans="1:14" ht="100.2" customHeight="1" thickTop="1" thickBot="1">
      <c r="A70" s="4">
        <v>68</v>
      </c>
      <c r="B70" s="2">
        <v>45985.3894799189</v>
      </c>
      <c r="C70" s="3" t="s">
        <v>394</v>
      </c>
      <c r="D70" s="3" t="s">
        <v>1200</v>
      </c>
      <c r="E70" s="4" t="s">
        <v>21</v>
      </c>
      <c r="F70" s="43" t="s">
        <v>403</v>
      </c>
      <c r="G70" s="4" t="s">
        <v>37</v>
      </c>
      <c r="H70" s="43" t="s">
        <v>1314</v>
      </c>
      <c r="I70" s="4"/>
      <c r="J70" s="26" t="s">
        <v>12</v>
      </c>
      <c r="K70" s="27" t="s">
        <v>13</v>
      </c>
      <c r="L70" s="2">
        <v>45985.478490335649</v>
      </c>
      <c r="M70" s="24"/>
      <c r="N70" s="4" t="s">
        <v>121</v>
      </c>
    </row>
    <row r="71" spans="1:14" ht="100.2" customHeight="1" thickTop="1" thickBot="1">
      <c r="A71" s="31">
        <v>69</v>
      </c>
      <c r="B71" s="2">
        <v>45985.442812881804</v>
      </c>
      <c r="C71" s="3" t="s">
        <v>394</v>
      </c>
      <c r="D71" s="3" t="s">
        <v>1200</v>
      </c>
      <c r="E71" s="4" t="s">
        <v>21</v>
      </c>
      <c r="F71" s="43" t="s">
        <v>1315</v>
      </c>
      <c r="G71" s="4" t="s">
        <v>25</v>
      </c>
      <c r="H71" s="43" t="s">
        <v>1316</v>
      </c>
      <c r="I71" s="4"/>
      <c r="J71" s="26" t="s">
        <v>12</v>
      </c>
      <c r="K71" s="27" t="s">
        <v>13</v>
      </c>
      <c r="L71" s="2">
        <v>45985.55950072917</v>
      </c>
      <c r="M71" s="24"/>
      <c r="N71" s="4" t="s">
        <v>121</v>
      </c>
    </row>
    <row r="72" spans="1:14" ht="100.2" customHeight="1" thickTop="1" thickBot="1">
      <c r="A72" s="4">
        <v>70</v>
      </c>
      <c r="B72" s="2">
        <v>45985.513341400401</v>
      </c>
      <c r="C72" s="3" t="s">
        <v>394</v>
      </c>
      <c r="D72" s="3" t="s">
        <v>1200</v>
      </c>
      <c r="E72" s="4" t="s">
        <v>21</v>
      </c>
      <c r="F72" s="43" t="s">
        <v>1281</v>
      </c>
      <c r="G72" s="4" t="s">
        <v>25</v>
      </c>
      <c r="H72" s="43" t="s">
        <v>1317</v>
      </c>
      <c r="I72" s="4"/>
      <c r="J72" s="26" t="s">
        <v>12</v>
      </c>
      <c r="K72" s="27" t="s">
        <v>17</v>
      </c>
      <c r="L72" s="2">
        <v>45992.605338796297</v>
      </c>
      <c r="M72" s="24"/>
      <c r="N72" s="4" t="s">
        <v>121</v>
      </c>
    </row>
    <row r="73" spans="1:14" ht="100.2" customHeight="1" thickTop="1" thickBot="1">
      <c r="A73" s="31">
        <v>71</v>
      </c>
      <c r="B73" s="2">
        <v>45987.313264363402</v>
      </c>
      <c r="C73" s="3" t="s">
        <v>394</v>
      </c>
      <c r="D73" s="3" t="s">
        <v>1200</v>
      </c>
      <c r="E73" s="4" t="s">
        <v>21</v>
      </c>
      <c r="F73" s="43" t="s">
        <v>405</v>
      </c>
      <c r="G73" s="4" t="s">
        <v>1318</v>
      </c>
      <c r="H73" s="43" t="s">
        <v>1319</v>
      </c>
      <c r="I73" s="4"/>
      <c r="J73" s="26" t="s">
        <v>12</v>
      </c>
      <c r="K73" s="27" t="s">
        <v>13</v>
      </c>
      <c r="L73" s="2">
        <v>45992.606311446754</v>
      </c>
      <c r="M73" s="24"/>
      <c r="N73" s="4" t="s">
        <v>121</v>
      </c>
    </row>
    <row r="74" spans="1:14" ht="100.2" customHeight="1" thickTop="1" thickBot="1">
      <c r="A74" s="4">
        <v>72</v>
      </c>
      <c r="B74" s="2">
        <v>45987.3994593518</v>
      </c>
      <c r="C74" s="3" t="s">
        <v>394</v>
      </c>
      <c r="D74" s="3" t="s">
        <v>1200</v>
      </c>
      <c r="E74" s="4" t="s">
        <v>21</v>
      </c>
      <c r="F74" s="43" t="s">
        <v>416</v>
      </c>
      <c r="G74" s="4" t="s">
        <v>1320</v>
      </c>
      <c r="H74" s="43" t="s">
        <v>1224</v>
      </c>
      <c r="I74" s="4"/>
      <c r="J74" s="26" t="s">
        <v>12</v>
      </c>
      <c r="K74" s="27" t="s">
        <v>13</v>
      </c>
      <c r="L74" s="2">
        <v>45987.436832152773</v>
      </c>
      <c r="M74" s="24"/>
      <c r="N74" s="4" t="s">
        <v>121</v>
      </c>
    </row>
    <row r="75" spans="1:14" ht="100.2" customHeight="1" thickTop="1" thickBot="1">
      <c r="A75" s="31">
        <v>73</v>
      </c>
      <c r="B75" s="2">
        <v>45987.5348492708</v>
      </c>
      <c r="C75" s="3" t="s">
        <v>394</v>
      </c>
      <c r="D75" s="3" t="s">
        <v>1200</v>
      </c>
      <c r="E75" s="4" t="s">
        <v>21</v>
      </c>
      <c r="F75" s="43" t="s">
        <v>497</v>
      </c>
      <c r="G75" s="4" t="s">
        <v>25</v>
      </c>
      <c r="H75" s="43" t="s">
        <v>1321</v>
      </c>
      <c r="I75" s="4"/>
      <c r="J75" s="26" t="s">
        <v>12</v>
      </c>
      <c r="K75" s="27" t="s">
        <v>13</v>
      </c>
      <c r="L75" s="2">
        <v>45987.535201585648</v>
      </c>
      <c r="M75" s="24"/>
      <c r="N75" s="4" t="s">
        <v>121</v>
      </c>
    </row>
    <row r="76" spans="1:14" ht="100.2" customHeight="1" thickTop="1" thickBot="1">
      <c r="A76" s="4">
        <v>74</v>
      </c>
      <c r="B76" s="2">
        <v>45988.438472592497</v>
      </c>
      <c r="C76" s="3" t="s">
        <v>394</v>
      </c>
      <c r="D76" s="3" t="s">
        <v>1200</v>
      </c>
      <c r="E76" s="4" t="s">
        <v>21</v>
      </c>
      <c r="F76" s="43" t="s">
        <v>396</v>
      </c>
      <c r="G76" s="4" t="s">
        <v>25</v>
      </c>
      <c r="H76" s="43" t="s">
        <v>1322</v>
      </c>
      <c r="I76" s="4"/>
      <c r="J76" s="26" t="s">
        <v>12</v>
      </c>
      <c r="K76" s="27" t="s">
        <v>13</v>
      </c>
      <c r="L76" s="2">
        <v>45988.537867280094</v>
      </c>
      <c r="M76" s="24"/>
      <c r="N76" s="4" t="s">
        <v>121</v>
      </c>
    </row>
    <row r="77" spans="1:14" ht="100.2" customHeight="1" thickTop="1" thickBot="1">
      <c r="A77" s="31">
        <v>75</v>
      </c>
      <c r="B77" s="2">
        <v>45988.509189004602</v>
      </c>
      <c r="C77" s="3" t="s">
        <v>394</v>
      </c>
      <c r="D77" s="3" t="s">
        <v>1200</v>
      </c>
      <c r="E77" s="4" t="s">
        <v>21</v>
      </c>
      <c r="F77" s="43" t="s">
        <v>401</v>
      </c>
      <c r="G77" s="4" t="s">
        <v>1226</v>
      </c>
      <c r="H77" s="43" t="s">
        <v>1323</v>
      </c>
      <c r="I77" s="4"/>
      <c r="J77" s="26" t="s">
        <v>12</v>
      </c>
      <c r="K77" s="27" t="s">
        <v>13</v>
      </c>
      <c r="L77" s="2">
        <v>45988.894411666668</v>
      </c>
      <c r="M77" s="24"/>
      <c r="N77" s="4" t="s">
        <v>121</v>
      </c>
    </row>
    <row r="78" spans="1:14" ht="100.2" customHeight="1" thickTop="1" thickBot="1">
      <c r="A78" s="4">
        <v>76</v>
      </c>
      <c r="B78" s="2">
        <v>45988.544691157404</v>
      </c>
      <c r="C78" s="3" t="s">
        <v>394</v>
      </c>
      <c r="D78" s="3" t="s">
        <v>1258</v>
      </c>
      <c r="E78" s="4" t="s">
        <v>22</v>
      </c>
      <c r="F78" s="43" t="s">
        <v>405</v>
      </c>
      <c r="G78" s="4" t="s">
        <v>1324</v>
      </c>
      <c r="H78" s="43" t="s">
        <v>1325</v>
      </c>
      <c r="I78" s="4"/>
      <c r="J78" s="26" t="s">
        <v>12</v>
      </c>
      <c r="K78" s="27" t="s">
        <v>13</v>
      </c>
      <c r="L78" s="2">
        <v>45988.548453877316</v>
      </c>
      <c r="M78" s="24"/>
      <c r="N78" s="4" t="s">
        <v>121</v>
      </c>
    </row>
    <row r="79" spans="1:14" ht="100.2" customHeight="1" thickTop="1" thickBot="1">
      <c r="A79" s="31">
        <v>77</v>
      </c>
      <c r="B79" s="2">
        <v>45988.5457172569</v>
      </c>
      <c r="C79" s="3" t="s">
        <v>394</v>
      </c>
      <c r="D79" s="3" t="s">
        <v>1258</v>
      </c>
      <c r="E79" s="4" t="s">
        <v>22</v>
      </c>
      <c r="F79" s="43" t="s">
        <v>696</v>
      </c>
      <c r="G79" s="4" t="s">
        <v>25</v>
      </c>
      <c r="H79" s="43" t="s">
        <v>1326</v>
      </c>
      <c r="I79" s="4"/>
      <c r="J79" s="26" t="s">
        <v>12</v>
      </c>
      <c r="K79" s="27" t="s">
        <v>13</v>
      </c>
      <c r="L79" s="2">
        <v>45988.548511041663</v>
      </c>
      <c r="M79" s="24"/>
      <c r="N79" s="4" t="s">
        <v>121</v>
      </c>
    </row>
    <row r="80" spans="1:14" ht="100.2" customHeight="1" thickTop="1" thickBot="1">
      <c r="A80" s="4">
        <v>78</v>
      </c>
      <c r="B80" s="2">
        <v>45988.5466424189</v>
      </c>
      <c r="C80" s="3" t="s">
        <v>394</v>
      </c>
      <c r="D80" s="3" t="s">
        <v>1327</v>
      </c>
      <c r="E80" s="4" t="s">
        <v>22</v>
      </c>
      <c r="F80" s="43" t="s">
        <v>405</v>
      </c>
      <c r="G80" s="4" t="s">
        <v>37</v>
      </c>
      <c r="H80" s="43" t="s">
        <v>1328</v>
      </c>
      <c r="I80" s="4"/>
      <c r="J80" s="26" t="s">
        <v>12</v>
      </c>
      <c r="K80" s="27" t="s">
        <v>13</v>
      </c>
      <c r="L80" s="2">
        <v>45988.548575347224</v>
      </c>
      <c r="M80" s="24"/>
      <c r="N80" s="4" t="s">
        <v>121</v>
      </c>
    </row>
    <row r="81" spans="1:14" ht="100.2" customHeight="1" thickTop="1" thickBot="1">
      <c r="A81" s="31">
        <v>79</v>
      </c>
      <c r="B81" s="2">
        <v>45991.512804062397</v>
      </c>
      <c r="C81" s="3" t="s">
        <v>394</v>
      </c>
      <c r="D81" s="3" t="s">
        <v>1200</v>
      </c>
      <c r="E81" s="4" t="s">
        <v>21</v>
      </c>
      <c r="F81" s="43" t="s">
        <v>413</v>
      </c>
      <c r="G81" s="4" t="s">
        <v>25</v>
      </c>
      <c r="H81" s="43" t="s">
        <v>1329</v>
      </c>
      <c r="I81" s="4"/>
      <c r="J81" s="26" t="s">
        <v>12</v>
      </c>
      <c r="K81" s="27" t="s">
        <v>13</v>
      </c>
      <c r="L81" s="2">
        <v>45992.443522615737</v>
      </c>
      <c r="M81" s="24"/>
      <c r="N81" s="4" t="s">
        <v>121</v>
      </c>
    </row>
    <row r="82" spans="1:14" ht="100.2" customHeight="1" thickTop="1" thickBot="1">
      <c r="A82" s="4">
        <v>80</v>
      </c>
      <c r="B82" s="2">
        <v>45991.514796898096</v>
      </c>
      <c r="C82" s="3" t="s">
        <v>394</v>
      </c>
      <c r="D82" s="3" t="s">
        <v>1200</v>
      </c>
      <c r="E82" s="4" t="s">
        <v>21</v>
      </c>
      <c r="F82" s="43" t="s">
        <v>413</v>
      </c>
      <c r="G82" s="4" t="s">
        <v>37</v>
      </c>
      <c r="H82" s="43" t="s">
        <v>1330</v>
      </c>
      <c r="I82" s="4"/>
      <c r="J82" s="26" t="s">
        <v>12</v>
      </c>
      <c r="K82" s="27" t="s">
        <v>13</v>
      </c>
      <c r="L82" s="2">
        <v>45992.443502511574</v>
      </c>
      <c r="M82" s="24"/>
      <c r="N82" s="4" t="s">
        <v>121</v>
      </c>
    </row>
    <row r="83" spans="1:14" ht="100.2" customHeight="1" thickTop="1" thickBot="1">
      <c r="A83" s="31">
        <v>81</v>
      </c>
      <c r="B83" s="2">
        <v>45963.435816840203</v>
      </c>
      <c r="C83" s="3" t="s">
        <v>394</v>
      </c>
      <c r="D83" s="3" t="s">
        <v>1200</v>
      </c>
      <c r="E83" s="4" t="s">
        <v>21</v>
      </c>
      <c r="F83" s="43" t="s">
        <v>405</v>
      </c>
      <c r="G83" s="4" t="s">
        <v>1331</v>
      </c>
      <c r="H83" s="43" t="s">
        <v>1332</v>
      </c>
      <c r="I83" s="4"/>
      <c r="J83" s="26" t="s">
        <v>16</v>
      </c>
      <c r="K83" s="27" t="s">
        <v>13</v>
      </c>
      <c r="L83" s="2">
        <v>45963.468733796297</v>
      </c>
      <c r="M83" s="24"/>
      <c r="N83" s="4" t="s">
        <v>121</v>
      </c>
    </row>
    <row r="84" spans="1:14" ht="100.2" customHeight="1" thickTop="1" thickBot="1">
      <c r="A84" s="4">
        <v>82</v>
      </c>
      <c r="B84" s="2">
        <v>45963.440333969898</v>
      </c>
      <c r="C84" s="3" t="s">
        <v>394</v>
      </c>
      <c r="D84" s="3" t="s">
        <v>1200</v>
      </c>
      <c r="E84" s="4" t="s">
        <v>21</v>
      </c>
      <c r="F84" s="43" t="s">
        <v>1333</v>
      </c>
      <c r="G84" s="4" t="s">
        <v>25</v>
      </c>
      <c r="H84" s="43" t="s">
        <v>1334</v>
      </c>
      <c r="I84" s="4"/>
      <c r="J84" s="26" t="s">
        <v>16</v>
      </c>
      <c r="K84" s="27" t="s">
        <v>13</v>
      </c>
      <c r="L84" s="2">
        <v>45964.511193842598</v>
      </c>
      <c r="M84" s="24"/>
      <c r="N84" s="4" t="s">
        <v>121</v>
      </c>
    </row>
    <row r="85" spans="1:14" ht="100.2" customHeight="1" thickTop="1" thickBot="1">
      <c r="A85" s="31">
        <v>83</v>
      </c>
      <c r="B85" s="2">
        <v>45963.583526087903</v>
      </c>
      <c r="C85" s="3" t="s">
        <v>394</v>
      </c>
      <c r="D85" s="3" t="s">
        <v>1200</v>
      </c>
      <c r="E85" s="4" t="s">
        <v>21</v>
      </c>
      <c r="F85" s="43" t="s">
        <v>405</v>
      </c>
      <c r="G85" s="4" t="s">
        <v>1335</v>
      </c>
      <c r="H85" s="43" t="s">
        <v>1336</v>
      </c>
      <c r="I85" s="4"/>
      <c r="J85" s="26" t="s">
        <v>16</v>
      </c>
      <c r="K85" s="27" t="s">
        <v>13</v>
      </c>
      <c r="L85" s="2">
        <v>45964.511001469902</v>
      </c>
      <c r="M85" s="24"/>
      <c r="N85" s="4" t="s">
        <v>121</v>
      </c>
    </row>
    <row r="86" spans="1:14" ht="100.2" customHeight="1" thickTop="1" thickBot="1">
      <c r="A86" s="4">
        <v>84</v>
      </c>
      <c r="B86" s="2">
        <v>45964.310046631901</v>
      </c>
      <c r="C86" s="3" t="s">
        <v>394</v>
      </c>
      <c r="D86" s="3" t="s">
        <v>1200</v>
      </c>
      <c r="E86" s="4" t="s">
        <v>21</v>
      </c>
      <c r="F86" s="43" t="s">
        <v>405</v>
      </c>
      <c r="G86" s="4" t="s">
        <v>1337</v>
      </c>
      <c r="H86" s="43" t="s">
        <v>1338</v>
      </c>
      <c r="I86" s="4"/>
      <c r="J86" s="26" t="s">
        <v>16</v>
      </c>
      <c r="K86" s="27" t="s">
        <v>13</v>
      </c>
      <c r="L86" s="2">
        <v>45964.510913923616</v>
      </c>
      <c r="M86" s="24"/>
      <c r="N86" s="4" t="s">
        <v>121</v>
      </c>
    </row>
    <row r="87" spans="1:14" ht="100.2" customHeight="1" thickTop="1" thickBot="1">
      <c r="A87" s="31">
        <v>85</v>
      </c>
      <c r="B87" s="2">
        <v>45964.51420125</v>
      </c>
      <c r="C87" s="3" t="s">
        <v>394</v>
      </c>
      <c r="D87" s="3" t="s">
        <v>1200</v>
      </c>
      <c r="E87" s="4" t="s">
        <v>21</v>
      </c>
      <c r="F87" s="43" t="s">
        <v>399</v>
      </c>
      <c r="G87" s="4" t="s">
        <v>1339</v>
      </c>
      <c r="H87" s="43" t="s">
        <v>1340</v>
      </c>
      <c r="I87" s="4"/>
      <c r="J87" s="26" t="s">
        <v>16</v>
      </c>
      <c r="K87" s="27" t="s">
        <v>13</v>
      </c>
      <c r="L87" s="2">
        <v>45965.420580763894</v>
      </c>
      <c r="M87" s="24"/>
      <c r="N87" s="4" t="s">
        <v>121</v>
      </c>
    </row>
    <row r="88" spans="1:14" ht="100.2" customHeight="1" thickTop="1" thickBot="1">
      <c r="A88" s="4">
        <v>86</v>
      </c>
      <c r="B88" s="2">
        <v>45965.445269698997</v>
      </c>
      <c r="C88" s="3" t="s">
        <v>394</v>
      </c>
      <c r="D88" s="3" t="s">
        <v>1200</v>
      </c>
      <c r="E88" s="4" t="s">
        <v>22</v>
      </c>
      <c r="F88" s="43" t="s">
        <v>447</v>
      </c>
      <c r="G88" s="4" t="s">
        <v>25</v>
      </c>
      <c r="H88" s="43" t="s">
        <v>889</v>
      </c>
      <c r="I88" s="4"/>
      <c r="J88" s="26" t="s">
        <v>16</v>
      </c>
      <c r="K88" s="27" t="s">
        <v>13</v>
      </c>
      <c r="L88" s="2">
        <v>45965.457411388888</v>
      </c>
      <c r="M88" s="24"/>
      <c r="N88" s="4" t="s">
        <v>121</v>
      </c>
    </row>
    <row r="89" spans="1:14" ht="100.2" customHeight="1" thickTop="1" thickBot="1">
      <c r="A89" s="31">
        <v>87</v>
      </c>
      <c r="B89" s="2">
        <v>45965.456960277697</v>
      </c>
      <c r="C89" s="3" t="s">
        <v>394</v>
      </c>
      <c r="D89" s="3" t="s">
        <v>1200</v>
      </c>
      <c r="E89" s="4" t="s">
        <v>21</v>
      </c>
      <c r="F89" s="43" t="s">
        <v>481</v>
      </c>
      <c r="G89" s="4" t="s">
        <v>36</v>
      </c>
      <c r="H89" s="43" t="s">
        <v>1341</v>
      </c>
      <c r="I89" s="4"/>
      <c r="J89" s="26" t="s">
        <v>16</v>
      </c>
      <c r="K89" s="27" t="s">
        <v>13</v>
      </c>
      <c r="L89" s="2">
        <v>45965.45778488426</v>
      </c>
      <c r="M89" s="24"/>
      <c r="N89" s="4" t="s">
        <v>121</v>
      </c>
    </row>
    <row r="90" spans="1:14" ht="100.2" customHeight="1" thickTop="1" thickBot="1">
      <c r="A90" s="4">
        <v>88</v>
      </c>
      <c r="B90" s="2">
        <v>45966.4568100463</v>
      </c>
      <c r="C90" s="3" t="s">
        <v>394</v>
      </c>
      <c r="D90" s="3" t="s">
        <v>1200</v>
      </c>
      <c r="E90" s="4" t="s">
        <v>21</v>
      </c>
      <c r="F90" s="43" t="s">
        <v>399</v>
      </c>
      <c r="G90" s="4" t="s">
        <v>25</v>
      </c>
      <c r="H90" s="43" t="s">
        <v>1342</v>
      </c>
      <c r="I90" s="4"/>
      <c r="J90" s="26" t="s">
        <v>16</v>
      </c>
      <c r="K90" s="27" t="s">
        <v>13</v>
      </c>
      <c r="L90" s="2">
        <v>45966.735104027779</v>
      </c>
      <c r="M90" s="24"/>
      <c r="N90" s="4" t="s">
        <v>121</v>
      </c>
    </row>
    <row r="91" spans="1:14" ht="100.2" customHeight="1" thickTop="1" thickBot="1">
      <c r="A91" s="31">
        <v>89</v>
      </c>
      <c r="B91" s="2">
        <v>45966.531171574003</v>
      </c>
      <c r="C91" s="3" t="s">
        <v>394</v>
      </c>
      <c r="D91" s="3" t="s">
        <v>1200</v>
      </c>
      <c r="E91" s="4" t="s">
        <v>21</v>
      </c>
      <c r="F91" s="43" t="s">
        <v>396</v>
      </c>
      <c r="G91" s="4" t="s">
        <v>25</v>
      </c>
      <c r="H91" s="43" t="s">
        <v>1343</v>
      </c>
      <c r="I91" s="4"/>
      <c r="J91" s="26" t="s">
        <v>16</v>
      </c>
      <c r="K91" s="27" t="s">
        <v>13</v>
      </c>
      <c r="L91" s="2">
        <v>45966.568962986115</v>
      </c>
      <c r="M91" s="24"/>
      <c r="N91" s="4" t="s">
        <v>121</v>
      </c>
    </row>
    <row r="92" spans="1:14" ht="100.2" customHeight="1" thickTop="1" thickBot="1">
      <c r="A92" s="4">
        <v>90</v>
      </c>
      <c r="B92" s="2">
        <v>45966.531761759201</v>
      </c>
      <c r="C92" s="3" t="s">
        <v>394</v>
      </c>
      <c r="D92" s="3" t="s">
        <v>1200</v>
      </c>
      <c r="E92" s="4" t="s">
        <v>21</v>
      </c>
      <c r="F92" s="43" t="s">
        <v>412</v>
      </c>
      <c r="G92" s="4" t="s">
        <v>25</v>
      </c>
      <c r="H92" s="43" t="s">
        <v>1344</v>
      </c>
      <c r="I92" s="4"/>
      <c r="J92" s="26" t="s">
        <v>16</v>
      </c>
      <c r="K92" s="27" t="s">
        <v>13</v>
      </c>
      <c r="L92" s="2">
        <v>45967.481015648147</v>
      </c>
      <c r="M92" s="24"/>
      <c r="N92" s="4" t="s">
        <v>121</v>
      </c>
    </row>
    <row r="93" spans="1:14" ht="100.2" customHeight="1" thickTop="1" thickBot="1">
      <c r="A93" s="31">
        <v>91</v>
      </c>
      <c r="B93" s="2">
        <v>45967.354246122602</v>
      </c>
      <c r="C93" s="3" t="s">
        <v>394</v>
      </c>
      <c r="D93" s="3" t="s">
        <v>1200</v>
      </c>
      <c r="E93" s="4" t="s">
        <v>21</v>
      </c>
      <c r="F93" s="43" t="s">
        <v>403</v>
      </c>
      <c r="G93" s="4" t="s">
        <v>25</v>
      </c>
      <c r="H93" s="43" t="s">
        <v>1345</v>
      </c>
      <c r="I93" s="4"/>
      <c r="J93" s="26" t="s">
        <v>16</v>
      </c>
      <c r="K93" s="27" t="s">
        <v>13</v>
      </c>
      <c r="L93" s="2">
        <v>45967.400133136573</v>
      </c>
      <c r="M93" s="24"/>
      <c r="N93" s="4" t="s">
        <v>121</v>
      </c>
    </row>
    <row r="94" spans="1:14" ht="100.2" customHeight="1" thickTop="1" thickBot="1">
      <c r="A94" s="4">
        <v>92</v>
      </c>
      <c r="B94" s="2">
        <v>45967.421748911998</v>
      </c>
      <c r="C94" s="3" t="s">
        <v>394</v>
      </c>
      <c r="D94" s="3" t="s">
        <v>1200</v>
      </c>
      <c r="E94" s="4" t="s">
        <v>21</v>
      </c>
      <c r="F94" s="43" t="s">
        <v>405</v>
      </c>
      <c r="G94" s="4" t="s">
        <v>1346</v>
      </c>
      <c r="H94" s="43" t="s">
        <v>1347</v>
      </c>
      <c r="I94" s="4"/>
      <c r="J94" s="26" t="s">
        <v>16</v>
      </c>
      <c r="K94" s="27" t="s">
        <v>13</v>
      </c>
      <c r="L94" s="2">
        <v>45967.480674664352</v>
      </c>
      <c r="M94" s="24"/>
      <c r="N94" s="4" t="s">
        <v>121</v>
      </c>
    </row>
    <row r="95" spans="1:14" ht="100.2" customHeight="1" thickTop="1" thickBot="1">
      <c r="A95" s="31">
        <v>93</v>
      </c>
      <c r="B95" s="2">
        <v>45967.463249537002</v>
      </c>
      <c r="C95" s="3" t="s">
        <v>394</v>
      </c>
      <c r="D95" s="3" t="s">
        <v>1200</v>
      </c>
      <c r="E95" s="4" t="s">
        <v>21</v>
      </c>
      <c r="F95" s="43" t="s">
        <v>416</v>
      </c>
      <c r="G95" s="4" t="s">
        <v>1226</v>
      </c>
      <c r="H95" s="43" t="s">
        <v>1160</v>
      </c>
      <c r="I95" s="4"/>
      <c r="J95" s="26" t="s">
        <v>16</v>
      </c>
      <c r="K95" s="27" t="s">
        <v>13</v>
      </c>
      <c r="L95" s="2">
        <v>45967.546400266205</v>
      </c>
      <c r="M95" s="24"/>
      <c r="N95" s="4" t="s">
        <v>121</v>
      </c>
    </row>
    <row r="96" spans="1:14" ht="100.2" customHeight="1" thickTop="1" thickBot="1">
      <c r="A96" s="4">
        <v>94</v>
      </c>
      <c r="B96" s="2">
        <v>45969.465511678201</v>
      </c>
      <c r="C96" s="3" t="s">
        <v>394</v>
      </c>
      <c r="D96" s="3" t="s">
        <v>1200</v>
      </c>
      <c r="E96" s="4" t="s">
        <v>21</v>
      </c>
      <c r="F96" s="43" t="s">
        <v>411</v>
      </c>
      <c r="G96" s="4" t="s">
        <v>25</v>
      </c>
      <c r="H96" s="43" t="s">
        <v>1348</v>
      </c>
      <c r="I96" s="4"/>
      <c r="J96" s="26" t="s">
        <v>16</v>
      </c>
      <c r="K96" s="27" t="s">
        <v>13</v>
      </c>
      <c r="L96" s="2">
        <v>45969.524487766204</v>
      </c>
      <c r="M96" s="24"/>
      <c r="N96" s="4" t="s">
        <v>121</v>
      </c>
    </row>
    <row r="97" spans="1:14" ht="100.2" customHeight="1" thickTop="1" thickBot="1">
      <c r="A97" s="31">
        <v>95</v>
      </c>
      <c r="B97" s="2">
        <v>45970.510986585599</v>
      </c>
      <c r="C97" s="3" t="s">
        <v>394</v>
      </c>
      <c r="D97" s="3" t="s">
        <v>1200</v>
      </c>
      <c r="E97" s="4" t="s">
        <v>21</v>
      </c>
      <c r="F97" s="43" t="s">
        <v>401</v>
      </c>
      <c r="G97" s="4" t="s">
        <v>25</v>
      </c>
      <c r="H97" s="43" t="s">
        <v>1349</v>
      </c>
      <c r="I97" s="4"/>
      <c r="J97" s="26" t="s">
        <v>16</v>
      </c>
      <c r="K97" s="27" t="s">
        <v>13</v>
      </c>
      <c r="L97" s="2">
        <v>45970.564425671299</v>
      </c>
      <c r="M97" s="24"/>
      <c r="N97" s="4" t="s">
        <v>121</v>
      </c>
    </row>
    <row r="98" spans="1:14" ht="100.2" customHeight="1" thickTop="1" thickBot="1">
      <c r="A98" s="4">
        <v>96</v>
      </c>
      <c r="B98" s="2">
        <v>45970.5121767245</v>
      </c>
      <c r="C98" s="3" t="s">
        <v>394</v>
      </c>
      <c r="D98" s="3" t="s">
        <v>1200</v>
      </c>
      <c r="E98" s="4" t="s">
        <v>21</v>
      </c>
      <c r="F98" s="43" t="s">
        <v>401</v>
      </c>
      <c r="G98" s="4" t="s">
        <v>43</v>
      </c>
      <c r="H98" s="43" t="s">
        <v>1350</v>
      </c>
      <c r="I98" s="4"/>
      <c r="J98" s="26" t="s">
        <v>16</v>
      </c>
      <c r="K98" s="27" t="s">
        <v>13</v>
      </c>
      <c r="L98" s="2">
        <v>45970.564486504634</v>
      </c>
      <c r="M98" s="24"/>
      <c r="N98" s="4" t="s">
        <v>121</v>
      </c>
    </row>
    <row r="99" spans="1:14" ht="100.2" customHeight="1" thickTop="1" thickBot="1">
      <c r="A99" s="31">
        <v>97</v>
      </c>
      <c r="B99" s="2">
        <v>45970.514759698999</v>
      </c>
      <c r="C99" s="3" t="s">
        <v>394</v>
      </c>
      <c r="D99" s="3" t="s">
        <v>1200</v>
      </c>
      <c r="E99" s="4" t="s">
        <v>21</v>
      </c>
      <c r="F99" s="43" t="s">
        <v>401</v>
      </c>
      <c r="G99" s="4" t="s">
        <v>1351</v>
      </c>
      <c r="H99" s="43" t="s">
        <v>1352</v>
      </c>
      <c r="I99" s="4"/>
      <c r="J99" s="26" t="s">
        <v>16</v>
      </c>
      <c r="K99" s="27" t="s">
        <v>13</v>
      </c>
      <c r="L99" s="2">
        <v>45970.753251805552</v>
      </c>
      <c r="M99" s="24"/>
      <c r="N99" s="4" t="s">
        <v>121</v>
      </c>
    </row>
    <row r="100" spans="1:14" ht="100.2" customHeight="1" thickTop="1" thickBot="1">
      <c r="A100" s="4">
        <v>98</v>
      </c>
      <c r="B100" s="2">
        <v>45971.4388540972</v>
      </c>
      <c r="C100" s="3" t="s">
        <v>394</v>
      </c>
      <c r="D100" s="3" t="s">
        <v>1200</v>
      </c>
      <c r="E100" s="4" t="s">
        <v>21</v>
      </c>
      <c r="F100" s="43" t="s">
        <v>405</v>
      </c>
      <c r="G100" s="4" t="s">
        <v>1353</v>
      </c>
      <c r="H100" s="43" t="s">
        <v>1354</v>
      </c>
      <c r="I100" s="4"/>
      <c r="J100" s="26" t="s">
        <v>16</v>
      </c>
      <c r="K100" s="27" t="s">
        <v>13</v>
      </c>
      <c r="L100" s="2">
        <v>45971.585792847225</v>
      </c>
      <c r="M100" s="24"/>
      <c r="N100" s="4" t="s">
        <v>121</v>
      </c>
    </row>
    <row r="101" spans="1:14" ht="100.2" customHeight="1" thickTop="1" thickBot="1">
      <c r="A101" s="31">
        <v>99</v>
      </c>
      <c r="B101" s="2">
        <v>45974.505903379599</v>
      </c>
      <c r="C101" s="3" t="s">
        <v>394</v>
      </c>
      <c r="D101" s="3" t="s">
        <v>1200</v>
      </c>
      <c r="E101" s="4" t="s">
        <v>21</v>
      </c>
      <c r="F101" s="43" t="s">
        <v>403</v>
      </c>
      <c r="G101" s="4" t="s">
        <v>38</v>
      </c>
      <c r="H101" s="43" t="s">
        <v>1355</v>
      </c>
      <c r="I101" s="4"/>
      <c r="J101" s="26" t="s">
        <v>16</v>
      </c>
      <c r="K101" s="27" t="s">
        <v>13</v>
      </c>
      <c r="L101" s="2">
        <v>45974.507652650464</v>
      </c>
      <c r="M101" s="24"/>
      <c r="N101" s="4" t="s">
        <v>121</v>
      </c>
    </row>
    <row r="102" spans="1:14" ht="100.2" customHeight="1" thickTop="1" thickBot="1">
      <c r="A102" s="4">
        <v>100</v>
      </c>
      <c r="B102" s="2">
        <v>45974.506838460598</v>
      </c>
      <c r="C102" s="3" t="s">
        <v>394</v>
      </c>
      <c r="D102" s="3" t="s">
        <v>1200</v>
      </c>
      <c r="E102" s="4" t="s">
        <v>21</v>
      </c>
      <c r="F102" s="43" t="s">
        <v>497</v>
      </c>
      <c r="G102" s="4" t="s">
        <v>25</v>
      </c>
      <c r="H102" s="43" t="s">
        <v>1356</v>
      </c>
      <c r="I102" s="4"/>
      <c r="J102" s="26" t="s">
        <v>16</v>
      </c>
      <c r="K102" s="27" t="s">
        <v>13</v>
      </c>
      <c r="L102" s="2">
        <v>45974.507706192133</v>
      </c>
      <c r="M102" s="24"/>
      <c r="N102" s="4" t="s">
        <v>121</v>
      </c>
    </row>
    <row r="103" spans="1:14" ht="100.2" customHeight="1" thickTop="1" thickBot="1">
      <c r="A103" s="31">
        <v>101</v>
      </c>
      <c r="B103" s="2">
        <v>45974.507501712898</v>
      </c>
      <c r="C103" s="3" t="s">
        <v>394</v>
      </c>
      <c r="D103" s="3" t="s">
        <v>1200</v>
      </c>
      <c r="E103" s="4" t="s">
        <v>21</v>
      </c>
      <c r="F103" s="43" t="s">
        <v>403</v>
      </c>
      <c r="G103" s="4" t="s">
        <v>37</v>
      </c>
      <c r="H103" s="43" t="s">
        <v>1357</v>
      </c>
      <c r="I103" s="4"/>
      <c r="J103" s="26" t="s">
        <v>16</v>
      </c>
      <c r="K103" s="27" t="s">
        <v>13</v>
      </c>
      <c r="L103" s="2">
        <v>45974.507770439814</v>
      </c>
      <c r="M103" s="24"/>
      <c r="N103" s="4" t="s">
        <v>121</v>
      </c>
    </row>
    <row r="104" spans="1:14" ht="100.2" customHeight="1" thickTop="1" thickBot="1">
      <c r="A104" s="4">
        <v>102</v>
      </c>
      <c r="B104" s="2">
        <v>45974.5084606249</v>
      </c>
      <c r="C104" s="3" t="s">
        <v>394</v>
      </c>
      <c r="D104" s="3" t="s">
        <v>1200</v>
      </c>
      <c r="E104" s="4" t="s">
        <v>21</v>
      </c>
      <c r="F104" s="43" t="s">
        <v>403</v>
      </c>
      <c r="G104" s="4" t="s">
        <v>38</v>
      </c>
      <c r="H104" s="43" t="s">
        <v>1358</v>
      </c>
      <c r="I104" s="4"/>
      <c r="J104" s="26" t="s">
        <v>16</v>
      </c>
      <c r="K104" s="27" t="s">
        <v>13</v>
      </c>
      <c r="L104" s="2">
        <v>45974.50857824074</v>
      </c>
      <c r="M104" s="24"/>
      <c r="N104" s="4" t="s">
        <v>121</v>
      </c>
    </row>
    <row r="105" spans="1:14" ht="100.2" customHeight="1" thickTop="1" thickBot="1">
      <c r="A105" s="31">
        <v>103</v>
      </c>
      <c r="B105" s="2">
        <v>45974.5092069444</v>
      </c>
      <c r="C105" s="3" t="s">
        <v>394</v>
      </c>
      <c r="D105" s="3" t="s">
        <v>1200</v>
      </c>
      <c r="E105" s="4" t="s">
        <v>21</v>
      </c>
      <c r="F105" s="43" t="s">
        <v>403</v>
      </c>
      <c r="G105" s="4" t="s">
        <v>47</v>
      </c>
      <c r="H105" s="43" t="s">
        <v>1359</v>
      </c>
      <c r="I105" s="4"/>
      <c r="J105" s="26" t="s">
        <v>16</v>
      </c>
      <c r="K105" s="27" t="s">
        <v>13</v>
      </c>
      <c r="L105" s="2">
        <v>45974.50932409722</v>
      </c>
      <c r="M105" s="24"/>
      <c r="N105" s="4" t="s">
        <v>121</v>
      </c>
    </row>
    <row r="106" spans="1:14" ht="100.2" customHeight="1" thickTop="1" thickBot="1">
      <c r="A106" s="4">
        <v>104</v>
      </c>
      <c r="B106" s="2">
        <v>45974.509728715202</v>
      </c>
      <c r="C106" s="3" t="s">
        <v>394</v>
      </c>
      <c r="D106" s="3" t="s">
        <v>1200</v>
      </c>
      <c r="E106" s="4" t="s">
        <v>21</v>
      </c>
      <c r="F106" s="43" t="s">
        <v>405</v>
      </c>
      <c r="G106" s="4" t="s">
        <v>37</v>
      </c>
      <c r="H106" s="43" t="s">
        <v>1160</v>
      </c>
      <c r="I106" s="4"/>
      <c r="J106" s="26" t="s">
        <v>16</v>
      </c>
      <c r="K106" s="27" t="s">
        <v>13</v>
      </c>
      <c r="L106" s="2">
        <v>45974.510748958332</v>
      </c>
      <c r="M106" s="24"/>
      <c r="N106" s="4" t="s">
        <v>121</v>
      </c>
    </row>
    <row r="107" spans="1:14" ht="100.2" customHeight="1" thickTop="1" thickBot="1">
      <c r="A107" s="31">
        <v>105</v>
      </c>
      <c r="B107" s="2">
        <v>45974.510650648102</v>
      </c>
      <c r="C107" s="3" t="s">
        <v>394</v>
      </c>
      <c r="D107" s="3" t="s">
        <v>1200</v>
      </c>
      <c r="E107" s="4" t="s">
        <v>21</v>
      </c>
      <c r="F107" s="43" t="s">
        <v>1360</v>
      </c>
      <c r="G107" s="4" t="s">
        <v>1361</v>
      </c>
      <c r="H107" s="43" t="s">
        <v>1362</v>
      </c>
      <c r="I107" s="4"/>
      <c r="J107" s="26" t="s">
        <v>16</v>
      </c>
      <c r="K107" s="27" t="s">
        <v>13</v>
      </c>
      <c r="L107" s="2">
        <v>45974.510809155094</v>
      </c>
      <c r="M107" s="24"/>
      <c r="N107" s="4" t="s">
        <v>121</v>
      </c>
    </row>
    <row r="108" spans="1:14" ht="100.2" customHeight="1" thickTop="1" thickBot="1">
      <c r="A108" s="4">
        <v>106</v>
      </c>
      <c r="B108" s="2">
        <v>45976.363951597203</v>
      </c>
      <c r="C108" s="3" t="s">
        <v>394</v>
      </c>
      <c r="D108" s="3" t="s">
        <v>1200</v>
      </c>
      <c r="E108" s="4" t="s">
        <v>21</v>
      </c>
      <c r="F108" s="43" t="s">
        <v>399</v>
      </c>
      <c r="G108" s="4" t="s">
        <v>25</v>
      </c>
      <c r="H108" s="43" t="s">
        <v>1363</v>
      </c>
      <c r="I108" s="4"/>
      <c r="J108" s="26" t="s">
        <v>16</v>
      </c>
      <c r="K108" s="27" t="s">
        <v>13</v>
      </c>
      <c r="L108" s="2">
        <v>45976.515715000001</v>
      </c>
      <c r="M108" s="24"/>
      <c r="N108" s="4" t="s">
        <v>121</v>
      </c>
    </row>
    <row r="109" spans="1:14" ht="100.2" customHeight="1" thickTop="1" thickBot="1">
      <c r="A109" s="31">
        <v>107</v>
      </c>
      <c r="B109" s="2">
        <v>45976.4954991782</v>
      </c>
      <c r="C109" s="3" t="s">
        <v>394</v>
      </c>
      <c r="D109" s="3" t="s">
        <v>1200</v>
      </c>
      <c r="E109" s="4" t="s">
        <v>21</v>
      </c>
      <c r="F109" s="43" t="s">
        <v>405</v>
      </c>
      <c r="G109" s="4" t="s">
        <v>1364</v>
      </c>
      <c r="H109" s="43" t="s">
        <v>1365</v>
      </c>
      <c r="I109" s="4"/>
      <c r="J109" s="26" t="s">
        <v>16</v>
      </c>
      <c r="K109" s="27" t="s">
        <v>13</v>
      </c>
      <c r="L109" s="2">
        <v>45977.547091828703</v>
      </c>
      <c r="M109" s="24"/>
      <c r="N109" s="4" t="s">
        <v>121</v>
      </c>
    </row>
    <row r="110" spans="1:14" ht="100.2" customHeight="1" thickTop="1" thickBot="1">
      <c r="A110" s="4">
        <v>108</v>
      </c>
      <c r="B110" s="2">
        <v>45977.478653923601</v>
      </c>
      <c r="C110" s="3" t="s">
        <v>394</v>
      </c>
      <c r="D110" s="3" t="s">
        <v>1200</v>
      </c>
      <c r="E110" s="4" t="s">
        <v>21</v>
      </c>
      <c r="F110" s="43" t="s">
        <v>481</v>
      </c>
      <c r="G110" s="4" t="s">
        <v>25</v>
      </c>
      <c r="H110" s="43" t="s">
        <v>1366</v>
      </c>
      <c r="I110" s="4"/>
      <c r="J110" s="26" t="s">
        <v>16</v>
      </c>
      <c r="K110" s="27" t="s">
        <v>13</v>
      </c>
      <c r="L110" s="2">
        <v>45977.721430636579</v>
      </c>
      <c r="M110" s="24"/>
      <c r="N110" s="4" t="s">
        <v>121</v>
      </c>
    </row>
    <row r="111" spans="1:14" ht="100.2" customHeight="1" thickTop="1" thickBot="1">
      <c r="A111" s="31">
        <v>109</v>
      </c>
      <c r="B111" s="2">
        <v>45978.4234619907</v>
      </c>
      <c r="C111" s="3" t="s">
        <v>394</v>
      </c>
      <c r="D111" s="3" t="s">
        <v>1200</v>
      </c>
      <c r="E111" s="4" t="s">
        <v>21</v>
      </c>
      <c r="F111" s="43" t="s">
        <v>399</v>
      </c>
      <c r="G111" s="4" t="s">
        <v>25</v>
      </c>
      <c r="H111" s="43" t="s">
        <v>1367</v>
      </c>
      <c r="I111" s="4"/>
      <c r="J111" s="26" t="s">
        <v>16</v>
      </c>
      <c r="K111" s="27" t="s">
        <v>13</v>
      </c>
      <c r="L111" s="2">
        <v>45979.309409849535</v>
      </c>
      <c r="M111" s="24"/>
      <c r="N111" s="4" t="s">
        <v>121</v>
      </c>
    </row>
    <row r="112" spans="1:14" ht="100.2" customHeight="1" thickTop="1" thickBot="1">
      <c r="A112" s="4">
        <v>110</v>
      </c>
      <c r="B112" s="2">
        <v>45978.431813055497</v>
      </c>
      <c r="C112" s="3" t="s">
        <v>394</v>
      </c>
      <c r="D112" s="3" t="s">
        <v>1200</v>
      </c>
      <c r="E112" s="4" t="s">
        <v>21</v>
      </c>
      <c r="F112" s="43" t="s">
        <v>399</v>
      </c>
      <c r="G112" s="4" t="s">
        <v>1368</v>
      </c>
      <c r="H112" s="43" t="s">
        <v>1369</v>
      </c>
      <c r="I112" s="4"/>
      <c r="J112" s="26" t="s">
        <v>16</v>
      </c>
      <c r="K112" s="27" t="s">
        <v>13</v>
      </c>
      <c r="L112" s="2">
        <v>45979.309434479168</v>
      </c>
      <c r="M112" s="24"/>
      <c r="N112" s="4" t="s">
        <v>121</v>
      </c>
    </row>
    <row r="113" spans="1:14" ht="100.2" customHeight="1" thickTop="1" thickBot="1">
      <c r="A113" s="31">
        <v>111</v>
      </c>
      <c r="B113" s="2">
        <v>45978.464766620302</v>
      </c>
      <c r="C113" s="3" t="s">
        <v>394</v>
      </c>
      <c r="D113" s="3" t="s">
        <v>1200</v>
      </c>
      <c r="E113" s="4" t="s">
        <v>21</v>
      </c>
      <c r="F113" s="43" t="s">
        <v>405</v>
      </c>
      <c r="G113" s="4" t="s">
        <v>1370</v>
      </c>
      <c r="H113" s="43" t="s">
        <v>1371</v>
      </c>
      <c r="I113" s="4"/>
      <c r="J113" s="26" t="s">
        <v>16</v>
      </c>
      <c r="K113" s="27" t="s">
        <v>13</v>
      </c>
      <c r="L113" s="2">
        <v>45979.309504537036</v>
      </c>
      <c r="M113" s="24"/>
      <c r="N113" s="4" t="s">
        <v>121</v>
      </c>
    </row>
    <row r="114" spans="1:14" ht="100.2" customHeight="1" thickTop="1" thickBot="1">
      <c r="A114" s="4">
        <v>112</v>
      </c>
      <c r="B114" s="2">
        <v>45978.465334085602</v>
      </c>
      <c r="C114" s="3" t="s">
        <v>394</v>
      </c>
      <c r="D114" s="3" t="s">
        <v>1200</v>
      </c>
      <c r="E114" s="4" t="s">
        <v>21</v>
      </c>
      <c r="F114" s="43" t="s">
        <v>403</v>
      </c>
      <c r="G114" s="4" t="s">
        <v>25</v>
      </c>
      <c r="H114" s="43" t="s">
        <v>1372</v>
      </c>
      <c r="I114" s="4"/>
      <c r="J114" s="26" t="s">
        <v>16</v>
      </c>
      <c r="K114" s="27" t="s">
        <v>13</v>
      </c>
      <c r="L114" s="2">
        <v>45978.545697696754</v>
      </c>
      <c r="M114" s="24"/>
      <c r="N114" s="4" t="s">
        <v>121</v>
      </c>
    </row>
    <row r="115" spans="1:14" ht="100.2" customHeight="1" thickTop="1" thickBot="1">
      <c r="A115" s="31">
        <v>113</v>
      </c>
      <c r="B115" s="2">
        <v>45979.3111795023</v>
      </c>
      <c r="C115" s="3" t="s">
        <v>394</v>
      </c>
      <c r="D115" s="3" t="s">
        <v>1200</v>
      </c>
      <c r="E115" s="4" t="s">
        <v>22</v>
      </c>
      <c r="F115" s="43" t="s">
        <v>405</v>
      </c>
      <c r="G115" s="4" t="s">
        <v>406</v>
      </c>
      <c r="H115" s="43" t="s">
        <v>1373</v>
      </c>
      <c r="I115" s="4"/>
      <c r="J115" s="26" t="s">
        <v>16</v>
      </c>
      <c r="K115" s="27" t="s">
        <v>13</v>
      </c>
      <c r="L115" s="2">
        <v>45980.309574317129</v>
      </c>
      <c r="M115" s="24"/>
      <c r="N115" s="4" t="s">
        <v>121</v>
      </c>
    </row>
    <row r="116" spans="1:14" ht="100.2" customHeight="1" thickTop="1" thickBot="1">
      <c r="A116" s="4">
        <v>114</v>
      </c>
      <c r="B116" s="2">
        <v>45979.375845601797</v>
      </c>
      <c r="C116" s="3" t="s">
        <v>394</v>
      </c>
      <c r="D116" s="3" t="s">
        <v>1200</v>
      </c>
      <c r="E116" s="4" t="s">
        <v>21</v>
      </c>
      <c r="F116" s="43" t="s">
        <v>411</v>
      </c>
      <c r="G116" s="4" t="s">
        <v>25</v>
      </c>
      <c r="H116" s="43" t="s">
        <v>1374</v>
      </c>
      <c r="I116" s="4"/>
      <c r="J116" s="26" t="s">
        <v>16</v>
      </c>
      <c r="K116" s="27" t="s">
        <v>13</v>
      </c>
      <c r="L116" s="2">
        <v>45980.30814079861</v>
      </c>
      <c r="M116" s="24"/>
      <c r="N116" s="4" t="s">
        <v>121</v>
      </c>
    </row>
    <row r="117" spans="1:14" ht="100.2" customHeight="1" thickTop="1" thickBot="1">
      <c r="A117" s="31">
        <v>115</v>
      </c>
      <c r="B117" s="2">
        <v>45979.406672835597</v>
      </c>
      <c r="C117" s="3" t="s">
        <v>394</v>
      </c>
      <c r="D117" s="3" t="s">
        <v>1200</v>
      </c>
      <c r="E117" s="4" t="s">
        <v>21</v>
      </c>
      <c r="F117" s="43" t="s">
        <v>413</v>
      </c>
      <c r="G117" s="4" t="s">
        <v>25</v>
      </c>
      <c r="H117" s="43" t="s">
        <v>1375</v>
      </c>
      <c r="I117" s="4"/>
      <c r="J117" s="26" t="s">
        <v>16</v>
      </c>
      <c r="K117" s="27" t="s">
        <v>13</v>
      </c>
      <c r="L117" s="2">
        <v>45979.547349062501</v>
      </c>
      <c r="M117" s="24"/>
      <c r="N117" s="4" t="s">
        <v>121</v>
      </c>
    </row>
    <row r="118" spans="1:14" ht="100.2" customHeight="1" thickTop="1" thickBot="1">
      <c r="A118" s="4">
        <v>116</v>
      </c>
      <c r="B118" s="2">
        <v>45979.409448738399</v>
      </c>
      <c r="C118" s="3" t="s">
        <v>394</v>
      </c>
      <c r="D118" s="3" t="s">
        <v>1200</v>
      </c>
      <c r="E118" s="4" t="s">
        <v>21</v>
      </c>
      <c r="F118" s="43" t="s">
        <v>413</v>
      </c>
      <c r="G118" s="4" t="s">
        <v>38</v>
      </c>
      <c r="H118" s="43" t="s">
        <v>1376</v>
      </c>
      <c r="I118" s="4"/>
      <c r="J118" s="26" t="s">
        <v>16</v>
      </c>
      <c r="K118" s="27" t="s">
        <v>13</v>
      </c>
      <c r="L118" s="2">
        <v>45979.495814270835</v>
      </c>
      <c r="M118" s="24"/>
      <c r="N118" s="4" t="s">
        <v>121</v>
      </c>
    </row>
    <row r="119" spans="1:14" ht="100.2" customHeight="1" thickTop="1" thickBot="1">
      <c r="A119" s="31">
        <v>117</v>
      </c>
      <c r="B119" s="2">
        <v>45979.4120415625</v>
      </c>
      <c r="C119" s="3" t="s">
        <v>394</v>
      </c>
      <c r="D119" s="3" t="s">
        <v>1200</v>
      </c>
      <c r="E119" s="4" t="s">
        <v>21</v>
      </c>
      <c r="F119" s="43" t="s">
        <v>403</v>
      </c>
      <c r="G119" s="4" t="s">
        <v>1377</v>
      </c>
      <c r="H119" s="43" t="s">
        <v>629</v>
      </c>
      <c r="I119" s="4"/>
      <c r="J119" s="26" t="s">
        <v>16</v>
      </c>
      <c r="K119" s="27" t="s">
        <v>13</v>
      </c>
      <c r="L119" s="2">
        <v>45979.547634027782</v>
      </c>
      <c r="M119" s="24"/>
      <c r="N119" s="4" t="s">
        <v>121</v>
      </c>
    </row>
    <row r="120" spans="1:14" ht="100.2" customHeight="1" thickTop="1" thickBot="1">
      <c r="A120" s="4">
        <v>118</v>
      </c>
      <c r="B120" s="2">
        <v>45979.425377314801</v>
      </c>
      <c r="C120" s="3" t="s">
        <v>394</v>
      </c>
      <c r="D120" s="3" t="s">
        <v>1200</v>
      </c>
      <c r="E120" s="4" t="s">
        <v>21</v>
      </c>
      <c r="F120" s="43" t="s">
        <v>411</v>
      </c>
      <c r="G120" s="4" t="s">
        <v>36</v>
      </c>
      <c r="H120" s="43" t="s">
        <v>1378</v>
      </c>
      <c r="I120" s="4"/>
      <c r="J120" s="26" t="s">
        <v>16</v>
      </c>
      <c r="K120" s="27" t="s">
        <v>13</v>
      </c>
      <c r="L120" s="2">
        <v>45980.307844421295</v>
      </c>
      <c r="M120" s="24"/>
      <c r="N120" s="4" t="s">
        <v>121</v>
      </c>
    </row>
    <row r="121" spans="1:14" ht="100.2" customHeight="1" thickTop="1" thickBot="1">
      <c r="A121" s="31">
        <v>119</v>
      </c>
      <c r="B121" s="2">
        <v>45980.391646828699</v>
      </c>
      <c r="C121" s="3" t="s">
        <v>394</v>
      </c>
      <c r="D121" s="3" t="s">
        <v>1200</v>
      </c>
      <c r="E121" s="4" t="s">
        <v>21</v>
      </c>
      <c r="F121" s="43" t="s">
        <v>413</v>
      </c>
      <c r="G121" s="4" t="s">
        <v>25</v>
      </c>
      <c r="H121" s="43" t="s">
        <v>1379</v>
      </c>
      <c r="I121" s="4"/>
      <c r="J121" s="26" t="s">
        <v>16</v>
      </c>
      <c r="K121" s="27" t="s">
        <v>13</v>
      </c>
      <c r="L121" s="2">
        <v>45980.487257962959</v>
      </c>
      <c r="M121" s="24"/>
      <c r="N121" s="4" t="s">
        <v>121</v>
      </c>
    </row>
    <row r="122" spans="1:14" ht="100.2" customHeight="1" thickTop="1" thickBot="1">
      <c r="A122" s="4">
        <v>120</v>
      </c>
      <c r="B122" s="2">
        <v>45980.400890902703</v>
      </c>
      <c r="C122" s="3" t="s">
        <v>394</v>
      </c>
      <c r="D122" s="3" t="s">
        <v>1200</v>
      </c>
      <c r="E122" s="4" t="s">
        <v>21</v>
      </c>
      <c r="F122" s="43" t="s">
        <v>416</v>
      </c>
      <c r="G122" s="4" t="s">
        <v>25</v>
      </c>
      <c r="H122" s="43" t="s">
        <v>1380</v>
      </c>
      <c r="I122" s="4"/>
      <c r="J122" s="26" t="s">
        <v>16</v>
      </c>
      <c r="K122" s="27" t="s">
        <v>13</v>
      </c>
      <c r="L122" s="2">
        <v>45980.487906712966</v>
      </c>
      <c r="M122" s="24"/>
      <c r="N122" s="4" t="s">
        <v>121</v>
      </c>
    </row>
    <row r="123" spans="1:14" ht="100.2" customHeight="1" thickTop="1" thickBot="1">
      <c r="A123" s="31">
        <v>121</v>
      </c>
      <c r="B123" s="2">
        <v>45980.401835636498</v>
      </c>
      <c r="C123" s="3" t="s">
        <v>394</v>
      </c>
      <c r="D123" s="3" t="s">
        <v>1200</v>
      </c>
      <c r="E123" s="4" t="s">
        <v>21</v>
      </c>
      <c r="F123" s="43" t="s">
        <v>399</v>
      </c>
      <c r="G123" s="4" t="s">
        <v>36</v>
      </c>
      <c r="H123" s="43" t="s">
        <v>1381</v>
      </c>
      <c r="I123" s="4"/>
      <c r="J123" s="26" t="s">
        <v>16</v>
      </c>
      <c r="K123" s="27" t="s">
        <v>13</v>
      </c>
      <c r="L123" s="2">
        <v>45980.487932731485</v>
      </c>
      <c r="M123" s="24"/>
      <c r="N123" s="4" t="s">
        <v>121</v>
      </c>
    </row>
    <row r="124" spans="1:14" ht="100.2" customHeight="1" thickTop="1" thickBot="1">
      <c r="A124" s="4">
        <v>122</v>
      </c>
      <c r="B124" s="2">
        <v>45980.514666990697</v>
      </c>
      <c r="C124" s="3" t="s">
        <v>394</v>
      </c>
      <c r="D124" s="3" t="s">
        <v>1200</v>
      </c>
      <c r="E124" s="4" t="s">
        <v>21</v>
      </c>
      <c r="F124" s="43" t="s">
        <v>411</v>
      </c>
      <c r="G124" s="4" t="s">
        <v>25</v>
      </c>
      <c r="H124" s="43" t="s">
        <v>1382</v>
      </c>
      <c r="I124" s="4"/>
      <c r="J124" s="26" t="s">
        <v>16</v>
      </c>
      <c r="K124" s="27" t="s">
        <v>13</v>
      </c>
      <c r="L124" s="2">
        <v>45980.565188159722</v>
      </c>
      <c r="M124" s="24"/>
      <c r="N124" s="4" t="s">
        <v>121</v>
      </c>
    </row>
    <row r="125" spans="1:14" ht="100.2" customHeight="1" thickTop="1" thickBot="1">
      <c r="A125" s="31">
        <v>123</v>
      </c>
      <c r="B125" s="2">
        <v>45980.6838786226</v>
      </c>
      <c r="C125" s="3" t="s">
        <v>394</v>
      </c>
      <c r="D125" s="3" t="s">
        <v>1200</v>
      </c>
      <c r="E125" s="4" t="s">
        <v>21</v>
      </c>
      <c r="F125" s="43" t="s">
        <v>403</v>
      </c>
      <c r="G125" s="4" t="s">
        <v>25</v>
      </c>
      <c r="H125" s="43" t="s">
        <v>1383</v>
      </c>
      <c r="I125" s="4"/>
      <c r="J125" s="26" t="s">
        <v>16</v>
      </c>
      <c r="K125" s="27" t="s">
        <v>13</v>
      </c>
      <c r="L125" s="2">
        <v>45984.365937974537</v>
      </c>
      <c r="M125" s="24"/>
      <c r="N125" s="4" t="s">
        <v>121</v>
      </c>
    </row>
    <row r="126" spans="1:14" ht="100.2" customHeight="1" thickTop="1" thickBot="1">
      <c r="A126" s="4">
        <v>124</v>
      </c>
      <c r="B126" s="2">
        <v>45981.317733252297</v>
      </c>
      <c r="C126" s="3" t="s">
        <v>394</v>
      </c>
      <c r="D126" s="3" t="s">
        <v>1200</v>
      </c>
      <c r="E126" s="4" t="s">
        <v>21</v>
      </c>
      <c r="F126" s="43" t="s">
        <v>405</v>
      </c>
      <c r="G126" s="4" t="s">
        <v>406</v>
      </c>
      <c r="H126" s="43" t="s">
        <v>1384</v>
      </c>
      <c r="I126" s="4"/>
      <c r="J126" s="26" t="s">
        <v>16</v>
      </c>
      <c r="K126" s="27" t="s">
        <v>13</v>
      </c>
      <c r="L126" s="2">
        <v>45981.383764606479</v>
      </c>
      <c r="M126" s="24"/>
      <c r="N126" s="4" t="s">
        <v>121</v>
      </c>
    </row>
    <row r="127" spans="1:14" ht="100.2" customHeight="1" thickTop="1" thickBot="1">
      <c r="A127" s="31">
        <v>125</v>
      </c>
      <c r="B127" s="2">
        <v>45983.369517580999</v>
      </c>
      <c r="C127" s="3" t="s">
        <v>394</v>
      </c>
      <c r="D127" s="3" t="s">
        <v>1200</v>
      </c>
      <c r="E127" s="4" t="s">
        <v>21</v>
      </c>
      <c r="F127" s="43" t="s">
        <v>481</v>
      </c>
      <c r="G127" s="4" t="s">
        <v>25</v>
      </c>
      <c r="H127" s="43" t="s">
        <v>1385</v>
      </c>
      <c r="I127" s="4"/>
      <c r="J127" s="26" t="s">
        <v>16</v>
      </c>
      <c r="K127" s="27" t="s">
        <v>13</v>
      </c>
      <c r="L127" s="2">
        <v>45983.497017905094</v>
      </c>
      <c r="M127" s="24"/>
      <c r="N127" s="4" t="s">
        <v>121</v>
      </c>
    </row>
    <row r="128" spans="1:14" ht="100.2" customHeight="1" thickTop="1" thickBot="1">
      <c r="A128" s="4">
        <v>126</v>
      </c>
      <c r="B128" s="2">
        <v>45983.376399236098</v>
      </c>
      <c r="C128" s="3" t="s">
        <v>394</v>
      </c>
      <c r="D128" s="3" t="s">
        <v>1200</v>
      </c>
      <c r="E128" s="4" t="s">
        <v>22</v>
      </c>
      <c r="F128" s="43" t="s">
        <v>405</v>
      </c>
      <c r="G128" s="4" t="s">
        <v>25</v>
      </c>
      <c r="H128" s="43" t="s">
        <v>1386</v>
      </c>
      <c r="I128" s="4"/>
      <c r="J128" s="26" t="s">
        <v>16</v>
      </c>
      <c r="K128" s="27" t="s">
        <v>13</v>
      </c>
      <c r="L128" s="2">
        <v>45983.390780381946</v>
      </c>
      <c r="M128" s="24"/>
      <c r="N128" s="4" t="s">
        <v>121</v>
      </c>
    </row>
    <row r="129" spans="1:14" ht="100.2" customHeight="1" thickTop="1" thickBot="1">
      <c r="A129" s="31">
        <v>127</v>
      </c>
      <c r="B129" s="2">
        <v>45983.3775412963</v>
      </c>
      <c r="C129" s="3" t="s">
        <v>394</v>
      </c>
      <c r="D129" s="3" t="s">
        <v>1200</v>
      </c>
      <c r="E129" s="4" t="s">
        <v>21</v>
      </c>
      <c r="F129" s="43" t="s">
        <v>405</v>
      </c>
      <c r="G129" s="4" t="s">
        <v>37</v>
      </c>
      <c r="H129" s="43" t="s">
        <v>1387</v>
      </c>
      <c r="I129" s="4"/>
      <c r="J129" s="26" t="s">
        <v>16</v>
      </c>
      <c r="K129" s="27" t="s">
        <v>13</v>
      </c>
      <c r="L129" s="2">
        <v>45983.377626817135</v>
      </c>
      <c r="M129" s="24"/>
      <c r="N129" s="4" t="s">
        <v>121</v>
      </c>
    </row>
    <row r="130" spans="1:14" ht="100.2" customHeight="1" thickTop="1" thickBot="1">
      <c r="A130" s="4">
        <v>128</v>
      </c>
      <c r="B130" s="2">
        <v>45983.448470404997</v>
      </c>
      <c r="C130" s="3" t="s">
        <v>394</v>
      </c>
      <c r="D130" s="3" t="s">
        <v>1200</v>
      </c>
      <c r="E130" s="4" t="s">
        <v>21</v>
      </c>
      <c r="F130" s="43" t="s">
        <v>1310</v>
      </c>
      <c r="G130" s="4" t="s">
        <v>25</v>
      </c>
      <c r="H130" s="43" t="s">
        <v>1388</v>
      </c>
      <c r="I130" s="4"/>
      <c r="J130" s="26" t="s">
        <v>16</v>
      </c>
      <c r="K130" s="27" t="s">
        <v>13</v>
      </c>
      <c r="L130" s="2">
        <v>45983.49696315972</v>
      </c>
      <c r="M130" s="24"/>
      <c r="N130" s="4" t="s">
        <v>121</v>
      </c>
    </row>
    <row r="131" spans="1:14" ht="100.2" customHeight="1" thickTop="1" thickBot="1">
      <c r="A131" s="31">
        <v>129</v>
      </c>
      <c r="B131" s="2">
        <v>45984.368131249998</v>
      </c>
      <c r="C131" s="3" t="s">
        <v>394</v>
      </c>
      <c r="D131" s="3" t="s">
        <v>1200</v>
      </c>
      <c r="E131" s="4" t="s">
        <v>21</v>
      </c>
      <c r="F131" s="43" t="s">
        <v>399</v>
      </c>
      <c r="G131" s="4" t="s">
        <v>47</v>
      </c>
      <c r="H131" s="43" t="s">
        <v>1389</v>
      </c>
      <c r="I131" s="4"/>
      <c r="J131" s="26" t="s">
        <v>16</v>
      </c>
      <c r="K131" s="27" t="s">
        <v>13</v>
      </c>
      <c r="L131" s="2">
        <v>45984.466648240741</v>
      </c>
      <c r="M131" s="24"/>
      <c r="N131" s="4" t="s">
        <v>121</v>
      </c>
    </row>
    <row r="132" spans="1:14" ht="100.2" customHeight="1" thickTop="1" thickBot="1">
      <c r="A132" s="4">
        <v>130</v>
      </c>
      <c r="B132" s="2">
        <v>45984.417037685103</v>
      </c>
      <c r="C132" s="3" t="s">
        <v>394</v>
      </c>
      <c r="D132" s="3" t="s">
        <v>1200</v>
      </c>
      <c r="E132" s="4" t="s">
        <v>21</v>
      </c>
      <c r="F132" s="43" t="s">
        <v>1390</v>
      </c>
      <c r="G132" s="4" t="s">
        <v>25</v>
      </c>
      <c r="H132" s="43" t="s">
        <v>1391</v>
      </c>
      <c r="I132" s="4"/>
      <c r="J132" s="26" t="s">
        <v>16</v>
      </c>
      <c r="K132" s="27" t="s">
        <v>13</v>
      </c>
      <c r="L132" s="2">
        <v>45984.508651157405</v>
      </c>
      <c r="M132" s="24"/>
      <c r="N132" s="4" t="s">
        <v>121</v>
      </c>
    </row>
    <row r="133" spans="1:14" ht="100.2" customHeight="1" thickTop="1" thickBot="1">
      <c r="A133" s="31">
        <v>131</v>
      </c>
      <c r="B133" s="2">
        <v>45984.431338877301</v>
      </c>
      <c r="C133" s="3" t="s">
        <v>394</v>
      </c>
      <c r="D133" s="3" t="s">
        <v>1200</v>
      </c>
      <c r="E133" s="4" t="s">
        <v>21</v>
      </c>
      <c r="F133" s="43" t="s">
        <v>1392</v>
      </c>
      <c r="G133" s="4" t="s">
        <v>25</v>
      </c>
      <c r="H133" s="43" t="s">
        <v>1393</v>
      </c>
      <c r="I133" s="4"/>
      <c r="J133" s="26" t="s">
        <v>16</v>
      </c>
      <c r="K133" s="27" t="s">
        <v>13</v>
      </c>
      <c r="L133" s="2">
        <v>45984.470026412033</v>
      </c>
      <c r="M133" s="24"/>
      <c r="N133" s="4" t="s">
        <v>121</v>
      </c>
    </row>
    <row r="134" spans="1:14" ht="100.2" customHeight="1" thickTop="1" thickBot="1">
      <c r="A134" s="4">
        <v>132</v>
      </c>
      <c r="B134" s="2">
        <v>45985.4050234143</v>
      </c>
      <c r="C134" s="3" t="s">
        <v>394</v>
      </c>
      <c r="D134" s="3" t="s">
        <v>1200</v>
      </c>
      <c r="E134" s="4" t="s">
        <v>21</v>
      </c>
      <c r="F134" s="43" t="s">
        <v>413</v>
      </c>
      <c r="G134" s="4" t="s">
        <v>25</v>
      </c>
      <c r="H134" s="43" t="s">
        <v>1394</v>
      </c>
      <c r="I134" s="4"/>
      <c r="J134" s="26" t="s">
        <v>16</v>
      </c>
      <c r="K134" s="27" t="s">
        <v>13</v>
      </c>
      <c r="L134" s="2">
        <v>45985.464140208336</v>
      </c>
      <c r="M134" s="24"/>
      <c r="N134" s="4" t="s">
        <v>121</v>
      </c>
    </row>
    <row r="135" spans="1:14" ht="100.2" customHeight="1" thickTop="1" thickBot="1">
      <c r="A135" s="31">
        <v>133</v>
      </c>
      <c r="B135" s="2">
        <v>45985.405607407403</v>
      </c>
      <c r="C135" s="3" t="s">
        <v>394</v>
      </c>
      <c r="D135" s="3" t="s">
        <v>1200</v>
      </c>
      <c r="E135" s="4" t="s">
        <v>21</v>
      </c>
      <c r="F135" s="43" t="s">
        <v>411</v>
      </c>
      <c r="G135" s="4" t="s">
        <v>25</v>
      </c>
      <c r="H135" s="43" t="s">
        <v>1395</v>
      </c>
      <c r="I135" s="4"/>
      <c r="J135" s="26" t="s">
        <v>16</v>
      </c>
      <c r="K135" s="27" t="s">
        <v>13</v>
      </c>
      <c r="L135" s="2">
        <v>45985.464191157407</v>
      </c>
      <c r="M135" s="24"/>
      <c r="N135" s="4" t="s">
        <v>121</v>
      </c>
    </row>
    <row r="136" spans="1:14" ht="100.2" customHeight="1" thickTop="1" thickBot="1">
      <c r="A136" s="4">
        <v>134</v>
      </c>
      <c r="B136" s="2">
        <v>45985.448836817101</v>
      </c>
      <c r="C136" s="3" t="s">
        <v>394</v>
      </c>
      <c r="D136" s="3" t="s">
        <v>1200</v>
      </c>
      <c r="E136" s="4" t="s">
        <v>21</v>
      </c>
      <c r="F136" s="43" t="s">
        <v>481</v>
      </c>
      <c r="G136" s="4" t="s">
        <v>1396</v>
      </c>
      <c r="H136" s="43" t="s">
        <v>1397</v>
      </c>
      <c r="I136" s="4"/>
      <c r="J136" s="26" t="s">
        <v>16</v>
      </c>
      <c r="K136" s="27" t="s">
        <v>717</v>
      </c>
      <c r="L136" s="2">
        <v>45993.283717789353</v>
      </c>
      <c r="M136" s="24" t="s">
        <v>659</v>
      </c>
      <c r="N136" s="4" t="s">
        <v>121</v>
      </c>
    </row>
    <row r="137" spans="1:14" ht="100.2" customHeight="1" thickTop="1" thickBot="1">
      <c r="A137" s="31">
        <v>135</v>
      </c>
      <c r="B137" s="2">
        <v>45985.458216921201</v>
      </c>
      <c r="C137" s="3" t="s">
        <v>394</v>
      </c>
      <c r="D137" s="3" t="s">
        <v>1200</v>
      </c>
      <c r="E137" s="4" t="s">
        <v>21</v>
      </c>
      <c r="F137" s="43" t="s">
        <v>1315</v>
      </c>
      <c r="G137" s="4" t="s">
        <v>25</v>
      </c>
      <c r="H137" s="43" t="s">
        <v>1398</v>
      </c>
      <c r="I137" s="4"/>
      <c r="J137" s="26" t="s">
        <v>16</v>
      </c>
      <c r="K137" s="27" t="s">
        <v>13</v>
      </c>
      <c r="L137" s="2">
        <v>45985.583611122682</v>
      </c>
      <c r="M137" s="24"/>
      <c r="N137" s="4" t="s">
        <v>121</v>
      </c>
    </row>
    <row r="138" spans="1:14" ht="100.2" customHeight="1" thickTop="1" thickBot="1">
      <c r="A138" s="4">
        <v>136</v>
      </c>
      <c r="B138" s="2">
        <v>45985.459309270802</v>
      </c>
      <c r="C138" s="3" t="s">
        <v>394</v>
      </c>
      <c r="D138" s="3" t="s">
        <v>1200</v>
      </c>
      <c r="E138" s="4" t="s">
        <v>21</v>
      </c>
      <c r="F138" s="43" t="s">
        <v>416</v>
      </c>
      <c r="G138" s="4" t="s">
        <v>25</v>
      </c>
      <c r="H138" s="43" t="s">
        <v>1399</v>
      </c>
      <c r="I138" s="4"/>
      <c r="J138" s="26" t="s">
        <v>16</v>
      </c>
      <c r="K138" s="27" t="s">
        <v>717</v>
      </c>
      <c r="L138" s="2">
        <v>45993.283780717597</v>
      </c>
      <c r="M138" s="24" t="s">
        <v>659</v>
      </c>
      <c r="N138" s="4" t="s">
        <v>121</v>
      </c>
    </row>
    <row r="139" spans="1:14" ht="100.2" customHeight="1" thickTop="1" thickBot="1">
      <c r="A139" s="31">
        <v>137</v>
      </c>
      <c r="B139" s="2">
        <v>45985.4655281944</v>
      </c>
      <c r="C139" s="3" t="s">
        <v>394</v>
      </c>
      <c r="D139" s="3" t="s">
        <v>1200</v>
      </c>
      <c r="E139" s="4" t="s">
        <v>21</v>
      </c>
      <c r="F139" s="43" t="s">
        <v>411</v>
      </c>
      <c r="G139" s="4" t="s">
        <v>37</v>
      </c>
      <c r="H139" s="43" t="s">
        <v>1400</v>
      </c>
      <c r="I139" s="4"/>
      <c r="J139" s="26" t="s">
        <v>16</v>
      </c>
      <c r="K139" s="27" t="s">
        <v>13</v>
      </c>
      <c r="L139" s="2">
        <v>45985.465940787035</v>
      </c>
      <c r="M139" s="24"/>
      <c r="N139" s="4" t="s">
        <v>121</v>
      </c>
    </row>
    <row r="140" spans="1:14" ht="100.2" customHeight="1" thickTop="1" thickBot="1">
      <c r="A140" s="4">
        <v>138</v>
      </c>
      <c r="B140" s="2">
        <v>45985.569174780001</v>
      </c>
      <c r="C140" s="3" t="s">
        <v>394</v>
      </c>
      <c r="D140" s="3" t="s">
        <v>1200</v>
      </c>
      <c r="E140" s="4" t="s">
        <v>21</v>
      </c>
      <c r="F140" s="43" t="s">
        <v>412</v>
      </c>
      <c r="G140" s="4" t="s">
        <v>1401</v>
      </c>
      <c r="H140" s="43" t="s">
        <v>1402</v>
      </c>
      <c r="I140" s="4"/>
      <c r="J140" s="26" t="s">
        <v>16</v>
      </c>
      <c r="K140" s="27" t="s">
        <v>13</v>
      </c>
      <c r="L140" s="2">
        <v>45986.290637245373</v>
      </c>
      <c r="M140" s="24"/>
      <c r="N140" s="4" t="s">
        <v>121</v>
      </c>
    </row>
    <row r="141" spans="1:14" ht="100.2" customHeight="1" thickTop="1" thickBot="1">
      <c r="A141" s="31">
        <v>139</v>
      </c>
      <c r="B141" s="2">
        <v>45986.516360694397</v>
      </c>
      <c r="C141" s="3" t="s">
        <v>394</v>
      </c>
      <c r="D141" s="3" t="s">
        <v>1200</v>
      </c>
      <c r="E141" s="4" t="s">
        <v>21</v>
      </c>
      <c r="F141" s="43" t="s">
        <v>413</v>
      </c>
      <c r="G141" s="4" t="s">
        <v>43</v>
      </c>
      <c r="H141" s="43" t="s">
        <v>1403</v>
      </c>
      <c r="I141" s="4"/>
      <c r="J141" s="26" t="s">
        <v>16</v>
      </c>
      <c r="K141" s="27" t="s">
        <v>13</v>
      </c>
      <c r="L141" s="2">
        <v>45987.431352175925</v>
      </c>
      <c r="M141" s="24"/>
      <c r="N141" s="4" t="s">
        <v>121</v>
      </c>
    </row>
    <row r="142" spans="1:14" ht="100.2" customHeight="1" thickTop="1" thickBot="1">
      <c r="A142" s="4">
        <v>140</v>
      </c>
      <c r="B142" s="2">
        <v>45987.370622210598</v>
      </c>
      <c r="C142" s="3" t="s">
        <v>394</v>
      </c>
      <c r="D142" s="3" t="s">
        <v>1200</v>
      </c>
      <c r="E142" s="4" t="s">
        <v>21</v>
      </c>
      <c r="F142" s="43" t="s">
        <v>399</v>
      </c>
      <c r="G142" s="4" t="s">
        <v>25</v>
      </c>
      <c r="H142" s="43" t="s">
        <v>1404</v>
      </c>
      <c r="I142" s="4"/>
      <c r="J142" s="26" t="s">
        <v>16</v>
      </c>
      <c r="K142" s="27" t="s">
        <v>13</v>
      </c>
      <c r="L142" s="2">
        <v>45987.431950081023</v>
      </c>
      <c r="M142" s="24"/>
      <c r="N142" s="4" t="s">
        <v>121</v>
      </c>
    </row>
    <row r="143" spans="1:14" ht="100.2" customHeight="1" thickTop="1" thickBot="1">
      <c r="A143" s="31">
        <v>141</v>
      </c>
      <c r="B143" s="2">
        <v>45987.539864513798</v>
      </c>
      <c r="C143" s="3" t="s">
        <v>394</v>
      </c>
      <c r="D143" s="3" t="s">
        <v>1200</v>
      </c>
      <c r="E143" s="4" t="s">
        <v>21</v>
      </c>
      <c r="F143" s="43" t="s">
        <v>1405</v>
      </c>
      <c r="G143" s="4" t="s">
        <v>37</v>
      </c>
      <c r="H143" s="43" t="s">
        <v>1406</v>
      </c>
      <c r="I143" s="4"/>
      <c r="J143" s="26" t="s">
        <v>16</v>
      </c>
      <c r="K143" s="27" t="s">
        <v>13</v>
      </c>
      <c r="L143" s="2">
        <v>45988.479926817134</v>
      </c>
      <c r="M143" s="24"/>
      <c r="N143" s="4" t="s">
        <v>121</v>
      </c>
    </row>
    <row r="144" spans="1:14" ht="100.2" customHeight="1" thickTop="1" thickBot="1">
      <c r="A144" s="4">
        <v>142</v>
      </c>
      <c r="B144" s="2">
        <v>45988.405475856402</v>
      </c>
      <c r="C144" s="3" t="s">
        <v>394</v>
      </c>
      <c r="D144" s="3" t="s">
        <v>1200</v>
      </c>
      <c r="E144" s="4" t="s">
        <v>21</v>
      </c>
      <c r="F144" s="43" t="s">
        <v>411</v>
      </c>
      <c r="G144" s="4" t="s">
        <v>25</v>
      </c>
      <c r="H144" s="43" t="s">
        <v>1407</v>
      </c>
      <c r="I144" s="4"/>
      <c r="J144" s="26" t="s">
        <v>16</v>
      </c>
      <c r="K144" s="27" t="s">
        <v>13</v>
      </c>
      <c r="L144" s="2">
        <v>45988.538380740742</v>
      </c>
      <c r="M144" s="24"/>
      <c r="N144" s="4" t="s">
        <v>121</v>
      </c>
    </row>
    <row r="145" spans="1:14" ht="100.2" customHeight="1" thickTop="1" thickBot="1">
      <c r="A145" s="31">
        <v>143</v>
      </c>
      <c r="B145" s="2">
        <v>45988.539415451298</v>
      </c>
      <c r="C145" s="3" t="s">
        <v>394</v>
      </c>
      <c r="D145" s="3" t="s">
        <v>1408</v>
      </c>
      <c r="E145" s="4" t="s">
        <v>22</v>
      </c>
      <c r="F145" s="43" t="s">
        <v>401</v>
      </c>
      <c r="G145" s="4" t="s">
        <v>40</v>
      </c>
      <c r="H145" s="43" t="s">
        <v>1409</v>
      </c>
      <c r="I145" s="4"/>
      <c r="J145" s="26" t="s">
        <v>16</v>
      </c>
      <c r="K145" s="27" t="s">
        <v>13</v>
      </c>
      <c r="L145" s="2">
        <v>45988.547890439819</v>
      </c>
      <c r="M145" s="24"/>
      <c r="N145" s="4" t="s">
        <v>121</v>
      </c>
    </row>
    <row r="146" spans="1:14" ht="100.2" customHeight="1" thickTop="1" thickBot="1">
      <c r="A146" s="4">
        <v>144</v>
      </c>
      <c r="B146" s="2">
        <v>45988.541796793899</v>
      </c>
      <c r="C146" s="3" t="s">
        <v>394</v>
      </c>
      <c r="D146" s="3" t="s">
        <v>1200</v>
      </c>
      <c r="E146" s="4" t="s">
        <v>21</v>
      </c>
      <c r="F146" s="43" t="s">
        <v>497</v>
      </c>
      <c r="G146" s="4" t="s">
        <v>25</v>
      </c>
      <c r="H146" s="43" t="s">
        <v>1410</v>
      </c>
      <c r="I146" s="4"/>
      <c r="J146" s="26" t="s">
        <v>16</v>
      </c>
      <c r="K146" s="27" t="s">
        <v>13</v>
      </c>
      <c r="L146" s="2">
        <v>45988.548347407406</v>
      </c>
      <c r="M146" s="24"/>
      <c r="N146" s="4" t="s">
        <v>122</v>
      </c>
    </row>
    <row r="147" spans="1:14" ht="100.2" customHeight="1" thickTop="1" thickBot="1">
      <c r="A147" s="31">
        <v>145</v>
      </c>
      <c r="B147" s="2">
        <v>45988.5432345601</v>
      </c>
      <c r="C147" s="3" t="s">
        <v>394</v>
      </c>
      <c r="D147" s="3" t="s">
        <v>1200</v>
      </c>
      <c r="E147" s="4" t="s">
        <v>21</v>
      </c>
      <c r="F147" s="43" t="s">
        <v>1411</v>
      </c>
      <c r="G147" s="4" t="s">
        <v>25</v>
      </c>
      <c r="H147" s="43" t="s">
        <v>1385</v>
      </c>
      <c r="I147" s="4"/>
      <c r="J147" s="26" t="s">
        <v>16</v>
      </c>
      <c r="K147" s="27" t="s">
        <v>13</v>
      </c>
      <c r="L147" s="2">
        <v>45988.5483971875</v>
      </c>
      <c r="M147" s="24"/>
      <c r="N147" s="4" t="s">
        <v>121</v>
      </c>
    </row>
    <row r="148" spans="1:14" ht="100.2" customHeight="1" thickTop="1" thickBot="1">
      <c r="A148" s="4">
        <v>146</v>
      </c>
      <c r="B148" s="2">
        <v>45988.546253680499</v>
      </c>
      <c r="C148" s="3" t="s">
        <v>394</v>
      </c>
      <c r="D148" s="3" t="s">
        <v>1200</v>
      </c>
      <c r="E148" s="4" t="s">
        <v>21</v>
      </c>
      <c r="F148" s="43" t="s">
        <v>1412</v>
      </c>
      <c r="G148" s="4" t="s">
        <v>25</v>
      </c>
      <c r="H148" s="43" t="s">
        <v>1413</v>
      </c>
      <c r="I148" s="4"/>
      <c r="J148" s="26" t="s">
        <v>16</v>
      </c>
      <c r="K148" s="27" t="s">
        <v>13</v>
      </c>
      <c r="L148" s="2">
        <v>45988.894582592591</v>
      </c>
      <c r="M148" s="24"/>
      <c r="N148" s="4" t="s">
        <v>121</v>
      </c>
    </row>
    <row r="149" spans="1:14" ht="100.2" customHeight="1" thickTop="1" thickBot="1">
      <c r="A149" s="31">
        <v>147</v>
      </c>
      <c r="B149" s="2">
        <v>45991.314406921199</v>
      </c>
      <c r="C149" s="3" t="s">
        <v>394</v>
      </c>
      <c r="D149" s="3" t="s">
        <v>1200</v>
      </c>
      <c r="E149" s="4" t="s">
        <v>21</v>
      </c>
      <c r="F149" s="43" t="s">
        <v>412</v>
      </c>
      <c r="G149" s="4" t="s">
        <v>25</v>
      </c>
      <c r="H149" s="43" t="s">
        <v>1414</v>
      </c>
      <c r="I149" s="4"/>
      <c r="J149" s="26" t="s">
        <v>16</v>
      </c>
      <c r="K149" s="27" t="s">
        <v>13</v>
      </c>
      <c r="L149" s="2">
        <v>45992.293682766205</v>
      </c>
      <c r="M149" s="24"/>
      <c r="N149" s="4" t="s">
        <v>121</v>
      </c>
    </row>
    <row r="150" spans="1:14" ht="100.2" customHeight="1" thickTop="1" thickBot="1">
      <c r="A150" s="4">
        <v>148</v>
      </c>
      <c r="B150" s="2">
        <v>45991.316277361097</v>
      </c>
      <c r="C150" s="3" t="s">
        <v>394</v>
      </c>
      <c r="D150" s="3" t="s">
        <v>1200</v>
      </c>
      <c r="E150" s="4" t="s">
        <v>21</v>
      </c>
      <c r="F150" s="43" t="s">
        <v>1415</v>
      </c>
      <c r="G150" s="4" t="s">
        <v>25</v>
      </c>
      <c r="H150" s="43" t="s">
        <v>1416</v>
      </c>
      <c r="I150" s="4"/>
      <c r="J150" s="26" t="s">
        <v>16</v>
      </c>
      <c r="K150" s="27" t="s">
        <v>13</v>
      </c>
      <c r="L150" s="2">
        <v>45992.293708287034</v>
      </c>
      <c r="M150" s="24"/>
      <c r="N150" s="4" t="s">
        <v>121</v>
      </c>
    </row>
    <row r="151" spans="1:14" ht="100.2" customHeight="1" thickTop="1" thickBot="1">
      <c r="A151" s="31">
        <v>149</v>
      </c>
      <c r="B151" s="2">
        <v>45991.562097928203</v>
      </c>
      <c r="C151" s="3" t="s">
        <v>394</v>
      </c>
      <c r="D151" s="3" t="s">
        <v>1200</v>
      </c>
      <c r="E151" s="4" t="s">
        <v>21</v>
      </c>
      <c r="F151" s="43" t="s">
        <v>403</v>
      </c>
      <c r="G151" s="4" t="s">
        <v>37</v>
      </c>
      <c r="H151" s="43" t="s">
        <v>1417</v>
      </c>
      <c r="I151" s="4"/>
      <c r="J151" s="26" t="s">
        <v>16</v>
      </c>
      <c r="K151" s="27" t="s">
        <v>13</v>
      </c>
      <c r="L151" s="2">
        <v>45992.293825428242</v>
      </c>
      <c r="M151" s="24"/>
      <c r="N151" s="4" t="s">
        <v>121</v>
      </c>
    </row>
    <row r="152" spans="1:14" ht="100.2" customHeight="1" thickTop="1" thickBot="1">
      <c r="A152" s="4">
        <v>150</v>
      </c>
      <c r="B152" s="2">
        <v>45963.441250196702</v>
      </c>
      <c r="C152" s="3" t="s">
        <v>394</v>
      </c>
      <c r="D152" s="3" t="s">
        <v>1200</v>
      </c>
      <c r="E152" s="4" t="s">
        <v>21</v>
      </c>
      <c r="F152" s="43" t="s">
        <v>411</v>
      </c>
      <c r="G152" s="4" t="s">
        <v>25</v>
      </c>
      <c r="H152" s="43" t="s">
        <v>1418</v>
      </c>
      <c r="I152" s="4"/>
      <c r="J152" s="26" t="s">
        <v>1419</v>
      </c>
      <c r="K152" s="27" t="s">
        <v>13</v>
      </c>
      <c r="L152" s="2">
        <v>45963.493251562497</v>
      </c>
      <c r="M152" s="24"/>
      <c r="N152" s="4" t="s">
        <v>121</v>
      </c>
    </row>
    <row r="153" spans="1:14" ht="100.2" customHeight="1" thickTop="1" thickBot="1">
      <c r="A153" s="31">
        <v>151</v>
      </c>
      <c r="B153" s="2">
        <v>45964.512680474501</v>
      </c>
      <c r="C153" s="3" t="s">
        <v>394</v>
      </c>
      <c r="D153" s="3" t="s">
        <v>1200</v>
      </c>
      <c r="E153" s="4" t="s">
        <v>21</v>
      </c>
      <c r="F153" s="43" t="s">
        <v>1420</v>
      </c>
      <c r="G153" s="4" t="s">
        <v>1421</v>
      </c>
      <c r="H153" s="43" t="s">
        <v>1422</v>
      </c>
      <c r="I153" s="4"/>
      <c r="J153" s="26" t="s">
        <v>1419</v>
      </c>
      <c r="K153" s="27" t="s">
        <v>13</v>
      </c>
      <c r="L153" s="2">
        <v>45964.528928449072</v>
      </c>
      <c r="M153" s="24"/>
      <c r="N153" s="4" t="s">
        <v>121</v>
      </c>
    </row>
    <row r="154" spans="1:14" ht="100.2" customHeight="1" thickTop="1" thickBot="1">
      <c r="A154" s="4">
        <v>152</v>
      </c>
      <c r="B154" s="2">
        <v>45964.513425752302</v>
      </c>
      <c r="C154" s="3" t="s">
        <v>394</v>
      </c>
      <c r="D154" s="3" t="s">
        <v>1200</v>
      </c>
      <c r="E154" s="4" t="s">
        <v>21</v>
      </c>
      <c r="F154" s="43" t="s">
        <v>481</v>
      </c>
      <c r="G154" s="4" t="s">
        <v>25</v>
      </c>
      <c r="H154" s="43" t="s">
        <v>1423</v>
      </c>
      <c r="I154" s="4"/>
      <c r="J154" s="26" t="s">
        <v>1419</v>
      </c>
      <c r="K154" s="27" t="s">
        <v>13</v>
      </c>
      <c r="L154" s="2">
        <v>45965.535070439815</v>
      </c>
      <c r="M154" s="24"/>
      <c r="N154" s="4"/>
    </row>
    <row r="155" spans="1:14" ht="100.2" customHeight="1" thickTop="1" thickBot="1">
      <c r="A155" s="31">
        <v>153</v>
      </c>
      <c r="B155" s="2">
        <v>45964.514715937497</v>
      </c>
      <c r="C155" s="3" t="s">
        <v>394</v>
      </c>
      <c r="D155" s="3" t="s">
        <v>1200</v>
      </c>
      <c r="E155" s="4" t="s">
        <v>21</v>
      </c>
      <c r="F155" s="43" t="s">
        <v>411</v>
      </c>
      <c r="G155" s="4" t="s">
        <v>1424</v>
      </c>
      <c r="H155" s="43" t="s">
        <v>1425</v>
      </c>
      <c r="I155" s="4"/>
      <c r="J155" s="26" t="s">
        <v>1419</v>
      </c>
      <c r="K155" s="27" t="s">
        <v>13</v>
      </c>
      <c r="L155" s="2">
        <v>45964.529534861111</v>
      </c>
      <c r="M155" s="24"/>
      <c r="N155" s="4"/>
    </row>
    <row r="156" spans="1:14" ht="100.2" customHeight="1" thickTop="1" thickBot="1">
      <c r="A156" s="4">
        <v>154</v>
      </c>
      <c r="B156" s="2">
        <v>45964.674967511499</v>
      </c>
      <c r="C156" s="3" t="s">
        <v>394</v>
      </c>
      <c r="D156" s="3" t="s">
        <v>1200</v>
      </c>
      <c r="E156" s="4" t="s">
        <v>21</v>
      </c>
      <c r="F156" s="43" t="s">
        <v>413</v>
      </c>
      <c r="G156" s="4" t="s">
        <v>25</v>
      </c>
      <c r="H156" s="43" t="s">
        <v>1426</v>
      </c>
      <c r="I156" s="4"/>
      <c r="J156" s="26" t="s">
        <v>1419</v>
      </c>
      <c r="K156" s="27" t="s">
        <v>13</v>
      </c>
      <c r="L156" s="2">
        <v>45965.403686921301</v>
      </c>
      <c r="M156" s="24"/>
      <c r="N156" s="4"/>
    </row>
    <row r="157" spans="1:14" ht="100.2" customHeight="1" thickTop="1" thickBot="1">
      <c r="A157" s="31">
        <v>155</v>
      </c>
      <c r="B157" s="2">
        <v>45966.321457002297</v>
      </c>
      <c r="C157" s="3" t="s">
        <v>394</v>
      </c>
      <c r="D157" s="3" t="s">
        <v>1200</v>
      </c>
      <c r="E157" s="4" t="s">
        <v>21</v>
      </c>
      <c r="F157" s="43" t="s">
        <v>1427</v>
      </c>
      <c r="G157" s="4" t="s">
        <v>25</v>
      </c>
      <c r="H157" s="43" t="s">
        <v>1428</v>
      </c>
      <c r="I157" s="4"/>
      <c r="J157" s="26" t="s">
        <v>1419</v>
      </c>
      <c r="K157" s="27" t="s">
        <v>13</v>
      </c>
      <c r="L157" s="2">
        <v>45966.37539828704</v>
      </c>
      <c r="M157" s="24"/>
      <c r="N157" s="4"/>
    </row>
    <row r="158" spans="1:14" ht="100.2" customHeight="1" thickTop="1" thickBot="1">
      <c r="A158" s="4">
        <v>156</v>
      </c>
      <c r="B158" s="2">
        <v>45966.452600520803</v>
      </c>
      <c r="C158" s="3" t="s">
        <v>394</v>
      </c>
      <c r="D158" s="3" t="s">
        <v>1200</v>
      </c>
      <c r="E158" s="4" t="s">
        <v>21</v>
      </c>
      <c r="F158" s="43" t="s">
        <v>416</v>
      </c>
      <c r="G158" s="4" t="s">
        <v>1429</v>
      </c>
      <c r="H158" s="43" t="s">
        <v>1430</v>
      </c>
      <c r="I158" s="4"/>
      <c r="J158" s="26" t="s">
        <v>1419</v>
      </c>
      <c r="K158" s="27" t="s">
        <v>13</v>
      </c>
      <c r="L158" s="2">
        <v>45966.452801979161</v>
      </c>
      <c r="M158" s="24"/>
      <c r="N158" s="4"/>
    </row>
    <row r="159" spans="1:14" ht="100.2" customHeight="1" thickTop="1" thickBot="1">
      <c r="A159" s="31">
        <v>157</v>
      </c>
      <c r="B159" s="2">
        <v>45966.532843055502</v>
      </c>
      <c r="C159" s="3" t="s">
        <v>394</v>
      </c>
      <c r="D159" s="3" t="s">
        <v>1200</v>
      </c>
      <c r="E159" s="4" t="s">
        <v>21</v>
      </c>
      <c r="F159" s="43" t="s">
        <v>481</v>
      </c>
      <c r="G159" s="4" t="s">
        <v>25</v>
      </c>
      <c r="H159" s="43" t="s">
        <v>1431</v>
      </c>
      <c r="I159" s="4"/>
      <c r="J159" s="26" t="s">
        <v>1419</v>
      </c>
      <c r="K159" s="27" t="s">
        <v>13</v>
      </c>
      <c r="L159" s="2">
        <v>45966.56868733796</v>
      </c>
      <c r="M159" s="24"/>
      <c r="N159" s="4"/>
    </row>
    <row r="160" spans="1:14" ht="100.2" customHeight="1" thickTop="1" thickBot="1">
      <c r="A160" s="4">
        <v>158</v>
      </c>
      <c r="B160" s="2">
        <v>45962.606371331</v>
      </c>
      <c r="C160" s="3" t="s">
        <v>394</v>
      </c>
      <c r="D160" s="3" t="s">
        <v>645</v>
      </c>
      <c r="E160" s="4" t="s">
        <v>22</v>
      </c>
      <c r="F160" s="43" t="s">
        <v>639</v>
      </c>
      <c r="G160" s="4" t="s">
        <v>1432</v>
      </c>
      <c r="H160" s="43" t="s">
        <v>1433</v>
      </c>
      <c r="I160" s="4"/>
      <c r="J160" s="26" t="s">
        <v>14</v>
      </c>
      <c r="K160" s="27" t="s">
        <v>13</v>
      </c>
      <c r="L160" s="2">
        <v>45962.606660289355</v>
      </c>
      <c r="M160" s="24"/>
      <c r="N160" s="4"/>
    </row>
    <row r="161" spans="1:14" ht="100.2" customHeight="1" thickTop="1" thickBot="1">
      <c r="A161" s="31">
        <v>159</v>
      </c>
      <c r="B161" s="2">
        <v>45963.336497199001</v>
      </c>
      <c r="C161" s="3" t="s">
        <v>394</v>
      </c>
      <c r="D161" s="3" t="s">
        <v>1200</v>
      </c>
      <c r="E161" s="4" t="s">
        <v>21</v>
      </c>
      <c r="F161" s="43" t="s">
        <v>411</v>
      </c>
      <c r="G161" s="4" t="s">
        <v>1434</v>
      </c>
      <c r="H161" s="43" t="s">
        <v>1435</v>
      </c>
      <c r="I161" s="4"/>
      <c r="J161" s="26" t="s">
        <v>14</v>
      </c>
      <c r="K161" s="27" t="s">
        <v>13</v>
      </c>
      <c r="L161" s="2">
        <v>45963.367570173607</v>
      </c>
      <c r="M161" s="24"/>
      <c r="N161" s="4"/>
    </row>
    <row r="162" spans="1:14" ht="100.2" customHeight="1" thickTop="1" thickBot="1">
      <c r="A162" s="4">
        <v>160</v>
      </c>
      <c r="B162" s="2">
        <v>45963.337338136502</v>
      </c>
      <c r="C162" s="3" t="s">
        <v>394</v>
      </c>
      <c r="D162" s="3" t="s">
        <v>1200</v>
      </c>
      <c r="E162" s="4" t="s">
        <v>21</v>
      </c>
      <c r="F162" s="43" t="s">
        <v>411</v>
      </c>
      <c r="G162" s="4" t="s">
        <v>1436</v>
      </c>
      <c r="H162" s="43" t="s">
        <v>1437</v>
      </c>
      <c r="I162" s="4"/>
      <c r="J162" s="26" t="s">
        <v>14</v>
      </c>
      <c r="K162" s="27" t="s">
        <v>13</v>
      </c>
      <c r="L162" s="2">
        <v>45963.36761079861</v>
      </c>
      <c r="M162" s="24"/>
      <c r="N162" s="4"/>
    </row>
    <row r="163" spans="1:14" ht="100.2" customHeight="1" thickTop="1" thickBot="1">
      <c r="A163" s="31">
        <v>161</v>
      </c>
      <c r="B163" s="2">
        <v>45969.378063761498</v>
      </c>
      <c r="C163" s="3" t="s">
        <v>394</v>
      </c>
      <c r="D163" s="3" t="s">
        <v>1200</v>
      </c>
      <c r="E163" s="4" t="s">
        <v>21</v>
      </c>
      <c r="F163" s="43" t="s">
        <v>399</v>
      </c>
      <c r="G163" s="4" t="s">
        <v>1438</v>
      </c>
      <c r="H163" s="43" t="s">
        <v>1439</v>
      </c>
      <c r="I163" s="4"/>
      <c r="J163" s="26" t="s">
        <v>14</v>
      </c>
      <c r="K163" s="27" t="s">
        <v>13</v>
      </c>
      <c r="L163" s="2">
        <v>45969.441579351856</v>
      </c>
      <c r="M163" s="24"/>
      <c r="N163" s="4"/>
    </row>
    <row r="164" spans="1:14" ht="100.2" customHeight="1" thickTop="1" thickBot="1">
      <c r="A164" s="4">
        <v>162</v>
      </c>
      <c r="B164" s="2">
        <v>45969.449876377301</v>
      </c>
      <c r="C164" s="3" t="s">
        <v>394</v>
      </c>
      <c r="D164" s="3" t="s">
        <v>645</v>
      </c>
      <c r="E164" s="4" t="s">
        <v>22</v>
      </c>
      <c r="F164" s="43" t="s">
        <v>1360</v>
      </c>
      <c r="G164" s="4" t="s">
        <v>1440</v>
      </c>
      <c r="H164" s="43" t="s">
        <v>1441</v>
      </c>
      <c r="I164" s="4"/>
      <c r="J164" s="26" t="s">
        <v>14</v>
      </c>
      <c r="K164" s="27" t="s">
        <v>13</v>
      </c>
      <c r="L164" s="2">
        <v>45969.452415706022</v>
      </c>
      <c r="M164" s="24"/>
      <c r="N164" s="4"/>
    </row>
    <row r="165" spans="1:14" ht="100.2" customHeight="1" thickTop="1" thickBot="1">
      <c r="A165" s="31">
        <v>163</v>
      </c>
      <c r="B165" s="2">
        <v>45969.451326886498</v>
      </c>
      <c r="C165" s="3" t="s">
        <v>394</v>
      </c>
      <c r="D165" s="3" t="s">
        <v>410</v>
      </c>
      <c r="E165" s="4" t="s">
        <v>22</v>
      </c>
      <c r="F165" s="43" t="s">
        <v>403</v>
      </c>
      <c r="G165" s="4" t="s">
        <v>36</v>
      </c>
      <c r="H165" s="43" t="s">
        <v>613</v>
      </c>
      <c r="I165" s="4"/>
      <c r="J165" s="26" t="s">
        <v>14</v>
      </c>
      <c r="K165" s="27" t="s">
        <v>13</v>
      </c>
      <c r="L165" s="2">
        <v>45969.452437719912</v>
      </c>
      <c r="M165" s="24"/>
      <c r="N165" s="4"/>
    </row>
    <row r="166" spans="1:14" ht="100.2" customHeight="1" thickTop="1" thickBot="1">
      <c r="A166" s="4">
        <v>164</v>
      </c>
      <c r="B166" s="2">
        <v>45970.5104035763</v>
      </c>
      <c r="C166" s="3" t="s">
        <v>394</v>
      </c>
      <c r="D166" s="3" t="s">
        <v>1200</v>
      </c>
      <c r="E166" s="4" t="s">
        <v>21</v>
      </c>
      <c r="F166" s="43" t="s">
        <v>401</v>
      </c>
      <c r="G166" s="4" t="s">
        <v>25</v>
      </c>
      <c r="H166" s="43" t="s">
        <v>1442</v>
      </c>
      <c r="I166" s="4"/>
      <c r="J166" s="26" t="s">
        <v>14</v>
      </c>
      <c r="K166" s="27" t="s">
        <v>13</v>
      </c>
      <c r="L166" s="2">
        <v>45970.440001932875</v>
      </c>
      <c r="M166" s="24"/>
      <c r="N166" s="4"/>
    </row>
    <row r="167" spans="1:14" ht="100.2" customHeight="1" thickTop="1" thickBot="1">
      <c r="A167" s="31">
        <v>165</v>
      </c>
      <c r="B167" s="2">
        <v>45970.513315023098</v>
      </c>
      <c r="C167" s="3" t="s">
        <v>394</v>
      </c>
      <c r="D167" s="3" t="s">
        <v>1200</v>
      </c>
      <c r="E167" s="4" t="s">
        <v>21</v>
      </c>
      <c r="F167" s="43" t="s">
        <v>401</v>
      </c>
      <c r="G167" s="4" t="s">
        <v>48</v>
      </c>
      <c r="H167" s="43" t="s">
        <v>1443</v>
      </c>
      <c r="I167" s="4"/>
      <c r="J167" s="26" t="s">
        <v>14</v>
      </c>
      <c r="K167" s="27" t="s">
        <v>13</v>
      </c>
      <c r="L167" s="2">
        <v>45971.346603761573</v>
      </c>
      <c r="M167" s="24"/>
      <c r="N167" s="4"/>
    </row>
    <row r="168" spans="1:14" ht="100.2" customHeight="1" thickTop="1" thickBot="1">
      <c r="A168" s="4">
        <v>166</v>
      </c>
      <c r="B168" s="2">
        <v>45970.5157330324</v>
      </c>
      <c r="C168" s="3" t="s">
        <v>394</v>
      </c>
      <c r="D168" s="3" t="s">
        <v>1200</v>
      </c>
      <c r="E168" s="4" t="s">
        <v>21</v>
      </c>
      <c r="F168" s="43" t="s">
        <v>401</v>
      </c>
      <c r="G168" s="4" t="s">
        <v>44</v>
      </c>
      <c r="H168" s="43" t="s">
        <v>1444</v>
      </c>
      <c r="I168" s="4"/>
      <c r="J168" s="26" t="s">
        <v>14</v>
      </c>
      <c r="K168" s="27" t="s">
        <v>13</v>
      </c>
      <c r="L168" s="2">
        <v>45970.753285601852</v>
      </c>
      <c r="M168" s="24"/>
      <c r="N168" s="4"/>
    </row>
    <row r="169" spans="1:14" ht="100.2" customHeight="1" thickTop="1" thickBot="1">
      <c r="A169" s="31">
        <v>167</v>
      </c>
      <c r="B169" s="2">
        <v>45970.516377210603</v>
      </c>
      <c r="C169" s="3" t="s">
        <v>394</v>
      </c>
      <c r="D169" s="3" t="s">
        <v>1200</v>
      </c>
      <c r="E169" s="4" t="s">
        <v>21</v>
      </c>
      <c r="F169" s="43" t="s">
        <v>401</v>
      </c>
      <c r="G169" s="4" t="s">
        <v>48</v>
      </c>
      <c r="H169" s="43" t="s">
        <v>1445</v>
      </c>
      <c r="I169" s="4"/>
      <c r="J169" s="26" t="s">
        <v>14</v>
      </c>
      <c r="K169" s="27" t="s">
        <v>13</v>
      </c>
      <c r="L169" s="2">
        <v>45971.346719374997</v>
      </c>
      <c r="M169" s="24"/>
      <c r="N169" s="4"/>
    </row>
    <row r="170" spans="1:14" ht="100.2" customHeight="1" thickTop="1" thickBot="1">
      <c r="A170" s="4">
        <v>168</v>
      </c>
      <c r="B170" s="2">
        <v>45970.516946967597</v>
      </c>
      <c r="C170" s="3" t="s">
        <v>394</v>
      </c>
      <c r="D170" s="3" t="s">
        <v>1200</v>
      </c>
      <c r="E170" s="4" t="s">
        <v>21</v>
      </c>
      <c r="F170" s="43" t="s">
        <v>401</v>
      </c>
      <c r="G170" s="4" t="s">
        <v>47</v>
      </c>
      <c r="H170" s="43" t="s">
        <v>1446</v>
      </c>
      <c r="I170" s="4"/>
      <c r="J170" s="26" t="s">
        <v>14</v>
      </c>
      <c r="K170" s="27" t="s">
        <v>13</v>
      </c>
      <c r="L170" s="2">
        <v>45972.317214895833</v>
      </c>
      <c r="M170" s="24"/>
      <c r="N170" s="4"/>
    </row>
    <row r="171" spans="1:14" ht="100.2" customHeight="1" thickTop="1" thickBot="1">
      <c r="A171" s="31">
        <v>169</v>
      </c>
      <c r="B171" s="2">
        <v>45971.432718356402</v>
      </c>
      <c r="C171" s="3" t="s">
        <v>394</v>
      </c>
      <c r="D171" s="3" t="s">
        <v>1200</v>
      </c>
      <c r="E171" s="4" t="s">
        <v>21</v>
      </c>
      <c r="F171" s="43" t="s">
        <v>413</v>
      </c>
      <c r="G171" s="4" t="s">
        <v>37</v>
      </c>
      <c r="H171" s="43" t="s">
        <v>1447</v>
      </c>
      <c r="I171" s="4"/>
      <c r="J171" s="26" t="s">
        <v>14</v>
      </c>
      <c r="K171" s="27" t="s">
        <v>13</v>
      </c>
      <c r="L171" s="2">
        <v>45972.543081342592</v>
      </c>
      <c r="M171" s="24"/>
      <c r="N171" s="4"/>
    </row>
    <row r="172" spans="1:14" ht="100.2" customHeight="1" thickTop="1" thickBot="1">
      <c r="A172" s="4">
        <v>170</v>
      </c>
      <c r="B172" s="2">
        <v>45973.309861307796</v>
      </c>
      <c r="C172" s="3" t="s">
        <v>394</v>
      </c>
      <c r="D172" s="3" t="s">
        <v>1200</v>
      </c>
      <c r="E172" s="4" t="s">
        <v>21</v>
      </c>
      <c r="F172" s="43" t="s">
        <v>1448</v>
      </c>
      <c r="G172" s="4" t="s">
        <v>1449</v>
      </c>
      <c r="H172" s="43" t="s">
        <v>1450</v>
      </c>
      <c r="I172" s="4"/>
      <c r="J172" s="26" t="s">
        <v>14</v>
      </c>
      <c r="K172" s="27" t="s">
        <v>13</v>
      </c>
      <c r="L172" s="2">
        <v>45973.318784687501</v>
      </c>
      <c r="M172" s="24"/>
      <c r="N172" s="4"/>
    </row>
    <row r="173" spans="1:14" ht="100.2" customHeight="1" thickTop="1" thickBot="1">
      <c r="A173" s="31">
        <v>171</v>
      </c>
      <c r="B173" s="2">
        <v>45973.3112275694</v>
      </c>
      <c r="C173" s="3" t="s">
        <v>394</v>
      </c>
      <c r="D173" s="3" t="s">
        <v>410</v>
      </c>
      <c r="E173" s="4" t="s">
        <v>22</v>
      </c>
      <c r="F173" s="43" t="s">
        <v>396</v>
      </c>
      <c r="G173" s="4" t="s">
        <v>40</v>
      </c>
      <c r="H173" s="43" t="s">
        <v>1451</v>
      </c>
      <c r="I173" s="4"/>
      <c r="J173" s="26" t="s">
        <v>14</v>
      </c>
      <c r="K173" s="27" t="s">
        <v>13</v>
      </c>
      <c r="L173" s="2">
        <v>45973.318871689815</v>
      </c>
      <c r="M173" s="24"/>
      <c r="N173" s="4"/>
    </row>
    <row r="174" spans="1:14" ht="100.2" customHeight="1" thickTop="1" thickBot="1">
      <c r="A174" s="4">
        <v>172</v>
      </c>
      <c r="B174" s="2">
        <v>45973.317705891197</v>
      </c>
      <c r="C174" s="3" t="s">
        <v>394</v>
      </c>
      <c r="D174" s="3" t="s">
        <v>410</v>
      </c>
      <c r="E174" s="4" t="s">
        <v>22</v>
      </c>
      <c r="F174" s="43" t="s">
        <v>1452</v>
      </c>
      <c r="G174" s="4" t="s">
        <v>40</v>
      </c>
      <c r="H174" s="43" t="s">
        <v>1453</v>
      </c>
      <c r="I174" s="4"/>
      <c r="J174" s="26" t="s">
        <v>14</v>
      </c>
      <c r="K174" s="27" t="s">
        <v>13</v>
      </c>
      <c r="L174" s="2">
        <v>45973.318914178242</v>
      </c>
      <c r="M174" s="24"/>
      <c r="N174" s="4"/>
    </row>
    <row r="175" spans="1:14" ht="100.2" customHeight="1" thickTop="1" thickBot="1">
      <c r="A175" s="31">
        <v>173</v>
      </c>
      <c r="B175" s="2">
        <v>45973.318584722198</v>
      </c>
      <c r="C175" s="3" t="s">
        <v>394</v>
      </c>
      <c r="D175" s="3" t="s">
        <v>410</v>
      </c>
      <c r="E175" s="4" t="s">
        <v>22</v>
      </c>
      <c r="F175" s="43" t="s">
        <v>1454</v>
      </c>
      <c r="G175" s="4" t="s">
        <v>40</v>
      </c>
      <c r="H175" s="43" t="s">
        <v>1453</v>
      </c>
      <c r="I175" s="4"/>
      <c r="J175" s="26" t="s">
        <v>14</v>
      </c>
      <c r="K175" s="27" t="s">
        <v>13</v>
      </c>
      <c r="L175" s="2">
        <v>45973.31897226852</v>
      </c>
      <c r="M175" s="24"/>
      <c r="N175" s="4"/>
    </row>
    <row r="176" spans="1:14" ht="100.2" customHeight="1" thickTop="1" thickBot="1">
      <c r="A176" s="4">
        <v>174</v>
      </c>
      <c r="B176" s="2">
        <v>45976.3653248958</v>
      </c>
      <c r="C176" s="3" t="s">
        <v>394</v>
      </c>
      <c r="D176" s="3" t="s">
        <v>1200</v>
      </c>
      <c r="E176" s="4" t="s">
        <v>21</v>
      </c>
      <c r="F176" s="43" t="s">
        <v>434</v>
      </c>
      <c r="G176" s="4" t="s">
        <v>36</v>
      </c>
      <c r="H176" s="43" t="s">
        <v>1455</v>
      </c>
      <c r="I176" s="4"/>
      <c r="J176" s="26" t="s">
        <v>14</v>
      </c>
      <c r="K176" s="27" t="s">
        <v>13</v>
      </c>
      <c r="L176" s="2">
        <v>45976.440787604166</v>
      </c>
      <c r="M176" s="24"/>
      <c r="N176" s="4"/>
    </row>
    <row r="177" spans="1:14" ht="100.2" customHeight="1" thickTop="1" thickBot="1">
      <c r="A177" s="31">
        <v>175</v>
      </c>
      <c r="B177" s="2">
        <v>45977.498645173597</v>
      </c>
      <c r="C177" s="3" t="s">
        <v>394</v>
      </c>
      <c r="D177" s="3" t="s">
        <v>1200</v>
      </c>
      <c r="E177" s="4" t="s">
        <v>21</v>
      </c>
      <c r="F177" s="43" t="s">
        <v>411</v>
      </c>
      <c r="G177" s="4" t="s">
        <v>25</v>
      </c>
      <c r="H177" s="43" t="s">
        <v>674</v>
      </c>
      <c r="I177" s="4"/>
      <c r="J177" s="26" t="s">
        <v>14</v>
      </c>
      <c r="K177" s="27" t="s">
        <v>13</v>
      </c>
      <c r="L177" s="2">
        <v>45977.721480983797</v>
      </c>
      <c r="M177" s="24"/>
      <c r="N177" s="4"/>
    </row>
    <row r="178" spans="1:14" ht="100.2" customHeight="1" thickTop="1" thickBot="1">
      <c r="A178" s="4">
        <v>176</v>
      </c>
      <c r="B178" s="2">
        <v>45977.507743958296</v>
      </c>
      <c r="C178" s="3" t="s">
        <v>394</v>
      </c>
      <c r="D178" s="3" t="s">
        <v>1200</v>
      </c>
      <c r="E178" s="4" t="s">
        <v>21</v>
      </c>
      <c r="F178" s="43" t="s">
        <v>403</v>
      </c>
      <c r="G178" s="4" t="s">
        <v>1324</v>
      </c>
      <c r="H178" s="43" t="s">
        <v>1439</v>
      </c>
      <c r="I178" s="4"/>
      <c r="J178" s="26" t="s">
        <v>14</v>
      </c>
      <c r="K178" s="27" t="s">
        <v>13</v>
      </c>
      <c r="L178" s="2">
        <v>45977.547631689813</v>
      </c>
      <c r="M178" s="24"/>
      <c r="N178" s="4"/>
    </row>
    <row r="179" spans="1:14" ht="100.2" customHeight="1" thickTop="1" thickBot="1">
      <c r="A179" s="31">
        <v>177</v>
      </c>
      <c r="B179" s="2">
        <v>45977.521717743002</v>
      </c>
      <c r="C179" s="3" t="s">
        <v>394</v>
      </c>
      <c r="D179" s="3" t="s">
        <v>1200</v>
      </c>
      <c r="E179" s="4" t="s">
        <v>21</v>
      </c>
      <c r="F179" s="43" t="s">
        <v>411</v>
      </c>
      <c r="G179" s="4" t="s">
        <v>1456</v>
      </c>
      <c r="H179" s="43" t="s">
        <v>1457</v>
      </c>
      <c r="I179" s="4"/>
      <c r="J179" s="26" t="s">
        <v>14</v>
      </c>
      <c r="K179" s="27" t="s">
        <v>13</v>
      </c>
      <c r="L179" s="2">
        <v>45977.547663935184</v>
      </c>
      <c r="M179" s="24"/>
      <c r="N179" s="4" t="s">
        <v>121</v>
      </c>
    </row>
    <row r="180" spans="1:14" ht="100.2" customHeight="1" thickTop="1" thickBot="1">
      <c r="A180" s="4">
        <v>178</v>
      </c>
      <c r="B180" s="2">
        <v>45978.354129027699</v>
      </c>
      <c r="C180" s="3" t="s">
        <v>394</v>
      </c>
      <c r="D180" s="3" t="s">
        <v>1200</v>
      </c>
      <c r="E180" s="4" t="s">
        <v>21</v>
      </c>
      <c r="F180" s="43" t="s">
        <v>481</v>
      </c>
      <c r="G180" s="4" t="s">
        <v>25</v>
      </c>
      <c r="H180" s="43" t="s">
        <v>1458</v>
      </c>
      <c r="I180" s="4"/>
      <c r="J180" s="26" t="s">
        <v>14</v>
      </c>
      <c r="K180" s="27" t="s">
        <v>13</v>
      </c>
      <c r="L180" s="2">
        <v>45979.309364513887</v>
      </c>
      <c r="M180" s="24"/>
      <c r="N180" s="4" t="s">
        <v>123</v>
      </c>
    </row>
    <row r="181" spans="1:14" ht="100.2" customHeight="1" thickTop="1" thickBot="1">
      <c r="A181" s="31">
        <v>179</v>
      </c>
      <c r="B181" s="2">
        <v>45979.4075665856</v>
      </c>
      <c r="C181" s="3" t="s">
        <v>394</v>
      </c>
      <c r="D181" s="3" t="s">
        <v>1200</v>
      </c>
      <c r="E181" s="4" t="s">
        <v>21</v>
      </c>
      <c r="F181" s="43" t="s">
        <v>413</v>
      </c>
      <c r="G181" s="4" t="s">
        <v>25</v>
      </c>
      <c r="H181" s="43" t="s">
        <v>1459</v>
      </c>
      <c r="I181" s="4"/>
      <c r="J181" s="26" t="s">
        <v>14</v>
      </c>
      <c r="K181" s="27" t="s">
        <v>13</v>
      </c>
      <c r="L181" s="2">
        <v>45979.494176666667</v>
      </c>
      <c r="M181" s="24"/>
      <c r="N181" s="4" t="s">
        <v>121</v>
      </c>
    </row>
    <row r="182" spans="1:14" ht="100.2" customHeight="1" thickTop="1" thickBot="1">
      <c r="A182" s="4">
        <v>180</v>
      </c>
      <c r="B182" s="2">
        <v>45979.408790370297</v>
      </c>
      <c r="C182" s="3" t="s">
        <v>394</v>
      </c>
      <c r="D182" s="3" t="s">
        <v>1200</v>
      </c>
      <c r="E182" s="4" t="s">
        <v>21</v>
      </c>
      <c r="F182" s="43" t="s">
        <v>413</v>
      </c>
      <c r="G182" s="4" t="s">
        <v>37</v>
      </c>
      <c r="H182" s="43" t="s">
        <v>1460</v>
      </c>
      <c r="I182" s="4"/>
      <c r="J182" s="26" t="s">
        <v>14</v>
      </c>
      <c r="K182" s="27" t="s">
        <v>13</v>
      </c>
      <c r="L182" s="2">
        <v>45979.494249953699</v>
      </c>
      <c r="M182" s="24"/>
      <c r="N182" s="4" t="s">
        <v>121</v>
      </c>
    </row>
    <row r="183" spans="1:14" ht="100.2" customHeight="1" thickTop="1" thickBot="1">
      <c r="A183" s="31">
        <v>181</v>
      </c>
      <c r="B183" s="2">
        <v>45979.4949058333</v>
      </c>
      <c r="C183" s="3" t="s">
        <v>394</v>
      </c>
      <c r="D183" s="3" t="s">
        <v>1461</v>
      </c>
      <c r="E183" s="4" t="s">
        <v>22</v>
      </c>
      <c r="F183" s="43" t="s">
        <v>401</v>
      </c>
      <c r="G183" s="4" t="s">
        <v>47</v>
      </c>
      <c r="H183" s="43" t="s">
        <v>652</v>
      </c>
      <c r="I183" s="4"/>
      <c r="J183" s="26" t="s">
        <v>14</v>
      </c>
      <c r="K183" s="27" t="s">
        <v>13</v>
      </c>
      <c r="L183" s="2">
        <v>45979.497260659722</v>
      </c>
      <c r="M183" s="24"/>
      <c r="N183" s="4" t="s">
        <v>121</v>
      </c>
    </row>
    <row r="184" spans="1:14" ht="100.2" customHeight="1" thickTop="1" thickBot="1">
      <c r="A184" s="4">
        <v>182</v>
      </c>
      <c r="B184" s="2">
        <v>45979.495880821698</v>
      </c>
      <c r="C184" s="3" t="s">
        <v>394</v>
      </c>
      <c r="D184" s="3" t="s">
        <v>410</v>
      </c>
      <c r="E184" s="4" t="s">
        <v>22</v>
      </c>
      <c r="F184" s="43" t="s">
        <v>401</v>
      </c>
      <c r="G184" s="4" t="s">
        <v>47</v>
      </c>
      <c r="H184" s="43" t="s">
        <v>929</v>
      </c>
      <c r="I184" s="4"/>
      <c r="J184" s="26" t="s">
        <v>14</v>
      </c>
      <c r="K184" s="27" t="s">
        <v>13</v>
      </c>
      <c r="L184" s="2">
        <v>45979.497313217595</v>
      </c>
      <c r="M184" s="24"/>
      <c r="N184" s="4" t="s">
        <v>121</v>
      </c>
    </row>
    <row r="185" spans="1:14" ht="100.2" customHeight="1" thickTop="1" thickBot="1">
      <c r="A185" s="31">
        <v>183</v>
      </c>
      <c r="B185" s="2">
        <v>45979.496907719898</v>
      </c>
      <c r="C185" s="3" t="s">
        <v>394</v>
      </c>
      <c r="D185" s="3" t="s">
        <v>645</v>
      </c>
      <c r="E185" s="4" t="s">
        <v>22</v>
      </c>
      <c r="F185" s="43" t="s">
        <v>413</v>
      </c>
      <c r="G185" s="4" t="s">
        <v>38</v>
      </c>
      <c r="H185" s="43" t="s">
        <v>652</v>
      </c>
      <c r="I185" s="4"/>
      <c r="J185" s="26" t="s">
        <v>14</v>
      </c>
      <c r="K185" s="27" t="s">
        <v>13</v>
      </c>
      <c r="L185" s="2">
        <v>45979.497388842588</v>
      </c>
      <c r="M185" s="24"/>
      <c r="N185" s="4" t="s">
        <v>121</v>
      </c>
    </row>
    <row r="186" spans="1:14" ht="100.2" customHeight="1" thickTop="1" thickBot="1">
      <c r="A186" s="4">
        <v>184</v>
      </c>
      <c r="B186" s="2">
        <v>45979.498355127304</v>
      </c>
      <c r="C186" s="3" t="s">
        <v>394</v>
      </c>
      <c r="D186" s="3" t="s">
        <v>408</v>
      </c>
      <c r="E186" s="4" t="s">
        <v>22</v>
      </c>
      <c r="F186" s="43" t="s">
        <v>413</v>
      </c>
      <c r="G186" s="4" t="s">
        <v>47</v>
      </c>
      <c r="H186" s="43" t="s">
        <v>1462</v>
      </c>
      <c r="I186" s="4"/>
      <c r="J186" s="26" t="s">
        <v>14</v>
      </c>
      <c r="K186" s="27" t="s">
        <v>13</v>
      </c>
      <c r="L186" s="2">
        <v>45979.498960590281</v>
      </c>
      <c r="M186" s="24"/>
      <c r="N186" s="4" t="s">
        <v>121</v>
      </c>
    </row>
    <row r="187" spans="1:14" ht="100.2" customHeight="1" thickTop="1" thickBot="1">
      <c r="A187" s="31">
        <v>185</v>
      </c>
      <c r="B187" s="2">
        <v>45979.501511504597</v>
      </c>
      <c r="C187" s="3" t="s">
        <v>394</v>
      </c>
      <c r="D187" s="3" t="s">
        <v>408</v>
      </c>
      <c r="E187" s="4" t="s">
        <v>22</v>
      </c>
      <c r="F187" s="43" t="s">
        <v>396</v>
      </c>
      <c r="G187" s="4" t="s">
        <v>40</v>
      </c>
      <c r="H187" s="43" t="s">
        <v>1463</v>
      </c>
      <c r="I187" s="4"/>
      <c r="J187" s="26" t="s">
        <v>14</v>
      </c>
      <c r="K187" s="27" t="s">
        <v>13</v>
      </c>
      <c r="L187" s="2">
        <v>45979.503687025463</v>
      </c>
      <c r="M187" s="24"/>
      <c r="N187" s="4" t="s">
        <v>121</v>
      </c>
    </row>
    <row r="188" spans="1:14" ht="100.2" customHeight="1" thickTop="1" thickBot="1">
      <c r="A188" s="4">
        <v>186</v>
      </c>
      <c r="B188" s="2">
        <v>45979.502093367999</v>
      </c>
      <c r="C188" s="3" t="s">
        <v>394</v>
      </c>
      <c r="D188" s="3" t="s">
        <v>410</v>
      </c>
      <c r="E188" s="4" t="s">
        <v>22</v>
      </c>
      <c r="F188" s="43" t="s">
        <v>399</v>
      </c>
      <c r="G188" s="4" t="s">
        <v>40</v>
      </c>
      <c r="H188" s="43" t="s">
        <v>1464</v>
      </c>
      <c r="I188" s="4"/>
      <c r="J188" s="26" t="s">
        <v>14</v>
      </c>
      <c r="K188" s="27" t="s">
        <v>13</v>
      </c>
      <c r="L188" s="2">
        <v>45979.503760740743</v>
      </c>
      <c r="M188" s="24"/>
      <c r="N188" s="4" t="s">
        <v>121</v>
      </c>
    </row>
    <row r="189" spans="1:14" ht="100.2" customHeight="1" thickTop="1" thickBot="1">
      <c r="A189" s="31">
        <v>187</v>
      </c>
      <c r="B189" s="2">
        <v>45980.428490914303</v>
      </c>
      <c r="C189" s="3" t="s">
        <v>394</v>
      </c>
      <c r="D189" s="3" t="s">
        <v>1200</v>
      </c>
      <c r="E189" s="4" t="s">
        <v>21</v>
      </c>
      <c r="F189" s="43" t="s">
        <v>411</v>
      </c>
      <c r="G189" s="4" t="s">
        <v>43</v>
      </c>
      <c r="H189" s="43" t="s">
        <v>1465</v>
      </c>
      <c r="I189" s="4"/>
      <c r="J189" s="26" t="s">
        <v>14</v>
      </c>
      <c r="K189" s="27" t="s">
        <v>13</v>
      </c>
      <c r="L189" s="2">
        <v>45980.53957277778</v>
      </c>
      <c r="M189" s="24"/>
      <c r="N189" s="4" t="s">
        <v>124</v>
      </c>
    </row>
    <row r="190" spans="1:14" ht="100.2" customHeight="1" thickTop="1" thickBot="1">
      <c r="A190" s="4">
        <v>188</v>
      </c>
      <c r="B190" s="2">
        <v>45981.317184432803</v>
      </c>
      <c r="C190" s="3" t="s">
        <v>394</v>
      </c>
      <c r="D190" s="3" t="s">
        <v>1200</v>
      </c>
      <c r="E190" s="4" t="s">
        <v>21</v>
      </c>
      <c r="F190" s="43" t="s">
        <v>413</v>
      </c>
      <c r="G190" s="4" t="s">
        <v>25</v>
      </c>
      <c r="H190" s="43" t="s">
        <v>933</v>
      </c>
      <c r="I190" s="4"/>
      <c r="J190" s="26" t="s">
        <v>14</v>
      </c>
      <c r="K190" s="27" t="s">
        <v>13</v>
      </c>
      <c r="L190" s="2">
        <v>45981.383719652775</v>
      </c>
      <c r="M190" s="24"/>
      <c r="N190" s="4" t="s">
        <v>121</v>
      </c>
    </row>
    <row r="191" spans="1:14" ht="100.2" customHeight="1" thickTop="1" thickBot="1">
      <c r="A191" s="31">
        <v>189</v>
      </c>
      <c r="B191" s="2">
        <v>45981.350485254603</v>
      </c>
      <c r="C191" s="3" t="s">
        <v>394</v>
      </c>
      <c r="D191" s="3" t="s">
        <v>1200</v>
      </c>
      <c r="E191" s="4" t="s">
        <v>21</v>
      </c>
      <c r="F191" s="43" t="s">
        <v>396</v>
      </c>
      <c r="G191" s="4" t="s">
        <v>25</v>
      </c>
      <c r="H191" s="43" t="s">
        <v>673</v>
      </c>
      <c r="I191" s="4"/>
      <c r="J191" s="26" t="s">
        <v>14</v>
      </c>
      <c r="K191" s="27" t="s">
        <v>13</v>
      </c>
      <c r="L191" s="2">
        <v>45983.371487442128</v>
      </c>
      <c r="M191" s="24"/>
      <c r="N191" s="4" t="s">
        <v>121</v>
      </c>
    </row>
    <row r="192" spans="1:14" ht="100.2" customHeight="1" thickTop="1" thickBot="1">
      <c r="A192" s="4">
        <v>190</v>
      </c>
      <c r="B192" s="2">
        <v>45981.457097337901</v>
      </c>
      <c r="C192" s="3" t="s">
        <v>394</v>
      </c>
      <c r="D192" s="3" t="s">
        <v>1200</v>
      </c>
      <c r="E192" s="4" t="s">
        <v>21</v>
      </c>
      <c r="F192" s="43" t="s">
        <v>497</v>
      </c>
      <c r="G192" s="4" t="s">
        <v>1466</v>
      </c>
      <c r="H192" s="43" t="s">
        <v>1467</v>
      </c>
      <c r="I192" s="4"/>
      <c r="J192" s="26" t="s">
        <v>14</v>
      </c>
      <c r="K192" s="27" t="s">
        <v>13</v>
      </c>
      <c r="L192" s="2">
        <v>45981.583344166662</v>
      </c>
      <c r="M192" s="24"/>
      <c r="N192" s="4" t="s">
        <v>121</v>
      </c>
    </row>
    <row r="193" spans="1:14" ht="100.2" customHeight="1" thickTop="1" thickBot="1">
      <c r="A193" s="31">
        <v>191</v>
      </c>
      <c r="B193" s="2">
        <v>45981.5361304861</v>
      </c>
      <c r="C193" s="3" t="s">
        <v>394</v>
      </c>
      <c r="D193" s="3" t="s">
        <v>1200</v>
      </c>
      <c r="E193" s="4" t="s">
        <v>21</v>
      </c>
      <c r="F193" s="43" t="s">
        <v>403</v>
      </c>
      <c r="G193" s="4" t="s">
        <v>37</v>
      </c>
      <c r="H193" s="43" t="s">
        <v>1468</v>
      </c>
      <c r="I193" s="4"/>
      <c r="J193" s="26" t="s">
        <v>14</v>
      </c>
      <c r="K193" s="27" t="s">
        <v>13</v>
      </c>
      <c r="L193" s="2">
        <v>45983.536908877315</v>
      </c>
      <c r="M193" s="24"/>
      <c r="N193" s="4" t="s">
        <v>121</v>
      </c>
    </row>
    <row r="194" spans="1:14" ht="100.2" customHeight="1" thickTop="1" thickBot="1">
      <c r="A194" s="4">
        <v>192</v>
      </c>
      <c r="B194" s="2">
        <v>45984.486797627302</v>
      </c>
      <c r="C194" s="3" t="s">
        <v>394</v>
      </c>
      <c r="D194" s="3" t="s">
        <v>410</v>
      </c>
      <c r="E194" s="4" t="s">
        <v>22</v>
      </c>
      <c r="F194" s="43" t="s">
        <v>403</v>
      </c>
      <c r="G194" s="4" t="s">
        <v>40</v>
      </c>
      <c r="H194" s="43" t="s">
        <v>1464</v>
      </c>
      <c r="I194" s="4"/>
      <c r="J194" s="26" t="s">
        <v>14</v>
      </c>
      <c r="K194" s="27" t="s">
        <v>13</v>
      </c>
      <c r="L194" s="2">
        <v>45984.50082346065</v>
      </c>
      <c r="M194" s="24"/>
      <c r="N194" s="4" t="s">
        <v>121</v>
      </c>
    </row>
    <row r="195" spans="1:14" ht="100.2" customHeight="1" thickTop="1" thickBot="1">
      <c r="A195" s="31">
        <v>193</v>
      </c>
      <c r="B195" s="2">
        <v>45984.487202997603</v>
      </c>
      <c r="C195" s="3" t="s">
        <v>394</v>
      </c>
      <c r="D195" s="3" t="s">
        <v>410</v>
      </c>
      <c r="E195" s="4" t="s">
        <v>22</v>
      </c>
      <c r="F195" s="43" t="s">
        <v>401</v>
      </c>
      <c r="G195" s="4" t="s">
        <v>40</v>
      </c>
      <c r="H195" s="43" t="s">
        <v>1464</v>
      </c>
      <c r="I195" s="4"/>
      <c r="J195" s="26" t="s">
        <v>14</v>
      </c>
      <c r="K195" s="27" t="s">
        <v>13</v>
      </c>
      <c r="L195" s="2">
        <v>45984.500883425921</v>
      </c>
      <c r="M195" s="24"/>
      <c r="N195" s="4" t="s">
        <v>121</v>
      </c>
    </row>
    <row r="196" spans="1:14" ht="100.2" customHeight="1" thickTop="1" thickBot="1">
      <c r="A196" s="4">
        <v>194</v>
      </c>
      <c r="B196" s="2">
        <v>45984.488270509202</v>
      </c>
      <c r="C196" s="3" t="s">
        <v>394</v>
      </c>
      <c r="D196" s="3" t="s">
        <v>410</v>
      </c>
      <c r="E196" s="4" t="s">
        <v>22</v>
      </c>
      <c r="F196" s="43" t="s">
        <v>1469</v>
      </c>
      <c r="G196" s="4" t="s">
        <v>59</v>
      </c>
      <c r="H196" s="43" t="s">
        <v>1470</v>
      </c>
      <c r="I196" s="4"/>
      <c r="J196" s="26" t="s">
        <v>14</v>
      </c>
      <c r="K196" s="27" t="s">
        <v>13</v>
      </c>
      <c r="L196" s="2">
        <v>45984.500984363425</v>
      </c>
      <c r="M196" s="24"/>
      <c r="N196" s="4" t="s">
        <v>121</v>
      </c>
    </row>
    <row r="197" spans="1:14" ht="100.2" customHeight="1" thickTop="1" thickBot="1">
      <c r="A197" s="31">
        <v>195</v>
      </c>
      <c r="B197" s="2">
        <v>45984.534834143502</v>
      </c>
      <c r="C197" s="3" t="s">
        <v>394</v>
      </c>
      <c r="D197" s="3" t="s">
        <v>1200</v>
      </c>
      <c r="E197" s="4" t="s">
        <v>21</v>
      </c>
      <c r="F197" s="43" t="s">
        <v>416</v>
      </c>
      <c r="G197" s="4" t="s">
        <v>1471</v>
      </c>
      <c r="H197" s="43" t="s">
        <v>1472</v>
      </c>
      <c r="I197" s="4"/>
      <c r="J197" s="26" t="s">
        <v>14</v>
      </c>
      <c r="K197" s="27" t="s">
        <v>13</v>
      </c>
      <c r="L197" s="2">
        <v>45984.540885925926</v>
      </c>
      <c r="M197" s="24"/>
      <c r="N197" s="4" t="s">
        <v>121</v>
      </c>
    </row>
    <row r="198" spans="1:14" ht="100.2" customHeight="1" thickTop="1" thickBot="1">
      <c r="A198" s="4">
        <v>196</v>
      </c>
      <c r="B198" s="2">
        <v>45985.383481990699</v>
      </c>
      <c r="C198" s="3" t="s">
        <v>394</v>
      </c>
      <c r="D198" s="3" t="s">
        <v>1200</v>
      </c>
      <c r="E198" s="4" t="s">
        <v>21</v>
      </c>
      <c r="F198" s="43" t="s">
        <v>1473</v>
      </c>
      <c r="G198" s="4" t="s">
        <v>25</v>
      </c>
      <c r="H198" s="43" t="s">
        <v>1474</v>
      </c>
      <c r="I198" s="4"/>
      <c r="J198" s="26" t="s">
        <v>14</v>
      </c>
      <c r="K198" s="27" t="s">
        <v>13</v>
      </c>
      <c r="L198" s="2">
        <v>45985.478058541667</v>
      </c>
      <c r="M198" s="24"/>
      <c r="N198" s="4" t="s">
        <v>121</v>
      </c>
    </row>
    <row r="199" spans="1:14" ht="100.2" customHeight="1" thickTop="1" thickBot="1">
      <c r="A199" s="31">
        <v>197</v>
      </c>
      <c r="B199" s="2">
        <v>45985.448181585598</v>
      </c>
      <c r="C199" s="3" t="s">
        <v>394</v>
      </c>
      <c r="D199" s="3" t="s">
        <v>1200</v>
      </c>
      <c r="E199" s="4" t="s">
        <v>21</v>
      </c>
      <c r="F199" s="43" t="s">
        <v>416</v>
      </c>
      <c r="G199" s="4" t="s">
        <v>25</v>
      </c>
      <c r="H199" s="43" t="s">
        <v>1475</v>
      </c>
      <c r="I199" s="4"/>
      <c r="J199" s="26" t="s">
        <v>14</v>
      </c>
      <c r="K199" s="27" t="s">
        <v>13</v>
      </c>
      <c r="L199" s="2">
        <v>45986.295926203704</v>
      </c>
      <c r="M199" s="24"/>
      <c r="N199" s="4" t="s">
        <v>121</v>
      </c>
    </row>
    <row r="200" spans="1:14" ht="100.2" customHeight="1" thickTop="1" thickBot="1">
      <c r="A200" s="4">
        <v>198</v>
      </c>
      <c r="B200" s="2">
        <v>45985.460190057798</v>
      </c>
      <c r="C200" s="3" t="s">
        <v>394</v>
      </c>
      <c r="D200" s="3" t="s">
        <v>1200</v>
      </c>
      <c r="E200" s="4" t="s">
        <v>21</v>
      </c>
      <c r="F200" s="43" t="s">
        <v>447</v>
      </c>
      <c r="G200" s="4" t="s">
        <v>25</v>
      </c>
      <c r="H200" s="43" t="s">
        <v>1476</v>
      </c>
      <c r="I200" s="4"/>
      <c r="J200" s="26" t="s">
        <v>14</v>
      </c>
      <c r="K200" s="27" t="s">
        <v>13</v>
      </c>
      <c r="L200" s="2">
        <v>45985.542530439816</v>
      </c>
      <c r="M200" s="24"/>
      <c r="N200" s="4" t="s">
        <v>121</v>
      </c>
    </row>
    <row r="201" spans="1:14" ht="100.2" customHeight="1" thickTop="1" thickBot="1">
      <c r="A201" s="31">
        <v>199</v>
      </c>
      <c r="B201" s="2">
        <v>45985.527089814801</v>
      </c>
      <c r="C201" s="3" t="s">
        <v>394</v>
      </c>
      <c r="D201" s="3" t="s">
        <v>1200</v>
      </c>
      <c r="E201" s="4" t="s">
        <v>21</v>
      </c>
      <c r="F201" s="43" t="s">
        <v>497</v>
      </c>
      <c r="G201" s="4" t="s">
        <v>25</v>
      </c>
      <c r="H201" s="43" t="s">
        <v>1477</v>
      </c>
      <c r="I201" s="4"/>
      <c r="J201" s="26" t="s">
        <v>14</v>
      </c>
      <c r="K201" s="27" t="s">
        <v>13</v>
      </c>
      <c r="L201" s="2">
        <v>45987.432706840278</v>
      </c>
      <c r="M201" s="24"/>
      <c r="N201" s="4" t="s">
        <v>121</v>
      </c>
    </row>
    <row r="202" spans="1:14" ht="100.2" customHeight="1" thickTop="1" thickBot="1">
      <c r="A202" s="4">
        <v>200</v>
      </c>
      <c r="B202" s="2">
        <v>45986.3465484259</v>
      </c>
      <c r="C202" s="3" t="s">
        <v>394</v>
      </c>
      <c r="D202" s="3" t="s">
        <v>1200</v>
      </c>
      <c r="E202" s="4" t="s">
        <v>21</v>
      </c>
      <c r="F202" s="43" t="s">
        <v>396</v>
      </c>
      <c r="G202" s="4" t="s">
        <v>25</v>
      </c>
      <c r="H202" s="43" t="s">
        <v>1478</v>
      </c>
      <c r="I202" s="4"/>
      <c r="J202" s="26" t="s">
        <v>14</v>
      </c>
      <c r="K202" s="27" t="s">
        <v>13</v>
      </c>
      <c r="L202" s="2">
        <v>45986.503371122686</v>
      </c>
      <c r="M202" s="24"/>
      <c r="N202" s="4" t="s">
        <v>125</v>
      </c>
    </row>
    <row r="203" spans="1:14" ht="100.2" customHeight="1" thickTop="1" thickBot="1">
      <c r="A203" s="31">
        <v>201</v>
      </c>
      <c r="B203" s="2">
        <v>45986.5674043287</v>
      </c>
      <c r="C203" s="3" t="s">
        <v>394</v>
      </c>
      <c r="D203" s="3" t="s">
        <v>1200</v>
      </c>
      <c r="E203" s="4" t="s">
        <v>21</v>
      </c>
      <c r="F203" s="43" t="s">
        <v>411</v>
      </c>
      <c r="G203" s="4" t="s">
        <v>1396</v>
      </c>
      <c r="H203" s="43" t="s">
        <v>1177</v>
      </c>
      <c r="I203" s="4"/>
      <c r="J203" s="26" t="s">
        <v>14</v>
      </c>
      <c r="K203" s="27" t="s">
        <v>13</v>
      </c>
      <c r="L203" s="2">
        <v>45987.431469247684</v>
      </c>
      <c r="M203" s="24"/>
      <c r="N203" s="4" t="s">
        <v>125</v>
      </c>
    </row>
    <row r="204" spans="1:14" ht="100.2" customHeight="1" thickTop="1" thickBot="1">
      <c r="A204" s="4">
        <v>202</v>
      </c>
      <c r="B204" s="2">
        <v>45987.318775648098</v>
      </c>
      <c r="C204" s="3" t="s">
        <v>394</v>
      </c>
      <c r="D204" s="3" t="s">
        <v>1200</v>
      </c>
      <c r="E204" s="4" t="s">
        <v>21</v>
      </c>
      <c r="F204" s="43" t="s">
        <v>497</v>
      </c>
      <c r="G204" s="4" t="s">
        <v>1424</v>
      </c>
      <c r="H204" s="43" t="s">
        <v>1479</v>
      </c>
      <c r="I204" s="4"/>
      <c r="J204" s="26" t="s">
        <v>14</v>
      </c>
      <c r="K204" s="27" t="s">
        <v>13</v>
      </c>
      <c r="L204" s="2">
        <v>45987.431631307874</v>
      </c>
      <c r="M204" s="24"/>
      <c r="N204" s="4" t="s">
        <v>126</v>
      </c>
    </row>
    <row r="205" spans="1:14" ht="100.2" customHeight="1" thickTop="1" thickBot="1">
      <c r="A205" s="31">
        <v>203</v>
      </c>
      <c r="B205" s="2">
        <v>45987.366873090199</v>
      </c>
      <c r="C205" s="3" t="s">
        <v>394</v>
      </c>
      <c r="D205" s="3" t="s">
        <v>1200</v>
      </c>
      <c r="E205" s="4" t="s">
        <v>21</v>
      </c>
      <c r="F205" s="43" t="s">
        <v>411</v>
      </c>
      <c r="G205" s="4" t="s">
        <v>25</v>
      </c>
      <c r="H205" s="43" t="s">
        <v>1480</v>
      </c>
      <c r="I205" s="4"/>
      <c r="J205" s="26" t="s">
        <v>14</v>
      </c>
      <c r="K205" s="27" t="s">
        <v>13</v>
      </c>
      <c r="L205" s="2">
        <v>45987.431722453708</v>
      </c>
      <c r="M205" s="24"/>
      <c r="N205" s="4" t="s">
        <v>125</v>
      </c>
    </row>
    <row r="206" spans="1:14" ht="100.2" customHeight="1" thickTop="1" thickBot="1">
      <c r="A206" s="4">
        <v>204</v>
      </c>
      <c r="B206" s="2">
        <v>45987.367191203703</v>
      </c>
      <c r="C206" s="3" t="s">
        <v>394</v>
      </c>
      <c r="D206" s="3" t="s">
        <v>1200</v>
      </c>
      <c r="E206" s="4" t="s">
        <v>21</v>
      </c>
      <c r="F206" s="43" t="s">
        <v>401</v>
      </c>
      <c r="G206" s="4" t="s">
        <v>25</v>
      </c>
      <c r="H206" s="43" t="s">
        <v>1481</v>
      </c>
      <c r="I206" s="4"/>
      <c r="J206" s="26" t="s">
        <v>14</v>
      </c>
      <c r="K206" s="27" t="s">
        <v>13</v>
      </c>
      <c r="L206" s="2">
        <v>45987.431839502315</v>
      </c>
      <c r="M206" s="24"/>
      <c r="N206" s="4" t="s">
        <v>121</v>
      </c>
    </row>
    <row r="207" spans="1:14" ht="100.2" customHeight="1" thickTop="1" thickBot="1">
      <c r="A207" s="31">
        <v>205</v>
      </c>
      <c r="B207" s="2">
        <v>45987.367868182802</v>
      </c>
      <c r="C207" s="3" t="s">
        <v>394</v>
      </c>
      <c r="D207" s="3" t="s">
        <v>1200</v>
      </c>
      <c r="E207" s="4" t="s">
        <v>21</v>
      </c>
      <c r="F207" s="43" t="s">
        <v>1482</v>
      </c>
      <c r="G207" s="4" t="s">
        <v>25</v>
      </c>
      <c r="H207" s="43" t="s">
        <v>1483</v>
      </c>
      <c r="I207" s="4"/>
      <c r="J207" s="26" t="s">
        <v>14</v>
      </c>
      <c r="K207" s="27" t="s">
        <v>13</v>
      </c>
      <c r="L207" s="2">
        <v>45988.399791689815</v>
      </c>
      <c r="M207" s="24"/>
      <c r="N207" s="4" t="s">
        <v>121</v>
      </c>
    </row>
    <row r="208" spans="1:14" ht="100.2" customHeight="1" thickTop="1" thickBot="1">
      <c r="A208" s="4">
        <v>206</v>
      </c>
      <c r="B208" s="2">
        <v>45987.400405034699</v>
      </c>
      <c r="C208" s="3" t="s">
        <v>394</v>
      </c>
      <c r="D208" s="3" t="s">
        <v>1200</v>
      </c>
      <c r="E208" s="4" t="s">
        <v>21</v>
      </c>
      <c r="F208" s="43" t="s">
        <v>411</v>
      </c>
      <c r="G208" s="4" t="s">
        <v>43</v>
      </c>
      <c r="H208" s="43" t="s">
        <v>1484</v>
      </c>
      <c r="I208" s="4"/>
      <c r="J208" s="26" t="s">
        <v>14</v>
      </c>
      <c r="K208" s="27" t="s">
        <v>13</v>
      </c>
      <c r="L208" s="2">
        <v>45987.43226858796</v>
      </c>
      <c r="M208" s="24"/>
      <c r="N208" s="4" t="s">
        <v>121</v>
      </c>
    </row>
    <row r="209" spans="1:14" ht="100.2" customHeight="1" thickTop="1" thickBot="1">
      <c r="A209" s="31">
        <v>207</v>
      </c>
      <c r="B209" s="2">
        <v>45988.345253495303</v>
      </c>
      <c r="C209" s="3" t="s">
        <v>394</v>
      </c>
      <c r="D209" s="3" t="s">
        <v>1200</v>
      </c>
      <c r="E209" s="4" t="s">
        <v>21</v>
      </c>
      <c r="F209" s="43" t="s">
        <v>411</v>
      </c>
      <c r="G209" s="4" t="s">
        <v>25</v>
      </c>
      <c r="H209" s="43" t="s">
        <v>1485</v>
      </c>
      <c r="I209" s="4"/>
      <c r="J209" s="26" t="s">
        <v>14</v>
      </c>
      <c r="K209" s="27" t="s">
        <v>13</v>
      </c>
      <c r="L209" s="2">
        <v>45988.480941608796</v>
      </c>
      <c r="M209" s="24"/>
      <c r="N209" s="4" t="s">
        <v>121</v>
      </c>
    </row>
    <row r="210" spans="1:14" ht="100.2" customHeight="1" thickTop="1" thickBot="1">
      <c r="A210" s="4">
        <v>208</v>
      </c>
      <c r="B210" s="2">
        <v>45990.405432766202</v>
      </c>
      <c r="C210" s="3" t="s">
        <v>394</v>
      </c>
      <c r="D210" s="3" t="s">
        <v>1200</v>
      </c>
      <c r="E210" s="4" t="s">
        <v>21</v>
      </c>
      <c r="F210" s="43" t="s">
        <v>401</v>
      </c>
      <c r="G210" s="4" t="s">
        <v>25</v>
      </c>
      <c r="H210" s="43" t="s">
        <v>1486</v>
      </c>
      <c r="I210" s="4"/>
      <c r="J210" s="26" t="s">
        <v>14</v>
      </c>
      <c r="K210" s="27" t="s">
        <v>13</v>
      </c>
      <c r="L210" s="2">
        <v>45990.435597569449</v>
      </c>
      <c r="M210" s="24"/>
      <c r="N210" s="4" t="s">
        <v>121</v>
      </c>
    </row>
    <row r="211" spans="1:14" ht="100.2" customHeight="1" thickTop="1" thickBot="1">
      <c r="A211" s="31">
        <v>209</v>
      </c>
      <c r="B211" s="2">
        <v>45964.351481921301</v>
      </c>
      <c r="C211" s="3" t="s">
        <v>394</v>
      </c>
      <c r="D211" s="3" t="s">
        <v>1200</v>
      </c>
      <c r="E211" s="4" t="s">
        <v>21</v>
      </c>
      <c r="F211" s="43" t="s">
        <v>399</v>
      </c>
      <c r="G211" s="4" t="s">
        <v>25</v>
      </c>
      <c r="H211" s="43" t="s">
        <v>1487</v>
      </c>
      <c r="I211" s="4"/>
      <c r="J211" s="26"/>
      <c r="K211" s="27" t="s">
        <v>717</v>
      </c>
      <c r="L211" s="2">
        <v>45966.734869456021</v>
      </c>
      <c r="M211" s="24" t="s">
        <v>1488</v>
      </c>
      <c r="N211" s="4" t="s">
        <v>121</v>
      </c>
    </row>
    <row r="212" spans="1:14" ht="100.2" customHeight="1" thickTop="1" thickBot="1">
      <c r="A212" s="4">
        <v>210</v>
      </c>
      <c r="B212" s="52">
        <v>45973.343233356398</v>
      </c>
      <c r="C212" s="3" t="s">
        <v>394</v>
      </c>
      <c r="D212" s="3" t="s">
        <v>1200</v>
      </c>
      <c r="E212" s="4" t="s">
        <v>21</v>
      </c>
      <c r="F212" s="43" t="s">
        <v>416</v>
      </c>
      <c r="G212" s="4" t="s">
        <v>25</v>
      </c>
      <c r="H212" s="43" t="s">
        <v>1489</v>
      </c>
      <c r="I212" s="4"/>
      <c r="J212" s="26"/>
      <c r="K212" s="27" t="s">
        <v>717</v>
      </c>
      <c r="L212" s="2">
        <v>45973.371892326388</v>
      </c>
      <c r="M212" s="24" t="s">
        <v>1313</v>
      </c>
      <c r="N212" s="4" t="s">
        <v>127</v>
      </c>
    </row>
    <row r="213" spans="1:14" ht="100.2" customHeight="1" thickTop="1" thickBot="1">
      <c r="A213" s="31">
        <v>211</v>
      </c>
      <c r="B213" s="52" t="s">
        <v>1748</v>
      </c>
      <c r="C213" s="3" t="s">
        <v>394</v>
      </c>
      <c r="D213" s="3" t="s">
        <v>1749</v>
      </c>
      <c r="E213" s="4" t="s">
        <v>21</v>
      </c>
      <c r="F213" s="43" t="s">
        <v>1750</v>
      </c>
      <c r="G213" s="4" t="s">
        <v>537</v>
      </c>
      <c r="H213" s="43" t="s">
        <v>1751</v>
      </c>
      <c r="I213" s="4"/>
      <c r="J213" s="26" t="s">
        <v>1752</v>
      </c>
      <c r="K213" s="27" t="s">
        <v>13</v>
      </c>
      <c r="L213" s="2" t="s">
        <v>1753</v>
      </c>
      <c r="M213" s="24" t="s">
        <v>1754</v>
      </c>
      <c r="N213" s="4" t="s">
        <v>121</v>
      </c>
    </row>
    <row r="214" spans="1:14" ht="100.2" customHeight="1" thickTop="1" thickBot="1">
      <c r="A214" s="4">
        <v>212</v>
      </c>
      <c r="B214" s="52" t="s">
        <v>1755</v>
      </c>
      <c r="C214" s="3" t="s">
        <v>394</v>
      </c>
      <c r="D214" s="3" t="s">
        <v>1749</v>
      </c>
      <c r="E214" s="4" t="s">
        <v>21</v>
      </c>
      <c r="F214" s="43" t="s">
        <v>1756</v>
      </c>
      <c r="G214" s="4" t="s">
        <v>1757</v>
      </c>
      <c r="H214" s="43" t="s">
        <v>1758</v>
      </c>
      <c r="I214" s="4"/>
      <c r="J214" s="26" t="s">
        <v>1752</v>
      </c>
      <c r="K214" s="27" t="s">
        <v>13</v>
      </c>
      <c r="L214" s="2" t="s">
        <v>1759</v>
      </c>
      <c r="M214" s="24"/>
      <c r="N214" s="4" t="s">
        <v>121</v>
      </c>
    </row>
    <row r="215" spans="1:14" ht="100.2" customHeight="1" thickTop="1" thickBot="1">
      <c r="A215" s="31">
        <v>213</v>
      </c>
      <c r="B215" s="52" t="s">
        <v>1760</v>
      </c>
      <c r="C215" s="3" t="s">
        <v>394</v>
      </c>
      <c r="D215" s="3" t="s">
        <v>1749</v>
      </c>
      <c r="E215" s="4" t="s">
        <v>21</v>
      </c>
      <c r="F215" s="43" t="s">
        <v>1750</v>
      </c>
      <c r="G215" s="4" t="s">
        <v>1761</v>
      </c>
      <c r="H215" s="43" t="s">
        <v>1762</v>
      </c>
      <c r="I215" s="4"/>
      <c r="J215" s="26" t="s">
        <v>1752</v>
      </c>
      <c r="K215" s="27" t="s">
        <v>13</v>
      </c>
      <c r="L215" s="2" t="s">
        <v>1763</v>
      </c>
      <c r="M215" s="24" t="s">
        <v>1764</v>
      </c>
      <c r="N215" s="4" t="s">
        <v>121</v>
      </c>
    </row>
    <row r="216" spans="1:14" ht="100.2" customHeight="1" thickTop="1" thickBot="1">
      <c r="A216" s="4">
        <v>214</v>
      </c>
      <c r="B216" s="52" t="s">
        <v>1765</v>
      </c>
      <c r="C216" s="3" t="s">
        <v>394</v>
      </c>
      <c r="D216" s="3" t="s">
        <v>1749</v>
      </c>
      <c r="E216" s="4" t="s">
        <v>21</v>
      </c>
      <c r="F216" s="43" t="s">
        <v>1766</v>
      </c>
      <c r="G216" s="4" t="s">
        <v>1761</v>
      </c>
      <c r="H216" s="43" t="s">
        <v>1767</v>
      </c>
      <c r="I216" s="4"/>
      <c r="J216" s="26" t="s">
        <v>1752</v>
      </c>
      <c r="K216" s="27" t="s">
        <v>13</v>
      </c>
      <c r="L216" s="2" t="s">
        <v>1768</v>
      </c>
      <c r="M216" s="24"/>
      <c r="N216" s="4" t="s">
        <v>121</v>
      </c>
    </row>
    <row r="217" spans="1:14" ht="100.2" customHeight="1" thickTop="1" thickBot="1">
      <c r="A217" s="31">
        <v>215</v>
      </c>
      <c r="B217" s="52" t="s">
        <v>1769</v>
      </c>
      <c r="C217" s="3" t="s">
        <v>394</v>
      </c>
      <c r="D217" s="3" t="s">
        <v>34</v>
      </c>
      <c r="E217" s="4" t="s">
        <v>22</v>
      </c>
      <c r="F217" s="43" t="s">
        <v>1770</v>
      </c>
      <c r="G217" s="4" t="s">
        <v>1771</v>
      </c>
      <c r="H217" s="43" t="s">
        <v>1772</v>
      </c>
      <c r="I217" s="4"/>
      <c r="J217" s="26" t="s">
        <v>1752</v>
      </c>
      <c r="K217" s="27" t="s">
        <v>13</v>
      </c>
      <c r="L217" s="2" t="s">
        <v>1773</v>
      </c>
      <c r="M217" s="24"/>
      <c r="N217" s="4" t="s">
        <v>121</v>
      </c>
    </row>
    <row r="218" spans="1:14" ht="100.2" customHeight="1" thickTop="1" thickBot="1">
      <c r="A218" s="4">
        <v>216</v>
      </c>
      <c r="B218" s="52" t="s">
        <v>1774</v>
      </c>
      <c r="C218" s="3" t="s">
        <v>394</v>
      </c>
      <c r="D218" s="3" t="s">
        <v>34</v>
      </c>
      <c r="E218" s="4" t="s">
        <v>22</v>
      </c>
      <c r="F218" s="43" t="s">
        <v>1775</v>
      </c>
      <c r="G218" s="4" t="s">
        <v>1776</v>
      </c>
      <c r="H218" s="43" t="s">
        <v>1772</v>
      </c>
      <c r="I218" s="4"/>
      <c r="J218" s="26" t="s">
        <v>1752</v>
      </c>
      <c r="K218" s="27" t="s">
        <v>13</v>
      </c>
      <c r="L218" s="2" t="s">
        <v>1773</v>
      </c>
      <c r="M218" s="24"/>
      <c r="N218" s="4" t="s">
        <v>121</v>
      </c>
    </row>
    <row r="219" spans="1:14" ht="100.2" customHeight="1" thickTop="1" thickBot="1">
      <c r="A219" s="31">
        <v>217</v>
      </c>
      <c r="B219" s="52" t="s">
        <v>1777</v>
      </c>
      <c r="C219" s="3" t="s">
        <v>394</v>
      </c>
      <c r="D219" s="3" t="s">
        <v>34</v>
      </c>
      <c r="E219" s="4" t="s">
        <v>22</v>
      </c>
      <c r="F219" s="43" t="s">
        <v>2605</v>
      </c>
      <c r="G219" s="4" t="s">
        <v>1776</v>
      </c>
      <c r="H219" s="43" t="s">
        <v>1772</v>
      </c>
      <c r="I219" s="4"/>
      <c r="J219" s="26" t="s">
        <v>1752</v>
      </c>
      <c r="K219" s="27" t="s">
        <v>13</v>
      </c>
      <c r="L219" s="2" t="s">
        <v>1773</v>
      </c>
      <c r="M219" s="24"/>
      <c r="N219" s="4" t="s">
        <v>121</v>
      </c>
    </row>
    <row r="220" spans="1:14" ht="100.2" customHeight="1" thickTop="1" thickBot="1">
      <c r="A220" s="4">
        <v>218</v>
      </c>
      <c r="B220" s="52" t="s">
        <v>1778</v>
      </c>
      <c r="C220" s="3" t="s">
        <v>394</v>
      </c>
      <c r="D220" s="3" t="s">
        <v>34</v>
      </c>
      <c r="E220" s="4" t="s">
        <v>22</v>
      </c>
      <c r="F220" s="43" t="s">
        <v>2606</v>
      </c>
      <c r="G220" s="4" t="s">
        <v>1776</v>
      </c>
      <c r="H220" s="43" t="s">
        <v>1772</v>
      </c>
      <c r="I220" s="4"/>
      <c r="J220" s="26" t="s">
        <v>1752</v>
      </c>
      <c r="K220" s="27" t="s">
        <v>13</v>
      </c>
      <c r="L220" s="2" t="s">
        <v>1773</v>
      </c>
      <c r="M220" s="24"/>
      <c r="N220" s="4" t="s">
        <v>121</v>
      </c>
    </row>
    <row r="221" spans="1:14" ht="100.2" customHeight="1" thickTop="1" thickBot="1">
      <c r="A221" s="31">
        <v>219</v>
      </c>
      <c r="B221" s="52" t="s">
        <v>1779</v>
      </c>
      <c r="C221" s="3" t="s">
        <v>394</v>
      </c>
      <c r="D221" s="3" t="s">
        <v>12</v>
      </c>
      <c r="E221" s="4" t="s">
        <v>22</v>
      </c>
      <c r="F221" s="43" t="s">
        <v>1780</v>
      </c>
      <c r="G221" s="4" t="s">
        <v>1781</v>
      </c>
      <c r="H221" s="43" t="s">
        <v>1782</v>
      </c>
      <c r="I221" s="4"/>
      <c r="J221" s="26" t="s">
        <v>1752</v>
      </c>
      <c r="K221" s="27" t="s">
        <v>13</v>
      </c>
      <c r="L221" s="2" t="s">
        <v>1783</v>
      </c>
      <c r="M221" s="24"/>
      <c r="N221" s="4" t="s">
        <v>121</v>
      </c>
    </row>
    <row r="222" spans="1:14" ht="100.2" customHeight="1" thickTop="1" thickBot="1">
      <c r="A222" s="4">
        <v>220</v>
      </c>
      <c r="B222" s="52" t="s">
        <v>1784</v>
      </c>
      <c r="C222" s="3" t="s">
        <v>394</v>
      </c>
      <c r="D222" s="3" t="s">
        <v>12</v>
      </c>
      <c r="E222" s="4" t="s">
        <v>22</v>
      </c>
      <c r="F222" s="43" t="s">
        <v>1780</v>
      </c>
      <c r="G222" s="4" t="s">
        <v>1785</v>
      </c>
      <c r="H222" s="43" t="s">
        <v>1786</v>
      </c>
      <c r="I222" s="4"/>
      <c r="J222" s="26" t="s">
        <v>1752</v>
      </c>
      <c r="K222" s="27" t="s">
        <v>13</v>
      </c>
      <c r="L222" s="2" t="s">
        <v>1787</v>
      </c>
      <c r="M222" s="24"/>
      <c r="N222" s="4" t="s">
        <v>121</v>
      </c>
    </row>
    <row r="223" spans="1:14" ht="100.2" customHeight="1" thickTop="1" thickBot="1">
      <c r="A223" s="31">
        <v>221</v>
      </c>
      <c r="B223" s="52" t="s">
        <v>1788</v>
      </c>
      <c r="C223" s="3" t="s">
        <v>394</v>
      </c>
      <c r="D223" s="3" t="s">
        <v>12</v>
      </c>
      <c r="E223" s="4" t="s">
        <v>22</v>
      </c>
      <c r="F223" s="43" t="s">
        <v>1789</v>
      </c>
      <c r="G223" s="4" t="s">
        <v>1790</v>
      </c>
      <c r="H223" s="43" t="s">
        <v>2607</v>
      </c>
      <c r="I223" s="4"/>
      <c r="J223" s="26" t="s">
        <v>1752</v>
      </c>
      <c r="K223" s="27" t="s">
        <v>13</v>
      </c>
      <c r="L223" s="2" t="s">
        <v>1787</v>
      </c>
      <c r="M223" s="24"/>
      <c r="N223" s="4" t="s">
        <v>121</v>
      </c>
    </row>
    <row r="224" spans="1:14" ht="100.2" customHeight="1" thickTop="1" thickBot="1">
      <c r="A224" s="4">
        <v>222</v>
      </c>
      <c r="B224" s="52" t="s">
        <v>1791</v>
      </c>
      <c r="C224" s="3" t="s">
        <v>394</v>
      </c>
      <c r="D224" s="3" t="s">
        <v>12</v>
      </c>
      <c r="E224" s="4" t="s">
        <v>22</v>
      </c>
      <c r="F224" s="43" t="s">
        <v>1756</v>
      </c>
      <c r="G224" s="4" t="s">
        <v>1792</v>
      </c>
      <c r="H224" s="43" t="s">
        <v>1793</v>
      </c>
      <c r="I224" s="4"/>
      <c r="J224" s="26" t="s">
        <v>1752</v>
      </c>
      <c r="K224" s="27" t="s">
        <v>13</v>
      </c>
      <c r="L224" s="2" t="s">
        <v>1787</v>
      </c>
      <c r="M224" s="24"/>
      <c r="N224" s="4" t="s">
        <v>121</v>
      </c>
    </row>
    <row r="225" spans="1:14" ht="100.2" customHeight="1" thickTop="1" thickBot="1">
      <c r="A225" s="31">
        <v>223</v>
      </c>
      <c r="B225" s="52" t="s">
        <v>1794</v>
      </c>
      <c r="C225" s="3" t="s">
        <v>394</v>
      </c>
      <c r="D225" s="3" t="s">
        <v>12</v>
      </c>
      <c r="E225" s="4" t="s">
        <v>22</v>
      </c>
      <c r="F225" s="43" t="s">
        <v>1795</v>
      </c>
      <c r="G225" s="4" t="s">
        <v>1796</v>
      </c>
      <c r="H225" s="43" t="s">
        <v>1797</v>
      </c>
      <c r="I225" s="4"/>
      <c r="J225" s="26" t="s">
        <v>1752</v>
      </c>
      <c r="K225" s="27" t="s">
        <v>13</v>
      </c>
      <c r="L225" s="2" t="s">
        <v>1787</v>
      </c>
      <c r="M225" s="24"/>
      <c r="N225" s="4" t="s">
        <v>121</v>
      </c>
    </row>
    <row r="226" spans="1:14" ht="100.2" customHeight="1" thickTop="1" thickBot="1">
      <c r="A226" s="4">
        <v>224</v>
      </c>
      <c r="B226" s="52" t="s">
        <v>1798</v>
      </c>
      <c r="C226" s="3" t="s">
        <v>394</v>
      </c>
      <c r="D226" s="3" t="s">
        <v>12</v>
      </c>
      <c r="E226" s="4" t="s">
        <v>22</v>
      </c>
      <c r="F226" s="43" t="s">
        <v>1756</v>
      </c>
      <c r="G226" s="4" t="s">
        <v>1799</v>
      </c>
      <c r="H226" s="43" t="s">
        <v>1800</v>
      </c>
      <c r="I226" s="4"/>
      <c r="J226" s="26" t="s">
        <v>1752</v>
      </c>
      <c r="K226" s="27" t="s">
        <v>13</v>
      </c>
      <c r="L226" s="2" t="s">
        <v>1787</v>
      </c>
      <c r="M226" s="24"/>
      <c r="N226" s="4" t="s">
        <v>121</v>
      </c>
    </row>
    <row r="227" spans="1:14" ht="100.2" customHeight="1" thickTop="1" thickBot="1">
      <c r="A227" s="31">
        <v>225</v>
      </c>
      <c r="B227" s="52" t="s">
        <v>1801</v>
      </c>
      <c r="C227" s="3" t="s">
        <v>394</v>
      </c>
      <c r="D227" s="3" t="s">
        <v>12</v>
      </c>
      <c r="E227" s="4" t="s">
        <v>22</v>
      </c>
      <c r="F227" s="43" t="s">
        <v>1802</v>
      </c>
      <c r="G227" s="4" t="s">
        <v>784</v>
      </c>
      <c r="H227" s="43" t="s">
        <v>1803</v>
      </c>
      <c r="I227" s="4"/>
      <c r="J227" s="26" t="s">
        <v>1752</v>
      </c>
      <c r="K227" s="27" t="s">
        <v>13</v>
      </c>
      <c r="L227" s="2" t="s">
        <v>1787</v>
      </c>
      <c r="M227" s="24"/>
      <c r="N227" s="4" t="s">
        <v>121</v>
      </c>
    </row>
    <row r="228" spans="1:14" ht="100.2" customHeight="1" thickTop="1" thickBot="1">
      <c r="A228" s="4">
        <v>226</v>
      </c>
      <c r="B228" s="52" t="s">
        <v>1801</v>
      </c>
      <c r="C228" s="3" t="s">
        <v>394</v>
      </c>
      <c r="D228" s="3" t="s">
        <v>12</v>
      </c>
      <c r="E228" s="4" t="s">
        <v>22</v>
      </c>
      <c r="F228" s="43" t="s">
        <v>784</v>
      </c>
      <c r="G228" s="4" t="s">
        <v>784</v>
      </c>
      <c r="H228" s="43" t="s">
        <v>1804</v>
      </c>
      <c r="I228" s="4"/>
      <c r="J228" s="26" t="s">
        <v>1752</v>
      </c>
      <c r="K228" s="27" t="s">
        <v>13</v>
      </c>
      <c r="L228" s="2" t="s">
        <v>1787</v>
      </c>
      <c r="M228" s="24"/>
      <c r="N228" s="4" t="s">
        <v>121</v>
      </c>
    </row>
    <row r="229" spans="1:14" ht="100.2" customHeight="1" thickTop="1" thickBot="1">
      <c r="A229" s="31">
        <v>227</v>
      </c>
      <c r="B229" s="52" t="s">
        <v>1805</v>
      </c>
      <c r="C229" s="3" t="s">
        <v>394</v>
      </c>
      <c r="D229" s="3" t="s">
        <v>12</v>
      </c>
      <c r="E229" s="4" t="s">
        <v>22</v>
      </c>
      <c r="F229" s="43" t="s">
        <v>784</v>
      </c>
      <c r="G229" s="4" t="s">
        <v>1806</v>
      </c>
      <c r="H229" s="43" t="s">
        <v>1807</v>
      </c>
      <c r="I229" s="4"/>
      <c r="J229" s="26" t="s">
        <v>1752</v>
      </c>
      <c r="K229" s="27" t="s">
        <v>13</v>
      </c>
      <c r="L229" s="2" t="s">
        <v>1787</v>
      </c>
      <c r="M229" s="24"/>
      <c r="N229" s="4" t="s">
        <v>121</v>
      </c>
    </row>
    <row r="230" spans="1:14" ht="100.2" customHeight="1" thickTop="1" thickBot="1">
      <c r="A230" s="4">
        <v>228</v>
      </c>
      <c r="B230" s="52" t="s">
        <v>1808</v>
      </c>
      <c r="C230" s="3" t="s">
        <v>394</v>
      </c>
      <c r="D230" s="3" t="s">
        <v>12</v>
      </c>
      <c r="E230" s="4" t="s">
        <v>22</v>
      </c>
      <c r="F230" s="43" t="s">
        <v>1756</v>
      </c>
      <c r="G230" s="4" t="s">
        <v>369</v>
      </c>
      <c r="H230" s="43" t="s">
        <v>1809</v>
      </c>
      <c r="I230" s="4"/>
      <c r="J230" s="26" t="s">
        <v>1752</v>
      </c>
      <c r="K230" s="27" t="s">
        <v>13</v>
      </c>
      <c r="L230" s="2" t="s">
        <v>1787</v>
      </c>
      <c r="M230" s="24"/>
      <c r="N230" s="4" t="s">
        <v>121</v>
      </c>
    </row>
    <row r="231" spans="1:14" ht="100.2" customHeight="1" thickTop="1" thickBot="1">
      <c r="A231" s="31">
        <v>229</v>
      </c>
      <c r="B231" s="52" t="s">
        <v>1810</v>
      </c>
      <c r="C231" s="3" t="s">
        <v>394</v>
      </c>
      <c r="D231" s="3" t="s">
        <v>12</v>
      </c>
      <c r="E231" s="4" t="s">
        <v>22</v>
      </c>
      <c r="F231" s="43" t="s">
        <v>1789</v>
      </c>
      <c r="G231" s="4" t="s">
        <v>449</v>
      </c>
      <c r="H231" s="43" t="s">
        <v>1811</v>
      </c>
      <c r="I231" s="4"/>
      <c r="J231" s="26" t="s">
        <v>1752</v>
      </c>
      <c r="K231" s="27" t="s">
        <v>13</v>
      </c>
      <c r="L231" s="2" t="s">
        <v>1812</v>
      </c>
      <c r="M231" s="24"/>
      <c r="N231" s="4" t="s">
        <v>121</v>
      </c>
    </row>
    <row r="232" spans="1:14" ht="100.2" customHeight="1" thickTop="1" thickBot="1">
      <c r="A232" s="4">
        <v>230</v>
      </c>
      <c r="B232" s="52" t="s">
        <v>1813</v>
      </c>
      <c r="C232" s="3" t="s">
        <v>394</v>
      </c>
      <c r="D232" s="3" t="s">
        <v>12</v>
      </c>
      <c r="E232" s="4" t="s">
        <v>22</v>
      </c>
      <c r="F232" s="43" t="s">
        <v>784</v>
      </c>
      <c r="G232" s="4" t="s">
        <v>449</v>
      </c>
      <c r="H232" s="43" t="s">
        <v>1814</v>
      </c>
      <c r="I232" s="4"/>
      <c r="J232" s="26" t="s">
        <v>1752</v>
      </c>
      <c r="K232" s="27" t="s">
        <v>13</v>
      </c>
      <c r="L232" s="2" t="s">
        <v>1812</v>
      </c>
      <c r="M232" s="24"/>
      <c r="N232" s="4" t="s">
        <v>128</v>
      </c>
    </row>
    <row r="233" spans="1:14" ht="100.2" customHeight="1" thickTop="1" thickBot="1">
      <c r="A233" s="31">
        <v>231</v>
      </c>
      <c r="B233" s="52" t="s">
        <v>1815</v>
      </c>
      <c r="C233" s="3" t="s">
        <v>394</v>
      </c>
      <c r="D233" s="3" t="s">
        <v>12</v>
      </c>
      <c r="E233" s="4" t="s">
        <v>22</v>
      </c>
      <c r="F233" s="43" t="s">
        <v>2608</v>
      </c>
      <c r="G233" s="4" t="s">
        <v>1816</v>
      </c>
      <c r="H233" s="43" t="s">
        <v>1817</v>
      </c>
      <c r="I233" s="4"/>
      <c r="J233" s="26" t="s">
        <v>1752</v>
      </c>
      <c r="K233" s="27" t="s">
        <v>13</v>
      </c>
      <c r="L233" s="2" t="s">
        <v>1812</v>
      </c>
      <c r="M233" s="24"/>
      <c r="N233" s="4" t="s">
        <v>121</v>
      </c>
    </row>
    <row r="234" spans="1:14" ht="100.2" customHeight="1" thickTop="1" thickBot="1">
      <c r="A234" s="4">
        <v>232</v>
      </c>
      <c r="B234" s="52" t="s">
        <v>1818</v>
      </c>
      <c r="C234" s="3" t="s">
        <v>394</v>
      </c>
      <c r="D234" s="3" t="s">
        <v>12</v>
      </c>
      <c r="E234" s="4" t="s">
        <v>22</v>
      </c>
      <c r="F234" s="43" t="s">
        <v>1756</v>
      </c>
      <c r="G234" s="4" t="s">
        <v>1819</v>
      </c>
      <c r="H234" s="43" t="s">
        <v>2609</v>
      </c>
      <c r="I234" s="4"/>
      <c r="J234" s="26" t="s">
        <v>1752</v>
      </c>
      <c r="K234" s="27" t="s">
        <v>13</v>
      </c>
      <c r="L234" s="2" t="s">
        <v>1812</v>
      </c>
      <c r="M234" s="24"/>
      <c r="N234" s="4" t="s">
        <v>121</v>
      </c>
    </row>
    <row r="235" spans="1:14" ht="100.2" customHeight="1" thickTop="1" thickBot="1">
      <c r="A235" s="31">
        <v>233</v>
      </c>
      <c r="B235" s="52" t="s">
        <v>1820</v>
      </c>
      <c r="C235" s="3" t="s">
        <v>394</v>
      </c>
      <c r="D235" s="3" t="s">
        <v>12</v>
      </c>
      <c r="E235" s="4" t="s">
        <v>22</v>
      </c>
      <c r="F235" s="43" t="s">
        <v>1780</v>
      </c>
      <c r="G235" s="4" t="s">
        <v>1821</v>
      </c>
      <c r="H235" s="43" t="s">
        <v>1822</v>
      </c>
      <c r="I235" s="4"/>
      <c r="J235" s="26" t="s">
        <v>1752</v>
      </c>
      <c r="K235" s="27" t="s">
        <v>13</v>
      </c>
      <c r="L235" s="2" t="s">
        <v>1812</v>
      </c>
      <c r="M235" s="24"/>
      <c r="N235" s="4" t="s">
        <v>121</v>
      </c>
    </row>
    <row r="236" spans="1:14" ht="100.2" customHeight="1" thickTop="1" thickBot="1">
      <c r="A236" s="4">
        <v>234</v>
      </c>
      <c r="B236" s="52" t="s">
        <v>1823</v>
      </c>
      <c r="C236" s="3" t="s">
        <v>394</v>
      </c>
      <c r="D236" s="3" t="s">
        <v>12</v>
      </c>
      <c r="E236" s="4" t="s">
        <v>22</v>
      </c>
      <c r="F236" s="43" t="s">
        <v>784</v>
      </c>
      <c r="G236" s="4" t="s">
        <v>449</v>
      </c>
      <c r="H236" s="43" t="s">
        <v>2610</v>
      </c>
      <c r="I236" s="4"/>
      <c r="J236" s="26" t="s">
        <v>1752</v>
      </c>
      <c r="K236" s="27" t="s">
        <v>13</v>
      </c>
      <c r="L236" s="2" t="s">
        <v>1812</v>
      </c>
      <c r="M236" s="24"/>
      <c r="N236" s="4" t="s">
        <v>121</v>
      </c>
    </row>
    <row r="237" spans="1:14" ht="100.2" customHeight="1" thickTop="1" thickBot="1">
      <c r="A237" s="31">
        <v>235</v>
      </c>
      <c r="B237" s="52" t="s">
        <v>1824</v>
      </c>
      <c r="C237" s="3" t="s">
        <v>394</v>
      </c>
      <c r="D237" s="3" t="s">
        <v>12</v>
      </c>
      <c r="E237" s="4" t="s">
        <v>22</v>
      </c>
      <c r="F237" s="43" t="s">
        <v>1756</v>
      </c>
      <c r="G237" s="4" t="s">
        <v>449</v>
      </c>
      <c r="H237" s="43" t="s">
        <v>1825</v>
      </c>
      <c r="I237" s="4"/>
      <c r="J237" s="26" t="s">
        <v>1752</v>
      </c>
      <c r="K237" s="27" t="s">
        <v>13</v>
      </c>
      <c r="L237" s="2" t="s">
        <v>1812</v>
      </c>
      <c r="M237" s="24"/>
      <c r="N237" s="4" t="s">
        <v>121</v>
      </c>
    </row>
    <row r="238" spans="1:14" ht="100.2" customHeight="1" thickTop="1" thickBot="1">
      <c r="A238" s="4">
        <v>236</v>
      </c>
      <c r="B238" s="52" t="s">
        <v>1824</v>
      </c>
      <c r="C238" s="3" t="s">
        <v>394</v>
      </c>
      <c r="D238" s="3" t="s">
        <v>12</v>
      </c>
      <c r="E238" s="4" t="s">
        <v>22</v>
      </c>
      <c r="F238" s="43" t="s">
        <v>1750</v>
      </c>
      <c r="G238" s="4" t="s">
        <v>1826</v>
      </c>
      <c r="H238" s="43" t="s">
        <v>1827</v>
      </c>
      <c r="I238" s="4"/>
      <c r="J238" s="26" t="s">
        <v>1752</v>
      </c>
      <c r="K238" s="27" t="s">
        <v>13</v>
      </c>
      <c r="L238" s="2" t="s">
        <v>1828</v>
      </c>
      <c r="M238" s="24"/>
      <c r="N238" s="4" t="s">
        <v>121</v>
      </c>
    </row>
    <row r="239" spans="1:14" ht="100.2" customHeight="1" thickTop="1" thickBot="1">
      <c r="A239" s="31">
        <v>237</v>
      </c>
      <c r="B239" s="52" t="s">
        <v>1829</v>
      </c>
      <c r="C239" s="3" t="s">
        <v>394</v>
      </c>
      <c r="D239" s="3" t="s">
        <v>12</v>
      </c>
      <c r="E239" s="4" t="s">
        <v>22</v>
      </c>
      <c r="F239" s="43" t="s">
        <v>696</v>
      </c>
      <c r="G239" s="4" t="s">
        <v>449</v>
      </c>
      <c r="H239" s="43" t="s">
        <v>1830</v>
      </c>
      <c r="I239" s="4"/>
      <c r="J239" s="26" t="s">
        <v>1752</v>
      </c>
      <c r="K239" s="27" t="s">
        <v>13</v>
      </c>
      <c r="L239" s="2" t="s">
        <v>1828</v>
      </c>
      <c r="M239" s="24"/>
      <c r="N239" s="4" t="s">
        <v>121</v>
      </c>
    </row>
    <row r="240" spans="1:14" ht="100.2" customHeight="1" thickTop="1" thickBot="1">
      <c r="A240" s="4">
        <v>238</v>
      </c>
      <c r="B240" s="52" t="s">
        <v>1831</v>
      </c>
      <c r="C240" s="3" t="s">
        <v>394</v>
      </c>
      <c r="D240" s="3" t="s">
        <v>1832</v>
      </c>
      <c r="E240" s="4" t="s">
        <v>21</v>
      </c>
      <c r="F240" s="43" t="s">
        <v>1756</v>
      </c>
      <c r="G240" s="4" t="s">
        <v>1833</v>
      </c>
      <c r="H240" s="43" t="s">
        <v>1834</v>
      </c>
      <c r="I240" s="4"/>
      <c r="J240" s="26" t="s">
        <v>1752</v>
      </c>
      <c r="K240" s="27" t="s">
        <v>13</v>
      </c>
      <c r="L240" s="2" t="s">
        <v>1831</v>
      </c>
      <c r="M240" s="24"/>
      <c r="N240" s="4" t="s">
        <v>121</v>
      </c>
    </row>
    <row r="241" spans="1:14" ht="100.2" customHeight="1" thickTop="1" thickBot="1">
      <c r="A241" s="31">
        <v>239</v>
      </c>
      <c r="B241" s="52" t="s">
        <v>1835</v>
      </c>
      <c r="C241" s="3" t="s">
        <v>394</v>
      </c>
      <c r="D241" s="3" t="s">
        <v>34</v>
      </c>
      <c r="E241" s="4" t="s">
        <v>22</v>
      </c>
      <c r="F241" s="43" t="s">
        <v>1756</v>
      </c>
      <c r="G241" s="4" t="s">
        <v>1833</v>
      </c>
      <c r="H241" s="43" t="s">
        <v>1836</v>
      </c>
      <c r="I241" s="4"/>
      <c r="J241" s="26" t="s">
        <v>1752</v>
      </c>
      <c r="K241" s="27" t="s">
        <v>13</v>
      </c>
      <c r="L241" s="2" t="s">
        <v>1837</v>
      </c>
      <c r="M241" s="24"/>
      <c r="N241" s="4"/>
    </row>
    <row r="242" spans="1:14" ht="100.2" customHeight="1" thickTop="1" thickBot="1">
      <c r="A242" s="4">
        <v>240</v>
      </c>
      <c r="B242" s="52" t="s">
        <v>1838</v>
      </c>
      <c r="C242" s="3" t="s">
        <v>394</v>
      </c>
      <c r="D242" s="3" t="s">
        <v>34</v>
      </c>
      <c r="E242" s="4" t="s">
        <v>22</v>
      </c>
      <c r="F242" s="43" t="s">
        <v>784</v>
      </c>
      <c r="G242" s="4" t="s">
        <v>784</v>
      </c>
      <c r="H242" s="43" t="s">
        <v>1839</v>
      </c>
      <c r="I242" s="4"/>
      <c r="J242" s="26" t="s">
        <v>1752</v>
      </c>
      <c r="K242" s="27" t="s">
        <v>13</v>
      </c>
      <c r="L242" s="2" t="s">
        <v>1837</v>
      </c>
      <c r="M242" s="24"/>
      <c r="N242" s="4"/>
    </row>
    <row r="243" spans="1:14" ht="100.2" customHeight="1" thickTop="1" thickBot="1">
      <c r="A243" s="31">
        <v>241</v>
      </c>
      <c r="B243" s="52" t="s">
        <v>1840</v>
      </c>
      <c r="C243" s="3" t="s">
        <v>394</v>
      </c>
      <c r="D243" s="3" t="s">
        <v>34</v>
      </c>
      <c r="E243" s="4" t="s">
        <v>22</v>
      </c>
      <c r="F243" s="43" t="s">
        <v>1756</v>
      </c>
      <c r="G243" s="4" t="s">
        <v>406</v>
      </c>
      <c r="H243" s="43" t="s">
        <v>1841</v>
      </c>
      <c r="I243" s="4"/>
      <c r="J243" s="26" t="s">
        <v>1752</v>
      </c>
      <c r="K243" s="27" t="s">
        <v>13</v>
      </c>
      <c r="L243" s="2" t="s">
        <v>1842</v>
      </c>
      <c r="M243" s="24"/>
      <c r="N243" s="4"/>
    </row>
    <row r="244" spans="1:14" ht="100.2" customHeight="1" thickTop="1" thickBot="1">
      <c r="A244" s="4">
        <v>242</v>
      </c>
      <c r="B244" s="52" t="s">
        <v>1843</v>
      </c>
      <c r="C244" s="3" t="s">
        <v>394</v>
      </c>
      <c r="D244" s="3" t="s">
        <v>34</v>
      </c>
      <c r="E244" s="4" t="s">
        <v>22</v>
      </c>
      <c r="F244" s="43" t="s">
        <v>1750</v>
      </c>
      <c r="G244" s="4" t="s">
        <v>1844</v>
      </c>
      <c r="H244" s="43" t="s">
        <v>1786</v>
      </c>
      <c r="I244" s="4"/>
      <c r="J244" s="26" t="s">
        <v>1752</v>
      </c>
      <c r="K244" s="27" t="s">
        <v>13</v>
      </c>
      <c r="L244" s="2" t="s">
        <v>1842</v>
      </c>
      <c r="M244" s="24"/>
      <c r="N244" s="4"/>
    </row>
    <row r="245" spans="1:14" ht="100.2" customHeight="1" thickTop="1" thickBot="1">
      <c r="A245" s="31">
        <v>243</v>
      </c>
      <c r="B245" s="52" t="s">
        <v>1845</v>
      </c>
      <c r="C245" s="3" t="s">
        <v>394</v>
      </c>
      <c r="D245" s="3" t="s">
        <v>34</v>
      </c>
      <c r="E245" s="4" t="s">
        <v>22</v>
      </c>
      <c r="F245" s="43" t="s">
        <v>1756</v>
      </c>
      <c r="G245" s="4" t="s">
        <v>1846</v>
      </c>
      <c r="H245" s="43" t="s">
        <v>1847</v>
      </c>
      <c r="I245" s="4"/>
      <c r="J245" s="26" t="s">
        <v>1752</v>
      </c>
      <c r="K245" s="27" t="s">
        <v>13</v>
      </c>
      <c r="L245" s="2" t="s">
        <v>1842</v>
      </c>
      <c r="M245" s="24"/>
      <c r="N245" s="4"/>
    </row>
    <row r="246" spans="1:14" ht="100.2" customHeight="1" thickTop="1" thickBot="1">
      <c r="A246" s="4">
        <v>244</v>
      </c>
      <c r="B246" s="52" t="s">
        <v>1848</v>
      </c>
      <c r="C246" s="3" t="s">
        <v>394</v>
      </c>
      <c r="D246" s="3" t="s">
        <v>34</v>
      </c>
      <c r="E246" s="4" t="s">
        <v>22</v>
      </c>
      <c r="F246" s="43" t="s">
        <v>2611</v>
      </c>
      <c r="G246" s="4" t="s">
        <v>1826</v>
      </c>
      <c r="H246" s="43" t="s">
        <v>2612</v>
      </c>
      <c r="I246" s="4"/>
      <c r="J246" s="26" t="s">
        <v>1752</v>
      </c>
      <c r="K246" s="27" t="s">
        <v>13</v>
      </c>
      <c r="L246" s="2" t="s">
        <v>1849</v>
      </c>
      <c r="M246" s="24"/>
      <c r="N246" s="4"/>
    </row>
    <row r="247" spans="1:14" ht="100.2" customHeight="1" thickTop="1" thickBot="1">
      <c r="A247" s="31">
        <v>245</v>
      </c>
      <c r="B247" s="52" t="s">
        <v>1850</v>
      </c>
      <c r="C247" s="3" t="s">
        <v>394</v>
      </c>
      <c r="D247" s="3" t="s">
        <v>34</v>
      </c>
      <c r="E247" s="4" t="s">
        <v>22</v>
      </c>
      <c r="F247" s="43" t="s">
        <v>1766</v>
      </c>
      <c r="G247" s="4" t="s">
        <v>1851</v>
      </c>
      <c r="H247" s="43" t="s">
        <v>1852</v>
      </c>
      <c r="I247" s="4"/>
      <c r="J247" s="26" t="s">
        <v>1752</v>
      </c>
      <c r="K247" s="27" t="s">
        <v>13</v>
      </c>
      <c r="L247" s="2" t="s">
        <v>1853</v>
      </c>
      <c r="M247" s="24"/>
      <c r="N247" s="4"/>
    </row>
    <row r="248" spans="1:14" ht="100.2" customHeight="1" thickTop="1" thickBot="1">
      <c r="A248" s="4">
        <v>246</v>
      </c>
      <c r="B248" s="52" t="s">
        <v>1854</v>
      </c>
      <c r="C248" s="3" t="s">
        <v>394</v>
      </c>
      <c r="D248" s="3" t="s">
        <v>34</v>
      </c>
      <c r="E248" s="4" t="s">
        <v>22</v>
      </c>
      <c r="F248" s="43" t="s">
        <v>1855</v>
      </c>
      <c r="G248" s="4" t="s">
        <v>1856</v>
      </c>
      <c r="H248" s="43" t="s">
        <v>1857</v>
      </c>
      <c r="I248" s="4"/>
      <c r="J248" s="26" t="s">
        <v>1752</v>
      </c>
      <c r="K248" s="27" t="s">
        <v>13</v>
      </c>
      <c r="L248" s="2" t="s">
        <v>1853</v>
      </c>
      <c r="M248" s="24"/>
      <c r="N248" s="4"/>
    </row>
    <row r="249" spans="1:14" ht="100.2" customHeight="1" thickTop="1" thickBot="1">
      <c r="A249" s="31">
        <v>247</v>
      </c>
      <c r="B249" s="52" t="s">
        <v>1853</v>
      </c>
      <c r="C249" s="3" t="s">
        <v>394</v>
      </c>
      <c r="D249" s="3" t="s">
        <v>34</v>
      </c>
      <c r="E249" s="4" t="s">
        <v>22</v>
      </c>
      <c r="F249" s="43" t="s">
        <v>1780</v>
      </c>
      <c r="G249" s="4" t="s">
        <v>1858</v>
      </c>
      <c r="H249" s="43" t="s">
        <v>1859</v>
      </c>
      <c r="I249" s="4"/>
      <c r="J249" s="26" t="s">
        <v>1752</v>
      </c>
      <c r="K249" s="27" t="s">
        <v>13</v>
      </c>
      <c r="L249" s="2" t="s">
        <v>1853</v>
      </c>
      <c r="M249" s="24"/>
      <c r="N249" s="4"/>
    </row>
    <row r="250" spans="1:14" ht="100.2" customHeight="1" thickTop="1" thickBot="1">
      <c r="A250" s="4">
        <v>248</v>
      </c>
      <c r="B250" s="52" t="s">
        <v>1860</v>
      </c>
      <c r="C250" s="3" t="s">
        <v>394</v>
      </c>
      <c r="D250" s="3" t="s">
        <v>34</v>
      </c>
      <c r="E250" s="4" t="s">
        <v>22</v>
      </c>
      <c r="F250" s="43" t="s">
        <v>1861</v>
      </c>
      <c r="G250" s="4" t="s">
        <v>1826</v>
      </c>
      <c r="H250" s="43" t="s">
        <v>2613</v>
      </c>
      <c r="I250" s="4"/>
      <c r="J250" s="26" t="s">
        <v>1752</v>
      </c>
      <c r="K250" s="27" t="s">
        <v>13</v>
      </c>
      <c r="L250" s="2" t="s">
        <v>1862</v>
      </c>
      <c r="M250" s="24"/>
      <c r="N250" s="4"/>
    </row>
    <row r="251" spans="1:14" ht="100.2" customHeight="1" thickTop="1" thickBot="1">
      <c r="A251" s="31">
        <v>249</v>
      </c>
      <c r="B251" s="52" t="s">
        <v>1862</v>
      </c>
      <c r="C251" s="3" t="s">
        <v>394</v>
      </c>
      <c r="D251" s="3" t="s">
        <v>34</v>
      </c>
      <c r="E251" s="4" t="s">
        <v>22</v>
      </c>
      <c r="F251" s="43" t="s">
        <v>1770</v>
      </c>
      <c r="G251" s="4" t="s">
        <v>1826</v>
      </c>
      <c r="H251" s="43" t="s">
        <v>2613</v>
      </c>
      <c r="I251" s="4"/>
      <c r="J251" s="26" t="s">
        <v>1752</v>
      </c>
      <c r="K251" s="27" t="s">
        <v>13</v>
      </c>
      <c r="L251" s="2" t="s">
        <v>1862</v>
      </c>
      <c r="M251" s="24"/>
      <c r="N251" s="4"/>
    </row>
    <row r="252" spans="1:14" ht="100.2" customHeight="1" thickTop="1" thickBot="1">
      <c r="A252" s="4">
        <v>250</v>
      </c>
      <c r="B252" s="52" t="s">
        <v>1863</v>
      </c>
      <c r="C252" s="3" t="s">
        <v>394</v>
      </c>
      <c r="D252" s="3" t="s">
        <v>1864</v>
      </c>
      <c r="E252" s="4" t="s">
        <v>21</v>
      </c>
      <c r="F252" s="43" t="s">
        <v>1789</v>
      </c>
      <c r="G252" s="4" t="s">
        <v>1865</v>
      </c>
      <c r="H252" s="43" t="s">
        <v>1866</v>
      </c>
      <c r="I252" s="4"/>
      <c r="J252" s="26" t="s">
        <v>1752</v>
      </c>
      <c r="K252" s="27" t="s">
        <v>13</v>
      </c>
      <c r="L252" s="2" t="s">
        <v>1867</v>
      </c>
      <c r="M252" s="24"/>
      <c r="N252" s="4"/>
    </row>
    <row r="253" spans="1:14" ht="100.2" customHeight="1" thickTop="1" thickBot="1">
      <c r="A253" s="31">
        <v>251</v>
      </c>
      <c r="B253" s="52" t="s">
        <v>1868</v>
      </c>
      <c r="C253" s="3" t="s">
        <v>394</v>
      </c>
      <c r="D253" s="3" t="s">
        <v>34</v>
      </c>
      <c r="E253" s="4" t="s">
        <v>22</v>
      </c>
      <c r="F253" s="43" t="s">
        <v>784</v>
      </c>
      <c r="G253" s="4" t="s">
        <v>1869</v>
      </c>
      <c r="H253" s="43" t="s">
        <v>1870</v>
      </c>
      <c r="I253" s="4"/>
      <c r="J253" s="26" t="s">
        <v>1752</v>
      </c>
      <c r="K253" s="27" t="s">
        <v>13</v>
      </c>
      <c r="L253" s="2" t="s">
        <v>1871</v>
      </c>
      <c r="M253" s="24"/>
      <c r="N253" s="4"/>
    </row>
    <row r="254" spans="1:14" ht="100.2" customHeight="1" thickTop="1" thickBot="1">
      <c r="A254" s="4">
        <v>252</v>
      </c>
      <c r="B254" s="52" t="s">
        <v>1872</v>
      </c>
      <c r="C254" s="3" t="s">
        <v>394</v>
      </c>
      <c r="D254" s="3" t="s">
        <v>34</v>
      </c>
      <c r="E254" s="4" t="s">
        <v>22</v>
      </c>
      <c r="F254" s="43" t="s">
        <v>784</v>
      </c>
      <c r="G254" s="4" t="s">
        <v>1873</v>
      </c>
      <c r="H254" s="43" t="s">
        <v>1874</v>
      </c>
      <c r="I254" s="4"/>
      <c r="J254" s="26" t="s">
        <v>1752</v>
      </c>
      <c r="K254" s="27" t="s">
        <v>13</v>
      </c>
      <c r="L254" s="2" t="s">
        <v>1871</v>
      </c>
      <c r="M254" s="24"/>
      <c r="N254" s="4"/>
    </row>
    <row r="255" spans="1:14" ht="100.2" customHeight="1" thickTop="1" thickBot="1">
      <c r="A255" s="31">
        <v>253</v>
      </c>
      <c r="B255" s="52" t="s">
        <v>1875</v>
      </c>
      <c r="C255" s="3" t="s">
        <v>394</v>
      </c>
      <c r="D255" s="3" t="s">
        <v>395</v>
      </c>
      <c r="E255" s="4" t="s">
        <v>21</v>
      </c>
      <c r="F255" s="43" t="s">
        <v>1789</v>
      </c>
      <c r="G255" s="4" t="s">
        <v>1865</v>
      </c>
      <c r="H255" s="43" t="s">
        <v>1876</v>
      </c>
      <c r="I255" s="4"/>
      <c r="J255" s="26" t="s">
        <v>1752</v>
      </c>
      <c r="K255" s="27" t="s">
        <v>13</v>
      </c>
      <c r="L255" s="2" t="s">
        <v>1877</v>
      </c>
      <c r="M255" s="24"/>
      <c r="N255" s="4" t="s">
        <v>129</v>
      </c>
    </row>
    <row r="256" spans="1:14" ht="100.2" customHeight="1" thickTop="1" thickBot="1">
      <c r="A256" s="4">
        <v>254</v>
      </c>
      <c r="B256" s="52" t="s">
        <v>1875</v>
      </c>
      <c r="C256" s="3" t="s">
        <v>394</v>
      </c>
      <c r="D256" s="3" t="s">
        <v>395</v>
      </c>
      <c r="E256" s="4" t="s">
        <v>21</v>
      </c>
      <c r="F256" s="43" t="s">
        <v>1789</v>
      </c>
      <c r="G256" s="4" t="s">
        <v>1865</v>
      </c>
      <c r="H256" s="43" t="s">
        <v>1878</v>
      </c>
      <c r="I256" s="4"/>
      <c r="J256" s="26" t="s">
        <v>1752</v>
      </c>
      <c r="K256" s="27" t="s">
        <v>717</v>
      </c>
      <c r="L256" s="2" t="s">
        <v>1879</v>
      </c>
      <c r="M256" s="24" t="s">
        <v>1880</v>
      </c>
      <c r="N256" s="4" t="s">
        <v>129</v>
      </c>
    </row>
    <row r="257" spans="1:14" ht="100.2" customHeight="1" thickTop="1" thickBot="1">
      <c r="A257" s="31">
        <v>255</v>
      </c>
      <c r="B257" s="52" t="s">
        <v>1881</v>
      </c>
      <c r="C257" s="3" t="s">
        <v>394</v>
      </c>
      <c r="D257" s="3" t="s">
        <v>34</v>
      </c>
      <c r="E257" s="4" t="s">
        <v>22</v>
      </c>
      <c r="F257" s="43" t="s">
        <v>1882</v>
      </c>
      <c r="G257" s="4" t="s">
        <v>1415</v>
      </c>
      <c r="H257" s="43" t="s">
        <v>1883</v>
      </c>
      <c r="I257" s="4"/>
      <c r="J257" s="26" t="s">
        <v>1752</v>
      </c>
      <c r="K257" s="27" t="s">
        <v>13</v>
      </c>
      <c r="L257" s="2" t="s">
        <v>1884</v>
      </c>
      <c r="M257" s="24"/>
      <c r="N257" s="4" t="s">
        <v>121</v>
      </c>
    </row>
    <row r="258" spans="1:14" ht="100.2" customHeight="1" thickTop="1" thickBot="1">
      <c r="A258" s="4">
        <v>256</v>
      </c>
      <c r="B258" s="52" t="s">
        <v>1885</v>
      </c>
      <c r="C258" s="3" t="s">
        <v>394</v>
      </c>
      <c r="D258" s="3" t="s">
        <v>34</v>
      </c>
      <c r="E258" s="4" t="s">
        <v>22</v>
      </c>
      <c r="F258" s="43" t="s">
        <v>1855</v>
      </c>
      <c r="G258" s="4" t="s">
        <v>1886</v>
      </c>
      <c r="H258" s="43" t="s">
        <v>1887</v>
      </c>
      <c r="I258" s="4"/>
      <c r="J258" s="26" t="s">
        <v>1752</v>
      </c>
      <c r="K258" s="27" t="s">
        <v>13</v>
      </c>
      <c r="L258" s="2" t="s">
        <v>1888</v>
      </c>
      <c r="M258" s="24"/>
      <c r="N258" s="4" t="s">
        <v>121</v>
      </c>
    </row>
    <row r="259" spans="1:14" ht="100.2" customHeight="1" thickTop="1" thickBot="1">
      <c r="A259" s="31">
        <v>257</v>
      </c>
      <c r="B259" s="52" t="s">
        <v>1889</v>
      </c>
      <c r="C259" s="3" t="s">
        <v>394</v>
      </c>
      <c r="D259" s="3" t="s">
        <v>34</v>
      </c>
      <c r="E259" s="4" t="s">
        <v>22</v>
      </c>
      <c r="F259" s="43" t="s">
        <v>784</v>
      </c>
      <c r="G259" s="4" t="s">
        <v>1890</v>
      </c>
      <c r="H259" s="43" t="s">
        <v>2614</v>
      </c>
      <c r="I259" s="4"/>
      <c r="J259" s="26" t="s">
        <v>1752</v>
      </c>
      <c r="K259" s="27" t="s">
        <v>13</v>
      </c>
      <c r="L259" s="2" t="s">
        <v>1888</v>
      </c>
      <c r="M259" s="24"/>
      <c r="N259" s="4" t="s">
        <v>121</v>
      </c>
    </row>
    <row r="260" spans="1:14" ht="100.2" customHeight="1" thickTop="1" thickBot="1">
      <c r="A260" s="4">
        <v>258</v>
      </c>
      <c r="B260" s="52" t="s">
        <v>1891</v>
      </c>
      <c r="C260" s="3" t="s">
        <v>394</v>
      </c>
      <c r="D260" s="3" t="s">
        <v>34</v>
      </c>
      <c r="E260" s="4" t="s">
        <v>22</v>
      </c>
      <c r="F260" s="43" t="s">
        <v>1770</v>
      </c>
      <c r="G260" s="4" t="s">
        <v>1892</v>
      </c>
      <c r="H260" s="43" t="s">
        <v>2615</v>
      </c>
      <c r="I260" s="4"/>
      <c r="J260" s="26" t="s">
        <v>1752</v>
      </c>
      <c r="K260" s="27" t="s">
        <v>13</v>
      </c>
      <c r="L260" s="2" t="s">
        <v>1888</v>
      </c>
      <c r="M260" s="24"/>
      <c r="N260" s="4" t="s">
        <v>121</v>
      </c>
    </row>
    <row r="261" spans="1:14" ht="100.2" customHeight="1" thickTop="1" thickBot="1">
      <c r="A261" s="31">
        <v>259</v>
      </c>
      <c r="B261" s="52" t="s">
        <v>1893</v>
      </c>
      <c r="C261" s="3" t="s">
        <v>394</v>
      </c>
      <c r="D261" s="3" t="s">
        <v>34</v>
      </c>
      <c r="E261" s="4" t="s">
        <v>22</v>
      </c>
      <c r="F261" s="43" t="s">
        <v>1789</v>
      </c>
      <c r="G261" s="4" t="s">
        <v>1894</v>
      </c>
      <c r="H261" s="43" t="s">
        <v>1895</v>
      </c>
      <c r="I261" s="4"/>
      <c r="J261" s="26" t="s">
        <v>1752</v>
      </c>
      <c r="K261" s="27" t="s">
        <v>13</v>
      </c>
      <c r="L261" s="2" t="s">
        <v>1884</v>
      </c>
      <c r="M261" s="24"/>
      <c r="N261" s="4" t="s">
        <v>121</v>
      </c>
    </row>
    <row r="262" spans="1:14" ht="100.2" customHeight="1" thickTop="1" thickBot="1">
      <c r="A262" s="4">
        <v>260</v>
      </c>
      <c r="B262" s="52" t="s">
        <v>1896</v>
      </c>
      <c r="C262" s="3" t="s">
        <v>394</v>
      </c>
      <c r="D262" s="3" t="s">
        <v>34</v>
      </c>
      <c r="E262" s="4" t="s">
        <v>22</v>
      </c>
      <c r="F262" s="43" t="s">
        <v>1897</v>
      </c>
      <c r="G262" s="4" t="s">
        <v>1898</v>
      </c>
      <c r="H262" s="43" t="s">
        <v>1899</v>
      </c>
      <c r="I262" s="4"/>
      <c r="J262" s="26" t="s">
        <v>1752</v>
      </c>
      <c r="K262" s="27" t="s">
        <v>13</v>
      </c>
      <c r="L262" s="2" t="s">
        <v>1884</v>
      </c>
      <c r="M262" s="24"/>
      <c r="N262" s="4" t="s">
        <v>121</v>
      </c>
    </row>
    <row r="263" spans="1:14" ht="100.2" customHeight="1" thickTop="1" thickBot="1">
      <c r="A263" s="31">
        <v>261</v>
      </c>
      <c r="B263" s="52" t="s">
        <v>1900</v>
      </c>
      <c r="C263" s="3" t="s">
        <v>394</v>
      </c>
      <c r="D263" s="3" t="s">
        <v>34</v>
      </c>
      <c r="E263" s="4" t="s">
        <v>22</v>
      </c>
      <c r="F263" s="43" t="s">
        <v>1789</v>
      </c>
      <c r="G263" s="4" t="s">
        <v>1894</v>
      </c>
      <c r="H263" s="43" t="s">
        <v>1901</v>
      </c>
      <c r="I263" s="4"/>
      <c r="J263" s="26" t="s">
        <v>1752</v>
      </c>
      <c r="K263" s="27" t="s">
        <v>13</v>
      </c>
      <c r="L263" s="2" t="s">
        <v>1884</v>
      </c>
      <c r="M263" s="24"/>
      <c r="N263" s="4" t="s">
        <v>121</v>
      </c>
    </row>
    <row r="264" spans="1:14" ht="100.2" customHeight="1" thickTop="1" thickBot="1">
      <c r="A264" s="4">
        <v>262</v>
      </c>
      <c r="B264" s="52" t="s">
        <v>1902</v>
      </c>
      <c r="C264" s="3" t="s">
        <v>394</v>
      </c>
      <c r="D264" s="3" t="s">
        <v>34</v>
      </c>
      <c r="E264" s="4" t="s">
        <v>22</v>
      </c>
      <c r="F264" s="43" t="s">
        <v>1780</v>
      </c>
      <c r="G264" s="4" t="s">
        <v>1826</v>
      </c>
      <c r="H264" s="43" t="s">
        <v>2616</v>
      </c>
      <c r="I264" s="4"/>
      <c r="J264" s="26" t="s">
        <v>1752</v>
      </c>
      <c r="K264" s="27" t="s">
        <v>13</v>
      </c>
      <c r="L264" s="2" t="s">
        <v>1884</v>
      </c>
      <c r="M264" s="24"/>
      <c r="N264" s="4" t="s">
        <v>121</v>
      </c>
    </row>
    <row r="265" spans="1:14" ht="100.2" customHeight="1" thickTop="1" thickBot="1">
      <c r="A265" s="31">
        <v>263</v>
      </c>
      <c r="B265" s="52" t="s">
        <v>1903</v>
      </c>
      <c r="C265" s="3" t="s">
        <v>394</v>
      </c>
      <c r="D265" s="3" t="s">
        <v>34</v>
      </c>
      <c r="E265" s="4" t="s">
        <v>22</v>
      </c>
      <c r="F265" s="43" t="s">
        <v>1756</v>
      </c>
      <c r="G265" s="4" t="s">
        <v>1826</v>
      </c>
      <c r="H265" s="43" t="s">
        <v>2616</v>
      </c>
      <c r="I265" s="4"/>
      <c r="J265" s="26" t="s">
        <v>1752</v>
      </c>
      <c r="K265" s="27" t="s">
        <v>13</v>
      </c>
      <c r="L265" s="2" t="s">
        <v>1884</v>
      </c>
      <c r="M265" s="24"/>
      <c r="N265" s="4" t="s">
        <v>121</v>
      </c>
    </row>
    <row r="266" spans="1:14" ht="100.2" customHeight="1" thickTop="1" thickBot="1">
      <c r="A266" s="4">
        <v>264</v>
      </c>
      <c r="B266" s="52" t="s">
        <v>1904</v>
      </c>
      <c r="C266" s="3" t="s">
        <v>394</v>
      </c>
      <c r="D266" s="3" t="s">
        <v>34</v>
      </c>
      <c r="E266" s="4" t="s">
        <v>22</v>
      </c>
      <c r="F266" s="43" t="s">
        <v>450</v>
      </c>
      <c r="G266" s="4" t="s">
        <v>449</v>
      </c>
      <c r="H266" s="43" t="s">
        <v>1905</v>
      </c>
      <c r="I266" s="4"/>
      <c r="J266" s="26" t="s">
        <v>1752</v>
      </c>
      <c r="K266" s="27" t="s">
        <v>13</v>
      </c>
      <c r="L266" s="2" t="s">
        <v>1884</v>
      </c>
      <c r="M266" s="24"/>
      <c r="N266" s="4" t="s">
        <v>121</v>
      </c>
    </row>
    <row r="267" spans="1:14" ht="100.2" customHeight="1" thickTop="1" thickBot="1">
      <c r="A267" s="31">
        <v>265</v>
      </c>
      <c r="B267" s="52" t="s">
        <v>1906</v>
      </c>
      <c r="C267" s="3" t="s">
        <v>394</v>
      </c>
      <c r="D267" s="3" t="s">
        <v>34</v>
      </c>
      <c r="E267" s="4" t="s">
        <v>22</v>
      </c>
      <c r="F267" s="43" t="s">
        <v>1756</v>
      </c>
      <c r="G267" s="4" t="s">
        <v>406</v>
      </c>
      <c r="H267" s="43" t="s">
        <v>1907</v>
      </c>
      <c r="I267" s="4"/>
      <c r="J267" s="26" t="s">
        <v>1752</v>
      </c>
      <c r="K267" s="27" t="s">
        <v>13</v>
      </c>
      <c r="L267" s="2" t="s">
        <v>1884</v>
      </c>
      <c r="M267" s="24"/>
      <c r="N267" s="4" t="s">
        <v>121</v>
      </c>
    </row>
    <row r="268" spans="1:14" ht="100.2" customHeight="1" thickTop="1" thickBot="1">
      <c r="A268" s="4">
        <v>266</v>
      </c>
      <c r="B268" s="52" t="s">
        <v>1908</v>
      </c>
      <c r="C268" s="3" t="s">
        <v>394</v>
      </c>
      <c r="D268" s="3" t="s">
        <v>34</v>
      </c>
      <c r="E268" s="4" t="s">
        <v>22</v>
      </c>
      <c r="F268" s="43" t="s">
        <v>508</v>
      </c>
      <c r="G268" s="4" t="s">
        <v>1865</v>
      </c>
      <c r="H268" s="43" t="s">
        <v>1909</v>
      </c>
      <c r="I268" s="4"/>
      <c r="J268" s="26" t="s">
        <v>1752</v>
      </c>
      <c r="K268" s="27" t="s">
        <v>13</v>
      </c>
      <c r="L268" s="2" t="s">
        <v>1884</v>
      </c>
      <c r="M268" s="24"/>
      <c r="N268" s="4" t="s">
        <v>121</v>
      </c>
    </row>
    <row r="269" spans="1:14" ht="100.2" customHeight="1" thickTop="1" thickBot="1">
      <c r="A269" s="31">
        <v>267</v>
      </c>
      <c r="B269" s="52" t="s">
        <v>1910</v>
      </c>
      <c r="C269" s="3" t="s">
        <v>394</v>
      </c>
      <c r="D269" s="3" t="s">
        <v>395</v>
      </c>
      <c r="E269" s="4" t="s">
        <v>21</v>
      </c>
      <c r="F269" s="43" t="s">
        <v>1789</v>
      </c>
      <c r="G269" s="4" t="s">
        <v>1865</v>
      </c>
      <c r="H269" s="43" t="s">
        <v>1911</v>
      </c>
      <c r="I269" s="4"/>
      <c r="J269" s="26" t="s">
        <v>1752</v>
      </c>
      <c r="K269" s="27" t="s">
        <v>13</v>
      </c>
      <c r="L269" s="2" t="s">
        <v>1912</v>
      </c>
      <c r="M269" s="24"/>
      <c r="N269" s="4" t="s">
        <v>121</v>
      </c>
    </row>
    <row r="270" spans="1:14" ht="100.2" customHeight="1" thickTop="1" thickBot="1">
      <c r="A270" s="4">
        <v>268</v>
      </c>
      <c r="B270" s="52" t="s">
        <v>1913</v>
      </c>
      <c r="C270" s="3" t="s">
        <v>394</v>
      </c>
      <c r="D270" s="3" t="s">
        <v>395</v>
      </c>
      <c r="E270" s="4" t="s">
        <v>21</v>
      </c>
      <c r="F270" s="43" t="s">
        <v>1855</v>
      </c>
      <c r="G270" s="4" t="s">
        <v>1865</v>
      </c>
      <c r="H270" s="43" t="s">
        <v>1914</v>
      </c>
      <c r="I270" s="4"/>
      <c r="J270" s="26" t="s">
        <v>1752</v>
      </c>
      <c r="K270" s="27" t="s">
        <v>13</v>
      </c>
      <c r="L270" s="2" t="s">
        <v>1915</v>
      </c>
      <c r="M270" s="24"/>
      <c r="N270" s="4" t="s">
        <v>124</v>
      </c>
    </row>
    <row r="271" spans="1:14" ht="100.2" customHeight="1" thickTop="1" thickBot="1">
      <c r="A271" s="31">
        <v>269</v>
      </c>
      <c r="B271" s="52" t="s">
        <v>1916</v>
      </c>
      <c r="C271" s="3" t="s">
        <v>394</v>
      </c>
      <c r="D271" s="3" t="s">
        <v>34</v>
      </c>
      <c r="E271" s="4" t="s">
        <v>22</v>
      </c>
      <c r="F271" s="43" t="s">
        <v>1917</v>
      </c>
      <c r="G271" s="4" t="s">
        <v>1918</v>
      </c>
      <c r="H271" s="43" t="s">
        <v>2617</v>
      </c>
      <c r="I271" s="4"/>
      <c r="J271" s="26" t="s">
        <v>1752</v>
      </c>
      <c r="K271" s="27" t="s">
        <v>13</v>
      </c>
      <c r="L271" s="2" t="s">
        <v>1916</v>
      </c>
      <c r="M271" s="24"/>
      <c r="N271" s="4" t="s">
        <v>121</v>
      </c>
    </row>
    <row r="272" spans="1:14" ht="100.2" customHeight="1" thickTop="1" thickBot="1">
      <c r="A272" s="4">
        <v>270</v>
      </c>
      <c r="B272" s="52" t="s">
        <v>1919</v>
      </c>
      <c r="C272" s="3" t="s">
        <v>394</v>
      </c>
      <c r="D272" s="3" t="s">
        <v>395</v>
      </c>
      <c r="E272" s="4" t="s">
        <v>21</v>
      </c>
      <c r="F272" s="43" t="s">
        <v>1756</v>
      </c>
      <c r="G272" s="4" t="s">
        <v>1844</v>
      </c>
      <c r="H272" s="43" t="s">
        <v>1920</v>
      </c>
      <c r="I272" s="4"/>
      <c r="J272" s="26" t="s">
        <v>1752</v>
      </c>
      <c r="K272" s="27" t="s">
        <v>13</v>
      </c>
      <c r="L272" s="2" t="s">
        <v>1921</v>
      </c>
      <c r="M272" s="24"/>
      <c r="N272" s="4" t="s">
        <v>121</v>
      </c>
    </row>
    <row r="273" spans="1:14" ht="100.2" customHeight="1" thickTop="1" thickBot="1">
      <c r="A273" s="31">
        <v>271</v>
      </c>
      <c r="B273" s="52" t="s">
        <v>1922</v>
      </c>
      <c r="C273" s="3" t="s">
        <v>394</v>
      </c>
      <c r="D273" s="3" t="s">
        <v>395</v>
      </c>
      <c r="E273" s="4" t="s">
        <v>21</v>
      </c>
      <c r="F273" s="43" t="s">
        <v>1750</v>
      </c>
      <c r="G273" s="4" t="s">
        <v>1865</v>
      </c>
      <c r="H273" s="43" t="s">
        <v>1923</v>
      </c>
      <c r="I273" s="4"/>
      <c r="J273" s="26" t="s">
        <v>1752</v>
      </c>
      <c r="K273" s="27" t="s">
        <v>13</v>
      </c>
      <c r="L273" s="2" t="s">
        <v>1924</v>
      </c>
      <c r="M273" s="24"/>
      <c r="N273" s="4" t="s">
        <v>121</v>
      </c>
    </row>
    <row r="274" spans="1:14" ht="100.2" customHeight="1" thickTop="1" thickBot="1">
      <c r="A274" s="4">
        <v>272</v>
      </c>
      <c r="B274" s="52" t="s">
        <v>1925</v>
      </c>
      <c r="C274" s="3" t="s">
        <v>394</v>
      </c>
      <c r="D274" s="3" t="s">
        <v>395</v>
      </c>
      <c r="E274" s="4" t="s">
        <v>21</v>
      </c>
      <c r="F274" s="43" t="s">
        <v>1756</v>
      </c>
      <c r="G274" s="4" t="s">
        <v>437</v>
      </c>
      <c r="H274" s="43" t="s">
        <v>1926</v>
      </c>
      <c r="I274" s="4"/>
      <c r="J274" s="26" t="s">
        <v>1752</v>
      </c>
      <c r="K274" s="27" t="s">
        <v>13</v>
      </c>
      <c r="L274" s="2" t="s">
        <v>1927</v>
      </c>
      <c r="M274" s="24"/>
      <c r="N274" s="4" t="s">
        <v>121</v>
      </c>
    </row>
    <row r="275" spans="1:14" ht="100.2" customHeight="1" thickTop="1" thickBot="1">
      <c r="A275" s="31">
        <v>273</v>
      </c>
      <c r="B275" s="52" t="s">
        <v>1928</v>
      </c>
      <c r="C275" s="3" t="s">
        <v>394</v>
      </c>
      <c r="D275" s="3" t="s">
        <v>395</v>
      </c>
      <c r="E275" s="4" t="s">
        <v>21</v>
      </c>
      <c r="F275" s="43" t="s">
        <v>1780</v>
      </c>
      <c r="G275" s="4" t="s">
        <v>439</v>
      </c>
      <c r="H275" s="43" t="s">
        <v>1929</v>
      </c>
      <c r="I275" s="4"/>
      <c r="J275" s="26" t="s">
        <v>1752</v>
      </c>
      <c r="K275" s="27" t="s">
        <v>13</v>
      </c>
      <c r="L275" s="2"/>
      <c r="M275" s="24"/>
      <c r="N275" s="4" t="s">
        <v>121</v>
      </c>
    </row>
    <row r="276" spans="1:14" ht="100.2" customHeight="1" thickTop="1" thickBot="1">
      <c r="A276" s="4">
        <v>274</v>
      </c>
      <c r="B276" s="52" t="s">
        <v>1930</v>
      </c>
      <c r="C276" s="3" t="s">
        <v>394</v>
      </c>
      <c r="D276" s="3" t="s">
        <v>395</v>
      </c>
      <c r="E276" s="4" t="s">
        <v>21</v>
      </c>
      <c r="F276" s="43" t="s">
        <v>1780</v>
      </c>
      <c r="G276" s="4" t="s">
        <v>1844</v>
      </c>
      <c r="H276" s="43" t="s">
        <v>669</v>
      </c>
      <c r="I276" s="4"/>
      <c r="J276" s="26" t="s">
        <v>1752</v>
      </c>
      <c r="K276" s="27" t="s">
        <v>13</v>
      </c>
      <c r="L276" s="2" t="s">
        <v>1931</v>
      </c>
      <c r="M276" s="24"/>
      <c r="N276" s="4" t="s">
        <v>121</v>
      </c>
    </row>
    <row r="277" spans="1:14" ht="100.2" customHeight="1" thickTop="1" thickBot="1">
      <c r="A277" s="31">
        <v>275</v>
      </c>
      <c r="B277" s="52" t="s">
        <v>1932</v>
      </c>
      <c r="C277" s="3" t="s">
        <v>394</v>
      </c>
      <c r="D277" s="3" t="s">
        <v>395</v>
      </c>
      <c r="E277" s="4" t="s">
        <v>21</v>
      </c>
      <c r="F277" s="43" t="s">
        <v>1756</v>
      </c>
      <c r="G277" s="4" t="s">
        <v>1865</v>
      </c>
      <c r="H277" s="43" t="s">
        <v>1933</v>
      </c>
      <c r="I277" s="4"/>
      <c r="J277" s="26" t="s">
        <v>1752</v>
      </c>
      <c r="K277" s="27" t="s">
        <v>13</v>
      </c>
      <c r="L277" s="2" t="s">
        <v>1931</v>
      </c>
      <c r="M277" s="24"/>
      <c r="N277" s="4" t="s">
        <v>121</v>
      </c>
    </row>
    <row r="278" spans="1:14" ht="100.2" customHeight="1" thickTop="1" thickBot="1">
      <c r="A278" s="4">
        <v>276</v>
      </c>
      <c r="B278" s="52" t="s">
        <v>1932</v>
      </c>
      <c r="C278" s="3" t="s">
        <v>394</v>
      </c>
      <c r="D278" s="3" t="s">
        <v>395</v>
      </c>
      <c r="E278" s="4" t="s">
        <v>21</v>
      </c>
      <c r="F278" s="43" t="s">
        <v>1855</v>
      </c>
      <c r="G278" s="4" t="s">
        <v>1865</v>
      </c>
      <c r="H278" s="43" t="s">
        <v>1933</v>
      </c>
      <c r="I278" s="4"/>
      <c r="J278" s="26" t="s">
        <v>1752</v>
      </c>
      <c r="K278" s="27" t="s">
        <v>717</v>
      </c>
      <c r="L278" s="2" t="s">
        <v>1934</v>
      </c>
      <c r="M278" s="24" t="s">
        <v>1935</v>
      </c>
      <c r="N278" s="4" t="s">
        <v>121</v>
      </c>
    </row>
    <row r="279" spans="1:14" ht="100.2" customHeight="1" thickTop="1" thickBot="1">
      <c r="A279" s="31">
        <v>277</v>
      </c>
      <c r="B279" s="52" t="s">
        <v>1936</v>
      </c>
      <c r="C279" s="3" t="s">
        <v>394</v>
      </c>
      <c r="D279" s="3" t="s">
        <v>34</v>
      </c>
      <c r="E279" s="4" t="s">
        <v>22</v>
      </c>
      <c r="F279" s="43" t="s">
        <v>1937</v>
      </c>
      <c r="G279" s="4" t="s">
        <v>449</v>
      </c>
      <c r="H279" s="43" t="s">
        <v>1938</v>
      </c>
      <c r="I279" s="4"/>
      <c r="J279" s="26" t="s">
        <v>1752</v>
      </c>
      <c r="K279" s="27" t="s">
        <v>13</v>
      </c>
      <c r="L279" s="2" t="s">
        <v>1939</v>
      </c>
      <c r="M279" s="24"/>
      <c r="N279" s="4" t="s">
        <v>121</v>
      </c>
    </row>
    <row r="280" spans="1:14" ht="100.2" customHeight="1" thickTop="1" thickBot="1">
      <c r="A280" s="4">
        <v>278</v>
      </c>
      <c r="B280" s="52" t="s">
        <v>1940</v>
      </c>
      <c r="C280" s="3" t="s">
        <v>394</v>
      </c>
      <c r="D280" s="3" t="s">
        <v>34</v>
      </c>
      <c r="E280" s="4" t="s">
        <v>22</v>
      </c>
      <c r="F280" s="43" t="s">
        <v>1941</v>
      </c>
      <c r="G280" s="4" t="s">
        <v>449</v>
      </c>
      <c r="H280" s="43" t="s">
        <v>2618</v>
      </c>
      <c r="I280" s="4"/>
      <c r="J280" s="26" t="s">
        <v>1752</v>
      </c>
      <c r="K280" s="27" t="s">
        <v>13</v>
      </c>
      <c r="L280" s="2" t="s">
        <v>1942</v>
      </c>
      <c r="M280" s="24"/>
      <c r="N280" s="4" t="s">
        <v>121</v>
      </c>
    </row>
    <row r="281" spans="1:14" ht="100.2" customHeight="1" thickTop="1" thickBot="1">
      <c r="A281" s="31">
        <v>279</v>
      </c>
      <c r="B281" s="52" t="s">
        <v>1943</v>
      </c>
      <c r="C281" s="3" t="s">
        <v>394</v>
      </c>
      <c r="D281" s="3" t="s">
        <v>34</v>
      </c>
      <c r="E281" s="4" t="s">
        <v>22</v>
      </c>
      <c r="F281" s="43" t="s">
        <v>1944</v>
      </c>
      <c r="G281" s="4" t="s">
        <v>449</v>
      </c>
      <c r="H281" s="43" t="s">
        <v>1945</v>
      </c>
      <c r="I281" s="4"/>
      <c r="J281" s="26" t="s">
        <v>1752</v>
      </c>
      <c r="K281" s="27" t="s">
        <v>13</v>
      </c>
      <c r="L281" s="2" t="s">
        <v>1942</v>
      </c>
      <c r="M281" s="24"/>
      <c r="N281" s="4" t="s">
        <v>121</v>
      </c>
    </row>
    <row r="282" spans="1:14" ht="100.2" customHeight="1" thickTop="1" thickBot="1">
      <c r="A282" s="4">
        <v>280</v>
      </c>
      <c r="B282" s="52" t="s">
        <v>1943</v>
      </c>
      <c r="C282" s="3" t="s">
        <v>394</v>
      </c>
      <c r="D282" s="3" t="s">
        <v>34</v>
      </c>
      <c r="E282" s="4" t="s">
        <v>22</v>
      </c>
      <c r="F282" s="43" t="s">
        <v>639</v>
      </c>
      <c r="G282" s="4" t="s">
        <v>1946</v>
      </c>
      <c r="H282" s="43" t="s">
        <v>1947</v>
      </c>
      <c r="I282" s="4"/>
      <c r="J282" s="26" t="s">
        <v>1752</v>
      </c>
      <c r="K282" s="27" t="s">
        <v>13</v>
      </c>
      <c r="L282" s="2" t="s">
        <v>1942</v>
      </c>
      <c r="M282" s="24"/>
      <c r="N282" s="4" t="s">
        <v>121</v>
      </c>
    </row>
    <row r="283" spans="1:14" ht="100.2" customHeight="1" thickTop="1" thickBot="1">
      <c r="A283" s="31">
        <v>281</v>
      </c>
      <c r="B283" s="52" t="s">
        <v>1948</v>
      </c>
      <c r="C283" s="3" t="s">
        <v>394</v>
      </c>
      <c r="D283" s="3" t="s">
        <v>34</v>
      </c>
      <c r="E283" s="4" t="s">
        <v>22</v>
      </c>
      <c r="F283" s="43" t="s">
        <v>1789</v>
      </c>
      <c r="G283" s="4" t="s">
        <v>1865</v>
      </c>
      <c r="H283" s="43" t="s">
        <v>2619</v>
      </c>
      <c r="I283" s="4"/>
      <c r="J283" s="26" t="s">
        <v>1752</v>
      </c>
      <c r="K283" s="27" t="s">
        <v>13</v>
      </c>
      <c r="L283" s="2" t="s">
        <v>1942</v>
      </c>
      <c r="M283" s="24"/>
      <c r="N283" s="4" t="s">
        <v>121</v>
      </c>
    </row>
    <row r="284" spans="1:14" ht="150" customHeight="1" thickTop="1" thickBot="1">
      <c r="A284" s="4">
        <v>282</v>
      </c>
      <c r="B284" s="52" t="s">
        <v>1949</v>
      </c>
      <c r="C284" s="3" t="s">
        <v>394</v>
      </c>
      <c r="D284" s="3" t="s">
        <v>34</v>
      </c>
      <c r="E284" s="4" t="s">
        <v>22</v>
      </c>
      <c r="F284" s="43" t="s">
        <v>484</v>
      </c>
      <c r="G284" s="4" t="s">
        <v>1950</v>
      </c>
      <c r="H284" s="43" t="s">
        <v>1951</v>
      </c>
      <c r="I284" s="4"/>
      <c r="J284" s="26" t="s">
        <v>1752</v>
      </c>
      <c r="K284" s="27" t="s">
        <v>13</v>
      </c>
      <c r="L284" s="2" t="s">
        <v>1942</v>
      </c>
      <c r="M284" s="24"/>
      <c r="N284" s="4" t="s">
        <v>121</v>
      </c>
    </row>
    <row r="285" spans="1:14" ht="100.2" customHeight="1" thickTop="1" thickBot="1">
      <c r="A285" s="31">
        <v>283</v>
      </c>
      <c r="B285" s="52" t="s">
        <v>1949</v>
      </c>
      <c r="C285" s="3" t="s">
        <v>394</v>
      </c>
      <c r="D285" s="3" t="s">
        <v>34</v>
      </c>
      <c r="E285" s="4" t="s">
        <v>22</v>
      </c>
      <c r="F285" s="43" t="s">
        <v>508</v>
      </c>
      <c r="G285" s="4" t="s">
        <v>1865</v>
      </c>
      <c r="H285" s="43" t="s">
        <v>1952</v>
      </c>
      <c r="I285" s="4"/>
      <c r="J285" s="26" t="s">
        <v>1752</v>
      </c>
      <c r="K285" s="27" t="s">
        <v>13</v>
      </c>
      <c r="L285" s="2" t="s">
        <v>1942</v>
      </c>
      <c r="M285" s="24"/>
      <c r="N285" s="4" t="s">
        <v>121</v>
      </c>
    </row>
    <row r="286" spans="1:14" ht="100.2" customHeight="1" thickTop="1" thickBot="1">
      <c r="A286" s="4">
        <v>284</v>
      </c>
      <c r="B286" s="52" t="s">
        <v>1953</v>
      </c>
      <c r="C286" s="3" t="s">
        <v>394</v>
      </c>
      <c r="D286" s="3" t="s">
        <v>34</v>
      </c>
      <c r="E286" s="4" t="s">
        <v>22</v>
      </c>
      <c r="F286" s="43" t="s">
        <v>1780</v>
      </c>
      <c r="G286" s="4" t="s">
        <v>2620</v>
      </c>
      <c r="H286" s="43" t="s">
        <v>1954</v>
      </c>
      <c r="I286" s="4"/>
      <c r="J286" s="26" t="s">
        <v>1752</v>
      </c>
      <c r="K286" s="27" t="s">
        <v>13</v>
      </c>
      <c r="L286" s="2" t="s">
        <v>1942</v>
      </c>
      <c r="M286" s="24"/>
      <c r="N286" s="4" t="s">
        <v>121</v>
      </c>
    </row>
    <row r="287" spans="1:14" ht="100.2" customHeight="1" thickTop="1" thickBot="1">
      <c r="A287" s="31">
        <v>285</v>
      </c>
      <c r="B287" s="52" t="s">
        <v>1955</v>
      </c>
      <c r="C287" s="3" t="s">
        <v>394</v>
      </c>
      <c r="D287" s="3" t="s">
        <v>34</v>
      </c>
      <c r="E287" s="4" t="s">
        <v>22</v>
      </c>
      <c r="F287" s="43" t="s">
        <v>1789</v>
      </c>
      <c r="G287" s="4" t="s">
        <v>449</v>
      </c>
      <c r="H287" s="43" t="s">
        <v>1956</v>
      </c>
      <c r="I287" s="4"/>
      <c r="J287" s="26" t="s">
        <v>1752</v>
      </c>
      <c r="K287" s="27" t="s">
        <v>13</v>
      </c>
      <c r="L287" s="2" t="s">
        <v>1942</v>
      </c>
      <c r="M287" s="24"/>
      <c r="N287" s="4" t="s">
        <v>121</v>
      </c>
    </row>
    <row r="288" spans="1:14" ht="100.2" customHeight="1" thickTop="1" thickBot="1">
      <c r="A288" s="4">
        <v>286</v>
      </c>
      <c r="B288" s="52" t="s">
        <v>1957</v>
      </c>
      <c r="C288" s="3" t="s">
        <v>394</v>
      </c>
      <c r="D288" s="3" t="s">
        <v>34</v>
      </c>
      <c r="E288" s="4" t="s">
        <v>22</v>
      </c>
      <c r="F288" s="43" t="s">
        <v>1756</v>
      </c>
      <c r="G288" s="4" t="s">
        <v>1958</v>
      </c>
      <c r="H288" s="43" t="s">
        <v>1959</v>
      </c>
      <c r="I288" s="4"/>
      <c r="J288" s="26" t="s">
        <v>1752</v>
      </c>
      <c r="K288" s="27" t="s">
        <v>13</v>
      </c>
      <c r="L288" s="2" t="s">
        <v>1942</v>
      </c>
      <c r="M288" s="24"/>
      <c r="N288" s="4" t="s">
        <v>130</v>
      </c>
    </row>
    <row r="289" spans="1:14" ht="100.2" customHeight="1" thickTop="1" thickBot="1">
      <c r="A289" s="31">
        <v>287</v>
      </c>
      <c r="B289" s="52" t="s">
        <v>1960</v>
      </c>
      <c r="C289" s="3" t="s">
        <v>394</v>
      </c>
      <c r="D289" s="3" t="s">
        <v>34</v>
      </c>
      <c r="E289" s="4" t="s">
        <v>22</v>
      </c>
      <c r="F289" s="43" t="s">
        <v>1897</v>
      </c>
      <c r="G289" s="4" t="s">
        <v>2621</v>
      </c>
      <c r="H289" s="43" t="s">
        <v>1961</v>
      </c>
      <c r="I289" s="4"/>
      <c r="J289" s="26" t="s">
        <v>1752</v>
      </c>
      <c r="K289" s="27" t="s">
        <v>13</v>
      </c>
      <c r="L289" s="2" t="s">
        <v>1942</v>
      </c>
      <c r="M289" s="24"/>
      <c r="N289" s="4" t="s">
        <v>130</v>
      </c>
    </row>
    <row r="290" spans="1:14" ht="100.2" customHeight="1" thickTop="1" thickBot="1">
      <c r="A290" s="4">
        <v>288</v>
      </c>
      <c r="B290" s="52" t="s">
        <v>1962</v>
      </c>
      <c r="C290" s="3" t="s">
        <v>394</v>
      </c>
      <c r="D290" s="3" t="s">
        <v>34</v>
      </c>
      <c r="E290" s="4" t="s">
        <v>22</v>
      </c>
      <c r="F290" s="43" t="s">
        <v>1944</v>
      </c>
      <c r="G290" s="4" t="s">
        <v>449</v>
      </c>
      <c r="H290" s="43" t="s">
        <v>1963</v>
      </c>
      <c r="I290" s="4"/>
      <c r="J290" s="26" t="s">
        <v>1752</v>
      </c>
      <c r="K290" s="27" t="s">
        <v>13</v>
      </c>
      <c r="L290" s="2" t="s">
        <v>1942</v>
      </c>
      <c r="M290" s="24"/>
      <c r="N290" s="4" t="s">
        <v>121</v>
      </c>
    </row>
    <row r="291" spans="1:14" ht="100.2" customHeight="1" thickTop="1" thickBot="1">
      <c r="A291" s="31">
        <v>289</v>
      </c>
      <c r="B291" s="52" t="s">
        <v>1964</v>
      </c>
      <c r="C291" s="3" t="s">
        <v>394</v>
      </c>
      <c r="D291" s="3" t="s">
        <v>1965</v>
      </c>
      <c r="E291" s="4" t="s">
        <v>22</v>
      </c>
      <c r="F291" s="43" t="s">
        <v>1966</v>
      </c>
      <c r="G291" s="4" t="s">
        <v>537</v>
      </c>
      <c r="H291" s="43" t="s">
        <v>1967</v>
      </c>
      <c r="I291" s="4"/>
      <c r="J291" s="26" t="s">
        <v>1752</v>
      </c>
      <c r="K291" s="27" t="s">
        <v>13</v>
      </c>
      <c r="L291" s="2" t="s">
        <v>1942</v>
      </c>
      <c r="M291" s="24"/>
      <c r="N291" s="4" t="s">
        <v>121</v>
      </c>
    </row>
    <row r="292" spans="1:14" ht="100.2" customHeight="1" thickTop="1" thickBot="1">
      <c r="A292" s="4">
        <v>290</v>
      </c>
      <c r="B292" s="52" t="s">
        <v>1968</v>
      </c>
      <c r="C292" s="3" t="s">
        <v>394</v>
      </c>
      <c r="D292" s="3" t="s">
        <v>34</v>
      </c>
      <c r="E292" s="4" t="s">
        <v>22</v>
      </c>
      <c r="F292" s="43" t="s">
        <v>1756</v>
      </c>
      <c r="G292" s="4" t="s">
        <v>406</v>
      </c>
      <c r="H292" s="43" t="s">
        <v>2622</v>
      </c>
      <c r="I292" s="4"/>
      <c r="J292" s="26" t="s">
        <v>1752</v>
      </c>
      <c r="K292" s="27" t="s">
        <v>13</v>
      </c>
      <c r="L292" s="2" t="s">
        <v>1942</v>
      </c>
      <c r="M292" s="24"/>
      <c r="N292" s="4" t="s">
        <v>121</v>
      </c>
    </row>
    <row r="293" spans="1:14" ht="100.2" customHeight="1" thickTop="1" thickBot="1">
      <c r="A293" s="31">
        <v>291</v>
      </c>
      <c r="B293" s="52" t="s">
        <v>1969</v>
      </c>
      <c r="C293" s="3" t="s">
        <v>394</v>
      </c>
      <c r="D293" s="3" t="s">
        <v>34</v>
      </c>
      <c r="E293" s="4" t="s">
        <v>22</v>
      </c>
      <c r="F293" s="43" t="s">
        <v>1950</v>
      </c>
      <c r="G293" s="4" t="s">
        <v>449</v>
      </c>
      <c r="H293" s="43" t="s">
        <v>1970</v>
      </c>
      <c r="I293" s="4"/>
      <c r="J293" s="26" t="s">
        <v>1752</v>
      </c>
      <c r="K293" s="27" t="s">
        <v>13</v>
      </c>
      <c r="L293" s="2" t="s">
        <v>1969</v>
      </c>
      <c r="M293" s="24"/>
      <c r="N293" s="4" t="s">
        <v>121</v>
      </c>
    </row>
    <row r="294" spans="1:14" ht="100.2" customHeight="1" thickTop="1" thickBot="1">
      <c r="A294" s="4">
        <v>292</v>
      </c>
      <c r="B294" s="52" t="s">
        <v>1971</v>
      </c>
      <c r="C294" s="3" t="s">
        <v>394</v>
      </c>
      <c r="D294" s="3" t="s">
        <v>395</v>
      </c>
      <c r="E294" s="4" t="s">
        <v>21</v>
      </c>
      <c r="F294" s="43" t="s">
        <v>1897</v>
      </c>
      <c r="G294" s="4" t="s">
        <v>1865</v>
      </c>
      <c r="H294" s="43" t="s">
        <v>1972</v>
      </c>
      <c r="I294" s="4"/>
      <c r="J294" s="26" t="s">
        <v>1752</v>
      </c>
      <c r="K294" s="27" t="s">
        <v>13</v>
      </c>
      <c r="L294" s="2" t="s">
        <v>1973</v>
      </c>
      <c r="M294" s="24"/>
      <c r="N294" s="4" t="s">
        <v>121</v>
      </c>
    </row>
    <row r="295" spans="1:14" ht="100.2" customHeight="1" thickTop="1" thickBot="1">
      <c r="A295" s="31">
        <v>293</v>
      </c>
      <c r="B295" s="52" t="s">
        <v>1974</v>
      </c>
      <c r="C295" s="3" t="s">
        <v>394</v>
      </c>
      <c r="D295" s="3" t="s">
        <v>395</v>
      </c>
      <c r="E295" s="4" t="s">
        <v>21</v>
      </c>
      <c r="F295" s="43" t="s">
        <v>1789</v>
      </c>
      <c r="G295" s="4" t="s">
        <v>1865</v>
      </c>
      <c r="H295" s="43" t="s">
        <v>1975</v>
      </c>
      <c r="I295" s="4"/>
      <c r="J295" s="26" t="s">
        <v>1752</v>
      </c>
      <c r="K295" s="27" t="s">
        <v>13</v>
      </c>
      <c r="L295" s="2" t="s">
        <v>1976</v>
      </c>
      <c r="M295" s="24"/>
      <c r="N295" s="4" t="s">
        <v>121</v>
      </c>
    </row>
    <row r="296" spans="1:14" ht="100.2" customHeight="1" thickTop="1" thickBot="1">
      <c r="A296" s="4">
        <v>294</v>
      </c>
      <c r="B296" s="52" t="s">
        <v>1977</v>
      </c>
      <c r="C296" s="3" t="s">
        <v>394</v>
      </c>
      <c r="D296" s="3" t="s">
        <v>395</v>
      </c>
      <c r="E296" s="4" t="s">
        <v>21</v>
      </c>
      <c r="F296" s="43" t="s">
        <v>1780</v>
      </c>
      <c r="G296" s="4" t="s">
        <v>1844</v>
      </c>
      <c r="H296" s="43" t="s">
        <v>1978</v>
      </c>
      <c r="I296" s="4"/>
      <c r="J296" s="26" t="s">
        <v>1752</v>
      </c>
      <c r="K296" s="27" t="s">
        <v>13</v>
      </c>
      <c r="L296" s="2" t="s">
        <v>1979</v>
      </c>
      <c r="M296" s="24"/>
      <c r="N296" s="4" t="s">
        <v>121</v>
      </c>
    </row>
    <row r="297" spans="1:14" ht="100.2" customHeight="1" thickTop="1" thickBot="1">
      <c r="A297" s="31">
        <v>295</v>
      </c>
      <c r="B297" s="52" t="s">
        <v>1980</v>
      </c>
      <c r="C297" s="3" t="s">
        <v>394</v>
      </c>
      <c r="D297" s="3" t="s">
        <v>395</v>
      </c>
      <c r="E297" s="4" t="s">
        <v>21</v>
      </c>
      <c r="F297" s="43" t="s">
        <v>1750</v>
      </c>
      <c r="G297" s="4" t="s">
        <v>1844</v>
      </c>
      <c r="H297" s="43" t="s">
        <v>1224</v>
      </c>
      <c r="I297" s="4"/>
      <c r="J297" s="26" t="s">
        <v>1752</v>
      </c>
      <c r="K297" s="27" t="s">
        <v>13</v>
      </c>
      <c r="L297" s="2" t="s">
        <v>1981</v>
      </c>
      <c r="M297" s="24"/>
      <c r="N297" s="4" t="s">
        <v>121</v>
      </c>
    </row>
    <row r="298" spans="1:14" ht="100.2" customHeight="1" thickTop="1" thickBot="1">
      <c r="A298" s="4">
        <v>296</v>
      </c>
      <c r="B298" s="52" t="s">
        <v>1982</v>
      </c>
      <c r="C298" s="3" t="s">
        <v>394</v>
      </c>
      <c r="D298" s="3" t="s">
        <v>34</v>
      </c>
      <c r="E298" s="4" t="s">
        <v>22</v>
      </c>
      <c r="F298" s="43" t="s">
        <v>1750</v>
      </c>
      <c r="G298" s="4" t="s">
        <v>1865</v>
      </c>
      <c r="H298" s="43" t="s">
        <v>1983</v>
      </c>
      <c r="I298" s="4"/>
      <c r="J298" s="26" t="s">
        <v>1752</v>
      </c>
      <c r="K298" s="27" t="s">
        <v>13</v>
      </c>
      <c r="L298" s="2" t="s">
        <v>1984</v>
      </c>
      <c r="M298" s="24"/>
      <c r="N298" s="4" t="s">
        <v>121</v>
      </c>
    </row>
    <row r="299" spans="1:14" ht="100.2" customHeight="1" thickTop="1" thickBot="1">
      <c r="A299" s="31">
        <v>297</v>
      </c>
      <c r="B299" s="52" t="s">
        <v>1985</v>
      </c>
      <c r="C299" s="3" t="s">
        <v>394</v>
      </c>
      <c r="D299" s="3" t="s">
        <v>34</v>
      </c>
      <c r="E299" s="4" t="s">
        <v>22</v>
      </c>
      <c r="F299" s="43" t="s">
        <v>1986</v>
      </c>
      <c r="G299" s="4" t="s">
        <v>449</v>
      </c>
      <c r="H299" s="43" t="s">
        <v>2623</v>
      </c>
      <c r="I299" s="4"/>
      <c r="J299" s="26" t="s">
        <v>1752</v>
      </c>
      <c r="K299" s="27" t="s">
        <v>13</v>
      </c>
      <c r="L299" s="2" t="s">
        <v>1984</v>
      </c>
      <c r="M299" s="24"/>
      <c r="N299" s="4" t="s">
        <v>121</v>
      </c>
    </row>
    <row r="300" spans="1:14" ht="100.2" customHeight="1" thickTop="1" thickBot="1">
      <c r="A300" s="4">
        <v>298</v>
      </c>
      <c r="B300" s="52" t="s">
        <v>1987</v>
      </c>
      <c r="C300" s="3" t="s">
        <v>394</v>
      </c>
      <c r="D300" s="3" t="s">
        <v>34</v>
      </c>
      <c r="E300" s="4" t="s">
        <v>22</v>
      </c>
      <c r="F300" s="43" t="s">
        <v>1750</v>
      </c>
      <c r="G300" s="4" t="s">
        <v>1826</v>
      </c>
      <c r="H300" s="43" t="s">
        <v>1988</v>
      </c>
      <c r="I300" s="4"/>
      <c r="J300" s="26" t="s">
        <v>1752</v>
      </c>
      <c r="K300" s="27" t="s">
        <v>13</v>
      </c>
      <c r="L300" s="2" t="s">
        <v>1984</v>
      </c>
      <c r="M300" s="24"/>
      <c r="N300" s="4" t="s">
        <v>121</v>
      </c>
    </row>
    <row r="301" spans="1:14" ht="100.2" customHeight="1" thickTop="1" thickBot="1">
      <c r="A301" s="31">
        <v>299</v>
      </c>
      <c r="B301" s="52" t="s">
        <v>1989</v>
      </c>
      <c r="C301" s="3" t="s">
        <v>394</v>
      </c>
      <c r="D301" s="3" t="s">
        <v>34</v>
      </c>
      <c r="E301" s="4" t="s">
        <v>22</v>
      </c>
      <c r="F301" s="43" t="s">
        <v>1756</v>
      </c>
      <c r="G301" s="4" t="s">
        <v>369</v>
      </c>
      <c r="H301" s="43" t="s">
        <v>1990</v>
      </c>
      <c r="I301" s="4"/>
      <c r="J301" s="26" t="s">
        <v>1752</v>
      </c>
      <c r="K301" s="27" t="s">
        <v>13</v>
      </c>
      <c r="L301" s="2" t="s">
        <v>1984</v>
      </c>
      <c r="M301" s="24"/>
      <c r="N301" s="4" t="s">
        <v>121</v>
      </c>
    </row>
    <row r="302" spans="1:14" ht="100.2" customHeight="1" thickTop="1" thickBot="1">
      <c r="A302" s="4">
        <v>300</v>
      </c>
      <c r="B302" s="52" t="s">
        <v>1991</v>
      </c>
      <c r="C302" s="3" t="s">
        <v>394</v>
      </c>
      <c r="D302" s="3" t="s">
        <v>34</v>
      </c>
      <c r="E302" s="4" t="s">
        <v>22</v>
      </c>
      <c r="F302" s="43" t="s">
        <v>1780</v>
      </c>
      <c r="G302" s="4" t="s">
        <v>2620</v>
      </c>
      <c r="H302" s="43" t="s">
        <v>2624</v>
      </c>
      <c r="I302" s="4"/>
      <c r="J302" s="26" t="s">
        <v>1752</v>
      </c>
      <c r="K302" s="27" t="s">
        <v>13</v>
      </c>
      <c r="L302" s="2" t="s">
        <v>1984</v>
      </c>
      <c r="M302" s="24"/>
      <c r="N302" s="4" t="s">
        <v>121</v>
      </c>
    </row>
    <row r="303" spans="1:14" ht="100.2" customHeight="1" thickTop="1" thickBot="1">
      <c r="A303" s="31">
        <v>301</v>
      </c>
      <c r="B303" s="52" t="s">
        <v>1992</v>
      </c>
      <c r="C303" s="3" t="s">
        <v>394</v>
      </c>
      <c r="D303" s="3" t="s">
        <v>34</v>
      </c>
      <c r="E303" s="4" t="s">
        <v>22</v>
      </c>
      <c r="F303" s="43" t="s">
        <v>1756</v>
      </c>
      <c r="G303" s="4" t="s">
        <v>406</v>
      </c>
      <c r="H303" s="43" t="s">
        <v>2625</v>
      </c>
      <c r="I303" s="4"/>
      <c r="J303" s="26" t="s">
        <v>1752</v>
      </c>
      <c r="K303" s="27" t="s">
        <v>13</v>
      </c>
      <c r="L303" s="2" t="s">
        <v>1984</v>
      </c>
      <c r="M303" s="24"/>
      <c r="N303" s="4" t="s">
        <v>121</v>
      </c>
    </row>
    <row r="304" spans="1:14" ht="100.2" customHeight="1" thickTop="1" thickBot="1">
      <c r="A304" s="4">
        <v>302</v>
      </c>
      <c r="B304" s="52" t="s">
        <v>1993</v>
      </c>
      <c r="C304" s="3" t="s">
        <v>394</v>
      </c>
      <c r="D304" s="3" t="s">
        <v>34</v>
      </c>
      <c r="E304" s="4" t="s">
        <v>22</v>
      </c>
      <c r="F304" s="43" t="s">
        <v>1750</v>
      </c>
      <c r="G304" s="4" t="s">
        <v>449</v>
      </c>
      <c r="H304" s="43" t="s">
        <v>1994</v>
      </c>
      <c r="I304" s="4"/>
      <c r="J304" s="26" t="s">
        <v>1752</v>
      </c>
      <c r="K304" s="27" t="s">
        <v>13</v>
      </c>
      <c r="L304" s="2" t="s">
        <v>1984</v>
      </c>
      <c r="M304" s="24"/>
      <c r="N304" s="4" t="s">
        <v>121</v>
      </c>
    </row>
    <row r="305" spans="1:14" ht="100.2" customHeight="1" thickTop="1" thickBot="1">
      <c r="A305" s="31">
        <v>303</v>
      </c>
      <c r="B305" s="52" t="s">
        <v>1993</v>
      </c>
      <c r="C305" s="3" t="s">
        <v>394</v>
      </c>
      <c r="D305" s="3" t="s">
        <v>34</v>
      </c>
      <c r="E305" s="4" t="s">
        <v>22</v>
      </c>
      <c r="F305" s="43" t="s">
        <v>1995</v>
      </c>
      <c r="G305" s="4" t="s">
        <v>449</v>
      </c>
      <c r="H305" s="43" t="s">
        <v>1996</v>
      </c>
      <c r="I305" s="4"/>
      <c r="J305" s="26" t="s">
        <v>1752</v>
      </c>
      <c r="K305" s="27" t="s">
        <v>13</v>
      </c>
      <c r="L305" s="2" t="s">
        <v>1984</v>
      </c>
      <c r="M305" s="24"/>
      <c r="N305" s="4" t="s">
        <v>121</v>
      </c>
    </row>
    <row r="306" spans="1:14" ht="100.2" customHeight="1" thickTop="1" thickBot="1">
      <c r="A306" s="4">
        <v>304</v>
      </c>
      <c r="B306" s="52" t="s">
        <v>1997</v>
      </c>
      <c r="C306" s="3" t="s">
        <v>394</v>
      </c>
      <c r="D306" s="3" t="s">
        <v>34</v>
      </c>
      <c r="E306" s="4" t="s">
        <v>22</v>
      </c>
      <c r="F306" s="43" t="s">
        <v>449</v>
      </c>
      <c r="G306" s="4" t="s">
        <v>449</v>
      </c>
      <c r="H306" s="43" t="s">
        <v>1998</v>
      </c>
      <c r="I306" s="4"/>
      <c r="J306" s="26" t="s">
        <v>1752</v>
      </c>
      <c r="K306" s="27" t="s">
        <v>13</v>
      </c>
      <c r="L306" s="2" t="s">
        <v>1984</v>
      </c>
      <c r="M306" s="24"/>
      <c r="N306" s="4" t="s">
        <v>121</v>
      </c>
    </row>
    <row r="307" spans="1:14" ht="100.2" customHeight="1" thickTop="1" thickBot="1">
      <c r="A307" s="31">
        <v>305</v>
      </c>
      <c r="B307" s="52" t="s">
        <v>1999</v>
      </c>
      <c r="C307" s="3" t="s">
        <v>394</v>
      </c>
      <c r="D307" s="3" t="s">
        <v>34</v>
      </c>
      <c r="E307" s="4" t="s">
        <v>22</v>
      </c>
      <c r="F307" s="43" t="s">
        <v>1995</v>
      </c>
      <c r="G307" s="4" t="s">
        <v>1865</v>
      </c>
      <c r="H307" s="43" t="s">
        <v>2000</v>
      </c>
      <c r="I307" s="4"/>
      <c r="J307" s="26" t="s">
        <v>1752</v>
      </c>
      <c r="K307" s="27" t="s">
        <v>13</v>
      </c>
      <c r="L307" s="2" t="s">
        <v>1984</v>
      </c>
      <c r="M307" s="24"/>
      <c r="N307" s="4" t="s">
        <v>121</v>
      </c>
    </row>
    <row r="308" spans="1:14" ht="100.2" customHeight="1" thickTop="1" thickBot="1">
      <c r="A308" s="4">
        <v>306</v>
      </c>
      <c r="B308" s="52" t="s">
        <v>2001</v>
      </c>
      <c r="C308" s="3" t="s">
        <v>394</v>
      </c>
      <c r="D308" s="3" t="s">
        <v>34</v>
      </c>
      <c r="E308" s="4" t="s">
        <v>22</v>
      </c>
      <c r="F308" s="43" t="s">
        <v>2002</v>
      </c>
      <c r="G308" s="4" t="s">
        <v>449</v>
      </c>
      <c r="H308" s="43" t="s">
        <v>2003</v>
      </c>
      <c r="I308" s="4"/>
      <c r="J308" s="26" t="s">
        <v>1752</v>
      </c>
      <c r="K308" s="27" t="s">
        <v>13</v>
      </c>
      <c r="L308" s="2" t="s">
        <v>1984</v>
      </c>
      <c r="M308" s="24"/>
      <c r="N308" s="4" t="s">
        <v>121</v>
      </c>
    </row>
    <row r="309" spans="1:14" ht="100.2" customHeight="1" thickTop="1" thickBot="1">
      <c r="A309" s="31">
        <v>307</v>
      </c>
      <c r="B309" s="52" t="s">
        <v>2004</v>
      </c>
      <c r="C309" s="3" t="s">
        <v>394</v>
      </c>
      <c r="D309" s="3" t="s">
        <v>34</v>
      </c>
      <c r="E309" s="4" t="s">
        <v>22</v>
      </c>
      <c r="F309" s="43" t="s">
        <v>2002</v>
      </c>
      <c r="G309" s="4" t="s">
        <v>2620</v>
      </c>
      <c r="H309" s="43" t="s">
        <v>2005</v>
      </c>
      <c r="I309" s="4"/>
      <c r="J309" s="26" t="s">
        <v>1752</v>
      </c>
      <c r="K309" s="27" t="s">
        <v>13</v>
      </c>
      <c r="L309" s="2" t="s">
        <v>1984</v>
      </c>
      <c r="M309" s="24"/>
      <c r="N309" s="4" t="s">
        <v>121</v>
      </c>
    </row>
    <row r="310" spans="1:14" ht="100.2" customHeight="1" thickTop="1" thickBot="1">
      <c r="A310" s="4">
        <v>308</v>
      </c>
      <c r="B310" s="52" t="s">
        <v>2006</v>
      </c>
      <c r="C310" s="3" t="s">
        <v>394</v>
      </c>
      <c r="D310" s="3" t="s">
        <v>34</v>
      </c>
      <c r="E310" s="4" t="s">
        <v>22</v>
      </c>
      <c r="F310" s="43" t="s">
        <v>1789</v>
      </c>
      <c r="G310" s="4" t="s">
        <v>1865</v>
      </c>
      <c r="H310" s="43" t="s">
        <v>2007</v>
      </c>
      <c r="I310" s="4"/>
      <c r="J310" s="26" t="s">
        <v>1752</v>
      </c>
      <c r="K310" s="27" t="s">
        <v>13</v>
      </c>
      <c r="L310" s="2" t="s">
        <v>1984</v>
      </c>
      <c r="M310" s="24"/>
      <c r="N310" s="4" t="s">
        <v>121</v>
      </c>
    </row>
    <row r="311" spans="1:14" ht="100.2" customHeight="1" thickTop="1" thickBot="1">
      <c r="A311" s="31">
        <v>309</v>
      </c>
      <c r="B311" s="52" t="s">
        <v>2006</v>
      </c>
      <c r="C311" s="3" t="s">
        <v>394</v>
      </c>
      <c r="D311" s="3" t="s">
        <v>34</v>
      </c>
      <c r="E311" s="4" t="s">
        <v>22</v>
      </c>
      <c r="F311" s="43" t="s">
        <v>784</v>
      </c>
      <c r="G311" s="4" t="s">
        <v>449</v>
      </c>
      <c r="H311" s="43" t="s">
        <v>2008</v>
      </c>
      <c r="I311" s="4"/>
      <c r="J311" s="26" t="s">
        <v>1752</v>
      </c>
      <c r="K311" s="27" t="s">
        <v>13</v>
      </c>
      <c r="L311" s="2" t="s">
        <v>1984</v>
      </c>
      <c r="M311" s="24"/>
      <c r="N311" s="4" t="s">
        <v>121</v>
      </c>
    </row>
    <row r="312" spans="1:14" ht="100.2" customHeight="1" thickTop="1" thickBot="1">
      <c r="A312" s="4">
        <v>310</v>
      </c>
      <c r="B312" s="52" t="s">
        <v>2009</v>
      </c>
      <c r="C312" s="3" t="s">
        <v>394</v>
      </c>
      <c r="D312" s="3" t="s">
        <v>34</v>
      </c>
      <c r="E312" s="4" t="s">
        <v>22</v>
      </c>
      <c r="F312" s="43" t="s">
        <v>2010</v>
      </c>
      <c r="G312" s="4" t="s">
        <v>449</v>
      </c>
      <c r="H312" s="43" t="s">
        <v>2011</v>
      </c>
      <c r="I312" s="4"/>
      <c r="J312" s="26" t="s">
        <v>1752</v>
      </c>
      <c r="K312" s="27" t="s">
        <v>13</v>
      </c>
      <c r="L312" s="2" t="s">
        <v>1984</v>
      </c>
      <c r="M312" s="24"/>
      <c r="N312" s="4" t="s">
        <v>121</v>
      </c>
    </row>
    <row r="313" spans="1:14" ht="100.2" customHeight="1" thickTop="1" thickBot="1">
      <c r="A313" s="31">
        <v>311</v>
      </c>
      <c r="B313" s="52" t="s">
        <v>2012</v>
      </c>
      <c r="C313" s="3" t="s">
        <v>394</v>
      </c>
      <c r="D313" s="3" t="s">
        <v>34</v>
      </c>
      <c r="E313" s="4" t="s">
        <v>22</v>
      </c>
      <c r="F313" s="43" t="s">
        <v>1750</v>
      </c>
      <c r="G313" s="4" t="s">
        <v>2013</v>
      </c>
      <c r="H313" s="43" t="s">
        <v>2014</v>
      </c>
      <c r="I313" s="4"/>
      <c r="J313" s="26" t="s">
        <v>1752</v>
      </c>
      <c r="K313" s="27" t="s">
        <v>13</v>
      </c>
      <c r="L313" s="2" t="s">
        <v>1984</v>
      </c>
      <c r="M313" s="24"/>
      <c r="N313" s="4" t="s">
        <v>121</v>
      </c>
    </row>
    <row r="314" spans="1:14" ht="100.2" customHeight="1" thickTop="1" thickBot="1">
      <c r="A314" s="4">
        <v>312</v>
      </c>
      <c r="B314" s="52" t="s">
        <v>2015</v>
      </c>
      <c r="C314" s="3" t="s">
        <v>394</v>
      </c>
      <c r="D314" s="3" t="s">
        <v>34</v>
      </c>
      <c r="E314" s="4" t="s">
        <v>22</v>
      </c>
      <c r="F314" s="43" t="s">
        <v>1750</v>
      </c>
      <c r="G314" s="4" t="s">
        <v>1865</v>
      </c>
      <c r="H314" s="43" t="s">
        <v>2016</v>
      </c>
      <c r="I314" s="4"/>
      <c r="J314" s="26" t="s">
        <v>1752</v>
      </c>
      <c r="K314" s="27" t="s">
        <v>13</v>
      </c>
      <c r="L314" s="2" t="s">
        <v>1984</v>
      </c>
      <c r="M314" s="24"/>
      <c r="N314" s="4" t="s">
        <v>121</v>
      </c>
    </row>
    <row r="315" spans="1:14" ht="100.2" customHeight="1" thickTop="1" thickBot="1">
      <c r="A315" s="31">
        <v>313</v>
      </c>
      <c r="B315" s="52" t="s">
        <v>2017</v>
      </c>
      <c r="C315" s="3" t="s">
        <v>394</v>
      </c>
      <c r="D315" s="3" t="s">
        <v>395</v>
      </c>
      <c r="E315" s="4" t="s">
        <v>21</v>
      </c>
      <c r="F315" s="43" t="s">
        <v>1756</v>
      </c>
      <c r="G315" s="4" t="s">
        <v>437</v>
      </c>
      <c r="H315" s="43" t="s">
        <v>2018</v>
      </c>
      <c r="I315" s="4"/>
      <c r="J315" s="26" t="s">
        <v>1752</v>
      </c>
      <c r="K315" s="27" t="s">
        <v>13</v>
      </c>
      <c r="L315" s="2" t="s">
        <v>2019</v>
      </c>
      <c r="M315" s="24"/>
      <c r="N315" s="4" t="s">
        <v>121</v>
      </c>
    </row>
    <row r="316" spans="1:14" ht="100.2" customHeight="1" thickTop="1" thickBot="1">
      <c r="A316" s="4">
        <v>314</v>
      </c>
      <c r="B316" s="52" t="s">
        <v>2020</v>
      </c>
      <c r="C316" s="3" t="s">
        <v>394</v>
      </c>
      <c r="D316" s="3" t="s">
        <v>395</v>
      </c>
      <c r="E316" s="4" t="s">
        <v>21</v>
      </c>
      <c r="F316" s="43" t="s">
        <v>1756</v>
      </c>
      <c r="G316" s="4" t="s">
        <v>1865</v>
      </c>
      <c r="H316" s="43" t="s">
        <v>2021</v>
      </c>
      <c r="I316" s="4"/>
      <c r="J316" s="26" t="s">
        <v>1752</v>
      </c>
      <c r="K316" s="27" t="s">
        <v>13</v>
      </c>
      <c r="L316" s="2" t="s">
        <v>2022</v>
      </c>
      <c r="M316" s="24"/>
      <c r="N316" s="4" t="s">
        <v>121</v>
      </c>
    </row>
    <row r="317" spans="1:14" ht="100.2" customHeight="1" thickTop="1" thickBot="1">
      <c r="A317" s="31">
        <v>315</v>
      </c>
      <c r="B317" s="52" t="s">
        <v>2023</v>
      </c>
      <c r="C317" s="3" t="s">
        <v>394</v>
      </c>
      <c r="D317" s="3" t="s">
        <v>395</v>
      </c>
      <c r="E317" s="4" t="s">
        <v>21</v>
      </c>
      <c r="F317" s="43" t="s">
        <v>1897</v>
      </c>
      <c r="G317" s="4" t="s">
        <v>2024</v>
      </c>
      <c r="H317" s="43" t="s">
        <v>1933</v>
      </c>
      <c r="I317" s="4"/>
      <c r="J317" s="26" t="s">
        <v>1752</v>
      </c>
      <c r="K317" s="27" t="s">
        <v>13</v>
      </c>
      <c r="L317" s="2" t="s">
        <v>2022</v>
      </c>
      <c r="M317" s="24"/>
      <c r="N317" s="4" t="s">
        <v>121</v>
      </c>
    </row>
    <row r="318" spans="1:14" ht="100.2" customHeight="1" thickTop="1" thickBot="1">
      <c r="A318" s="4">
        <v>316</v>
      </c>
      <c r="B318" s="52" t="s">
        <v>2025</v>
      </c>
      <c r="C318" s="3" t="s">
        <v>394</v>
      </c>
      <c r="D318" s="3" t="s">
        <v>395</v>
      </c>
      <c r="E318" s="4" t="s">
        <v>21</v>
      </c>
      <c r="F318" s="43" t="s">
        <v>1756</v>
      </c>
      <c r="G318" s="4" t="s">
        <v>1865</v>
      </c>
      <c r="H318" s="43" t="s">
        <v>553</v>
      </c>
      <c r="I318" s="4"/>
      <c r="J318" s="26" t="s">
        <v>1752</v>
      </c>
      <c r="K318" s="27" t="s">
        <v>13</v>
      </c>
      <c r="L318" s="2" t="s">
        <v>2026</v>
      </c>
      <c r="M318" s="24"/>
      <c r="N318" s="4" t="s">
        <v>121</v>
      </c>
    </row>
    <row r="319" spans="1:14" ht="100.2" customHeight="1" thickTop="1" thickBot="1">
      <c r="A319" s="31">
        <v>317</v>
      </c>
      <c r="B319" s="52" t="s">
        <v>2027</v>
      </c>
      <c r="C319" s="3" t="s">
        <v>394</v>
      </c>
      <c r="D319" s="3" t="s">
        <v>395</v>
      </c>
      <c r="E319" s="4" t="s">
        <v>21</v>
      </c>
      <c r="F319" s="43" t="s">
        <v>1855</v>
      </c>
      <c r="G319" s="4" t="s">
        <v>2028</v>
      </c>
      <c r="H319" s="43" t="s">
        <v>2029</v>
      </c>
      <c r="I319" s="4"/>
      <c r="J319" s="26" t="s">
        <v>1752</v>
      </c>
      <c r="K319" s="27" t="s">
        <v>13</v>
      </c>
      <c r="L319" s="2" t="s">
        <v>2026</v>
      </c>
      <c r="M319" s="24"/>
      <c r="N319" s="4" t="s">
        <v>121</v>
      </c>
    </row>
    <row r="320" spans="1:14" ht="100.2" customHeight="1" thickTop="1" thickBot="1">
      <c r="A320" s="4">
        <v>318</v>
      </c>
      <c r="B320" s="52" t="s">
        <v>2030</v>
      </c>
      <c r="C320" s="3" t="s">
        <v>394</v>
      </c>
      <c r="D320" s="3" t="s">
        <v>395</v>
      </c>
      <c r="E320" s="4" t="s">
        <v>21</v>
      </c>
      <c r="F320" s="43" t="s">
        <v>1756</v>
      </c>
      <c r="G320" s="4" t="s">
        <v>437</v>
      </c>
      <c r="H320" s="43" t="s">
        <v>2031</v>
      </c>
      <c r="I320" s="4"/>
      <c r="J320" s="26" t="s">
        <v>1752</v>
      </c>
      <c r="K320" s="27" t="s">
        <v>13</v>
      </c>
      <c r="L320" s="2" t="s">
        <v>2032</v>
      </c>
      <c r="M320" s="24"/>
      <c r="N320" s="4" t="s">
        <v>121</v>
      </c>
    </row>
    <row r="321" spans="1:14" ht="100.2" customHeight="1" thickTop="1" thickBot="1">
      <c r="A321" s="31">
        <v>319</v>
      </c>
      <c r="B321" s="52" t="s">
        <v>2033</v>
      </c>
      <c r="C321" s="3" t="s">
        <v>394</v>
      </c>
      <c r="D321" s="3" t="s">
        <v>395</v>
      </c>
      <c r="E321" s="4" t="s">
        <v>21</v>
      </c>
      <c r="F321" s="43" t="s">
        <v>1756</v>
      </c>
      <c r="G321" s="4" t="s">
        <v>1865</v>
      </c>
      <c r="H321" s="43" t="s">
        <v>2034</v>
      </c>
      <c r="I321" s="4"/>
      <c r="J321" s="26" t="s">
        <v>1752</v>
      </c>
      <c r="K321" s="27" t="s">
        <v>13</v>
      </c>
      <c r="L321" s="2" t="s">
        <v>2035</v>
      </c>
      <c r="M321" s="24"/>
      <c r="N321" s="4" t="s">
        <v>121</v>
      </c>
    </row>
    <row r="322" spans="1:14" s="25" customFormat="1" ht="100.2" customHeight="1" thickTop="1" thickBot="1">
      <c r="A322" s="4">
        <v>320</v>
      </c>
      <c r="B322" s="52" t="s">
        <v>2036</v>
      </c>
      <c r="C322" s="3" t="s">
        <v>394</v>
      </c>
      <c r="D322" s="3" t="s">
        <v>395</v>
      </c>
      <c r="E322" s="4" t="s">
        <v>21</v>
      </c>
      <c r="F322" s="43" t="s">
        <v>2002</v>
      </c>
      <c r="G322" s="4" t="s">
        <v>2037</v>
      </c>
      <c r="H322" s="43" t="s">
        <v>1933</v>
      </c>
      <c r="I322" s="4"/>
      <c r="J322" s="26" t="s">
        <v>1752</v>
      </c>
      <c r="K322" s="27" t="s">
        <v>13</v>
      </c>
      <c r="L322" s="2" t="s">
        <v>2038</v>
      </c>
      <c r="M322" s="24"/>
      <c r="N322" s="4"/>
    </row>
    <row r="323" spans="1:14" ht="100.2" customHeight="1" thickTop="1" thickBot="1">
      <c r="A323" s="31">
        <v>321</v>
      </c>
      <c r="B323" s="52" t="s">
        <v>2039</v>
      </c>
      <c r="C323" s="3" t="s">
        <v>394</v>
      </c>
      <c r="D323" s="3" t="s">
        <v>395</v>
      </c>
      <c r="E323" s="4" t="s">
        <v>21</v>
      </c>
      <c r="F323" s="43" t="s">
        <v>2040</v>
      </c>
      <c r="G323" s="4" t="s">
        <v>755</v>
      </c>
      <c r="H323" s="43" t="s">
        <v>2041</v>
      </c>
      <c r="I323" s="4"/>
      <c r="J323" s="26" t="s">
        <v>1752</v>
      </c>
      <c r="K323" s="27" t="s">
        <v>13</v>
      </c>
      <c r="L323" s="2" t="s">
        <v>2042</v>
      </c>
      <c r="M323" s="24"/>
      <c r="N323" s="29"/>
    </row>
    <row r="324" spans="1:14" ht="100.2" customHeight="1" thickTop="1" thickBot="1">
      <c r="A324" s="4">
        <v>322</v>
      </c>
      <c r="B324" s="52" t="s">
        <v>2039</v>
      </c>
      <c r="C324" s="3" t="s">
        <v>394</v>
      </c>
      <c r="D324" s="3" t="s">
        <v>395</v>
      </c>
      <c r="E324" s="4" t="s">
        <v>21</v>
      </c>
      <c r="F324" s="43" t="s">
        <v>1789</v>
      </c>
      <c r="G324" s="4" t="s">
        <v>797</v>
      </c>
      <c r="H324" s="43" t="s">
        <v>2041</v>
      </c>
      <c r="I324" s="4"/>
      <c r="J324" s="26" t="s">
        <v>1752</v>
      </c>
      <c r="K324" s="27" t="s">
        <v>13</v>
      </c>
      <c r="L324" s="2" t="s">
        <v>2043</v>
      </c>
      <c r="M324" s="24"/>
      <c r="N324" s="29"/>
    </row>
    <row r="325" spans="1:14" ht="100.2" customHeight="1" thickTop="1" thickBot="1">
      <c r="A325" s="31">
        <v>323</v>
      </c>
      <c r="B325" s="52" t="s">
        <v>2044</v>
      </c>
      <c r="C325" s="3" t="s">
        <v>394</v>
      </c>
      <c r="D325" s="3" t="s">
        <v>395</v>
      </c>
      <c r="E325" s="4" t="s">
        <v>21</v>
      </c>
      <c r="F325" s="43" t="s">
        <v>2045</v>
      </c>
      <c r="G325" s="4" t="s">
        <v>446</v>
      </c>
      <c r="H325" s="43" t="s">
        <v>2046</v>
      </c>
      <c r="I325" s="4"/>
      <c r="J325" s="26" t="s">
        <v>1752</v>
      </c>
      <c r="K325" s="27" t="s">
        <v>13</v>
      </c>
      <c r="L325" s="2" t="s">
        <v>2047</v>
      </c>
      <c r="M325" s="24"/>
      <c r="N325" s="29"/>
    </row>
    <row r="326" spans="1:14" ht="100.2" customHeight="1" thickTop="1" thickBot="1">
      <c r="A326" s="4">
        <v>324</v>
      </c>
      <c r="B326" s="52" t="s">
        <v>2048</v>
      </c>
      <c r="C326" s="3" t="s">
        <v>394</v>
      </c>
      <c r="D326" s="3" t="s">
        <v>395</v>
      </c>
      <c r="E326" s="4" t="s">
        <v>21</v>
      </c>
      <c r="F326" s="43" t="s">
        <v>1780</v>
      </c>
      <c r="G326" s="4" t="s">
        <v>1865</v>
      </c>
      <c r="H326" s="43" t="s">
        <v>2049</v>
      </c>
      <c r="I326" s="4"/>
      <c r="J326" s="26" t="s">
        <v>1752</v>
      </c>
      <c r="K326" s="27" t="s">
        <v>13</v>
      </c>
      <c r="L326" s="2" t="s">
        <v>2050</v>
      </c>
      <c r="M326" s="24"/>
      <c r="N326" s="29"/>
    </row>
    <row r="327" spans="1:14" ht="100.2" customHeight="1" thickTop="1" thickBot="1">
      <c r="A327" s="31">
        <v>325</v>
      </c>
      <c r="B327" s="52" t="s">
        <v>2051</v>
      </c>
      <c r="C327" s="3" t="s">
        <v>394</v>
      </c>
      <c r="D327" s="3" t="s">
        <v>395</v>
      </c>
      <c r="E327" s="4" t="s">
        <v>21</v>
      </c>
      <c r="F327" s="43" t="s">
        <v>1855</v>
      </c>
      <c r="G327" s="4" t="s">
        <v>446</v>
      </c>
      <c r="H327" s="43" t="s">
        <v>2031</v>
      </c>
      <c r="I327" s="4"/>
      <c r="J327" s="26" t="s">
        <v>1752</v>
      </c>
      <c r="K327" s="27" t="s">
        <v>13</v>
      </c>
      <c r="L327" s="2" t="s">
        <v>2052</v>
      </c>
      <c r="M327" s="24"/>
      <c r="N327" s="29"/>
    </row>
    <row r="328" spans="1:14" ht="100.2" customHeight="1" thickTop="1" thickBot="1">
      <c r="A328" s="4">
        <v>326</v>
      </c>
      <c r="B328" s="52" t="s">
        <v>2053</v>
      </c>
      <c r="C328" s="3" t="s">
        <v>394</v>
      </c>
      <c r="D328" s="3" t="s">
        <v>395</v>
      </c>
      <c r="E328" s="4" t="s">
        <v>21</v>
      </c>
      <c r="F328" s="43" t="s">
        <v>1756</v>
      </c>
      <c r="G328" s="4" t="s">
        <v>446</v>
      </c>
      <c r="H328" s="43" t="s">
        <v>2031</v>
      </c>
      <c r="I328" s="4"/>
      <c r="J328" s="26" t="s">
        <v>1752</v>
      </c>
      <c r="K328" s="27" t="s">
        <v>13</v>
      </c>
      <c r="L328" s="2" t="s">
        <v>2052</v>
      </c>
      <c r="M328" s="24"/>
      <c r="N328" s="29"/>
    </row>
    <row r="329" spans="1:14" ht="100.2" customHeight="1" thickTop="1" thickBot="1">
      <c r="A329" s="31">
        <v>327</v>
      </c>
      <c r="B329" s="52" t="s">
        <v>2054</v>
      </c>
      <c r="C329" s="3" t="s">
        <v>394</v>
      </c>
      <c r="D329" s="3" t="s">
        <v>395</v>
      </c>
      <c r="E329" s="4" t="s">
        <v>21</v>
      </c>
      <c r="F329" s="43" t="s">
        <v>1780</v>
      </c>
      <c r="G329" s="4" t="s">
        <v>446</v>
      </c>
      <c r="H329" s="43" t="s">
        <v>2041</v>
      </c>
      <c r="I329" s="4"/>
      <c r="J329" s="26" t="s">
        <v>1752</v>
      </c>
      <c r="K329" s="27" t="s">
        <v>13</v>
      </c>
      <c r="L329" s="2" t="s">
        <v>2055</v>
      </c>
      <c r="M329" s="24"/>
      <c r="N329" s="29"/>
    </row>
    <row r="330" spans="1:14" ht="100.2" customHeight="1" thickTop="1" thickBot="1">
      <c r="A330" s="4">
        <v>328</v>
      </c>
      <c r="B330" s="52" t="s">
        <v>2056</v>
      </c>
      <c r="C330" s="3" t="s">
        <v>394</v>
      </c>
      <c r="D330" s="3" t="s">
        <v>34</v>
      </c>
      <c r="E330" s="4" t="s">
        <v>22</v>
      </c>
      <c r="F330" s="43" t="s">
        <v>1861</v>
      </c>
      <c r="G330" s="4" t="s">
        <v>449</v>
      </c>
      <c r="H330" s="43" t="s">
        <v>2057</v>
      </c>
      <c r="I330" s="4"/>
      <c r="J330" s="26" t="s">
        <v>1752</v>
      </c>
      <c r="K330" s="27" t="s">
        <v>13</v>
      </c>
      <c r="L330" s="2" t="s">
        <v>2058</v>
      </c>
      <c r="M330" s="24"/>
      <c r="N330" s="29"/>
    </row>
    <row r="331" spans="1:14" ht="100.2" customHeight="1" thickTop="1" thickBot="1">
      <c r="A331" s="31">
        <v>329</v>
      </c>
      <c r="B331" s="52" t="s">
        <v>2059</v>
      </c>
      <c r="C331" s="3" t="s">
        <v>394</v>
      </c>
      <c r="D331" s="3" t="s">
        <v>34</v>
      </c>
      <c r="E331" s="4" t="s">
        <v>22</v>
      </c>
      <c r="F331" s="43" t="s">
        <v>1750</v>
      </c>
      <c r="G331" s="4" t="s">
        <v>1826</v>
      </c>
      <c r="H331" s="43" t="s">
        <v>2060</v>
      </c>
      <c r="I331" s="4"/>
      <c r="J331" s="26" t="s">
        <v>1752</v>
      </c>
      <c r="K331" s="27" t="s">
        <v>13</v>
      </c>
      <c r="L331" s="2" t="s">
        <v>2058</v>
      </c>
      <c r="M331" s="24"/>
      <c r="N331" s="29"/>
    </row>
    <row r="332" spans="1:14" ht="100.2" customHeight="1" thickTop="1" thickBot="1">
      <c r="A332" s="4">
        <v>330</v>
      </c>
      <c r="B332" s="52" t="s">
        <v>2059</v>
      </c>
      <c r="C332" s="3" t="s">
        <v>394</v>
      </c>
      <c r="D332" s="3" t="s">
        <v>34</v>
      </c>
      <c r="E332" s="4" t="s">
        <v>22</v>
      </c>
      <c r="F332" s="43" t="s">
        <v>1966</v>
      </c>
      <c r="G332" s="4" t="s">
        <v>1826</v>
      </c>
      <c r="H332" s="43" t="s">
        <v>2060</v>
      </c>
      <c r="I332" s="4"/>
      <c r="J332" s="26" t="s">
        <v>1752</v>
      </c>
      <c r="K332" s="27" t="s">
        <v>13</v>
      </c>
      <c r="L332" s="2" t="s">
        <v>2061</v>
      </c>
      <c r="M332" s="24"/>
      <c r="N332" s="29"/>
    </row>
    <row r="333" spans="1:14" ht="100.2" customHeight="1" thickTop="1" thickBot="1">
      <c r="A333" s="31">
        <v>331</v>
      </c>
      <c r="B333" s="52" t="s">
        <v>2062</v>
      </c>
      <c r="C333" s="3" t="s">
        <v>394</v>
      </c>
      <c r="D333" s="3" t="s">
        <v>34</v>
      </c>
      <c r="E333" s="4" t="s">
        <v>22</v>
      </c>
      <c r="F333" s="43" t="s">
        <v>1070</v>
      </c>
      <c r="G333" s="4" t="s">
        <v>449</v>
      </c>
      <c r="H333" s="43" t="s">
        <v>2063</v>
      </c>
      <c r="I333" s="4"/>
      <c r="J333" s="26" t="s">
        <v>1752</v>
      </c>
      <c r="K333" s="27" t="s">
        <v>13</v>
      </c>
      <c r="L333" s="2" t="s">
        <v>2058</v>
      </c>
      <c r="M333" s="24"/>
      <c r="N333" s="29"/>
    </row>
    <row r="334" spans="1:14" ht="100.2" customHeight="1" thickTop="1" thickBot="1">
      <c r="A334" s="4">
        <v>332</v>
      </c>
      <c r="B334" s="52" t="s">
        <v>2064</v>
      </c>
      <c r="C334" s="3" t="s">
        <v>394</v>
      </c>
      <c r="D334" s="3" t="s">
        <v>34</v>
      </c>
      <c r="E334" s="4" t="s">
        <v>22</v>
      </c>
      <c r="F334" s="43" t="s">
        <v>502</v>
      </c>
      <c r="G334" s="4" t="s">
        <v>770</v>
      </c>
      <c r="H334" s="43" t="s">
        <v>2065</v>
      </c>
      <c r="I334" s="4"/>
      <c r="J334" s="26" t="s">
        <v>1752</v>
      </c>
      <c r="K334" s="27" t="s">
        <v>13</v>
      </c>
      <c r="L334" s="2" t="s">
        <v>2061</v>
      </c>
      <c r="M334" s="24"/>
      <c r="N334" s="29"/>
    </row>
    <row r="335" spans="1:14" ht="100.2" customHeight="1" thickTop="1" thickBot="1">
      <c r="A335" s="31">
        <v>333</v>
      </c>
      <c r="B335" s="52" t="s">
        <v>2064</v>
      </c>
      <c r="C335" s="3" t="s">
        <v>394</v>
      </c>
      <c r="D335" s="3" t="s">
        <v>34</v>
      </c>
      <c r="E335" s="4" t="s">
        <v>22</v>
      </c>
      <c r="F335" s="43" t="s">
        <v>1861</v>
      </c>
      <c r="G335" s="4" t="s">
        <v>449</v>
      </c>
      <c r="H335" s="43" t="s">
        <v>2066</v>
      </c>
      <c r="I335" s="4"/>
      <c r="J335" s="26" t="s">
        <v>1752</v>
      </c>
      <c r="K335" s="27" t="s">
        <v>13</v>
      </c>
      <c r="L335" s="2" t="s">
        <v>2058</v>
      </c>
      <c r="M335" s="24"/>
      <c r="N335" s="29"/>
    </row>
    <row r="336" spans="1:14" ht="100.2" customHeight="1" thickTop="1" thickBot="1">
      <c r="A336" s="4">
        <v>334</v>
      </c>
      <c r="B336" s="52" t="s">
        <v>2067</v>
      </c>
      <c r="C336" s="3" t="s">
        <v>394</v>
      </c>
      <c r="D336" s="3" t="s">
        <v>34</v>
      </c>
      <c r="E336" s="4" t="s">
        <v>22</v>
      </c>
      <c r="F336" s="43" t="s">
        <v>1995</v>
      </c>
      <c r="G336" s="4" t="s">
        <v>449</v>
      </c>
      <c r="H336" s="43" t="s">
        <v>2068</v>
      </c>
      <c r="I336" s="4"/>
      <c r="J336" s="26" t="s">
        <v>1752</v>
      </c>
      <c r="K336" s="27" t="s">
        <v>13</v>
      </c>
      <c r="L336" s="2" t="s">
        <v>2061</v>
      </c>
      <c r="M336" s="24"/>
      <c r="N336" s="29"/>
    </row>
    <row r="337" spans="1:14" ht="100.2" customHeight="1" thickTop="1" thickBot="1">
      <c r="A337" s="31">
        <v>335</v>
      </c>
      <c r="B337" s="52" t="s">
        <v>2069</v>
      </c>
      <c r="C337" s="3" t="s">
        <v>394</v>
      </c>
      <c r="D337" s="3" t="s">
        <v>34</v>
      </c>
      <c r="E337" s="4" t="s">
        <v>22</v>
      </c>
      <c r="F337" s="43" t="s">
        <v>2002</v>
      </c>
      <c r="G337" s="4" t="s">
        <v>449</v>
      </c>
      <c r="H337" s="43" t="s">
        <v>2068</v>
      </c>
      <c r="I337" s="4"/>
      <c r="J337" s="26" t="s">
        <v>1752</v>
      </c>
      <c r="K337" s="27" t="s">
        <v>13</v>
      </c>
      <c r="L337" s="2" t="s">
        <v>2061</v>
      </c>
      <c r="M337" s="24"/>
      <c r="N337" s="29"/>
    </row>
    <row r="338" spans="1:14" ht="100.2" customHeight="1" thickTop="1" thickBot="1">
      <c r="A338" s="4">
        <v>336</v>
      </c>
      <c r="B338" s="52" t="s">
        <v>2070</v>
      </c>
      <c r="C338" s="3" t="s">
        <v>394</v>
      </c>
      <c r="D338" s="3" t="s">
        <v>34</v>
      </c>
      <c r="E338" s="4" t="s">
        <v>22</v>
      </c>
      <c r="F338" s="43" t="s">
        <v>2071</v>
      </c>
      <c r="G338" s="4" t="s">
        <v>2072</v>
      </c>
      <c r="H338" s="43" t="s">
        <v>2073</v>
      </c>
      <c r="I338" s="4"/>
      <c r="J338" s="26" t="s">
        <v>1752</v>
      </c>
      <c r="K338" s="27" t="s">
        <v>13</v>
      </c>
      <c r="L338" s="2" t="s">
        <v>2061</v>
      </c>
      <c r="M338" s="24"/>
      <c r="N338" s="29"/>
    </row>
    <row r="339" spans="1:14" ht="100.2" customHeight="1" thickTop="1" thickBot="1">
      <c r="A339" s="31">
        <v>337</v>
      </c>
      <c r="B339" s="52" t="s">
        <v>2070</v>
      </c>
      <c r="C339" s="3" t="s">
        <v>394</v>
      </c>
      <c r="D339" s="3" t="s">
        <v>34</v>
      </c>
      <c r="E339" s="4" t="s">
        <v>22</v>
      </c>
      <c r="F339" s="43" t="s">
        <v>2071</v>
      </c>
      <c r="G339" s="4" t="s">
        <v>2072</v>
      </c>
      <c r="H339" s="43" t="s">
        <v>2074</v>
      </c>
      <c r="I339" s="4"/>
      <c r="J339" s="26" t="s">
        <v>1752</v>
      </c>
      <c r="K339" s="27" t="s">
        <v>13</v>
      </c>
      <c r="L339" s="2" t="s">
        <v>2061</v>
      </c>
      <c r="M339" s="24"/>
      <c r="N339" s="29"/>
    </row>
    <row r="340" spans="1:14" ht="100.2" customHeight="1" thickTop="1" thickBot="1">
      <c r="A340" s="4">
        <v>338</v>
      </c>
      <c r="B340" s="52" t="s">
        <v>2070</v>
      </c>
      <c r="C340" s="3" t="s">
        <v>394</v>
      </c>
      <c r="D340" s="3" t="s">
        <v>34</v>
      </c>
      <c r="E340" s="4" t="s">
        <v>22</v>
      </c>
      <c r="F340" s="43" t="s">
        <v>2071</v>
      </c>
      <c r="G340" s="4" t="s">
        <v>2072</v>
      </c>
      <c r="H340" s="43" t="s">
        <v>2075</v>
      </c>
      <c r="I340" s="4"/>
      <c r="J340" s="26" t="s">
        <v>1752</v>
      </c>
      <c r="K340" s="27" t="s">
        <v>13</v>
      </c>
      <c r="L340" s="2" t="s">
        <v>2061</v>
      </c>
      <c r="M340" s="24"/>
      <c r="N340" s="29"/>
    </row>
    <row r="341" spans="1:14" ht="100.2" customHeight="1" thickTop="1" thickBot="1">
      <c r="A341" s="31">
        <v>339</v>
      </c>
      <c r="B341" s="52" t="s">
        <v>2076</v>
      </c>
      <c r="C341" s="3" t="s">
        <v>394</v>
      </c>
      <c r="D341" s="3" t="s">
        <v>34</v>
      </c>
      <c r="E341" s="4" t="s">
        <v>22</v>
      </c>
      <c r="F341" s="43" t="s">
        <v>2077</v>
      </c>
      <c r="G341" s="4" t="s">
        <v>784</v>
      </c>
      <c r="H341" s="43" t="s">
        <v>2078</v>
      </c>
      <c r="I341" s="4"/>
      <c r="J341" s="26" t="s">
        <v>1752</v>
      </c>
      <c r="K341" s="27" t="s">
        <v>13</v>
      </c>
      <c r="L341" s="2" t="s">
        <v>2061</v>
      </c>
      <c r="M341" s="24"/>
      <c r="N341" s="29"/>
    </row>
    <row r="342" spans="1:14" ht="100.2" customHeight="1" thickTop="1" thickBot="1">
      <c r="A342" s="4">
        <v>340</v>
      </c>
      <c r="B342" s="52" t="s">
        <v>2076</v>
      </c>
      <c r="C342" s="3" t="s">
        <v>394</v>
      </c>
      <c r="D342" s="3" t="s">
        <v>34</v>
      </c>
      <c r="E342" s="4" t="s">
        <v>22</v>
      </c>
      <c r="F342" s="43" t="s">
        <v>2071</v>
      </c>
      <c r="G342" s="4" t="s">
        <v>2072</v>
      </c>
      <c r="H342" s="43" t="s">
        <v>2079</v>
      </c>
      <c r="I342" s="4"/>
      <c r="J342" s="26" t="s">
        <v>1752</v>
      </c>
      <c r="K342" s="27" t="s">
        <v>13</v>
      </c>
      <c r="L342" s="2" t="s">
        <v>2061</v>
      </c>
      <c r="M342" s="24"/>
      <c r="N342" s="29"/>
    </row>
    <row r="343" spans="1:14" ht="100.2" customHeight="1" thickTop="1" thickBot="1">
      <c r="A343" s="31">
        <v>341</v>
      </c>
      <c r="B343" s="52" t="s">
        <v>2080</v>
      </c>
      <c r="C343" s="3" t="s">
        <v>394</v>
      </c>
      <c r="D343" s="3" t="s">
        <v>34</v>
      </c>
      <c r="E343" s="4" t="s">
        <v>22</v>
      </c>
      <c r="F343" s="43" t="s">
        <v>2071</v>
      </c>
      <c r="G343" s="4" t="s">
        <v>2072</v>
      </c>
      <c r="H343" s="43" t="s">
        <v>2081</v>
      </c>
      <c r="I343" s="4"/>
      <c r="J343" s="26" t="s">
        <v>1752</v>
      </c>
      <c r="K343" s="27" t="s">
        <v>13</v>
      </c>
      <c r="L343" s="2" t="s">
        <v>2061</v>
      </c>
      <c r="M343" s="24"/>
      <c r="N343" s="29"/>
    </row>
    <row r="344" spans="1:14" ht="100.2" customHeight="1" thickTop="1" thickBot="1">
      <c r="A344" s="4">
        <v>342</v>
      </c>
      <c r="B344" s="52" t="s">
        <v>2080</v>
      </c>
      <c r="C344" s="3" t="s">
        <v>394</v>
      </c>
      <c r="D344" s="3" t="s">
        <v>34</v>
      </c>
      <c r="E344" s="4" t="s">
        <v>22</v>
      </c>
      <c r="F344" s="43" t="s">
        <v>2071</v>
      </c>
      <c r="G344" s="4" t="s">
        <v>2072</v>
      </c>
      <c r="H344" s="43" t="s">
        <v>2626</v>
      </c>
      <c r="I344" s="4"/>
      <c r="J344" s="26" t="s">
        <v>1752</v>
      </c>
      <c r="K344" s="27" t="s">
        <v>13</v>
      </c>
      <c r="L344" s="2" t="s">
        <v>2061</v>
      </c>
      <c r="M344" s="24"/>
      <c r="N344" s="29"/>
    </row>
    <row r="345" spans="1:14" ht="100.2" customHeight="1" thickTop="1" thickBot="1">
      <c r="A345" s="31">
        <v>343</v>
      </c>
      <c r="B345" s="52" t="s">
        <v>2082</v>
      </c>
      <c r="C345" s="3" t="s">
        <v>394</v>
      </c>
      <c r="D345" s="3" t="s">
        <v>34</v>
      </c>
      <c r="E345" s="4" t="s">
        <v>22</v>
      </c>
      <c r="F345" s="43" t="s">
        <v>2071</v>
      </c>
      <c r="G345" s="4" t="s">
        <v>2072</v>
      </c>
      <c r="H345" s="43" t="s">
        <v>2083</v>
      </c>
      <c r="I345" s="4"/>
      <c r="J345" s="26" t="s">
        <v>1752</v>
      </c>
      <c r="K345" s="27" t="s">
        <v>13</v>
      </c>
      <c r="L345" s="2" t="s">
        <v>2061</v>
      </c>
      <c r="M345" s="24"/>
      <c r="N345" s="29"/>
    </row>
    <row r="346" spans="1:14" ht="100.2" customHeight="1" thickTop="1" thickBot="1">
      <c r="A346" s="4">
        <v>344</v>
      </c>
      <c r="B346" s="52" t="s">
        <v>2082</v>
      </c>
      <c r="C346" s="3" t="s">
        <v>394</v>
      </c>
      <c r="D346" s="3" t="s">
        <v>34</v>
      </c>
      <c r="E346" s="4" t="s">
        <v>22</v>
      </c>
      <c r="F346" s="43" t="s">
        <v>1966</v>
      </c>
      <c r="G346" s="4" t="s">
        <v>2084</v>
      </c>
      <c r="H346" s="43" t="s">
        <v>2085</v>
      </c>
      <c r="I346" s="4"/>
      <c r="J346" s="26" t="s">
        <v>1752</v>
      </c>
      <c r="K346" s="27" t="s">
        <v>13</v>
      </c>
      <c r="L346" s="2" t="s">
        <v>2061</v>
      </c>
      <c r="M346" s="24"/>
      <c r="N346" s="29"/>
    </row>
    <row r="347" spans="1:14" ht="100.2" customHeight="1" thickTop="1" thickBot="1">
      <c r="A347" s="31">
        <v>345</v>
      </c>
      <c r="B347" s="52" t="s">
        <v>2086</v>
      </c>
      <c r="C347" s="3" t="s">
        <v>394</v>
      </c>
      <c r="D347" s="3" t="s">
        <v>34</v>
      </c>
      <c r="E347" s="4" t="s">
        <v>22</v>
      </c>
      <c r="F347" s="43" t="s">
        <v>2002</v>
      </c>
      <c r="G347" s="4" t="s">
        <v>1826</v>
      </c>
      <c r="H347" s="43" t="s">
        <v>2087</v>
      </c>
      <c r="I347" s="4"/>
      <c r="J347" s="26" t="s">
        <v>1752</v>
      </c>
      <c r="K347" s="27" t="s">
        <v>13</v>
      </c>
      <c r="L347" s="2" t="s">
        <v>2061</v>
      </c>
      <c r="M347" s="24"/>
      <c r="N347" s="29"/>
    </row>
    <row r="348" spans="1:14" ht="100.2" customHeight="1" thickTop="1" thickBot="1">
      <c r="A348" s="4">
        <v>346</v>
      </c>
      <c r="B348" s="52" t="s">
        <v>2088</v>
      </c>
      <c r="C348" s="3" t="s">
        <v>394</v>
      </c>
      <c r="D348" s="3" t="s">
        <v>34</v>
      </c>
      <c r="E348" s="4" t="s">
        <v>22</v>
      </c>
      <c r="F348" s="43" t="s">
        <v>1861</v>
      </c>
      <c r="G348" s="4" t="s">
        <v>1826</v>
      </c>
      <c r="H348" s="43" t="s">
        <v>2089</v>
      </c>
      <c r="I348" s="4"/>
      <c r="J348" s="26" t="s">
        <v>1752</v>
      </c>
      <c r="K348" s="27" t="s">
        <v>13</v>
      </c>
      <c r="L348" s="2" t="s">
        <v>2061</v>
      </c>
      <c r="M348" s="24"/>
      <c r="N348" s="29"/>
    </row>
    <row r="349" spans="1:14" ht="100.2" customHeight="1" thickTop="1" thickBot="1">
      <c r="A349" s="31">
        <v>347</v>
      </c>
      <c r="B349" s="52" t="s">
        <v>2088</v>
      </c>
      <c r="C349" s="3" t="s">
        <v>394</v>
      </c>
      <c r="D349" s="3" t="s">
        <v>34</v>
      </c>
      <c r="E349" s="4" t="s">
        <v>22</v>
      </c>
      <c r="F349" s="43" t="s">
        <v>1780</v>
      </c>
      <c r="G349" s="4" t="s">
        <v>1826</v>
      </c>
      <c r="H349" s="43" t="s">
        <v>2089</v>
      </c>
      <c r="I349" s="4"/>
      <c r="J349" s="26" t="s">
        <v>1752</v>
      </c>
      <c r="K349" s="27" t="s">
        <v>13</v>
      </c>
      <c r="L349" s="2" t="s">
        <v>2061</v>
      </c>
      <c r="M349" s="24"/>
      <c r="N349" s="29"/>
    </row>
    <row r="350" spans="1:14" ht="100.2" customHeight="1" thickTop="1" thickBot="1">
      <c r="A350" s="4">
        <v>348</v>
      </c>
      <c r="B350" s="52" t="s">
        <v>2088</v>
      </c>
      <c r="C350" s="3" t="s">
        <v>394</v>
      </c>
      <c r="D350" s="3" t="s">
        <v>34</v>
      </c>
      <c r="E350" s="4" t="s">
        <v>22</v>
      </c>
      <c r="F350" s="43" t="s">
        <v>1855</v>
      </c>
      <c r="G350" s="4" t="s">
        <v>1826</v>
      </c>
      <c r="H350" s="43" t="s">
        <v>2089</v>
      </c>
      <c r="I350" s="4"/>
      <c r="J350" s="26" t="s">
        <v>1752</v>
      </c>
      <c r="K350" s="27" t="s">
        <v>13</v>
      </c>
      <c r="L350" s="2" t="s">
        <v>2061</v>
      </c>
      <c r="M350" s="24"/>
      <c r="N350" s="29"/>
    </row>
    <row r="351" spans="1:14" ht="100.2" customHeight="1" thickTop="1" thickBot="1">
      <c r="A351" s="31">
        <v>349</v>
      </c>
      <c r="B351" s="52" t="s">
        <v>2090</v>
      </c>
      <c r="C351" s="3" t="s">
        <v>394</v>
      </c>
      <c r="D351" s="3" t="s">
        <v>34</v>
      </c>
      <c r="E351" s="4" t="s">
        <v>22</v>
      </c>
      <c r="F351" s="43" t="s">
        <v>1855</v>
      </c>
      <c r="G351" s="4" t="s">
        <v>2091</v>
      </c>
      <c r="H351" s="43" t="s">
        <v>2092</v>
      </c>
      <c r="I351" s="4"/>
      <c r="J351" s="26" t="s">
        <v>1752</v>
      </c>
      <c r="K351" s="27" t="s">
        <v>13</v>
      </c>
      <c r="L351" s="2" t="s">
        <v>2061</v>
      </c>
      <c r="M351" s="24"/>
      <c r="N351" s="29"/>
    </row>
    <row r="352" spans="1:14" ht="100.2" customHeight="1" thickTop="1" thickBot="1">
      <c r="A352" s="4">
        <v>350</v>
      </c>
      <c r="B352" s="52" t="s">
        <v>2093</v>
      </c>
      <c r="C352" s="3" t="s">
        <v>394</v>
      </c>
      <c r="D352" s="3" t="s">
        <v>34</v>
      </c>
      <c r="E352" s="4" t="s">
        <v>22</v>
      </c>
      <c r="F352" s="43" t="s">
        <v>1789</v>
      </c>
      <c r="G352" s="4" t="s">
        <v>1865</v>
      </c>
      <c r="H352" s="43" t="s">
        <v>2627</v>
      </c>
      <c r="I352" s="4"/>
      <c r="J352" s="26" t="s">
        <v>1752</v>
      </c>
      <c r="K352" s="27" t="s">
        <v>13</v>
      </c>
      <c r="L352" s="2" t="s">
        <v>2061</v>
      </c>
      <c r="M352" s="24"/>
      <c r="N352" s="29"/>
    </row>
    <row r="353" spans="1:14" ht="100.2" customHeight="1" thickTop="1" thickBot="1">
      <c r="A353" s="31">
        <v>351</v>
      </c>
      <c r="B353" s="52" t="s">
        <v>2094</v>
      </c>
      <c r="C353" s="3" t="s">
        <v>394</v>
      </c>
      <c r="D353" s="3" t="s">
        <v>34</v>
      </c>
      <c r="E353" s="4" t="s">
        <v>22</v>
      </c>
      <c r="F353" s="43" t="s">
        <v>1855</v>
      </c>
      <c r="G353" s="4" t="s">
        <v>439</v>
      </c>
      <c r="H353" s="43" t="s">
        <v>2628</v>
      </c>
      <c r="I353" s="4"/>
      <c r="J353" s="26" t="s">
        <v>1752</v>
      </c>
      <c r="K353" s="27" t="s">
        <v>13</v>
      </c>
      <c r="L353" s="2" t="s">
        <v>2061</v>
      </c>
      <c r="M353" s="24"/>
      <c r="N353" s="29"/>
    </row>
    <row r="354" spans="1:14" ht="100.2" customHeight="1" thickTop="1" thickBot="1">
      <c r="A354" s="4">
        <v>352</v>
      </c>
      <c r="B354" s="52" t="s">
        <v>2095</v>
      </c>
      <c r="C354" s="3" t="s">
        <v>394</v>
      </c>
      <c r="D354" s="3" t="s">
        <v>34</v>
      </c>
      <c r="E354" s="4" t="s">
        <v>22</v>
      </c>
      <c r="F354" s="43" t="s">
        <v>2629</v>
      </c>
      <c r="G354" s="4" t="s">
        <v>1826</v>
      </c>
      <c r="H354" s="43" t="s">
        <v>2096</v>
      </c>
      <c r="I354" s="4"/>
      <c r="J354" s="26" t="s">
        <v>1752</v>
      </c>
      <c r="K354" s="27" t="s">
        <v>13</v>
      </c>
      <c r="L354" s="2" t="s">
        <v>2061</v>
      </c>
      <c r="M354" s="24"/>
      <c r="N354" s="29"/>
    </row>
    <row r="355" spans="1:14" ht="100.2" customHeight="1" thickTop="1" thickBot="1">
      <c r="A355" s="31">
        <v>353</v>
      </c>
      <c r="B355" s="52" t="s">
        <v>2095</v>
      </c>
      <c r="C355" s="3" t="s">
        <v>394</v>
      </c>
      <c r="D355" s="3" t="s">
        <v>34</v>
      </c>
      <c r="E355" s="4" t="s">
        <v>22</v>
      </c>
      <c r="F355" s="43" t="s">
        <v>59</v>
      </c>
      <c r="G355" s="4" t="s">
        <v>2097</v>
      </c>
      <c r="H355" s="43" t="s">
        <v>2630</v>
      </c>
      <c r="I355" s="4"/>
      <c r="J355" s="26" t="s">
        <v>1752</v>
      </c>
      <c r="K355" s="27" t="s">
        <v>13</v>
      </c>
      <c r="L355" s="2" t="s">
        <v>2061</v>
      </c>
      <c r="M355" s="24"/>
      <c r="N355" s="29"/>
    </row>
    <row r="356" spans="1:14" ht="100.2" customHeight="1" thickTop="1" thickBot="1">
      <c r="A356" s="4">
        <v>354</v>
      </c>
      <c r="B356" s="52" t="s">
        <v>2098</v>
      </c>
      <c r="C356" s="3" t="s">
        <v>394</v>
      </c>
      <c r="D356" s="3" t="s">
        <v>34</v>
      </c>
      <c r="E356" s="4" t="s">
        <v>22</v>
      </c>
      <c r="F356" s="43" t="s">
        <v>1766</v>
      </c>
      <c r="G356" s="4" t="s">
        <v>449</v>
      </c>
      <c r="H356" s="43" t="s">
        <v>2099</v>
      </c>
      <c r="I356" s="4"/>
      <c r="J356" s="26" t="s">
        <v>1752</v>
      </c>
      <c r="K356" s="27" t="s">
        <v>13</v>
      </c>
      <c r="L356" s="2" t="s">
        <v>2061</v>
      </c>
      <c r="M356" s="24"/>
      <c r="N356" s="29"/>
    </row>
    <row r="357" spans="1:14" ht="100.2" customHeight="1" thickTop="1" thickBot="1">
      <c r="A357" s="31">
        <v>355</v>
      </c>
      <c r="B357" s="52" t="s">
        <v>2100</v>
      </c>
      <c r="C357" s="3" t="s">
        <v>394</v>
      </c>
      <c r="D357" s="3" t="s">
        <v>34</v>
      </c>
      <c r="E357" s="4" t="s">
        <v>22</v>
      </c>
      <c r="F357" s="43" t="s">
        <v>1756</v>
      </c>
      <c r="G357" s="4" t="s">
        <v>1844</v>
      </c>
      <c r="H357" s="43" t="s">
        <v>2101</v>
      </c>
      <c r="I357" s="4"/>
      <c r="J357" s="26" t="s">
        <v>1752</v>
      </c>
      <c r="K357" s="27" t="s">
        <v>13</v>
      </c>
      <c r="L357" s="2" t="s">
        <v>2061</v>
      </c>
      <c r="M357" s="24"/>
      <c r="N357" s="29"/>
    </row>
    <row r="358" spans="1:14" ht="100.2" customHeight="1" thickTop="1" thickBot="1">
      <c r="A358" s="4">
        <v>356</v>
      </c>
      <c r="B358" s="52" t="s">
        <v>2100</v>
      </c>
      <c r="C358" s="3" t="s">
        <v>394</v>
      </c>
      <c r="D358" s="3" t="s">
        <v>34</v>
      </c>
      <c r="E358" s="4" t="s">
        <v>22</v>
      </c>
      <c r="F358" s="43" t="s">
        <v>1756</v>
      </c>
      <c r="G358" s="4" t="s">
        <v>439</v>
      </c>
      <c r="H358" s="43" t="s">
        <v>2102</v>
      </c>
      <c r="I358" s="4"/>
      <c r="J358" s="26" t="s">
        <v>1752</v>
      </c>
      <c r="K358" s="27" t="s">
        <v>13</v>
      </c>
      <c r="L358" s="2" t="s">
        <v>2061</v>
      </c>
      <c r="M358" s="24"/>
      <c r="N358" s="29"/>
    </row>
    <row r="359" spans="1:14" ht="100.2" customHeight="1" thickTop="1" thickBot="1">
      <c r="A359" s="31">
        <v>357</v>
      </c>
      <c r="B359" s="52" t="s">
        <v>2103</v>
      </c>
      <c r="C359" s="3" t="s">
        <v>394</v>
      </c>
      <c r="D359" s="3" t="s">
        <v>34</v>
      </c>
      <c r="E359" s="4" t="s">
        <v>22</v>
      </c>
      <c r="F359" s="43" t="s">
        <v>1750</v>
      </c>
      <c r="G359" s="4" t="s">
        <v>1844</v>
      </c>
      <c r="H359" s="43" t="s">
        <v>2631</v>
      </c>
      <c r="I359" s="4"/>
      <c r="J359" s="26" t="s">
        <v>1752</v>
      </c>
      <c r="K359" s="27" t="s">
        <v>13</v>
      </c>
      <c r="L359" s="2" t="s">
        <v>2061</v>
      </c>
      <c r="M359" s="24"/>
    </row>
    <row r="360" spans="1:14" ht="100.2" customHeight="1" thickTop="1" thickBot="1">
      <c r="A360" s="4">
        <v>358</v>
      </c>
      <c r="B360" s="52" t="s">
        <v>2103</v>
      </c>
      <c r="C360" s="3" t="s">
        <v>394</v>
      </c>
      <c r="D360" s="3" t="s">
        <v>34</v>
      </c>
      <c r="E360" s="4" t="s">
        <v>22</v>
      </c>
      <c r="F360" s="43" t="s">
        <v>59</v>
      </c>
      <c r="G360" s="4" t="s">
        <v>2104</v>
      </c>
      <c r="H360" s="43" t="s">
        <v>2632</v>
      </c>
      <c r="I360" s="4"/>
      <c r="J360" s="26" t="s">
        <v>1752</v>
      </c>
      <c r="K360" s="27" t="s">
        <v>13</v>
      </c>
      <c r="L360" s="2" t="s">
        <v>2061</v>
      </c>
      <c r="M360" s="24"/>
    </row>
    <row r="361" spans="1:14" ht="100.2" customHeight="1" thickTop="1" thickBot="1">
      <c r="A361" s="31">
        <v>359</v>
      </c>
      <c r="B361" s="52" t="s">
        <v>2105</v>
      </c>
      <c r="C361" s="3" t="s">
        <v>394</v>
      </c>
      <c r="D361" s="3" t="s">
        <v>34</v>
      </c>
      <c r="E361" s="4" t="s">
        <v>22</v>
      </c>
      <c r="F361" s="43" t="s">
        <v>1861</v>
      </c>
      <c r="G361" s="4" t="s">
        <v>2106</v>
      </c>
      <c r="H361" s="43" t="s">
        <v>2107</v>
      </c>
      <c r="I361" s="4"/>
      <c r="J361" s="26" t="s">
        <v>1752</v>
      </c>
      <c r="K361" s="27" t="s">
        <v>13</v>
      </c>
      <c r="L361" s="2" t="s">
        <v>2061</v>
      </c>
      <c r="M361" s="24"/>
    </row>
    <row r="362" spans="1:14" ht="100.2" customHeight="1" thickTop="1" thickBot="1">
      <c r="A362" s="4">
        <v>360</v>
      </c>
      <c r="B362" s="52" t="s">
        <v>2108</v>
      </c>
      <c r="C362" s="3" t="s">
        <v>394</v>
      </c>
      <c r="D362" s="3" t="s">
        <v>34</v>
      </c>
      <c r="E362" s="4" t="s">
        <v>22</v>
      </c>
      <c r="F362" s="43" t="s">
        <v>1966</v>
      </c>
      <c r="G362" s="4" t="s">
        <v>2109</v>
      </c>
      <c r="H362" s="43" t="s">
        <v>2633</v>
      </c>
      <c r="I362" s="4"/>
      <c r="J362" s="26" t="s">
        <v>1752</v>
      </c>
      <c r="K362" s="27" t="s">
        <v>13</v>
      </c>
      <c r="L362" s="2" t="s">
        <v>2061</v>
      </c>
      <c r="M362" s="24"/>
    </row>
    <row r="363" spans="1:14" ht="100.2" customHeight="1" thickTop="1" thickBot="1">
      <c r="A363" s="31">
        <v>361</v>
      </c>
      <c r="B363" s="52" t="s">
        <v>2110</v>
      </c>
      <c r="C363" s="3" t="s">
        <v>394</v>
      </c>
      <c r="D363" s="3" t="s">
        <v>1749</v>
      </c>
      <c r="E363" s="4" t="s">
        <v>21</v>
      </c>
      <c r="F363" s="43" t="s">
        <v>1780</v>
      </c>
      <c r="G363" s="4" t="s">
        <v>1761</v>
      </c>
      <c r="H363" s="43" t="s">
        <v>2111</v>
      </c>
      <c r="I363" s="4"/>
      <c r="J363" s="26" t="s">
        <v>15</v>
      </c>
      <c r="K363" s="27" t="s">
        <v>13</v>
      </c>
      <c r="L363" s="2" t="s">
        <v>2112</v>
      </c>
      <c r="M363" s="24"/>
    </row>
    <row r="364" spans="1:14" ht="100.2" customHeight="1" thickTop="1" thickBot="1">
      <c r="A364" s="4">
        <v>362</v>
      </c>
      <c r="B364" s="52" t="s">
        <v>2113</v>
      </c>
      <c r="C364" s="3" t="s">
        <v>394</v>
      </c>
      <c r="D364" s="3" t="s">
        <v>645</v>
      </c>
      <c r="E364" s="4" t="s">
        <v>22</v>
      </c>
      <c r="F364" s="43" t="s">
        <v>1855</v>
      </c>
      <c r="G364" s="4" t="s">
        <v>1826</v>
      </c>
      <c r="H364" s="43" t="s">
        <v>2114</v>
      </c>
      <c r="I364" s="4"/>
      <c r="J364" s="26" t="s">
        <v>15</v>
      </c>
      <c r="K364" s="27" t="s">
        <v>13</v>
      </c>
      <c r="L364" s="2" t="s">
        <v>2115</v>
      </c>
      <c r="M364" s="24"/>
    </row>
    <row r="365" spans="1:14" ht="100.2" customHeight="1" thickTop="1" thickBot="1">
      <c r="A365" s="31">
        <v>363</v>
      </c>
      <c r="B365" s="52" t="s">
        <v>2116</v>
      </c>
      <c r="C365" s="3" t="s">
        <v>394</v>
      </c>
      <c r="D365" s="3" t="s">
        <v>645</v>
      </c>
      <c r="E365" s="4" t="s">
        <v>22</v>
      </c>
      <c r="F365" s="43" t="s">
        <v>1855</v>
      </c>
      <c r="G365" s="4" t="s">
        <v>1826</v>
      </c>
      <c r="H365" s="43" t="s">
        <v>2117</v>
      </c>
      <c r="I365" s="4"/>
      <c r="J365" s="26" t="s">
        <v>15</v>
      </c>
      <c r="K365" s="27" t="s">
        <v>13</v>
      </c>
      <c r="L365" s="2" t="s">
        <v>2115</v>
      </c>
      <c r="M365" s="24"/>
    </row>
    <row r="366" spans="1:14" ht="100.2" customHeight="1" thickTop="1" thickBot="1">
      <c r="A366" s="4">
        <v>364</v>
      </c>
      <c r="B366" s="52" t="s">
        <v>2118</v>
      </c>
      <c r="C366" s="3" t="s">
        <v>394</v>
      </c>
      <c r="D366" s="3" t="s">
        <v>645</v>
      </c>
      <c r="E366" s="4" t="s">
        <v>22</v>
      </c>
      <c r="F366" s="43" t="s">
        <v>1855</v>
      </c>
      <c r="G366" s="4" t="s">
        <v>1826</v>
      </c>
      <c r="H366" s="43" t="s">
        <v>2119</v>
      </c>
      <c r="I366" s="4"/>
      <c r="J366" s="26" t="s">
        <v>15</v>
      </c>
      <c r="K366" s="27" t="s">
        <v>13</v>
      </c>
      <c r="L366" s="2" t="s">
        <v>2115</v>
      </c>
      <c r="M366" s="24"/>
    </row>
    <row r="367" spans="1:14" ht="100.2" customHeight="1" thickTop="1" thickBot="1">
      <c r="A367" s="31">
        <v>365</v>
      </c>
      <c r="B367" s="52" t="s">
        <v>2120</v>
      </c>
      <c r="C367" s="3" t="s">
        <v>394</v>
      </c>
      <c r="D367" s="3" t="s">
        <v>645</v>
      </c>
      <c r="E367" s="4" t="s">
        <v>22</v>
      </c>
      <c r="F367" s="43" t="s">
        <v>1855</v>
      </c>
      <c r="G367" s="4" t="s">
        <v>1826</v>
      </c>
      <c r="H367" s="43" t="s">
        <v>2634</v>
      </c>
      <c r="I367" s="4"/>
      <c r="J367" s="26" t="s">
        <v>15</v>
      </c>
      <c r="K367" s="27" t="s">
        <v>13</v>
      </c>
      <c r="L367" s="2" t="s">
        <v>2115</v>
      </c>
      <c r="M367" s="24"/>
    </row>
    <row r="368" spans="1:14" ht="100.2" customHeight="1" thickTop="1" thickBot="1">
      <c r="A368" s="4">
        <v>366</v>
      </c>
      <c r="B368" s="52" t="s">
        <v>2121</v>
      </c>
      <c r="C368" s="3" t="s">
        <v>394</v>
      </c>
      <c r="D368" s="3" t="s">
        <v>645</v>
      </c>
      <c r="E368" s="4" t="s">
        <v>22</v>
      </c>
      <c r="F368" s="43" t="s">
        <v>1855</v>
      </c>
      <c r="G368" s="4" t="s">
        <v>1826</v>
      </c>
      <c r="H368" s="43" t="s">
        <v>2635</v>
      </c>
      <c r="I368" s="4"/>
      <c r="J368" s="26" t="s">
        <v>15</v>
      </c>
      <c r="K368" s="27" t="s">
        <v>13</v>
      </c>
      <c r="L368" s="2" t="s">
        <v>2115</v>
      </c>
      <c r="M368" s="24"/>
    </row>
    <row r="369" spans="1:13" ht="100.2" customHeight="1" thickTop="1" thickBot="1">
      <c r="A369" s="31">
        <v>367</v>
      </c>
      <c r="B369" s="52" t="s">
        <v>2122</v>
      </c>
      <c r="C369" s="3" t="s">
        <v>394</v>
      </c>
      <c r="D369" s="3" t="s">
        <v>645</v>
      </c>
      <c r="E369" s="4" t="s">
        <v>22</v>
      </c>
      <c r="F369" s="43" t="s">
        <v>1855</v>
      </c>
      <c r="G369" s="4" t="s">
        <v>1826</v>
      </c>
      <c r="H369" s="43" t="s">
        <v>2123</v>
      </c>
      <c r="I369" s="4"/>
      <c r="J369" s="26" t="s">
        <v>15</v>
      </c>
      <c r="K369" s="27" t="s">
        <v>13</v>
      </c>
      <c r="L369" s="2" t="s">
        <v>2115</v>
      </c>
      <c r="M369" s="24"/>
    </row>
    <row r="370" spans="1:13" ht="100.2" customHeight="1" thickTop="1" thickBot="1">
      <c r="A370" s="4">
        <v>368</v>
      </c>
      <c r="B370" s="52" t="s">
        <v>2124</v>
      </c>
      <c r="C370" s="3" t="s">
        <v>394</v>
      </c>
      <c r="D370" s="3" t="s">
        <v>408</v>
      </c>
      <c r="E370" s="4" t="s">
        <v>22</v>
      </c>
      <c r="F370" s="43" t="s">
        <v>1756</v>
      </c>
      <c r="G370" s="4" t="s">
        <v>1816</v>
      </c>
      <c r="H370" s="43" t="s">
        <v>2125</v>
      </c>
      <c r="I370" s="4"/>
      <c r="J370" s="26" t="s">
        <v>15</v>
      </c>
      <c r="K370" s="27" t="s">
        <v>13</v>
      </c>
      <c r="L370" s="2" t="s">
        <v>2124</v>
      </c>
      <c r="M370" s="24"/>
    </row>
    <row r="371" spans="1:13" ht="100.2" customHeight="1" thickTop="1" thickBot="1">
      <c r="A371" s="31">
        <v>369</v>
      </c>
      <c r="B371" s="52" t="s">
        <v>1910</v>
      </c>
      <c r="C371" s="3" t="s">
        <v>394</v>
      </c>
      <c r="D371" s="3" t="s">
        <v>395</v>
      </c>
      <c r="E371" s="4" t="s">
        <v>21</v>
      </c>
      <c r="F371" s="43" t="s">
        <v>1750</v>
      </c>
      <c r="G371" s="4" t="s">
        <v>1865</v>
      </c>
      <c r="H371" s="43" t="s">
        <v>2126</v>
      </c>
      <c r="I371" s="4"/>
      <c r="J371" s="26" t="s">
        <v>15</v>
      </c>
      <c r="K371" s="27" t="s">
        <v>13</v>
      </c>
      <c r="L371" s="2" t="s">
        <v>2127</v>
      </c>
      <c r="M371" s="24"/>
    </row>
    <row r="372" spans="1:13" ht="100.2" customHeight="1" thickTop="1" thickBot="1">
      <c r="A372" s="4">
        <v>370</v>
      </c>
      <c r="B372" s="52" t="s">
        <v>2128</v>
      </c>
      <c r="C372" s="3" t="s">
        <v>394</v>
      </c>
      <c r="D372" s="3" t="s">
        <v>395</v>
      </c>
      <c r="E372" s="4" t="s">
        <v>21</v>
      </c>
      <c r="F372" s="43" t="s">
        <v>1995</v>
      </c>
      <c r="G372" s="4" t="s">
        <v>439</v>
      </c>
      <c r="H372" s="43" t="s">
        <v>2129</v>
      </c>
      <c r="I372" s="4"/>
      <c r="J372" s="26" t="s">
        <v>15</v>
      </c>
      <c r="K372" s="27" t="s">
        <v>13</v>
      </c>
      <c r="L372" s="2" t="s">
        <v>2130</v>
      </c>
      <c r="M372" s="24"/>
    </row>
    <row r="373" spans="1:13" ht="100.2" customHeight="1" thickTop="1" thickBot="1">
      <c r="A373" s="31">
        <v>371</v>
      </c>
      <c r="B373" s="52" t="s">
        <v>2131</v>
      </c>
      <c r="C373" s="3" t="s">
        <v>394</v>
      </c>
      <c r="D373" s="3" t="s">
        <v>395</v>
      </c>
      <c r="E373" s="4" t="s">
        <v>21</v>
      </c>
      <c r="F373" s="43" t="s">
        <v>1897</v>
      </c>
      <c r="G373" s="4" t="s">
        <v>1865</v>
      </c>
      <c r="H373" s="43" t="s">
        <v>2132</v>
      </c>
      <c r="I373" s="4"/>
      <c r="J373" s="26" t="s">
        <v>15</v>
      </c>
      <c r="K373" s="27" t="s">
        <v>717</v>
      </c>
      <c r="L373" s="2" t="s">
        <v>2133</v>
      </c>
      <c r="M373" s="24" t="s">
        <v>2134</v>
      </c>
    </row>
    <row r="374" spans="1:13" ht="100.2" customHeight="1" thickTop="1" thickBot="1">
      <c r="A374" s="4">
        <v>372</v>
      </c>
      <c r="B374" s="52" t="s">
        <v>2135</v>
      </c>
      <c r="C374" s="3" t="s">
        <v>394</v>
      </c>
      <c r="D374" s="3" t="s">
        <v>395</v>
      </c>
      <c r="E374" s="4" t="s">
        <v>21</v>
      </c>
      <c r="F374" s="43" t="s">
        <v>1756</v>
      </c>
      <c r="G374" s="4" t="s">
        <v>1844</v>
      </c>
      <c r="H374" s="43" t="s">
        <v>2136</v>
      </c>
      <c r="I374" s="4"/>
      <c r="J374" s="26" t="s">
        <v>15</v>
      </c>
      <c r="K374" s="27" t="s">
        <v>13</v>
      </c>
      <c r="L374" s="2" t="s">
        <v>2137</v>
      </c>
      <c r="M374" s="24"/>
    </row>
    <row r="375" spans="1:13" ht="100.2" customHeight="1" thickTop="1" thickBot="1">
      <c r="A375" s="31">
        <v>373</v>
      </c>
      <c r="B375" s="52" t="s">
        <v>2138</v>
      </c>
      <c r="C375" s="3" t="s">
        <v>394</v>
      </c>
      <c r="D375" s="3" t="s">
        <v>395</v>
      </c>
      <c r="E375" s="4" t="s">
        <v>21</v>
      </c>
      <c r="F375" s="43" t="s">
        <v>1789</v>
      </c>
      <c r="G375" s="4" t="s">
        <v>1865</v>
      </c>
      <c r="H375" s="43" t="s">
        <v>2139</v>
      </c>
      <c r="I375" s="4"/>
      <c r="J375" s="26" t="s">
        <v>15</v>
      </c>
      <c r="K375" s="27" t="s">
        <v>717</v>
      </c>
      <c r="L375" s="2" t="s">
        <v>2140</v>
      </c>
      <c r="M375" s="24" t="s">
        <v>2134</v>
      </c>
    </row>
    <row r="376" spans="1:13" ht="100.2" customHeight="1" thickTop="1" thickBot="1">
      <c r="A376" s="4">
        <v>374</v>
      </c>
      <c r="B376" s="52" t="s">
        <v>2141</v>
      </c>
      <c r="C376" s="3" t="s">
        <v>394</v>
      </c>
      <c r="D376" s="3" t="s">
        <v>395</v>
      </c>
      <c r="E376" s="4" t="s">
        <v>21</v>
      </c>
      <c r="F376" s="43" t="s">
        <v>1756</v>
      </c>
      <c r="G376" s="4" t="s">
        <v>1844</v>
      </c>
      <c r="H376" s="43" t="s">
        <v>2142</v>
      </c>
      <c r="I376" s="4"/>
      <c r="J376" s="26" t="s">
        <v>15</v>
      </c>
      <c r="K376" s="27" t="s">
        <v>13</v>
      </c>
      <c r="L376" s="2" t="s">
        <v>2143</v>
      </c>
      <c r="M376" s="24"/>
    </row>
    <row r="377" spans="1:13" ht="100.2" customHeight="1" thickTop="1" thickBot="1">
      <c r="A377" s="31">
        <v>375</v>
      </c>
      <c r="B377" s="52" t="s">
        <v>2144</v>
      </c>
      <c r="C377" s="3" t="s">
        <v>394</v>
      </c>
      <c r="D377" s="3" t="s">
        <v>395</v>
      </c>
      <c r="E377" s="4" t="s">
        <v>21</v>
      </c>
      <c r="F377" s="43" t="s">
        <v>1789</v>
      </c>
      <c r="G377" s="4" t="s">
        <v>2636</v>
      </c>
      <c r="H377" s="43" t="s">
        <v>2145</v>
      </c>
      <c r="I377" s="4"/>
      <c r="J377" s="26" t="s">
        <v>15</v>
      </c>
      <c r="K377" s="27" t="s">
        <v>13</v>
      </c>
      <c r="L377" s="2" t="s">
        <v>2146</v>
      </c>
      <c r="M377" s="24"/>
    </row>
    <row r="378" spans="1:13" ht="100.2" customHeight="1" thickTop="1" thickBot="1">
      <c r="A378" s="4">
        <v>376</v>
      </c>
      <c r="B378" s="52" t="s">
        <v>2147</v>
      </c>
      <c r="C378" s="3" t="s">
        <v>394</v>
      </c>
      <c r="D378" s="3" t="s">
        <v>395</v>
      </c>
      <c r="E378" s="4" t="s">
        <v>21</v>
      </c>
      <c r="F378" s="43" t="s">
        <v>1861</v>
      </c>
      <c r="G378" s="4" t="s">
        <v>2148</v>
      </c>
      <c r="H378" s="43" t="s">
        <v>2149</v>
      </c>
      <c r="I378" s="4"/>
      <c r="J378" s="26" t="s">
        <v>15</v>
      </c>
      <c r="K378" s="27" t="s">
        <v>13</v>
      </c>
      <c r="L378" s="2" t="s">
        <v>2146</v>
      </c>
      <c r="M378" s="24"/>
    </row>
    <row r="379" spans="1:13" ht="100.2" customHeight="1" thickTop="1" thickBot="1">
      <c r="A379" s="31">
        <v>377</v>
      </c>
      <c r="B379" s="52" t="s">
        <v>2150</v>
      </c>
      <c r="C379" s="3" t="s">
        <v>394</v>
      </c>
      <c r="D379" s="3" t="s">
        <v>395</v>
      </c>
      <c r="E379" s="4" t="s">
        <v>21</v>
      </c>
      <c r="F379" s="43" t="s">
        <v>1861</v>
      </c>
      <c r="G379" s="4" t="s">
        <v>2636</v>
      </c>
      <c r="H379" s="43" t="s">
        <v>2145</v>
      </c>
      <c r="I379" s="4"/>
      <c r="J379" s="26" t="s">
        <v>15</v>
      </c>
      <c r="K379" s="27" t="s">
        <v>13</v>
      </c>
      <c r="L379" s="2" t="s">
        <v>2146</v>
      </c>
      <c r="M379" s="24"/>
    </row>
    <row r="380" spans="1:13" ht="100.2" customHeight="1" thickTop="1" thickBot="1">
      <c r="A380" s="4">
        <v>378</v>
      </c>
      <c r="B380" s="52" t="s">
        <v>2151</v>
      </c>
      <c r="C380" s="3" t="s">
        <v>394</v>
      </c>
      <c r="D380" s="3" t="s">
        <v>395</v>
      </c>
      <c r="E380" s="4" t="s">
        <v>21</v>
      </c>
      <c r="F380" s="43" t="s">
        <v>1995</v>
      </c>
      <c r="G380" s="4" t="s">
        <v>1844</v>
      </c>
      <c r="H380" s="43" t="s">
        <v>2152</v>
      </c>
      <c r="I380" s="4"/>
      <c r="J380" s="26" t="s">
        <v>15</v>
      </c>
      <c r="K380" s="27" t="s">
        <v>13</v>
      </c>
      <c r="L380" s="2" t="s">
        <v>2153</v>
      </c>
      <c r="M380" s="24"/>
    </row>
    <row r="381" spans="1:13" ht="100.2" customHeight="1" thickTop="1" thickBot="1">
      <c r="A381" s="31">
        <v>379</v>
      </c>
      <c r="B381" s="52" t="s">
        <v>2154</v>
      </c>
      <c r="C381" s="3" t="s">
        <v>394</v>
      </c>
      <c r="D381" s="3" t="s">
        <v>395</v>
      </c>
      <c r="E381" s="4" t="s">
        <v>21</v>
      </c>
      <c r="F381" s="43" t="s">
        <v>1966</v>
      </c>
      <c r="G381" s="4" t="s">
        <v>2028</v>
      </c>
      <c r="H381" s="43" t="s">
        <v>2155</v>
      </c>
      <c r="I381" s="4"/>
      <c r="J381" s="26" t="s">
        <v>15</v>
      </c>
      <c r="K381" s="27" t="s">
        <v>13</v>
      </c>
      <c r="L381" s="2" t="s">
        <v>2156</v>
      </c>
      <c r="M381" s="24"/>
    </row>
    <row r="382" spans="1:13" ht="100.2" customHeight="1" thickTop="1" thickBot="1">
      <c r="A382" s="4">
        <v>380</v>
      </c>
      <c r="B382" s="52" t="s">
        <v>2157</v>
      </c>
      <c r="C382" s="3" t="s">
        <v>394</v>
      </c>
      <c r="D382" s="3" t="s">
        <v>395</v>
      </c>
      <c r="E382" s="4" t="s">
        <v>21</v>
      </c>
      <c r="F382" s="43" t="s">
        <v>1756</v>
      </c>
      <c r="G382" s="4" t="s">
        <v>1844</v>
      </c>
      <c r="H382" s="43" t="s">
        <v>2158</v>
      </c>
      <c r="I382" s="4"/>
      <c r="J382" s="26" t="s">
        <v>15</v>
      </c>
      <c r="K382" s="27" t="s">
        <v>13</v>
      </c>
      <c r="L382" s="2" t="s">
        <v>2159</v>
      </c>
      <c r="M382" s="24"/>
    </row>
    <row r="383" spans="1:13" ht="100.2" customHeight="1" thickTop="1" thickBot="1">
      <c r="A383" s="31">
        <v>381</v>
      </c>
      <c r="B383" s="52" t="s">
        <v>2160</v>
      </c>
      <c r="C383" s="3" t="s">
        <v>394</v>
      </c>
      <c r="D383" s="3" t="s">
        <v>395</v>
      </c>
      <c r="E383" s="4" t="s">
        <v>21</v>
      </c>
      <c r="F383" s="43" t="s">
        <v>1995</v>
      </c>
      <c r="G383" s="4" t="s">
        <v>2161</v>
      </c>
      <c r="H383" s="43" t="s">
        <v>2162</v>
      </c>
      <c r="I383" s="4"/>
      <c r="J383" s="26" t="s">
        <v>15</v>
      </c>
      <c r="K383" s="27" t="s">
        <v>13</v>
      </c>
      <c r="L383" s="2" t="s">
        <v>2163</v>
      </c>
      <c r="M383" s="24"/>
    </row>
    <row r="384" spans="1:13" ht="100.2" customHeight="1" thickTop="1" thickBot="1">
      <c r="A384" s="4">
        <v>382</v>
      </c>
      <c r="B384" s="52" t="s">
        <v>2164</v>
      </c>
      <c r="C384" s="3" t="s">
        <v>394</v>
      </c>
      <c r="D384" s="3" t="s">
        <v>395</v>
      </c>
      <c r="E384" s="4" t="s">
        <v>21</v>
      </c>
      <c r="F384" s="43" t="s">
        <v>1897</v>
      </c>
      <c r="G384" s="4" t="s">
        <v>1865</v>
      </c>
      <c r="H384" s="43" t="s">
        <v>2165</v>
      </c>
      <c r="I384" s="4"/>
      <c r="J384" s="26" t="s">
        <v>15</v>
      </c>
      <c r="K384" s="27" t="s">
        <v>717</v>
      </c>
      <c r="L384" s="2" t="s">
        <v>2166</v>
      </c>
      <c r="M384" s="24" t="s">
        <v>2134</v>
      </c>
    </row>
    <row r="385" spans="1:13" ht="100.2" customHeight="1" thickTop="1" thickBot="1">
      <c r="A385" s="31">
        <v>383</v>
      </c>
      <c r="B385" s="52" t="s">
        <v>2167</v>
      </c>
      <c r="C385" s="3" t="s">
        <v>394</v>
      </c>
      <c r="D385" s="3" t="s">
        <v>395</v>
      </c>
      <c r="E385" s="4" t="s">
        <v>21</v>
      </c>
      <c r="F385" s="43" t="s">
        <v>1750</v>
      </c>
      <c r="G385" s="4" t="s">
        <v>1865</v>
      </c>
      <c r="H385" s="43" t="s">
        <v>2168</v>
      </c>
      <c r="I385" s="4"/>
      <c r="J385" s="26" t="s">
        <v>33</v>
      </c>
      <c r="K385" s="27" t="s">
        <v>17</v>
      </c>
      <c r="L385" s="2" t="s">
        <v>2169</v>
      </c>
      <c r="M385" s="24"/>
    </row>
    <row r="386" spans="1:13" ht="100.2" customHeight="1" thickTop="1" thickBot="1">
      <c r="A386" s="4">
        <v>384</v>
      </c>
      <c r="B386" s="52" t="s">
        <v>2170</v>
      </c>
      <c r="C386" s="3" t="s">
        <v>394</v>
      </c>
      <c r="D386" s="3" t="s">
        <v>1408</v>
      </c>
      <c r="E386" s="4" t="s">
        <v>22</v>
      </c>
      <c r="F386" s="43" t="s">
        <v>2637</v>
      </c>
      <c r="G386" s="4" t="s">
        <v>2171</v>
      </c>
      <c r="H386" s="43" t="s">
        <v>2172</v>
      </c>
      <c r="I386" s="4"/>
      <c r="J386" s="26" t="s">
        <v>16</v>
      </c>
      <c r="K386" s="27" t="s">
        <v>13</v>
      </c>
      <c r="L386" s="2" t="s">
        <v>2173</v>
      </c>
      <c r="M386" s="24"/>
    </row>
    <row r="387" spans="1:13" ht="100.2" customHeight="1" thickTop="1" thickBot="1">
      <c r="A387" s="31">
        <v>385</v>
      </c>
      <c r="B387" s="52" t="s">
        <v>2173</v>
      </c>
      <c r="C387" s="3" t="s">
        <v>394</v>
      </c>
      <c r="D387" s="3" t="s">
        <v>591</v>
      </c>
      <c r="E387" s="4" t="s">
        <v>22</v>
      </c>
      <c r="F387" s="43" t="s">
        <v>2638</v>
      </c>
      <c r="G387" s="4" t="s">
        <v>2174</v>
      </c>
      <c r="H387" s="43" t="s">
        <v>2172</v>
      </c>
      <c r="I387" s="4"/>
      <c r="J387" s="26" t="s">
        <v>16</v>
      </c>
      <c r="K387" s="27" t="s">
        <v>13</v>
      </c>
      <c r="L387" s="2" t="s">
        <v>2175</v>
      </c>
      <c r="M387" s="24"/>
    </row>
    <row r="388" spans="1:13" ht="100.2" customHeight="1" thickTop="1" thickBot="1">
      <c r="A388" s="4">
        <v>386</v>
      </c>
      <c r="B388" s="52" t="s">
        <v>2176</v>
      </c>
      <c r="C388" s="3" t="s">
        <v>394</v>
      </c>
      <c r="D388" s="3" t="s">
        <v>1749</v>
      </c>
      <c r="E388" s="4" t="s">
        <v>21</v>
      </c>
      <c r="F388" s="43" t="s">
        <v>1995</v>
      </c>
      <c r="G388" s="4" t="s">
        <v>1761</v>
      </c>
      <c r="H388" s="43" t="s">
        <v>2177</v>
      </c>
      <c r="I388" s="4"/>
      <c r="J388" s="26" t="s">
        <v>16</v>
      </c>
      <c r="K388" s="27" t="s">
        <v>13</v>
      </c>
      <c r="L388" s="2" t="s">
        <v>2178</v>
      </c>
      <c r="M388" s="24"/>
    </row>
    <row r="389" spans="1:13" ht="100.2" customHeight="1" thickTop="1" thickBot="1">
      <c r="A389" s="31">
        <v>387</v>
      </c>
      <c r="B389" s="52" t="s">
        <v>2179</v>
      </c>
      <c r="C389" s="3" t="s">
        <v>394</v>
      </c>
      <c r="D389" s="3" t="s">
        <v>1749</v>
      </c>
      <c r="E389" s="4" t="s">
        <v>21</v>
      </c>
      <c r="F389" s="43" t="s">
        <v>1855</v>
      </c>
      <c r="G389" s="4" t="s">
        <v>1761</v>
      </c>
      <c r="H389" s="43" t="s">
        <v>2180</v>
      </c>
      <c r="I389" s="4"/>
      <c r="J389" s="26" t="s">
        <v>16</v>
      </c>
      <c r="K389" s="27" t="s">
        <v>13</v>
      </c>
      <c r="L389" s="2" t="s">
        <v>2178</v>
      </c>
      <c r="M389" s="24"/>
    </row>
    <row r="390" spans="1:13" ht="100.2" customHeight="1" thickTop="1" thickBot="1">
      <c r="A390" s="4">
        <v>388</v>
      </c>
      <c r="B390" s="52" t="s">
        <v>2181</v>
      </c>
      <c r="C390" s="3" t="s">
        <v>394</v>
      </c>
      <c r="D390" s="3" t="s">
        <v>1749</v>
      </c>
      <c r="E390" s="4" t="s">
        <v>21</v>
      </c>
      <c r="F390" s="43" t="s">
        <v>1750</v>
      </c>
      <c r="G390" s="4" t="s">
        <v>1761</v>
      </c>
      <c r="H390" s="43" t="s">
        <v>889</v>
      </c>
      <c r="I390" s="4"/>
      <c r="J390" s="26" t="s">
        <v>16</v>
      </c>
      <c r="K390" s="27" t="s">
        <v>13</v>
      </c>
      <c r="L390" s="2" t="s">
        <v>2182</v>
      </c>
      <c r="M390" s="24"/>
    </row>
    <row r="391" spans="1:13" ht="100.2" customHeight="1" thickTop="1" thickBot="1">
      <c r="A391" s="31">
        <v>389</v>
      </c>
      <c r="B391" s="52" t="s">
        <v>2183</v>
      </c>
      <c r="C391" s="3" t="s">
        <v>394</v>
      </c>
      <c r="D391" s="3" t="s">
        <v>1749</v>
      </c>
      <c r="E391" s="4" t="s">
        <v>21</v>
      </c>
      <c r="F391" s="43" t="s">
        <v>2184</v>
      </c>
      <c r="G391" s="4" t="s">
        <v>1761</v>
      </c>
      <c r="H391" s="43" t="s">
        <v>2185</v>
      </c>
      <c r="I391" s="4"/>
      <c r="J391" s="26" t="s">
        <v>16</v>
      </c>
      <c r="K391" s="27" t="s">
        <v>13</v>
      </c>
      <c r="L391" s="2" t="s">
        <v>2186</v>
      </c>
      <c r="M391" s="24"/>
    </row>
    <row r="392" spans="1:13" ht="100.2" customHeight="1" thickTop="1" thickBot="1">
      <c r="A392" s="4">
        <v>390</v>
      </c>
      <c r="B392" s="52" t="s">
        <v>2187</v>
      </c>
      <c r="C392" s="3" t="s">
        <v>394</v>
      </c>
      <c r="D392" s="3" t="s">
        <v>1749</v>
      </c>
      <c r="E392" s="4" t="s">
        <v>21</v>
      </c>
      <c r="F392" s="43" t="s">
        <v>2002</v>
      </c>
      <c r="G392" s="4" t="s">
        <v>2188</v>
      </c>
      <c r="H392" s="43" t="s">
        <v>2189</v>
      </c>
      <c r="I392" s="4"/>
      <c r="J392" s="26" t="s">
        <v>16</v>
      </c>
      <c r="K392" s="27" t="s">
        <v>13</v>
      </c>
      <c r="L392" s="2" t="s">
        <v>2190</v>
      </c>
      <c r="M392" s="24"/>
    </row>
    <row r="393" spans="1:13" ht="100.2" customHeight="1" thickTop="1" thickBot="1">
      <c r="A393" s="31">
        <v>391</v>
      </c>
      <c r="B393" s="52" t="s">
        <v>2191</v>
      </c>
      <c r="C393" s="3" t="s">
        <v>394</v>
      </c>
      <c r="D393" s="3" t="s">
        <v>1749</v>
      </c>
      <c r="E393" s="4" t="s">
        <v>21</v>
      </c>
      <c r="F393" s="43" t="s">
        <v>2639</v>
      </c>
      <c r="G393" s="4" t="s">
        <v>2192</v>
      </c>
      <c r="H393" s="43" t="s">
        <v>2193</v>
      </c>
      <c r="I393" s="4"/>
      <c r="J393" s="26" t="s">
        <v>16</v>
      </c>
      <c r="K393" s="27" t="s">
        <v>13</v>
      </c>
      <c r="L393" s="2" t="s">
        <v>2191</v>
      </c>
      <c r="M393" s="24"/>
    </row>
    <row r="394" spans="1:13" ht="100.2" customHeight="1" thickTop="1" thickBot="1">
      <c r="A394" s="4">
        <v>392</v>
      </c>
      <c r="B394" s="52" t="s">
        <v>2194</v>
      </c>
      <c r="C394" s="3" t="s">
        <v>394</v>
      </c>
      <c r="D394" s="3" t="s">
        <v>1749</v>
      </c>
      <c r="E394" s="4" t="s">
        <v>21</v>
      </c>
      <c r="F394" s="43" t="s">
        <v>639</v>
      </c>
      <c r="G394" s="4" t="s">
        <v>639</v>
      </c>
      <c r="H394" s="43" t="s">
        <v>2195</v>
      </c>
      <c r="I394" s="4"/>
      <c r="J394" s="26" t="s">
        <v>16</v>
      </c>
      <c r="K394" s="27" t="s">
        <v>13</v>
      </c>
      <c r="L394" s="2" t="s">
        <v>2196</v>
      </c>
      <c r="M394" s="24"/>
    </row>
    <row r="395" spans="1:13" ht="100.2" customHeight="1" thickTop="1" thickBot="1">
      <c r="A395" s="31">
        <v>393</v>
      </c>
      <c r="B395" s="52" t="s">
        <v>2197</v>
      </c>
      <c r="C395" s="3" t="s">
        <v>394</v>
      </c>
      <c r="D395" s="3" t="s">
        <v>1749</v>
      </c>
      <c r="E395" s="4" t="s">
        <v>21</v>
      </c>
      <c r="F395" s="43" t="s">
        <v>1780</v>
      </c>
      <c r="G395" s="4" t="s">
        <v>1761</v>
      </c>
      <c r="H395" s="43" t="s">
        <v>611</v>
      </c>
      <c r="I395" s="4"/>
      <c r="J395" s="26" t="s">
        <v>16</v>
      </c>
      <c r="K395" s="27" t="s">
        <v>13</v>
      </c>
      <c r="L395" s="2" t="s">
        <v>2196</v>
      </c>
      <c r="M395" s="24"/>
    </row>
    <row r="396" spans="1:13" ht="100.2" customHeight="1" thickTop="1" thickBot="1">
      <c r="A396" s="4">
        <v>394</v>
      </c>
      <c r="B396" s="52" t="s">
        <v>2198</v>
      </c>
      <c r="C396" s="3" t="s">
        <v>394</v>
      </c>
      <c r="D396" s="3" t="s">
        <v>1749</v>
      </c>
      <c r="E396" s="4" t="s">
        <v>21</v>
      </c>
      <c r="F396" s="43" t="s">
        <v>1756</v>
      </c>
      <c r="G396" s="4" t="s">
        <v>1761</v>
      </c>
      <c r="H396" s="43" t="s">
        <v>2199</v>
      </c>
      <c r="I396" s="4"/>
      <c r="J396" s="26" t="s">
        <v>16</v>
      </c>
      <c r="K396" s="27" t="s">
        <v>13</v>
      </c>
      <c r="L396" s="2" t="s">
        <v>2196</v>
      </c>
      <c r="M396" s="24"/>
    </row>
    <row r="397" spans="1:13" ht="100.2" customHeight="1" thickTop="1" thickBot="1">
      <c r="A397" s="31">
        <v>395</v>
      </c>
      <c r="B397" s="52" t="s">
        <v>2200</v>
      </c>
      <c r="C397" s="3" t="s">
        <v>394</v>
      </c>
      <c r="D397" s="3" t="s">
        <v>1749</v>
      </c>
      <c r="E397" s="4" t="s">
        <v>21</v>
      </c>
      <c r="F397" s="43" t="s">
        <v>1750</v>
      </c>
      <c r="G397" s="4" t="s">
        <v>2201</v>
      </c>
      <c r="H397" s="43" t="s">
        <v>2202</v>
      </c>
      <c r="I397" s="4"/>
      <c r="J397" s="26" t="s">
        <v>16</v>
      </c>
      <c r="K397" s="27" t="s">
        <v>13</v>
      </c>
      <c r="L397" s="2" t="s">
        <v>2196</v>
      </c>
      <c r="M397" s="24"/>
    </row>
    <row r="398" spans="1:13" ht="100.2" customHeight="1" thickTop="1" thickBot="1">
      <c r="A398" s="4">
        <v>396</v>
      </c>
      <c r="B398" s="52" t="s">
        <v>2203</v>
      </c>
      <c r="C398" s="3" t="s">
        <v>394</v>
      </c>
      <c r="D398" s="3" t="s">
        <v>1749</v>
      </c>
      <c r="E398" s="4" t="s">
        <v>21</v>
      </c>
      <c r="F398" s="43" t="s">
        <v>1750</v>
      </c>
      <c r="G398" s="4" t="s">
        <v>1761</v>
      </c>
      <c r="H398" s="43" t="s">
        <v>2204</v>
      </c>
      <c r="I398" s="4"/>
      <c r="J398" s="26" t="s">
        <v>16</v>
      </c>
      <c r="K398" s="27" t="s">
        <v>13</v>
      </c>
      <c r="L398" s="2" t="s">
        <v>2205</v>
      </c>
      <c r="M398" s="24"/>
    </row>
    <row r="399" spans="1:13" ht="100.2" customHeight="1" thickTop="1" thickBot="1">
      <c r="A399" s="31">
        <v>397</v>
      </c>
      <c r="B399" s="52" t="s">
        <v>2206</v>
      </c>
      <c r="C399" s="3" t="s">
        <v>394</v>
      </c>
      <c r="D399" s="3" t="s">
        <v>1749</v>
      </c>
      <c r="E399" s="4" t="s">
        <v>21</v>
      </c>
      <c r="F399" s="43" t="s">
        <v>1750</v>
      </c>
      <c r="G399" s="4" t="s">
        <v>1761</v>
      </c>
      <c r="H399" s="43" t="s">
        <v>2640</v>
      </c>
      <c r="I399" s="4"/>
      <c r="J399" s="26" t="s">
        <v>16</v>
      </c>
      <c r="K399" s="27" t="s">
        <v>13</v>
      </c>
      <c r="L399" s="2" t="s">
        <v>2205</v>
      </c>
      <c r="M399" s="24"/>
    </row>
    <row r="400" spans="1:13" ht="100.2" customHeight="1" thickTop="1" thickBot="1">
      <c r="A400" s="4">
        <v>398</v>
      </c>
      <c r="B400" s="52" t="s">
        <v>2207</v>
      </c>
      <c r="C400" s="3" t="s">
        <v>394</v>
      </c>
      <c r="D400" s="3" t="s">
        <v>1749</v>
      </c>
      <c r="E400" s="4" t="s">
        <v>21</v>
      </c>
      <c r="F400" s="43" t="s">
        <v>2208</v>
      </c>
      <c r="G400" s="4" t="s">
        <v>1761</v>
      </c>
      <c r="H400" s="43" t="s">
        <v>2641</v>
      </c>
      <c r="I400" s="4"/>
      <c r="J400" s="26" t="s">
        <v>16</v>
      </c>
      <c r="K400" s="27" t="s">
        <v>13</v>
      </c>
      <c r="L400" s="2" t="s">
        <v>2205</v>
      </c>
      <c r="M400" s="24"/>
    </row>
    <row r="401" spans="1:13" ht="100.2" customHeight="1" thickTop="1" thickBot="1">
      <c r="A401" s="31">
        <v>399</v>
      </c>
      <c r="B401" s="52" t="s">
        <v>2209</v>
      </c>
      <c r="C401" s="3" t="s">
        <v>394</v>
      </c>
      <c r="D401" s="3" t="s">
        <v>1749</v>
      </c>
      <c r="E401" s="4" t="s">
        <v>21</v>
      </c>
      <c r="F401" s="43" t="s">
        <v>1756</v>
      </c>
      <c r="G401" s="4" t="s">
        <v>1816</v>
      </c>
      <c r="H401" s="43" t="s">
        <v>2210</v>
      </c>
      <c r="I401" s="4"/>
      <c r="J401" s="26" t="s">
        <v>16</v>
      </c>
      <c r="K401" s="27" t="s">
        <v>13</v>
      </c>
      <c r="L401" s="2" t="s">
        <v>2205</v>
      </c>
      <c r="M401" s="24"/>
    </row>
    <row r="402" spans="1:13" ht="100.2" customHeight="1" thickTop="1" thickBot="1">
      <c r="A402" s="4">
        <v>400</v>
      </c>
      <c r="B402" s="52" t="s">
        <v>2211</v>
      </c>
      <c r="C402" s="3" t="s">
        <v>394</v>
      </c>
      <c r="D402" s="3" t="s">
        <v>1749</v>
      </c>
      <c r="E402" s="4" t="s">
        <v>21</v>
      </c>
      <c r="F402" s="43" t="s">
        <v>2002</v>
      </c>
      <c r="G402" s="4" t="s">
        <v>2201</v>
      </c>
      <c r="H402" s="43" t="s">
        <v>2199</v>
      </c>
      <c r="I402" s="4"/>
      <c r="J402" s="26" t="s">
        <v>16</v>
      </c>
      <c r="K402" s="27" t="s">
        <v>13</v>
      </c>
      <c r="L402" s="2" t="s">
        <v>2205</v>
      </c>
      <c r="M402" s="24"/>
    </row>
    <row r="403" spans="1:13" ht="100.2" customHeight="1" thickTop="1" thickBot="1">
      <c r="A403" s="31">
        <v>401</v>
      </c>
      <c r="B403" s="52" t="s">
        <v>2212</v>
      </c>
      <c r="C403" s="3" t="s">
        <v>394</v>
      </c>
      <c r="D403" s="3" t="s">
        <v>1749</v>
      </c>
      <c r="E403" s="4" t="s">
        <v>21</v>
      </c>
      <c r="F403" s="43" t="s">
        <v>1756</v>
      </c>
      <c r="G403" s="4" t="s">
        <v>1761</v>
      </c>
      <c r="H403" s="43" t="s">
        <v>2213</v>
      </c>
      <c r="I403" s="4"/>
      <c r="J403" s="26" t="s">
        <v>16</v>
      </c>
      <c r="K403" s="27" t="s">
        <v>13</v>
      </c>
      <c r="L403" s="2" t="s">
        <v>2205</v>
      </c>
      <c r="M403" s="24"/>
    </row>
    <row r="404" spans="1:13" ht="100.2" customHeight="1" thickTop="1" thickBot="1">
      <c r="A404" s="4">
        <v>402</v>
      </c>
      <c r="B404" s="52" t="s">
        <v>2214</v>
      </c>
      <c r="C404" s="3" t="s">
        <v>394</v>
      </c>
      <c r="D404" s="3" t="s">
        <v>591</v>
      </c>
      <c r="E404" s="4" t="s">
        <v>22</v>
      </c>
      <c r="F404" s="43" t="s">
        <v>2215</v>
      </c>
      <c r="G404" s="4" t="s">
        <v>2216</v>
      </c>
      <c r="H404" s="43" t="s">
        <v>2217</v>
      </c>
      <c r="I404" s="4"/>
      <c r="J404" s="26" t="s">
        <v>16</v>
      </c>
      <c r="K404" s="27" t="s">
        <v>13</v>
      </c>
      <c r="L404" s="2" t="s">
        <v>2205</v>
      </c>
      <c r="M404" s="24"/>
    </row>
    <row r="405" spans="1:13" ht="100.2" customHeight="1" thickTop="1" thickBot="1">
      <c r="A405" s="31">
        <v>403</v>
      </c>
      <c r="B405" s="52" t="s">
        <v>2218</v>
      </c>
      <c r="C405" s="3" t="s">
        <v>394</v>
      </c>
      <c r="D405" s="3" t="s">
        <v>1408</v>
      </c>
      <c r="E405" s="4" t="s">
        <v>22</v>
      </c>
      <c r="F405" s="43" t="s">
        <v>2215</v>
      </c>
      <c r="G405" s="4" t="s">
        <v>2216</v>
      </c>
      <c r="H405" s="43" t="s">
        <v>2219</v>
      </c>
      <c r="I405" s="4"/>
      <c r="J405" s="26" t="s">
        <v>16</v>
      </c>
      <c r="K405" s="27" t="s">
        <v>13</v>
      </c>
      <c r="L405" s="2" t="s">
        <v>2205</v>
      </c>
      <c r="M405" s="24"/>
    </row>
    <row r="406" spans="1:13" ht="100.2" customHeight="1" thickTop="1" thickBot="1">
      <c r="A406" s="4">
        <v>404</v>
      </c>
      <c r="B406" s="52" t="s">
        <v>2220</v>
      </c>
      <c r="C406" s="3" t="s">
        <v>394</v>
      </c>
      <c r="D406" s="3" t="s">
        <v>1749</v>
      </c>
      <c r="E406" s="4" t="s">
        <v>21</v>
      </c>
      <c r="F406" s="43" t="s">
        <v>1855</v>
      </c>
      <c r="G406" s="4" t="s">
        <v>2201</v>
      </c>
      <c r="H406" s="43" t="s">
        <v>594</v>
      </c>
      <c r="I406" s="4"/>
      <c r="J406" s="26" t="s">
        <v>16</v>
      </c>
      <c r="K406" s="27" t="s">
        <v>13</v>
      </c>
      <c r="L406" s="2" t="s">
        <v>2205</v>
      </c>
      <c r="M406" s="24"/>
    </row>
    <row r="407" spans="1:13" ht="100.2" customHeight="1" thickTop="1" thickBot="1">
      <c r="A407" s="31">
        <v>405</v>
      </c>
      <c r="B407" s="52" t="s">
        <v>2221</v>
      </c>
      <c r="C407" s="3" t="s">
        <v>394</v>
      </c>
      <c r="D407" s="3" t="s">
        <v>1749</v>
      </c>
      <c r="E407" s="4" t="s">
        <v>21</v>
      </c>
      <c r="F407" s="43" t="s">
        <v>2637</v>
      </c>
      <c r="G407" s="4" t="s">
        <v>2216</v>
      </c>
      <c r="H407" s="43" t="s">
        <v>2222</v>
      </c>
      <c r="I407" s="4"/>
      <c r="J407" s="26" t="s">
        <v>16</v>
      </c>
      <c r="K407" s="27" t="s">
        <v>13</v>
      </c>
      <c r="L407" s="2" t="s">
        <v>2205</v>
      </c>
      <c r="M407" s="24"/>
    </row>
    <row r="408" spans="1:13" ht="100.2" customHeight="1" thickTop="1" thickBot="1">
      <c r="A408" s="4">
        <v>406</v>
      </c>
      <c r="B408" s="52" t="s">
        <v>2223</v>
      </c>
      <c r="C408" s="3" t="s">
        <v>394</v>
      </c>
      <c r="D408" s="3" t="s">
        <v>1749</v>
      </c>
      <c r="E408" s="4" t="s">
        <v>21</v>
      </c>
      <c r="F408" s="43" t="s">
        <v>1756</v>
      </c>
      <c r="G408" s="4" t="s">
        <v>1816</v>
      </c>
      <c r="H408" s="43" t="s">
        <v>567</v>
      </c>
      <c r="I408" s="4"/>
      <c r="J408" s="26" t="s">
        <v>16</v>
      </c>
      <c r="K408" s="27" t="s">
        <v>13</v>
      </c>
      <c r="L408" s="2" t="s">
        <v>2205</v>
      </c>
      <c r="M408" s="24"/>
    </row>
    <row r="409" spans="1:13" ht="100.2" customHeight="1" thickTop="1" thickBot="1">
      <c r="A409" s="31">
        <v>407</v>
      </c>
      <c r="B409" s="52" t="s">
        <v>2224</v>
      </c>
      <c r="C409" s="3" t="s">
        <v>394</v>
      </c>
      <c r="D409" s="3" t="s">
        <v>1749</v>
      </c>
      <c r="E409" s="4" t="s">
        <v>21</v>
      </c>
      <c r="F409" s="43" t="s">
        <v>2638</v>
      </c>
      <c r="G409" s="4" t="s">
        <v>2216</v>
      </c>
      <c r="H409" s="43" t="s">
        <v>2222</v>
      </c>
      <c r="I409" s="4" t="s">
        <v>2222</v>
      </c>
      <c r="J409" s="26" t="s">
        <v>16</v>
      </c>
      <c r="K409" s="27" t="s">
        <v>13</v>
      </c>
      <c r="L409" s="2" t="s">
        <v>2205</v>
      </c>
      <c r="M409" s="24"/>
    </row>
    <row r="410" spans="1:13" ht="100.2" customHeight="1" thickTop="1" thickBot="1">
      <c r="A410" s="4">
        <v>408</v>
      </c>
      <c r="B410" s="52" t="s">
        <v>2225</v>
      </c>
      <c r="C410" s="3" t="s">
        <v>394</v>
      </c>
      <c r="D410" s="3" t="s">
        <v>1749</v>
      </c>
      <c r="E410" s="4" t="s">
        <v>21</v>
      </c>
      <c r="F410" s="43" t="s">
        <v>1770</v>
      </c>
      <c r="G410" s="4" t="s">
        <v>2216</v>
      </c>
      <c r="H410" s="43" t="s">
        <v>2222</v>
      </c>
      <c r="I410" s="4"/>
      <c r="J410" s="26" t="s">
        <v>16</v>
      </c>
      <c r="K410" s="27" t="s">
        <v>13</v>
      </c>
      <c r="L410" s="2" t="s">
        <v>2205</v>
      </c>
      <c r="M410" s="24"/>
    </row>
    <row r="411" spans="1:13" ht="100.2" customHeight="1" thickTop="1" thickBot="1">
      <c r="A411" s="31">
        <v>409</v>
      </c>
      <c r="B411" s="52" t="s">
        <v>2226</v>
      </c>
      <c r="C411" s="3" t="s">
        <v>394</v>
      </c>
      <c r="D411" s="3" t="s">
        <v>1749</v>
      </c>
      <c r="E411" s="4" t="s">
        <v>21</v>
      </c>
      <c r="F411" s="43" t="s">
        <v>1795</v>
      </c>
      <c r="G411" s="4" t="s">
        <v>406</v>
      </c>
      <c r="H411" s="43" t="s">
        <v>2227</v>
      </c>
      <c r="I411" s="4"/>
      <c r="J411" s="26" t="s">
        <v>16</v>
      </c>
      <c r="K411" s="27" t="s">
        <v>13</v>
      </c>
      <c r="L411" s="2" t="s">
        <v>2228</v>
      </c>
      <c r="M411" s="24"/>
    </row>
    <row r="412" spans="1:13" ht="100.2" customHeight="1" thickTop="1" thickBot="1">
      <c r="A412" s="4">
        <v>410</v>
      </c>
      <c r="B412" s="52" t="s">
        <v>2229</v>
      </c>
      <c r="C412" s="3" t="s">
        <v>394</v>
      </c>
      <c r="D412" s="3" t="s">
        <v>1749</v>
      </c>
      <c r="E412" s="4" t="s">
        <v>21</v>
      </c>
      <c r="F412" s="43" t="s">
        <v>639</v>
      </c>
      <c r="G412" s="4" t="s">
        <v>1761</v>
      </c>
      <c r="H412" s="43" t="s">
        <v>2230</v>
      </c>
      <c r="I412" s="4"/>
      <c r="J412" s="26" t="s">
        <v>16</v>
      </c>
      <c r="K412" s="27" t="s">
        <v>13</v>
      </c>
      <c r="L412" s="2" t="s">
        <v>2231</v>
      </c>
      <c r="M412" s="24"/>
    </row>
    <row r="413" spans="1:13" ht="100.2" customHeight="1" thickTop="1" thickBot="1">
      <c r="A413" s="31">
        <v>411</v>
      </c>
      <c r="B413" s="52" t="s">
        <v>2232</v>
      </c>
      <c r="C413" s="3" t="s">
        <v>394</v>
      </c>
      <c r="D413" s="3" t="s">
        <v>1749</v>
      </c>
      <c r="E413" s="4" t="s">
        <v>21</v>
      </c>
      <c r="F413" s="43" t="s">
        <v>1780</v>
      </c>
      <c r="G413" s="4" t="s">
        <v>2233</v>
      </c>
      <c r="H413" s="43" t="s">
        <v>2234</v>
      </c>
      <c r="I413" s="4"/>
      <c r="J413" s="26" t="s">
        <v>16</v>
      </c>
      <c r="K413" s="27" t="s">
        <v>13</v>
      </c>
      <c r="L413" s="2" t="s">
        <v>2235</v>
      </c>
      <c r="M413" s="24"/>
    </row>
    <row r="414" spans="1:13" ht="100.2" customHeight="1" thickTop="1" thickBot="1">
      <c r="A414" s="4">
        <v>412</v>
      </c>
      <c r="B414" s="52" t="s">
        <v>2236</v>
      </c>
      <c r="C414" s="3" t="s">
        <v>394</v>
      </c>
      <c r="D414" s="3" t="s">
        <v>1408</v>
      </c>
      <c r="E414" s="4" t="s">
        <v>22</v>
      </c>
      <c r="F414" s="43" t="s">
        <v>1780</v>
      </c>
      <c r="G414" s="4" t="s">
        <v>1816</v>
      </c>
      <c r="H414" s="43" t="s">
        <v>2642</v>
      </c>
      <c r="I414" s="4"/>
      <c r="J414" s="26" t="s">
        <v>16</v>
      </c>
      <c r="K414" s="27" t="s">
        <v>13</v>
      </c>
      <c r="L414" s="2" t="s">
        <v>2237</v>
      </c>
      <c r="M414" s="24"/>
    </row>
    <row r="415" spans="1:13" ht="100.2" customHeight="1" thickTop="1" thickBot="1">
      <c r="A415" s="31">
        <v>413</v>
      </c>
      <c r="B415" s="52" t="s">
        <v>2238</v>
      </c>
      <c r="C415" s="3" t="s">
        <v>394</v>
      </c>
      <c r="D415" s="3" t="s">
        <v>1749</v>
      </c>
      <c r="E415" s="4" t="s">
        <v>21</v>
      </c>
      <c r="F415" s="43" t="s">
        <v>1780</v>
      </c>
      <c r="G415" s="4" t="s">
        <v>2239</v>
      </c>
      <c r="H415" s="43" t="s">
        <v>2240</v>
      </c>
      <c r="I415" s="4"/>
      <c r="J415" s="26" t="s">
        <v>16</v>
      </c>
      <c r="K415" s="27" t="s">
        <v>13</v>
      </c>
      <c r="L415" s="2" t="s">
        <v>2237</v>
      </c>
      <c r="M415" s="24"/>
    </row>
    <row r="416" spans="1:13" ht="100.2" customHeight="1" thickTop="1" thickBot="1">
      <c r="A416" s="4">
        <v>414</v>
      </c>
      <c r="B416" s="52" t="s">
        <v>2237</v>
      </c>
      <c r="C416" s="3" t="s">
        <v>394</v>
      </c>
      <c r="D416" s="3" t="s">
        <v>1749</v>
      </c>
      <c r="E416" s="4" t="s">
        <v>21</v>
      </c>
      <c r="F416" s="43" t="s">
        <v>508</v>
      </c>
      <c r="G416" s="4" t="s">
        <v>1761</v>
      </c>
      <c r="H416" s="43" t="s">
        <v>2241</v>
      </c>
      <c r="I416" s="4"/>
      <c r="J416" s="26" t="s">
        <v>16</v>
      </c>
      <c r="K416" s="27" t="s">
        <v>13</v>
      </c>
      <c r="L416" s="2" t="s">
        <v>2237</v>
      </c>
      <c r="M416" s="24"/>
    </row>
    <row r="417" spans="1:13" ht="100.2" customHeight="1" thickTop="1" thickBot="1">
      <c r="A417" s="31">
        <v>415</v>
      </c>
      <c r="B417" s="52" t="s">
        <v>2242</v>
      </c>
      <c r="C417" s="3" t="s">
        <v>394</v>
      </c>
      <c r="D417" s="3" t="s">
        <v>1749</v>
      </c>
      <c r="E417" s="4" t="s">
        <v>21</v>
      </c>
      <c r="F417" s="43" t="s">
        <v>1780</v>
      </c>
      <c r="G417" s="4" t="s">
        <v>2239</v>
      </c>
      <c r="H417" s="43" t="s">
        <v>2243</v>
      </c>
      <c r="I417" s="4"/>
      <c r="J417" s="26" t="s">
        <v>16</v>
      </c>
      <c r="K417" s="27" t="s">
        <v>13</v>
      </c>
      <c r="L417" s="2" t="s">
        <v>2244</v>
      </c>
      <c r="M417" s="24"/>
    </row>
    <row r="418" spans="1:13" ht="100.2" customHeight="1" thickTop="1" thickBot="1">
      <c r="A418" s="4">
        <v>416</v>
      </c>
      <c r="B418" s="52" t="s">
        <v>2245</v>
      </c>
      <c r="C418" s="3" t="s">
        <v>394</v>
      </c>
      <c r="D418" s="3" t="s">
        <v>1749</v>
      </c>
      <c r="E418" s="4" t="s">
        <v>21</v>
      </c>
      <c r="F418" s="43" t="s">
        <v>1750</v>
      </c>
      <c r="G418" s="4" t="s">
        <v>2201</v>
      </c>
      <c r="H418" s="43" t="s">
        <v>2246</v>
      </c>
      <c r="I418" s="4"/>
      <c r="J418" s="26" t="s">
        <v>16</v>
      </c>
      <c r="K418" s="27" t="s">
        <v>13</v>
      </c>
      <c r="L418" s="2" t="s">
        <v>2244</v>
      </c>
      <c r="M418" s="24"/>
    </row>
    <row r="419" spans="1:13" ht="100.2" customHeight="1" thickTop="1" thickBot="1">
      <c r="A419" s="31">
        <v>417</v>
      </c>
      <c r="B419" s="52" t="s">
        <v>2247</v>
      </c>
      <c r="C419" s="3" t="s">
        <v>394</v>
      </c>
      <c r="D419" s="3" t="s">
        <v>1408</v>
      </c>
      <c r="E419" s="4" t="s">
        <v>22</v>
      </c>
      <c r="F419" s="43" t="s">
        <v>1756</v>
      </c>
      <c r="G419" s="4" t="s">
        <v>1826</v>
      </c>
      <c r="H419" s="43" t="s">
        <v>2248</v>
      </c>
      <c r="I419" s="4"/>
      <c r="J419" s="26" t="s">
        <v>16</v>
      </c>
      <c r="K419" s="27" t="s">
        <v>13</v>
      </c>
      <c r="L419" s="2" t="s">
        <v>2124</v>
      </c>
      <c r="M419" s="24"/>
    </row>
    <row r="420" spans="1:13" ht="100.2" customHeight="1" thickTop="1" thickBot="1">
      <c r="A420" s="4">
        <v>418</v>
      </c>
      <c r="B420" s="52" t="s">
        <v>2249</v>
      </c>
      <c r="C420" s="3" t="s">
        <v>394</v>
      </c>
      <c r="D420" s="3" t="s">
        <v>1749</v>
      </c>
      <c r="E420" s="4" t="s">
        <v>21</v>
      </c>
      <c r="F420" s="43" t="s">
        <v>1780</v>
      </c>
      <c r="G420" s="4" t="s">
        <v>2250</v>
      </c>
      <c r="H420" s="43" t="s">
        <v>2643</v>
      </c>
      <c r="I420" s="4"/>
      <c r="J420" s="26" t="s">
        <v>16</v>
      </c>
      <c r="K420" s="27" t="s">
        <v>13</v>
      </c>
      <c r="L420" s="2" t="s">
        <v>2251</v>
      </c>
      <c r="M420" s="24"/>
    </row>
    <row r="421" spans="1:13" ht="100.2" customHeight="1" thickTop="1" thickBot="1">
      <c r="A421" s="31">
        <v>419</v>
      </c>
      <c r="B421" s="52" t="s">
        <v>2252</v>
      </c>
      <c r="C421" s="3" t="s">
        <v>394</v>
      </c>
      <c r="D421" s="3" t="s">
        <v>1749</v>
      </c>
      <c r="E421" s="4" t="s">
        <v>21</v>
      </c>
      <c r="F421" s="43" t="s">
        <v>1966</v>
      </c>
      <c r="G421" s="4" t="s">
        <v>1826</v>
      </c>
      <c r="H421" s="43" t="s">
        <v>2253</v>
      </c>
      <c r="I421" s="4"/>
      <c r="J421" s="26" t="s">
        <v>16</v>
      </c>
      <c r="K421" s="27" t="s">
        <v>13</v>
      </c>
      <c r="L421" s="2" t="s">
        <v>2254</v>
      </c>
      <c r="M421" s="24"/>
    </row>
    <row r="422" spans="1:13" ht="100.2" customHeight="1" thickTop="1" thickBot="1">
      <c r="A422" s="4">
        <v>420</v>
      </c>
      <c r="B422" s="52" t="s">
        <v>2255</v>
      </c>
      <c r="C422" s="3" t="s">
        <v>394</v>
      </c>
      <c r="D422" s="3" t="s">
        <v>1864</v>
      </c>
      <c r="E422" s="4" t="s">
        <v>21</v>
      </c>
      <c r="F422" s="43" t="s">
        <v>1780</v>
      </c>
      <c r="G422" s="4" t="s">
        <v>439</v>
      </c>
      <c r="H422" s="43" t="s">
        <v>2256</v>
      </c>
      <c r="I422" s="4"/>
      <c r="J422" s="26" t="s">
        <v>16</v>
      </c>
      <c r="K422" s="27" t="s">
        <v>13</v>
      </c>
      <c r="L422" s="2" t="s">
        <v>2257</v>
      </c>
      <c r="M422" s="24"/>
    </row>
    <row r="423" spans="1:13" ht="100.2" customHeight="1" thickTop="1" thickBot="1">
      <c r="A423" s="31">
        <v>421</v>
      </c>
      <c r="B423" s="52" t="s">
        <v>2255</v>
      </c>
      <c r="C423" s="3" t="s">
        <v>394</v>
      </c>
      <c r="D423" s="3" t="s">
        <v>1864</v>
      </c>
      <c r="E423" s="4" t="s">
        <v>21</v>
      </c>
      <c r="F423" s="43" t="s">
        <v>1780</v>
      </c>
      <c r="G423" s="4" t="s">
        <v>1865</v>
      </c>
      <c r="H423" s="43" t="s">
        <v>2258</v>
      </c>
      <c r="I423" s="4"/>
      <c r="J423" s="26" t="s">
        <v>16</v>
      </c>
      <c r="K423" s="27" t="s">
        <v>13</v>
      </c>
      <c r="L423" s="2" t="s">
        <v>2257</v>
      </c>
      <c r="M423" s="24"/>
    </row>
    <row r="424" spans="1:13" ht="100.2" customHeight="1" thickTop="1" thickBot="1">
      <c r="A424" s="4">
        <v>422</v>
      </c>
      <c r="B424" s="52" t="s">
        <v>2259</v>
      </c>
      <c r="C424" s="3" t="s">
        <v>394</v>
      </c>
      <c r="D424" s="3" t="s">
        <v>395</v>
      </c>
      <c r="E424" s="4" t="s">
        <v>21</v>
      </c>
      <c r="F424" s="43" t="s">
        <v>2260</v>
      </c>
      <c r="G424" s="4" t="s">
        <v>2261</v>
      </c>
      <c r="H424" s="43" t="s">
        <v>2262</v>
      </c>
      <c r="I424" s="4"/>
      <c r="J424" s="26" t="s">
        <v>16</v>
      </c>
      <c r="K424" s="27" t="s">
        <v>13</v>
      </c>
      <c r="L424" s="2" t="s">
        <v>2263</v>
      </c>
      <c r="M424" s="24"/>
    </row>
    <row r="425" spans="1:13" ht="100.2" customHeight="1" thickTop="1" thickBot="1">
      <c r="A425" s="31">
        <v>423</v>
      </c>
      <c r="B425" s="52" t="s">
        <v>2264</v>
      </c>
      <c r="C425" s="3" t="s">
        <v>394</v>
      </c>
      <c r="D425" s="3" t="s">
        <v>395</v>
      </c>
      <c r="E425" s="4" t="s">
        <v>21</v>
      </c>
      <c r="F425" s="43" t="s">
        <v>1995</v>
      </c>
      <c r="G425" s="4" t="s">
        <v>439</v>
      </c>
      <c r="H425" s="43" t="s">
        <v>2265</v>
      </c>
      <c r="I425" s="4"/>
      <c r="J425" s="26" t="s">
        <v>16</v>
      </c>
      <c r="K425" s="27" t="s">
        <v>13</v>
      </c>
      <c r="L425" s="2" t="s">
        <v>2266</v>
      </c>
      <c r="M425" s="24"/>
    </row>
    <row r="426" spans="1:13" ht="100.2" customHeight="1" thickTop="1" thickBot="1">
      <c r="A426" s="4">
        <v>424</v>
      </c>
      <c r="B426" s="52" t="s">
        <v>2267</v>
      </c>
      <c r="C426" s="3" t="s">
        <v>394</v>
      </c>
      <c r="D426" s="3" t="s">
        <v>395</v>
      </c>
      <c r="E426" s="4" t="s">
        <v>21</v>
      </c>
      <c r="F426" s="43" t="s">
        <v>2010</v>
      </c>
      <c r="G426" s="4" t="s">
        <v>1865</v>
      </c>
      <c r="H426" s="43" t="s">
        <v>2268</v>
      </c>
      <c r="I426" s="4"/>
      <c r="J426" s="26" t="s">
        <v>16</v>
      </c>
      <c r="K426" s="27" t="s">
        <v>13</v>
      </c>
      <c r="L426" s="2" t="s">
        <v>2269</v>
      </c>
      <c r="M426" s="24"/>
    </row>
    <row r="427" spans="1:13" ht="100.2" customHeight="1" thickTop="1" thickBot="1">
      <c r="A427" s="31">
        <v>425</v>
      </c>
      <c r="B427" s="52" t="s">
        <v>2269</v>
      </c>
      <c r="C427" s="3" t="s">
        <v>394</v>
      </c>
      <c r="D427" s="3" t="s">
        <v>1408</v>
      </c>
      <c r="E427" s="4" t="s">
        <v>22</v>
      </c>
      <c r="F427" s="43" t="s">
        <v>1780</v>
      </c>
      <c r="G427" s="4" t="s">
        <v>1826</v>
      </c>
      <c r="H427" s="43" t="s">
        <v>2248</v>
      </c>
      <c r="I427" s="4"/>
      <c r="J427" s="26" t="s">
        <v>16</v>
      </c>
      <c r="K427" s="27" t="s">
        <v>13</v>
      </c>
      <c r="L427" s="2" t="s">
        <v>2269</v>
      </c>
      <c r="M427" s="24"/>
    </row>
    <row r="428" spans="1:13" ht="100.2" customHeight="1" thickTop="1" thickBot="1">
      <c r="A428" s="4">
        <v>426</v>
      </c>
      <c r="B428" s="52" t="s">
        <v>2270</v>
      </c>
      <c r="C428" s="3" t="s">
        <v>394</v>
      </c>
      <c r="D428" s="3" t="s">
        <v>1408</v>
      </c>
      <c r="E428" s="4" t="s">
        <v>22</v>
      </c>
      <c r="F428" s="43" t="s">
        <v>2002</v>
      </c>
      <c r="G428" s="4" t="s">
        <v>1844</v>
      </c>
      <c r="H428" s="43" t="s">
        <v>2271</v>
      </c>
      <c r="I428" s="4"/>
      <c r="J428" s="26" t="s">
        <v>16</v>
      </c>
      <c r="K428" s="27" t="s">
        <v>13</v>
      </c>
      <c r="L428" s="2" t="s">
        <v>2272</v>
      </c>
      <c r="M428" s="24"/>
    </row>
    <row r="429" spans="1:13" ht="100.2" customHeight="1" thickTop="1" thickBot="1">
      <c r="A429" s="31">
        <v>427</v>
      </c>
      <c r="B429" s="52" t="s">
        <v>2273</v>
      </c>
      <c r="C429" s="3" t="s">
        <v>394</v>
      </c>
      <c r="D429" s="3" t="s">
        <v>1408</v>
      </c>
      <c r="E429" s="4" t="s">
        <v>22</v>
      </c>
      <c r="F429" s="43" t="s">
        <v>696</v>
      </c>
      <c r="G429" s="4" t="s">
        <v>1865</v>
      </c>
      <c r="H429" s="43" t="s">
        <v>2204</v>
      </c>
      <c r="I429" s="4"/>
      <c r="J429" s="26" t="s">
        <v>16</v>
      </c>
      <c r="K429" s="27" t="s">
        <v>13</v>
      </c>
      <c r="L429" s="2" t="s">
        <v>2272</v>
      </c>
      <c r="M429" s="24"/>
    </row>
    <row r="430" spans="1:13" ht="100.2" customHeight="1" thickTop="1" thickBot="1">
      <c r="A430" s="4">
        <v>428</v>
      </c>
      <c r="B430" s="52" t="s">
        <v>2274</v>
      </c>
      <c r="C430" s="3" t="s">
        <v>394</v>
      </c>
      <c r="D430" s="3" t="s">
        <v>1408</v>
      </c>
      <c r="E430" s="4" t="s">
        <v>22</v>
      </c>
      <c r="F430" s="43" t="s">
        <v>1770</v>
      </c>
      <c r="G430" s="4" t="s">
        <v>1826</v>
      </c>
      <c r="H430" s="43" t="s">
        <v>2275</v>
      </c>
      <c r="I430" s="4"/>
      <c r="J430" s="26" t="s">
        <v>16</v>
      </c>
      <c r="K430" s="27" t="s">
        <v>13</v>
      </c>
      <c r="L430" s="2" t="s">
        <v>2272</v>
      </c>
      <c r="M430" s="24"/>
    </row>
    <row r="431" spans="1:13" ht="100.2" customHeight="1" thickTop="1" thickBot="1">
      <c r="A431" s="31">
        <v>429</v>
      </c>
      <c r="B431" s="52" t="s">
        <v>2276</v>
      </c>
      <c r="C431" s="3" t="s">
        <v>394</v>
      </c>
      <c r="D431" s="3" t="s">
        <v>395</v>
      </c>
      <c r="E431" s="4" t="s">
        <v>21</v>
      </c>
      <c r="F431" s="43" t="s">
        <v>1756</v>
      </c>
      <c r="G431" s="4" t="s">
        <v>1865</v>
      </c>
      <c r="H431" s="43" t="s">
        <v>2277</v>
      </c>
      <c r="I431" s="4"/>
      <c r="J431" s="26" t="s">
        <v>16</v>
      </c>
      <c r="K431" s="27" t="s">
        <v>13</v>
      </c>
      <c r="L431" s="2" t="s">
        <v>2272</v>
      </c>
      <c r="M431" s="24"/>
    </row>
    <row r="432" spans="1:13" ht="100.2" customHeight="1" thickTop="1" thickBot="1">
      <c r="A432" s="4">
        <v>430</v>
      </c>
      <c r="B432" s="52" t="s">
        <v>2278</v>
      </c>
      <c r="C432" s="3" t="s">
        <v>394</v>
      </c>
      <c r="D432" s="3" t="s">
        <v>1408</v>
      </c>
      <c r="E432" s="4" t="s">
        <v>22</v>
      </c>
      <c r="F432" s="43" t="s">
        <v>2002</v>
      </c>
      <c r="G432" s="4" t="s">
        <v>2644</v>
      </c>
      <c r="H432" s="43" t="s">
        <v>2279</v>
      </c>
      <c r="I432" s="4"/>
      <c r="J432" s="26" t="s">
        <v>16</v>
      </c>
      <c r="K432" s="27" t="s">
        <v>13</v>
      </c>
      <c r="L432" s="2" t="s">
        <v>2272</v>
      </c>
      <c r="M432" s="24"/>
    </row>
    <row r="433" spans="1:13" ht="100.2" customHeight="1" thickTop="1" thickBot="1">
      <c r="A433" s="31">
        <v>431</v>
      </c>
      <c r="B433" s="52" t="s">
        <v>2280</v>
      </c>
      <c r="C433" s="3" t="s">
        <v>394</v>
      </c>
      <c r="D433" s="3" t="s">
        <v>395</v>
      </c>
      <c r="E433" s="4" t="s">
        <v>21</v>
      </c>
      <c r="F433" s="43" t="s">
        <v>1750</v>
      </c>
      <c r="G433" s="4" t="s">
        <v>1844</v>
      </c>
      <c r="H433" s="43" t="s">
        <v>2281</v>
      </c>
      <c r="I433" s="4"/>
      <c r="J433" s="26" t="s">
        <v>16</v>
      </c>
      <c r="K433" s="27" t="s">
        <v>13</v>
      </c>
      <c r="L433" s="2" t="s">
        <v>2282</v>
      </c>
      <c r="M433" s="24"/>
    </row>
    <row r="434" spans="1:13" ht="100.2" customHeight="1" thickTop="1" thickBot="1">
      <c r="A434" s="4">
        <v>432</v>
      </c>
      <c r="B434" s="52" t="s">
        <v>2283</v>
      </c>
      <c r="C434" s="3" t="s">
        <v>394</v>
      </c>
      <c r="D434" s="3" t="s">
        <v>395</v>
      </c>
      <c r="E434" s="4" t="s">
        <v>21</v>
      </c>
      <c r="F434" s="43" t="s">
        <v>1750</v>
      </c>
      <c r="G434" s="4" t="s">
        <v>1865</v>
      </c>
      <c r="H434" s="43" t="s">
        <v>2284</v>
      </c>
      <c r="I434" s="4"/>
      <c r="J434" s="26" t="s">
        <v>16</v>
      </c>
      <c r="K434" s="27" t="s">
        <v>13</v>
      </c>
      <c r="L434" s="2" t="s">
        <v>2285</v>
      </c>
      <c r="M434" s="24"/>
    </row>
    <row r="435" spans="1:13" ht="100.2" customHeight="1" thickTop="1" thickBot="1">
      <c r="A435" s="31">
        <v>433</v>
      </c>
      <c r="B435" s="52" t="s">
        <v>2286</v>
      </c>
      <c r="C435" s="3" t="s">
        <v>394</v>
      </c>
      <c r="D435" s="3" t="s">
        <v>395</v>
      </c>
      <c r="E435" s="4" t="s">
        <v>21</v>
      </c>
      <c r="F435" s="43" t="s">
        <v>1789</v>
      </c>
      <c r="G435" s="4" t="s">
        <v>1844</v>
      </c>
      <c r="H435" s="43" t="s">
        <v>2287</v>
      </c>
      <c r="I435" s="4"/>
      <c r="J435" s="26" t="s">
        <v>16</v>
      </c>
      <c r="K435" s="27" t="s">
        <v>13</v>
      </c>
      <c r="L435" s="2" t="s">
        <v>2288</v>
      </c>
      <c r="M435" s="24"/>
    </row>
    <row r="436" spans="1:13" ht="100.2" customHeight="1" thickTop="1" thickBot="1">
      <c r="A436" s="4">
        <v>434</v>
      </c>
      <c r="B436" s="52" t="s">
        <v>2289</v>
      </c>
      <c r="C436" s="3" t="s">
        <v>394</v>
      </c>
      <c r="D436" s="3" t="s">
        <v>395</v>
      </c>
      <c r="E436" s="4" t="s">
        <v>21</v>
      </c>
      <c r="F436" s="43" t="s">
        <v>1780</v>
      </c>
      <c r="G436" s="4" t="s">
        <v>439</v>
      </c>
      <c r="H436" s="43" t="s">
        <v>2290</v>
      </c>
      <c r="I436" s="4"/>
      <c r="J436" s="26" t="s">
        <v>16</v>
      </c>
      <c r="K436" s="27" t="s">
        <v>13</v>
      </c>
      <c r="L436" s="2" t="s">
        <v>2291</v>
      </c>
      <c r="M436" s="24"/>
    </row>
    <row r="437" spans="1:13" ht="100.2" customHeight="1" thickTop="1" thickBot="1">
      <c r="A437" s="31">
        <v>435</v>
      </c>
      <c r="B437" s="52" t="s">
        <v>2292</v>
      </c>
      <c r="C437" s="3" t="s">
        <v>394</v>
      </c>
      <c r="D437" s="3" t="s">
        <v>395</v>
      </c>
      <c r="E437" s="4" t="s">
        <v>21</v>
      </c>
      <c r="F437" s="43" t="s">
        <v>1756</v>
      </c>
      <c r="G437" s="4" t="s">
        <v>439</v>
      </c>
      <c r="H437" s="43" t="s">
        <v>2293</v>
      </c>
      <c r="I437" s="4"/>
      <c r="J437" s="26" t="s">
        <v>16</v>
      </c>
      <c r="K437" s="27" t="s">
        <v>13</v>
      </c>
      <c r="L437" s="2" t="s">
        <v>2294</v>
      </c>
      <c r="M437" s="24"/>
    </row>
    <row r="438" spans="1:13" ht="100.2" customHeight="1" thickTop="1" thickBot="1">
      <c r="A438" s="4">
        <v>436</v>
      </c>
      <c r="B438" s="52" t="s">
        <v>2295</v>
      </c>
      <c r="C438" s="3" t="s">
        <v>394</v>
      </c>
      <c r="D438" s="3" t="s">
        <v>395</v>
      </c>
      <c r="E438" s="4" t="s">
        <v>21</v>
      </c>
      <c r="F438" s="43" t="s">
        <v>2296</v>
      </c>
      <c r="G438" s="4" t="s">
        <v>2297</v>
      </c>
      <c r="H438" s="43" t="s">
        <v>2298</v>
      </c>
      <c r="I438" s="4"/>
      <c r="J438" s="26" t="s">
        <v>16</v>
      </c>
      <c r="K438" s="27" t="s">
        <v>13</v>
      </c>
      <c r="L438" s="2" t="s">
        <v>2299</v>
      </c>
      <c r="M438" s="24"/>
    </row>
    <row r="439" spans="1:13" ht="100.2" customHeight="1" thickTop="1" thickBot="1">
      <c r="A439" s="31">
        <v>437</v>
      </c>
      <c r="B439" s="52" t="s">
        <v>2300</v>
      </c>
      <c r="C439" s="3" t="s">
        <v>394</v>
      </c>
      <c r="D439" s="3" t="s">
        <v>1408</v>
      </c>
      <c r="E439" s="4" t="s">
        <v>22</v>
      </c>
      <c r="F439" s="43" t="s">
        <v>1780</v>
      </c>
      <c r="G439" s="4" t="s">
        <v>1826</v>
      </c>
      <c r="H439" s="43" t="s">
        <v>2301</v>
      </c>
      <c r="I439" s="4"/>
      <c r="J439" s="26" t="s">
        <v>16</v>
      </c>
      <c r="K439" s="27" t="s">
        <v>13</v>
      </c>
      <c r="L439" s="2" t="s">
        <v>2299</v>
      </c>
      <c r="M439" s="24"/>
    </row>
    <row r="440" spans="1:13" ht="100.2" customHeight="1" thickTop="1" thickBot="1">
      <c r="A440" s="4">
        <v>438</v>
      </c>
      <c r="B440" s="52" t="s">
        <v>2302</v>
      </c>
      <c r="C440" s="3" t="s">
        <v>394</v>
      </c>
      <c r="D440" s="3" t="s">
        <v>1408</v>
      </c>
      <c r="E440" s="4" t="s">
        <v>22</v>
      </c>
      <c r="F440" s="43" t="s">
        <v>1780</v>
      </c>
      <c r="G440" s="4" t="s">
        <v>1865</v>
      </c>
      <c r="H440" s="43" t="s">
        <v>2303</v>
      </c>
      <c r="I440" s="4"/>
      <c r="J440" s="26" t="s">
        <v>16</v>
      </c>
      <c r="K440" s="27" t="s">
        <v>13</v>
      </c>
      <c r="L440" s="2" t="s">
        <v>2299</v>
      </c>
      <c r="M440" s="24"/>
    </row>
    <row r="441" spans="1:13" ht="100.2" customHeight="1" thickTop="1" thickBot="1">
      <c r="A441" s="31">
        <v>439</v>
      </c>
      <c r="B441" s="52" t="s">
        <v>2304</v>
      </c>
      <c r="C441" s="3" t="s">
        <v>394</v>
      </c>
      <c r="D441" s="3" t="s">
        <v>591</v>
      </c>
      <c r="E441" s="4" t="s">
        <v>22</v>
      </c>
      <c r="F441" s="43" t="s">
        <v>2305</v>
      </c>
      <c r="G441" s="4" t="s">
        <v>2306</v>
      </c>
      <c r="H441" s="43" t="s">
        <v>2307</v>
      </c>
      <c r="I441" s="4"/>
      <c r="J441" s="26" t="s">
        <v>16</v>
      </c>
      <c r="K441" s="27" t="s">
        <v>13</v>
      </c>
      <c r="L441" s="2" t="s">
        <v>2308</v>
      </c>
      <c r="M441" s="24"/>
    </row>
    <row r="442" spans="1:13" ht="100.2" customHeight="1" thickTop="1" thickBot="1">
      <c r="A442" s="4">
        <v>440</v>
      </c>
      <c r="B442" s="52" t="s">
        <v>2309</v>
      </c>
      <c r="C442" s="3" t="s">
        <v>394</v>
      </c>
      <c r="D442" s="3" t="s">
        <v>1408</v>
      </c>
      <c r="E442" s="4" t="s">
        <v>22</v>
      </c>
      <c r="F442" s="43" t="s">
        <v>1756</v>
      </c>
      <c r="G442" s="4" t="s">
        <v>1865</v>
      </c>
      <c r="H442" s="43" t="s">
        <v>2310</v>
      </c>
      <c r="I442" s="4"/>
      <c r="J442" s="26" t="s">
        <v>16</v>
      </c>
      <c r="K442" s="27" t="s">
        <v>13</v>
      </c>
      <c r="L442" s="2" t="s">
        <v>2308</v>
      </c>
      <c r="M442" s="24"/>
    </row>
    <row r="443" spans="1:13" ht="100.2" customHeight="1" thickTop="1" thickBot="1">
      <c r="A443" s="31">
        <v>441</v>
      </c>
      <c r="B443" s="52" t="s">
        <v>2311</v>
      </c>
      <c r="C443" s="3" t="s">
        <v>394</v>
      </c>
      <c r="D443" s="3" t="s">
        <v>395</v>
      </c>
      <c r="E443" s="4" t="s">
        <v>21</v>
      </c>
      <c r="F443" s="43" t="s">
        <v>2312</v>
      </c>
      <c r="G443" s="4" t="s">
        <v>1865</v>
      </c>
      <c r="H443" s="43" t="s">
        <v>2313</v>
      </c>
      <c r="I443" s="4"/>
      <c r="J443" s="26" t="s">
        <v>16</v>
      </c>
      <c r="K443" s="27" t="s">
        <v>13</v>
      </c>
      <c r="L443" s="2" t="s">
        <v>2308</v>
      </c>
      <c r="M443" s="24"/>
    </row>
    <row r="444" spans="1:13" ht="100.2" customHeight="1" thickTop="1" thickBot="1">
      <c r="A444" s="4">
        <v>442</v>
      </c>
      <c r="B444" s="52" t="s">
        <v>2314</v>
      </c>
      <c r="C444" s="3" t="s">
        <v>394</v>
      </c>
      <c r="D444" s="3" t="s">
        <v>395</v>
      </c>
      <c r="E444" s="4" t="s">
        <v>21</v>
      </c>
      <c r="F444" s="43" t="s">
        <v>1780</v>
      </c>
      <c r="G444" s="4" t="s">
        <v>439</v>
      </c>
      <c r="H444" s="43" t="s">
        <v>2315</v>
      </c>
      <c r="I444" s="4"/>
      <c r="J444" s="26" t="s">
        <v>16</v>
      </c>
      <c r="K444" s="27" t="s">
        <v>13</v>
      </c>
      <c r="L444" s="2" t="s">
        <v>2291</v>
      </c>
      <c r="M444" s="24"/>
    </row>
    <row r="445" spans="1:13" ht="100.2" customHeight="1" thickTop="1" thickBot="1">
      <c r="A445" s="31">
        <v>443</v>
      </c>
      <c r="B445" s="52" t="s">
        <v>2316</v>
      </c>
      <c r="C445" s="3" t="s">
        <v>394</v>
      </c>
      <c r="D445" s="3" t="s">
        <v>395</v>
      </c>
      <c r="E445" s="4" t="s">
        <v>21</v>
      </c>
      <c r="F445" s="43" t="s">
        <v>1780</v>
      </c>
      <c r="G445" s="4" t="s">
        <v>2317</v>
      </c>
      <c r="H445" s="43" t="s">
        <v>2318</v>
      </c>
      <c r="I445" s="4"/>
      <c r="J445" s="26" t="s">
        <v>16</v>
      </c>
      <c r="K445" s="27" t="s">
        <v>13</v>
      </c>
      <c r="L445" s="2"/>
      <c r="M445" s="24"/>
    </row>
    <row r="446" spans="1:13" ht="100.2" customHeight="1" thickTop="1" thickBot="1">
      <c r="A446" s="4">
        <v>444</v>
      </c>
      <c r="B446" s="52" t="s">
        <v>2319</v>
      </c>
      <c r="C446" s="3" t="s">
        <v>394</v>
      </c>
      <c r="D446" s="3" t="s">
        <v>395</v>
      </c>
      <c r="E446" s="4" t="s">
        <v>21</v>
      </c>
      <c r="F446" s="43" t="s">
        <v>1756</v>
      </c>
      <c r="G446" s="4" t="s">
        <v>1844</v>
      </c>
      <c r="H446" s="43" t="s">
        <v>2320</v>
      </c>
      <c r="I446" s="4"/>
      <c r="J446" s="26" t="s">
        <v>16</v>
      </c>
      <c r="K446" s="27" t="s">
        <v>13</v>
      </c>
      <c r="L446" s="2" t="s">
        <v>2321</v>
      </c>
      <c r="M446" s="24"/>
    </row>
    <row r="447" spans="1:13" ht="100.2" customHeight="1" thickTop="1" thickBot="1">
      <c r="A447" s="31">
        <v>445</v>
      </c>
      <c r="B447" s="52" t="s">
        <v>2322</v>
      </c>
      <c r="C447" s="3" t="s">
        <v>394</v>
      </c>
      <c r="D447" s="3" t="s">
        <v>395</v>
      </c>
      <c r="E447" s="4" t="s">
        <v>21</v>
      </c>
      <c r="F447" s="43" t="s">
        <v>1750</v>
      </c>
      <c r="G447" s="4" t="s">
        <v>1844</v>
      </c>
      <c r="H447" s="43" t="s">
        <v>2323</v>
      </c>
      <c r="I447" s="4"/>
      <c r="J447" s="26" t="s">
        <v>16</v>
      </c>
      <c r="K447" s="27" t="s">
        <v>13</v>
      </c>
      <c r="L447" s="2" t="s">
        <v>1976</v>
      </c>
      <c r="M447" s="24"/>
    </row>
    <row r="448" spans="1:13" ht="100.2" customHeight="1" thickTop="1" thickBot="1">
      <c r="A448" s="4">
        <v>446</v>
      </c>
      <c r="B448" s="52" t="s">
        <v>2324</v>
      </c>
      <c r="C448" s="3" t="s">
        <v>394</v>
      </c>
      <c r="D448" s="3" t="s">
        <v>395</v>
      </c>
      <c r="E448" s="4" t="s">
        <v>21</v>
      </c>
      <c r="F448" s="43" t="s">
        <v>1780</v>
      </c>
      <c r="G448" s="4" t="s">
        <v>1865</v>
      </c>
      <c r="H448" s="43" t="s">
        <v>2325</v>
      </c>
      <c r="I448" s="4"/>
      <c r="J448" s="26" t="s">
        <v>16</v>
      </c>
      <c r="K448" s="27" t="s">
        <v>13</v>
      </c>
      <c r="L448" s="2"/>
      <c r="M448" s="24"/>
    </row>
    <row r="449" spans="1:13" ht="100.2" customHeight="1" thickTop="1" thickBot="1">
      <c r="A449" s="31">
        <v>447</v>
      </c>
      <c r="B449" s="52" t="s">
        <v>2326</v>
      </c>
      <c r="C449" s="3" t="s">
        <v>394</v>
      </c>
      <c r="D449" s="3" t="s">
        <v>395</v>
      </c>
      <c r="E449" s="4" t="s">
        <v>21</v>
      </c>
      <c r="F449" s="43" t="s">
        <v>1780</v>
      </c>
      <c r="G449" s="4" t="s">
        <v>439</v>
      </c>
      <c r="H449" s="43" t="s">
        <v>567</v>
      </c>
      <c r="I449" s="4"/>
      <c r="J449" s="26" t="s">
        <v>16</v>
      </c>
      <c r="K449" s="27" t="s">
        <v>13</v>
      </c>
      <c r="L449" s="2"/>
      <c r="M449" s="24"/>
    </row>
    <row r="450" spans="1:13" ht="100.2" customHeight="1" thickTop="1" thickBot="1">
      <c r="A450" s="4">
        <v>448</v>
      </c>
      <c r="B450" s="52" t="s">
        <v>2327</v>
      </c>
      <c r="C450" s="3" t="s">
        <v>394</v>
      </c>
      <c r="D450" s="3" t="s">
        <v>395</v>
      </c>
      <c r="E450" s="4" t="s">
        <v>21</v>
      </c>
      <c r="F450" s="43" t="s">
        <v>1780</v>
      </c>
      <c r="G450" s="4" t="s">
        <v>1865</v>
      </c>
      <c r="H450" s="43" t="s">
        <v>2328</v>
      </c>
      <c r="I450" s="4"/>
      <c r="J450" s="26" t="s">
        <v>16</v>
      </c>
      <c r="K450" s="27" t="s">
        <v>13</v>
      </c>
      <c r="L450" s="2" t="s">
        <v>2329</v>
      </c>
      <c r="M450" s="24"/>
    </row>
    <row r="451" spans="1:13" ht="100.2" customHeight="1" thickTop="1" thickBot="1">
      <c r="A451" s="31">
        <v>449</v>
      </c>
      <c r="B451" s="52" t="s">
        <v>2330</v>
      </c>
      <c r="C451" s="3" t="s">
        <v>394</v>
      </c>
      <c r="D451" s="3" t="s">
        <v>395</v>
      </c>
      <c r="E451" s="4" t="s">
        <v>21</v>
      </c>
      <c r="F451" s="43" t="s">
        <v>1750</v>
      </c>
      <c r="G451" s="4" t="s">
        <v>1865</v>
      </c>
      <c r="H451" s="43" t="s">
        <v>2331</v>
      </c>
      <c r="I451" s="4"/>
      <c r="J451" s="26" t="s">
        <v>16</v>
      </c>
      <c r="K451" s="27" t="s">
        <v>13</v>
      </c>
      <c r="L451" s="2" t="s">
        <v>1931</v>
      </c>
      <c r="M451" s="24"/>
    </row>
    <row r="452" spans="1:13" ht="100.2" customHeight="1" thickTop="1" thickBot="1">
      <c r="A452" s="4">
        <v>450</v>
      </c>
      <c r="B452" s="52" t="s">
        <v>2332</v>
      </c>
      <c r="C452" s="3" t="s">
        <v>394</v>
      </c>
      <c r="D452" s="3" t="s">
        <v>395</v>
      </c>
      <c r="E452" s="4" t="s">
        <v>21</v>
      </c>
      <c r="F452" s="43" t="s">
        <v>1995</v>
      </c>
      <c r="G452" s="4" t="s">
        <v>1865</v>
      </c>
      <c r="H452" s="43" t="s">
        <v>2333</v>
      </c>
      <c r="I452" s="4"/>
      <c r="J452" s="26" t="s">
        <v>16</v>
      </c>
      <c r="K452" s="27" t="s">
        <v>13</v>
      </c>
      <c r="L452" s="2" t="s">
        <v>1931</v>
      </c>
      <c r="M452" s="24"/>
    </row>
    <row r="453" spans="1:13" ht="100.2" customHeight="1" thickTop="1" thickBot="1">
      <c r="A453" s="31">
        <v>451</v>
      </c>
      <c r="B453" s="52" t="s">
        <v>2334</v>
      </c>
      <c r="C453" s="3" t="s">
        <v>394</v>
      </c>
      <c r="D453" s="3" t="s">
        <v>395</v>
      </c>
      <c r="E453" s="4" t="s">
        <v>21</v>
      </c>
      <c r="F453" s="43" t="s">
        <v>1789</v>
      </c>
      <c r="G453" s="4" t="s">
        <v>2644</v>
      </c>
      <c r="H453" s="43" t="s">
        <v>2320</v>
      </c>
      <c r="I453" s="4"/>
      <c r="J453" s="26" t="s">
        <v>16</v>
      </c>
      <c r="K453" s="27" t="s">
        <v>13</v>
      </c>
      <c r="L453" s="2" t="s">
        <v>2335</v>
      </c>
      <c r="M453" s="24"/>
    </row>
    <row r="454" spans="1:13" ht="100.2" customHeight="1" thickTop="1" thickBot="1">
      <c r="A454" s="4">
        <v>452</v>
      </c>
      <c r="B454" s="52" t="s">
        <v>2336</v>
      </c>
      <c r="C454" s="3" t="s">
        <v>394</v>
      </c>
      <c r="D454" s="3" t="s">
        <v>395</v>
      </c>
      <c r="E454" s="4" t="s">
        <v>21</v>
      </c>
      <c r="F454" s="43" t="s">
        <v>1966</v>
      </c>
      <c r="G454" s="4" t="s">
        <v>1844</v>
      </c>
      <c r="H454" s="43" t="s">
        <v>2337</v>
      </c>
      <c r="I454" s="4"/>
      <c r="J454" s="26" t="s">
        <v>16</v>
      </c>
      <c r="K454" s="27" t="s">
        <v>13</v>
      </c>
      <c r="L454" s="2" t="s">
        <v>2338</v>
      </c>
      <c r="M454" s="24"/>
    </row>
    <row r="455" spans="1:13" ht="100.2" customHeight="1" thickTop="1" thickBot="1">
      <c r="A455" s="31">
        <v>453</v>
      </c>
      <c r="B455" s="52" t="s">
        <v>2339</v>
      </c>
      <c r="C455" s="3" t="s">
        <v>394</v>
      </c>
      <c r="D455" s="3" t="s">
        <v>591</v>
      </c>
      <c r="E455" s="4" t="s">
        <v>22</v>
      </c>
      <c r="F455" s="43" t="s">
        <v>1780</v>
      </c>
      <c r="G455" s="4" t="s">
        <v>2645</v>
      </c>
      <c r="H455" s="43" t="s">
        <v>611</v>
      </c>
      <c r="I455" s="4"/>
      <c r="J455" s="26" t="s">
        <v>16</v>
      </c>
      <c r="K455" s="27" t="s">
        <v>13</v>
      </c>
      <c r="L455" s="2" t="s">
        <v>2340</v>
      </c>
      <c r="M455" s="24"/>
    </row>
    <row r="456" spans="1:13" ht="100.2" customHeight="1" thickTop="1" thickBot="1">
      <c r="A456" s="4">
        <v>454</v>
      </c>
      <c r="B456" s="52" t="s">
        <v>2341</v>
      </c>
      <c r="C456" s="3" t="s">
        <v>394</v>
      </c>
      <c r="D456" s="3" t="s">
        <v>395</v>
      </c>
      <c r="E456" s="4" t="s">
        <v>21</v>
      </c>
      <c r="F456" s="43" t="s">
        <v>1780</v>
      </c>
      <c r="G456" s="4" t="s">
        <v>1865</v>
      </c>
      <c r="H456" s="43" t="s">
        <v>2342</v>
      </c>
      <c r="I456" s="4"/>
      <c r="J456" s="26" t="s">
        <v>16</v>
      </c>
      <c r="K456" s="27" t="s">
        <v>13</v>
      </c>
      <c r="L456" s="2" t="s">
        <v>2343</v>
      </c>
      <c r="M456" s="24"/>
    </row>
    <row r="457" spans="1:13" ht="100.2" customHeight="1" thickTop="1" thickBot="1">
      <c r="A457" s="31">
        <v>455</v>
      </c>
      <c r="B457" s="52" t="s">
        <v>2344</v>
      </c>
      <c r="C457" s="3" t="s">
        <v>394</v>
      </c>
      <c r="D457" s="3" t="s">
        <v>395</v>
      </c>
      <c r="E457" s="4" t="s">
        <v>21</v>
      </c>
      <c r="F457" s="43" t="s">
        <v>1789</v>
      </c>
      <c r="G457" s="4" t="s">
        <v>1844</v>
      </c>
      <c r="H457" s="43" t="s">
        <v>2345</v>
      </c>
      <c r="I457" s="4"/>
      <c r="J457" s="26" t="s">
        <v>16</v>
      </c>
      <c r="K457" s="27" t="s">
        <v>717</v>
      </c>
      <c r="L457" s="2" t="s">
        <v>2346</v>
      </c>
      <c r="M457" s="24" t="s">
        <v>2134</v>
      </c>
    </row>
    <row r="458" spans="1:13" ht="100.2" customHeight="1" thickTop="1" thickBot="1">
      <c r="A458" s="4">
        <v>456</v>
      </c>
      <c r="B458" s="52" t="s">
        <v>2347</v>
      </c>
      <c r="C458" s="3" t="s">
        <v>394</v>
      </c>
      <c r="D458" s="3" t="s">
        <v>395</v>
      </c>
      <c r="E458" s="4" t="s">
        <v>21</v>
      </c>
      <c r="F458" s="43" t="s">
        <v>1780</v>
      </c>
      <c r="G458" s="4" t="s">
        <v>439</v>
      </c>
      <c r="H458" s="43" t="s">
        <v>2348</v>
      </c>
      <c r="I458" s="4"/>
      <c r="J458" s="26" t="s">
        <v>16</v>
      </c>
      <c r="K458" s="27" t="s">
        <v>13</v>
      </c>
      <c r="L458" s="2" t="s">
        <v>2346</v>
      </c>
      <c r="M458" s="24"/>
    </row>
    <row r="459" spans="1:13" ht="100.2" customHeight="1" thickTop="1" thickBot="1">
      <c r="A459" s="31">
        <v>457</v>
      </c>
      <c r="B459" s="52" t="s">
        <v>2349</v>
      </c>
      <c r="C459" s="3" t="s">
        <v>394</v>
      </c>
      <c r="D459" s="3" t="s">
        <v>395</v>
      </c>
      <c r="E459" s="4" t="s">
        <v>21</v>
      </c>
      <c r="F459" s="43" t="s">
        <v>1861</v>
      </c>
      <c r="G459" s="4" t="s">
        <v>1865</v>
      </c>
      <c r="H459" s="43" t="s">
        <v>2350</v>
      </c>
      <c r="I459" s="4"/>
      <c r="J459" s="26" t="s">
        <v>16</v>
      </c>
      <c r="K459" s="27" t="s">
        <v>13</v>
      </c>
      <c r="L459" s="2" t="s">
        <v>2351</v>
      </c>
      <c r="M459" s="24"/>
    </row>
    <row r="460" spans="1:13" ht="100.2" customHeight="1" thickTop="1" thickBot="1">
      <c r="A460" s="4">
        <v>458</v>
      </c>
      <c r="B460" s="52" t="s">
        <v>2150</v>
      </c>
      <c r="C460" s="3" t="s">
        <v>394</v>
      </c>
      <c r="D460" s="3" t="s">
        <v>395</v>
      </c>
      <c r="E460" s="4" t="s">
        <v>21</v>
      </c>
      <c r="F460" s="43" t="s">
        <v>1861</v>
      </c>
      <c r="G460" s="4" t="s">
        <v>1865</v>
      </c>
      <c r="H460" s="43" t="s">
        <v>2352</v>
      </c>
      <c r="I460" s="4"/>
      <c r="J460" s="26" t="s">
        <v>16</v>
      </c>
      <c r="K460" s="27" t="s">
        <v>13</v>
      </c>
      <c r="L460" s="2" t="s">
        <v>2351</v>
      </c>
      <c r="M460" s="24"/>
    </row>
    <row r="461" spans="1:13" ht="100.2" customHeight="1" thickTop="1" thickBot="1">
      <c r="A461" s="31">
        <v>459</v>
      </c>
      <c r="B461" s="52" t="s">
        <v>2353</v>
      </c>
      <c r="C461" s="3" t="s">
        <v>394</v>
      </c>
      <c r="D461" s="3" t="s">
        <v>395</v>
      </c>
      <c r="E461" s="4" t="s">
        <v>21</v>
      </c>
      <c r="F461" s="43" t="s">
        <v>1995</v>
      </c>
      <c r="G461" s="4" t="s">
        <v>1865</v>
      </c>
      <c r="H461" s="43" t="s">
        <v>2354</v>
      </c>
      <c r="I461" s="4"/>
      <c r="J461" s="26" t="s">
        <v>16</v>
      </c>
      <c r="K461" s="27" t="s">
        <v>13</v>
      </c>
      <c r="L461" s="2" t="s">
        <v>2355</v>
      </c>
      <c r="M461" s="24"/>
    </row>
    <row r="462" spans="1:13" ht="100.2" customHeight="1" thickTop="1" thickBot="1">
      <c r="A462" s="4">
        <v>460</v>
      </c>
      <c r="B462" s="52" t="s">
        <v>2356</v>
      </c>
      <c r="C462" s="3" t="s">
        <v>394</v>
      </c>
      <c r="D462" s="3" t="s">
        <v>395</v>
      </c>
      <c r="E462" s="4" t="s">
        <v>21</v>
      </c>
      <c r="F462" s="43" t="s">
        <v>1750</v>
      </c>
      <c r="G462" s="4" t="s">
        <v>1844</v>
      </c>
      <c r="H462" s="43" t="s">
        <v>2357</v>
      </c>
      <c r="I462" s="4"/>
      <c r="J462" s="26" t="s">
        <v>16</v>
      </c>
      <c r="K462" s="27" t="s">
        <v>13</v>
      </c>
      <c r="L462" s="2" t="s">
        <v>2358</v>
      </c>
      <c r="M462" s="24"/>
    </row>
    <row r="463" spans="1:13" ht="100.2" customHeight="1" thickTop="1" thickBot="1">
      <c r="A463" s="31">
        <v>461</v>
      </c>
      <c r="B463" s="52" t="s">
        <v>2359</v>
      </c>
      <c r="C463" s="3" t="s">
        <v>394</v>
      </c>
      <c r="D463" s="3" t="s">
        <v>395</v>
      </c>
      <c r="E463" s="4" t="s">
        <v>21</v>
      </c>
      <c r="F463" s="43" t="s">
        <v>1780</v>
      </c>
      <c r="G463" s="4" t="s">
        <v>439</v>
      </c>
      <c r="H463" s="43" t="s">
        <v>2360</v>
      </c>
      <c r="I463" s="4"/>
      <c r="J463" s="26" t="s">
        <v>16</v>
      </c>
      <c r="K463" s="27" t="s">
        <v>13</v>
      </c>
      <c r="L463" s="2" t="s">
        <v>2361</v>
      </c>
      <c r="M463" s="24"/>
    </row>
    <row r="464" spans="1:13" ht="100.2" customHeight="1" thickTop="1" thickBot="1">
      <c r="A464" s="4">
        <v>462</v>
      </c>
      <c r="B464" s="52" t="s">
        <v>2362</v>
      </c>
      <c r="C464" s="3" t="s">
        <v>394</v>
      </c>
      <c r="D464" s="3" t="s">
        <v>395</v>
      </c>
      <c r="E464" s="4" t="s">
        <v>21</v>
      </c>
      <c r="F464" s="43" t="s">
        <v>1756</v>
      </c>
      <c r="G464" s="4" t="s">
        <v>2363</v>
      </c>
      <c r="H464" s="43" t="s">
        <v>2364</v>
      </c>
      <c r="I464" s="4"/>
      <c r="J464" s="26" t="s">
        <v>16</v>
      </c>
      <c r="K464" s="27" t="s">
        <v>13</v>
      </c>
      <c r="L464" s="2" t="s">
        <v>2361</v>
      </c>
      <c r="M464" s="24"/>
    </row>
    <row r="465" spans="1:13" ht="100.2" customHeight="1" thickTop="1" thickBot="1">
      <c r="A465" s="31">
        <v>463</v>
      </c>
      <c r="B465" s="52" t="s">
        <v>2365</v>
      </c>
      <c r="C465" s="3" t="s">
        <v>394</v>
      </c>
      <c r="D465" s="3" t="s">
        <v>395</v>
      </c>
      <c r="E465" s="4" t="s">
        <v>21</v>
      </c>
      <c r="F465" s="43" t="s">
        <v>1995</v>
      </c>
      <c r="G465" s="4" t="s">
        <v>439</v>
      </c>
      <c r="H465" s="43" t="s">
        <v>2366</v>
      </c>
      <c r="I465" s="4"/>
      <c r="J465" s="26" t="s">
        <v>16</v>
      </c>
      <c r="K465" s="27" t="s">
        <v>13</v>
      </c>
      <c r="L465" s="2" t="s">
        <v>2367</v>
      </c>
      <c r="M465" s="24"/>
    </row>
    <row r="466" spans="1:13" ht="100.2" customHeight="1" thickTop="1" thickBot="1">
      <c r="A466" s="4">
        <v>464</v>
      </c>
      <c r="B466" s="52" t="s">
        <v>2368</v>
      </c>
      <c r="C466" s="3" t="s">
        <v>394</v>
      </c>
      <c r="D466" s="3" t="s">
        <v>395</v>
      </c>
      <c r="E466" s="4" t="s">
        <v>21</v>
      </c>
      <c r="F466" s="43" t="s">
        <v>1966</v>
      </c>
      <c r="G466" s="4" t="s">
        <v>1865</v>
      </c>
      <c r="H466" s="43" t="s">
        <v>2369</v>
      </c>
      <c r="I466" s="4"/>
      <c r="J466" s="26" t="s">
        <v>16</v>
      </c>
      <c r="K466" s="27" t="s">
        <v>13</v>
      </c>
      <c r="L466" s="2" t="s">
        <v>2370</v>
      </c>
      <c r="M466" s="24"/>
    </row>
    <row r="467" spans="1:13" ht="100.2" customHeight="1" thickTop="1" thickBot="1">
      <c r="A467" s="31">
        <v>465</v>
      </c>
      <c r="B467" s="52" t="s">
        <v>2371</v>
      </c>
      <c r="C467" s="3" t="s">
        <v>394</v>
      </c>
      <c r="D467" s="3" t="s">
        <v>395</v>
      </c>
      <c r="E467" s="4" t="s">
        <v>21</v>
      </c>
      <c r="F467" s="43" t="s">
        <v>1966</v>
      </c>
      <c r="G467" s="4" t="s">
        <v>1844</v>
      </c>
      <c r="H467" s="43" t="s">
        <v>2372</v>
      </c>
      <c r="I467" s="4"/>
      <c r="J467" s="26" t="s">
        <v>16</v>
      </c>
      <c r="K467" s="27" t="s">
        <v>13</v>
      </c>
      <c r="L467" s="2" t="s">
        <v>2373</v>
      </c>
      <c r="M467" s="24"/>
    </row>
    <row r="468" spans="1:13" ht="100.2" customHeight="1" thickTop="1" thickBot="1">
      <c r="A468" s="4">
        <v>466</v>
      </c>
      <c r="B468" s="52" t="s">
        <v>2374</v>
      </c>
      <c r="C468" s="3" t="s">
        <v>394</v>
      </c>
      <c r="D468" s="3" t="s">
        <v>395</v>
      </c>
      <c r="E468" s="4" t="s">
        <v>21</v>
      </c>
      <c r="F468" s="43" t="s">
        <v>1966</v>
      </c>
      <c r="G468" s="4" t="s">
        <v>2317</v>
      </c>
      <c r="H468" s="43" t="s">
        <v>2375</v>
      </c>
      <c r="I468" s="4"/>
      <c r="J468" s="26" t="s">
        <v>16</v>
      </c>
      <c r="K468" s="27" t="s">
        <v>13</v>
      </c>
      <c r="L468" s="2" t="s">
        <v>2373</v>
      </c>
      <c r="M468" s="24"/>
    </row>
    <row r="469" spans="1:13" ht="100.2" customHeight="1" thickTop="1" thickBot="1">
      <c r="A469" s="31">
        <v>467</v>
      </c>
      <c r="B469" s="52" t="s">
        <v>2374</v>
      </c>
      <c r="C469" s="3" t="s">
        <v>394</v>
      </c>
      <c r="D469" s="3" t="s">
        <v>395</v>
      </c>
      <c r="E469" s="4" t="s">
        <v>21</v>
      </c>
      <c r="F469" s="43" t="s">
        <v>1966</v>
      </c>
      <c r="G469" s="4" t="s">
        <v>437</v>
      </c>
      <c r="H469" s="43" t="s">
        <v>2376</v>
      </c>
      <c r="I469" s="4"/>
      <c r="J469" s="26" t="s">
        <v>16</v>
      </c>
      <c r="K469" s="27" t="s">
        <v>13</v>
      </c>
      <c r="L469" s="2" t="s">
        <v>2377</v>
      </c>
      <c r="M469" s="24"/>
    </row>
    <row r="470" spans="1:13" ht="100.2" customHeight="1" thickTop="1" thickBot="1">
      <c r="A470" s="4">
        <v>468</v>
      </c>
      <c r="B470" s="52" t="s">
        <v>2378</v>
      </c>
      <c r="C470" s="3" t="s">
        <v>394</v>
      </c>
      <c r="D470" s="3" t="s">
        <v>395</v>
      </c>
      <c r="E470" s="4" t="s">
        <v>21</v>
      </c>
      <c r="F470" s="43" t="s">
        <v>1966</v>
      </c>
      <c r="G470" s="4" t="s">
        <v>439</v>
      </c>
      <c r="H470" s="43" t="s">
        <v>2379</v>
      </c>
      <c r="I470" s="4"/>
      <c r="J470" s="26" t="s">
        <v>16</v>
      </c>
      <c r="K470" s="27" t="s">
        <v>13</v>
      </c>
      <c r="L470" s="2" t="s">
        <v>2380</v>
      </c>
      <c r="M470" s="24"/>
    </row>
    <row r="471" spans="1:13" ht="100.2" customHeight="1" thickTop="1" thickBot="1">
      <c r="A471" s="31">
        <v>469</v>
      </c>
      <c r="B471" s="52" t="s">
        <v>2381</v>
      </c>
      <c r="C471" s="3" t="s">
        <v>394</v>
      </c>
      <c r="D471" s="3" t="s">
        <v>395</v>
      </c>
      <c r="E471" s="4" t="s">
        <v>21</v>
      </c>
      <c r="F471" s="43" t="s">
        <v>1750</v>
      </c>
      <c r="G471" s="4" t="s">
        <v>1844</v>
      </c>
      <c r="H471" s="43" t="s">
        <v>2382</v>
      </c>
      <c r="I471" s="4"/>
      <c r="J471" s="26" t="s">
        <v>16</v>
      </c>
      <c r="K471" s="27" t="s">
        <v>13</v>
      </c>
      <c r="L471" s="2" t="s">
        <v>2383</v>
      </c>
      <c r="M471" s="24"/>
    </row>
    <row r="472" spans="1:13" ht="100.2" customHeight="1" thickTop="1" thickBot="1">
      <c r="A472" s="4">
        <v>470</v>
      </c>
      <c r="B472" s="52" t="s">
        <v>2384</v>
      </c>
      <c r="C472" s="3" t="s">
        <v>394</v>
      </c>
      <c r="D472" s="3" t="s">
        <v>395</v>
      </c>
      <c r="E472" s="4" t="s">
        <v>21</v>
      </c>
      <c r="F472" s="43" t="s">
        <v>1897</v>
      </c>
      <c r="G472" s="4" t="s">
        <v>1844</v>
      </c>
      <c r="H472" s="43" t="s">
        <v>2385</v>
      </c>
      <c r="I472" s="4"/>
      <c r="J472" s="26" t="s">
        <v>16</v>
      </c>
      <c r="K472" s="27" t="s">
        <v>13</v>
      </c>
      <c r="L472" s="2" t="s">
        <v>2386</v>
      </c>
      <c r="M472" s="24"/>
    </row>
    <row r="473" spans="1:13" ht="100.2" customHeight="1" thickTop="1" thickBot="1">
      <c r="A473" s="31">
        <v>471</v>
      </c>
      <c r="B473" s="52" t="s">
        <v>2387</v>
      </c>
      <c r="C473" s="3" t="s">
        <v>394</v>
      </c>
      <c r="D473" s="3" t="s">
        <v>395</v>
      </c>
      <c r="E473" s="4" t="s">
        <v>21</v>
      </c>
      <c r="F473" s="43" t="s">
        <v>1897</v>
      </c>
      <c r="G473" s="4" t="s">
        <v>1865</v>
      </c>
      <c r="H473" s="43" t="s">
        <v>2388</v>
      </c>
      <c r="I473" s="4"/>
      <c r="J473" s="26" t="s">
        <v>16</v>
      </c>
      <c r="K473" s="27" t="s">
        <v>13</v>
      </c>
      <c r="L473" s="2" t="s">
        <v>2389</v>
      </c>
      <c r="M473" s="24"/>
    </row>
    <row r="474" spans="1:13" ht="100.2" customHeight="1" thickTop="1" thickBot="1">
      <c r="A474" s="4">
        <v>472</v>
      </c>
      <c r="B474" s="52" t="s">
        <v>2390</v>
      </c>
      <c r="C474" s="3" t="s">
        <v>394</v>
      </c>
      <c r="D474" s="3" t="s">
        <v>395</v>
      </c>
      <c r="E474" s="4" t="s">
        <v>21</v>
      </c>
      <c r="F474" s="43" t="s">
        <v>1756</v>
      </c>
      <c r="G474" s="4" t="s">
        <v>1865</v>
      </c>
      <c r="H474" s="43" t="s">
        <v>871</v>
      </c>
      <c r="I474" s="4"/>
      <c r="J474" s="26" t="s">
        <v>16</v>
      </c>
      <c r="K474" s="27" t="s">
        <v>13</v>
      </c>
      <c r="L474" s="2" t="s">
        <v>2391</v>
      </c>
      <c r="M474" s="24"/>
    </row>
    <row r="475" spans="1:13" ht="100.2" customHeight="1" thickTop="1" thickBot="1">
      <c r="A475" s="31">
        <v>473</v>
      </c>
      <c r="B475" s="52" t="s">
        <v>2392</v>
      </c>
      <c r="C475" s="3" t="s">
        <v>394</v>
      </c>
      <c r="D475" s="3" t="s">
        <v>395</v>
      </c>
      <c r="E475" s="4" t="s">
        <v>21</v>
      </c>
      <c r="F475" s="43" t="s">
        <v>1855</v>
      </c>
      <c r="G475" s="4" t="s">
        <v>1844</v>
      </c>
      <c r="H475" s="43" t="s">
        <v>2393</v>
      </c>
      <c r="I475" s="4"/>
      <c r="J475" s="26" t="s">
        <v>16</v>
      </c>
      <c r="K475" s="27" t="s">
        <v>13</v>
      </c>
      <c r="L475" s="2" t="s">
        <v>2391</v>
      </c>
      <c r="M475" s="24"/>
    </row>
    <row r="476" spans="1:13" ht="100.2" customHeight="1" thickTop="1" thickBot="1">
      <c r="A476" s="4">
        <v>474</v>
      </c>
      <c r="B476" s="52" t="s">
        <v>2394</v>
      </c>
      <c r="C476" s="3" t="s">
        <v>394</v>
      </c>
      <c r="D476" s="3" t="s">
        <v>395</v>
      </c>
      <c r="E476" s="4" t="s">
        <v>21</v>
      </c>
      <c r="F476" s="43" t="s">
        <v>1995</v>
      </c>
      <c r="G476" s="4" t="s">
        <v>439</v>
      </c>
      <c r="H476" s="43" t="s">
        <v>2395</v>
      </c>
      <c r="I476" s="4"/>
      <c r="J476" s="26" t="s">
        <v>16</v>
      </c>
      <c r="K476" s="27" t="s">
        <v>13</v>
      </c>
      <c r="L476" s="2" t="s">
        <v>2386</v>
      </c>
      <c r="M476" s="24"/>
    </row>
    <row r="477" spans="1:13" ht="100.2" customHeight="1" thickTop="1" thickBot="1">
      <c r="A477" s="31">
        <v>475</v>
      </c>
      <c r="B477" s="52" t="s">
        <v>2396</v>
      </c>
      <c r="C477" s="3" t="s">
        <v>394</v>
      </c>
      <c r="D477" s="3" t="s">
        <v>395</v>
      </c>
      <c r="E477" s="4" t="s">
        <v>21</v>
      </c>
      <c r="F477" s="43" t="s">
        <v>1789</v>
      </c>
      <c r="G477" s="4" t="s">
        <v>2644</v>
      </c>
      <c r="H477" s="43" t="s">
        <v>2354</v>
      </c>
      <c r="I477" s="4"/>
      <c r="J477" s="26" t="s">
        <v>16</v>
      </c>
      <c r="K477" s="27" t="s">
        <v>717</v>
      </c>
      <c r="L477" s="2" t="s">
        <v>2397</v>
      </c>
      <c r="M477" s="24" t="s">
        <v>2134</v>
      </c>
    </row>
    <row r="478" spans="1:13" ht="100.2" customHeight="1" thickTop="1" thickBot="1">
      <c r="A478" s="4">
        <v>476</v>
      </c>
      <c r="B478" s="52" t="s">
        <v>2398</v>
      </c>
      <c r="C478" s="3" t="s">
        <v>394</v>
      </c>
      <c r="D478" s="3" t="s">
        <v>395</v>
      </c>
      <c r="E478" s="4" t="s">
        <v>21</v>
      </c>
      <c r="F478" s="43" t="s">
        <v>1789</v>
      </c>
      <c r="G478" s="4" t="s">
        <v>2399</v>
      </c>
      <c r="H478" s="43" t="s">
        <v>2400</v>
      </c>
      <c r="I478" s="4"/>
      <c r="J478" s="26" t="s">
        <v>16</v>
      </c>
      <c r="K478" s="27" t="s">
        <v>13</v>
      </c>
      <c r="L478" s="2" t="s">
        <v>2401</v>
      </c>
      <c r="M478" s="24"/>
    </row>
    <row r="479" spans="1:13" ht="100.2" customHeight="1" thickTop="1" thickBot="1">
      <c r="A479" s="31">
        <v>477</v>
      </c>
      <c r="B479" s="52" t="s">
        <v>2398</v>
      </c>
      <c r="C479" s="3" t="s">
        <v>394</v>
      </c>
      <c r="D479" s="3" t="s">
        <v>395</v>
      </c>
      <c r="E479" s="4" t="s">
        <v>21</v>
      </c>
      <c r="F479" s="43" t="s">
        <v>1789</v>
      </c>
      <c r="G479" s="4" t="s">
        <v>1865</v>
      </c>
      <c r="H479" s="43" t="s">
        <v>2402</v>
      </c>
      <c r="I479" s="4"/>
      <c r="J479" s="26" t="s">
        <v>16</v>
      </c>
      <c r="K479" s="27" t="s">
        <v>13</v>
      </c>
      <c r="L479" s="2" t="s">
        <v>2403</v>
      </c>
      <c r="M479" s="24"/>
    </row>
    <row r="480" spans="1:13" ht="100.2" customHeight="1" thickTop="1" thickBot="1">
      <c r="A480" s="4">
        <v>478</v>
      </c>
      <c r="B480" s="52" t="s">
        <v>2404</v>
      </c>
      <c r="C480" s="3" t="s">
        <v>394</v>
      </c>
      <c r="D480" s="3" t="s">
        <v>395</v>
      </c>
      <c r="E480" s="4" t="s">
        <v>21</v>
      </c>
      <c r="F480" s="43" t="s">
        <v>1789</v>
      </c>
      <c r="G480" s="4" t="s">
        <v>1844</v>
      </c>
      <c r="H480" s="43" t="s">
        <v>2405</v>
      </c>
      <c r="I480" s="4"/>
      <c r="J480" s="26" t="s">
        <v>16</v>
      </c>
      <c r="K480" s="27" t="s">
        <v>13</v>
      </c>
      <c r="L480" s="2" t="s">
        <v>2406</v>
      </c>
      <c r="M480" s="24"/>
    </row>
    <row r="481" spans="1:13" ht="100.2" customHeight="1" thickTop="1" thickBot="1">
      <c r="A481" s="31">
        <v>479</v>
      </c>
      <c r="B481" s="52" t="s">
        <v>2407</v>
      </c>
      <c r="C481" s="3" t="s">
        <v>394</v>
      </c>
      <c r="D481" s="3" t="s">
        <v>395</v>
      </c>
      <c r="E481" s="4" t="s">
        <v>21</v>
      </c>
      <c r="F481" s="43" t="s">
        <v>1789</v>
      </c>
      <c r="G481" s="4" t="s">
        <v>1865</v>
      </c>
      <c r="H481" s="43" t="s">
        <v>2408</v>
      </c>
      <c r="I481" s="4"/>
      <c r="J481" s="26" t="s">
        <v>16</v>
      </c>
      <c r="K481" s="27" t="s">
        <v>13</v>
      </c>
      <c r="L481" s="2" t="s">
        <v>2406</v>
      </c>
      <c r="M481" s="24"/>
    </row>
    <row r="482" spans="1:13" ht="100.2" customHeight="1" thickTop="1" thickBot="1">
      <c r="A482" s="4">
        <v>480</v>
      </c>
      <c r="B482" s="52" t="s">
        <v>2409</v>
      </c>
      <c r="C482" s="3" t="s">
        <v>394</v>
      </c>
      <c r="D482" s="3" t="s">
        <v>395</v>
      </c>
      <c r="E482" s="4" t="s">
        <v>21</v>
      </c>
      <c r="F482" s="43" t="s">
        <v>1789</v>
      </c>
      <c r="G482" s="4" t="s">
        <v>2410</v>
      </c>
      <c r="H482" s="43" t="s">
        <v>1379</v>
      </c>
      <c r="I482" s="4"/>
      <c r="J482" s="26" t="s">
        <v>16</v>
      </c>
      <c r="K482" s="27" t="s">
        <v>13</v>
      </c>
      <c r="L482" s="2" t="s">
        <v>2401</v>
      </c>
      <c r="M482" s="24"/>
    </row>
    <row r="483" spans="1:13" ht="100.2" customHeight="1" thickTop="1" thickBot="1">
      <c r="A483" s="31">
        <v>481</v>
      </c>
      <c r="B483" s="52" t="s">
        <v>2411</v>
      </c>
      <c r="C483" s="3" t="s">
        <v>394</v>
      </c>
      <c r="D483" s="3" t="s">
        <v>395</v>
      </c>
      <c r="E483" s="4" t="s">
        <v>21</v>
      </c>
      <c r="F483" s="43" t="s">
        <v>1789</v>
      </c>
      <c r="G483" s="4" t="s">
        <v>2646</v>
      </c>
      <c r="H483" s="43" t="s">
        <v>2647</v>
      </c>
      <c r="I483" s="4"/>
      <c r="J483" s="26" t="s">
        <v>16</v>
      </c>
      <c r="K483" s="27" t="s">
        <v>13</v>
      </c>
      <c r="L483" s="2" t="s">
        <v>2411</v>
      </c>
      <c r="M483" s="24"/>
    </row>
    <row r="484" spans="1:13" ht="100.2" customHeight="1" thickTop="1" thickBot="1">
      <c r="A484" s="4">
        <v>482</v>
      </c>
      <c r="B484" s="52" t="s">
        <v>2412</v>
      </c>
      <c r="C484" s="3" t="s">
        <v>394</v>
      </c>
      <c r="D484" s="3" t="s">
        <v>395</v>
      </c>
      <c r="E484" s="4" t="s">
        <v>21</v>
      </c>
      <c r="F484" s="43" t="s">
        <v>2002</v>
      </c>
      <c r="G484" s="4" t="s">
        <v>1865</v>
      </c>
      <c r="H484" s="43" t="s">
        <v>2413</v>
      </c>
      <c r="I484" s="4"/>
      <c r="J484" s="26" t="s">
        <v>16</v>
      </c>
      <c r="K484" s="27" t="s">
        <v>13</v>
      </c>
      <c r="L484" s="2" t="s">
        <v>2414</v>
      </c>
      <c r="M484" s="24"/>
    </row>
    <row r="485" spans="1:13" ht="100.2" customHeight="1" thickTop="1" thickBot="1">
      <c r="A485" s="31">
        <v>483</v>
      </c>
      <c r="B485" s="52" t="s">
        <v>2415</v>
      </c>
      <c r="C485" s="3" t="s">
        <v>394</v>
      </c>
      <c r="D485" s="3" t="s">
        <v>395</v>
      </c>
      <c r="E485" s="4" t="s">
        <v>21</v>
      </c>
      <c r="F485" s="43" t="s">
        <v>1995</v>
      </c>
      <c r="G485" s="4" t="s">
        <v>2620</v>
      </c>
      <c r="H485" s="43" t="s">
        <v>844</v>
      </c>
      <c r="I485" s="4"/>
      <c r="J485" s="26" t="s">
        <v>16</v>
      </c>
      <c r="K485" s="27" t="s">
        <v>13</v>
      </c>
      <c r="L485" s="2" t="s">
        <v>2415</v>
      </c>
      <c r="M485" s="24"/>
    </row>
    <row r="486" spans="1:13" ht="99.9" customHeight="1" thickTop="1" thickBot="1">
      <c r="A486" s="4">
        <v>484</v>
      </c>
      <c r="B486" s="52" t="s">
        <v>2416</v>
      </c>
      <c r="C486" s="3" t="s">
        <v>394</v>
      </c>
      <c r="D486" s="3" t="s">
        <v>395</v>
      </c>
      <c r="E486" s="4" t="s">
        <v>21</v>
      </c>
      <c r="F486" s="43" t="s">
        <v>1780</v>
      </c>
      <c r="G486" s="4" t="s">
        <v>1844</v>
      </c>
      <c r="H486" s="43" t="s">
        <v>2417</v>
      </c>
      <c r="I486" s="4"/>
      <c r="J486" s="26" t="s">
        <v>16</v>
      </c>
      <c r="K486" s="27" t="s">
        <v>13</v>
      </c>
      <c r="L486" s="2" t="s">
        <v>2418</v>
      </c>
      <c r="M486" s="24"/>
    </row>
    <row r="487" spans="1:13" ht="99.9" customHeight="1" thickTop="1" thickBot="1">
      <c r="A487" s="31">
        <v>485</v>
      </c>
      <c r="B487" s="52" t="s">
        <v>2419</v>
      </c>
      <c r="C487" s="3" t="s">
        <v>394</v>
      </c>
      <c r="D487" s="3" t="s">
        <v>395</v>
      </c>
      <c r="E487" s="4" t="s">
        <v>21</v>
      </c>
      <c r="F487" s="43" t="s">
        <v>1966</v>
      </c>
      <c r="G487" s="4" t="s">
        <v>602</v>
      </c>
      <c r="H487" s="43" t="s">
        <v>629</v>
      </c>
      <c r="I487" s="4"/>
      <c r="J487" s="26" t="s">
        <v>16</v>
      </c>
      <c r="K487" s="27" t="s">
        <v>13</v>
      </c>
      <c r="L487" s="2" t="s">
        <v>2420</v>
      </c>
      <c r="M487" s="24"/>
    </row>
    <row r="488" spans="1:13" ht="99.9" customHeight="1" thickTop="1" thickBot="1">
      <c r="A488" s="4">
        <v>486</v>
      </c>
      <c r="B488" s="52" t="s">
        <v>2420</v>
      </c>
      <c r="C488" s="3" t="s">
        <v>394</v>
      </c>
      <c r="D488" s="3" t="s">
        <v>1408</v>
      </c>
      <c r="E488" s="4" t="s">
        <v>22</v>
      </c>
      <c r="F488" s="43" t="s">
        <v>1966</v>
      </c>
      <c r="G488" s="4" t="s">
        <v>1865</v>
      </c>
      <c r="H488" s="43" t="s">
        <v>2421</v>
      </c>
      <c r="I488" s="4"/>
      <c r="J488" s="26" t="s">
        <v>16</v>
      </c>
      <c r="K488" s="27" t="s">
        <v>13</v>
      </c>
      <c r="L488" s="2" t="s">
        <v>2422</v>
      </c>
      <c r="M488" s="24"/>
    </row>
    <row r="489" spans="1:13" ht="99.9" customHeight="1" thickTop="1" thickBot="1">
      <c r="A489" s="31">
        <v>487</v>
      </c>
      <c r="B489" s="52" t="s">
        <v>2422</v>
      </c>
      <c r="C489" s="3" t="s">
        <v>394</v>
      </c>
      <c r="D489" s="3" t="s">
        <v>591</v>
      </c>
      <c r="E489" s="4" t="s">
        <v>22</v>
      </c>
      <c r="F489" s="43" t="s">
        <v>1966</v>
      </c>
      <c r="G489" s="4" t="s">
        <v>2644</v>
      </c>
      <c r="H489" s="43" t="s">
        <v>2423</v>
      </c>
      <c r="I489" s="4"/>
      <c r="J489" s="26" t="s">
        <v>16</v>
      </c>
      <c r="K489" s="27" t="s">
        <v>13</v>
      </c>
      <c r="L489" s="2" t="s">
        <v>2422</v>
      </c>
      <c r="M489" s="24"/>
    </row>
    <row r="490" spans="1:13" ht="99.9" customHeight="1" thickTop="1" thickBot="1">
      <c r="A490" s="4">
        <v>488</v>
      </c>
      <c r="B490" s="52" t="s">
        <v>2424</v>
      </c>
      <c r="C490" s="3" t="s">
        <v>394</v>
      </c>
      <c r="D490" s="3" t="s">
        <v>395</v>
      </c>
      <c r="E490" s="4" t="s">
        <v>21</v>
      </c>
      <c r="F490" s="43" t="s">
        <v>1789</v>
      </c>
      <c r="G490" s="4" t="s">
        <v>446</v>
      </c>
      <c r="H490" s="43" t="s">
        <v>567</v>
      </c>
      <c r="I490" s="4"/>
      <c r="J490" s="26" t="s">
        <v>16</v>
      </c>
      <c r="K490" s="27" t="s">
        <v>13</v>
      </c>
      <c r="L490" s="2" t="s">
        <v>2425</v>
      </c>
      <c r="M490" s="24"/>
    </row>
    <row r="491" spans="1:13" ht="99.9" customHeight="1" thickTop="1" thickBot="1">
      <c r="A491" s="31">
        <v>489</v>
      </c>
      <c r="B491" s="52" t="s">
        <v>2426</v>
      </c>
      <c r="C491" s="3" t="s">
        <v>394</v>
      </c>
      <c r="D491" s="3" t="s">
        <v>591</v>
      </c>
      <c r="E491" s="4" t="s">
        <v>22</v>
      </c>
      <c r="F491" s="43" t="s">
        <v>2427</v>
      </c>
      <c r="G491" s="4" t="s">
        <v>2216</v>
      </c>
      <c r="H491" s="43" t="s">
        <v>2428</v>
      </c>
      <c r="I491" s="4"/>
      <c r="J491" s="26" t="s">
        <v>14</v>
      </c>
      <c r="K491" s="27" t="s">
        <v>13</v>
      </c>
      <c r="L491" s="2" t="s">
        <v>2173</v>
      </c>
      <c r="M491" s="24"/>
    </row>
    <row r="492" spans="1:13" ht="99.9" customHeight="1" thickTop="1" thickBot="1">
      <c r="A492" s="4">
        <v>490</v>
      </c>
      <c r="B492" s="52" t="s">
        <v>2429</v>
      </c>
      <c r="C492" s="3" t="s">
        <v>394</v>
      </c>
      <c r="D492" s="3" t="s">
        <v>1749</v>
      </c>
      <c r="E492" s="4" t="s">
        <v>21</v>
      </c>
      <c r="F492" s="43" t="s">
        <v>2002</v>
      </c>
      <c r="G492" s="4" t="s">
        <v>1761</v>
      </c>
      <c r="H492" s="43" t="s">
        <v>2430</v>
      </c>
      <c r="I492" s="4"/>
      <c r="J492" s="26" t="s">
        <v>14</v>
      </c>
      <c r="K492" s="27" t="s">
        <v>13</v>
      </c>
      <c r="L492" s="2" t="s">
        <v>2431</v>
      </c>
      <c r="M492" s="24"/>
    </row>
    <row r="493" spans="1:13" ht="99.9" customHeight="1" thickTop="1" thickBot="1">
      <c r="A493" s="31">
        <v>491</v>
      </c>
      <c r="B493" s="52" t="s">
        <v>2432</v>
      </c>
      <c r="C493" s="3" t="s">
        <v>394</v>
      </c>
      <c r="D493" s="3" t="s">
        <v>1749</v>
      </c>
      <c r="E493" s="4" t="s">
        <v>21</v>
      </c>
      <c r="F493" s="43" t="s">
        <v>1855</v>
      </c>
      <c r="G493" s="4" t="s">
        <v>2433</v>
      </c>
      <c r="H493" s="43" t="s">
        <v>2434</v>
      </c>
      <c r="I493" s="4"/>
      <c r="J493" s="26" t="s">
        <v>14</v>
      </c>
      <c r="K493" s="27" t="s">
        <v>13</v>
      </c>
      <c r="L493" s="2" t="s">
        <v>2435</v>
      </c>
      <c r="M493" s="24"/>
    </row>
    <row r="494" spans="1:13" ht="99.9" customHeight="1" thickTop="1" thickBot="1">
      <c r="A494" s="4">
        <v>492</v>
      </c>
      <c r="B494" s="52" t="s">
        <v>2436</v>
      </c>
      <c r="C494" s="3" t="s">
        <v>394</v>
      </c>
      <c r="D494" s="3" t="s">
        <v>1749</v>
      </c>
      <c r="E494" s="4" t="s">
        <v>21</v>
      </c>
      <c r="F494" s="43" t="s">
        <v>1855</v>
      </c>
      <c r="G494" s="4" t="s">
        <v>1761</v>
      </c>
      <c r="H494" s="43" t="s">
        <v>2648</v>
      </c>
      <c r="I494" s="4"/>
      <c r="J494" s="26" t="s">
        <v>14</v>
      </c>
      <c r="K494" s="27" t="s">
        <v>13</v>
      </c>
      <c r="L494" s="2" t="s">
        <v>2437</v>
      </c>
      <c r="M494" s="24"/>
    </row>
    <row r="495" spans="1:13" ht="99.9" customHeight="1" thickTop="1" thickBot="1">
      <c r="A495" s="31">
        <v>493</v>
      </c>
      <c r="B495" s="52" t="s">
        <v>2438</v>
      </c>
      <c r="C495" s="3" t="s">
        <v>394</v>
      </c>
      <c r="D495" s="3" t="s">
        <v>1749</v>
      </c>
      <c r="E495" s="4" t="s">
        <v>21</v>
      </c>
      <c r="F495" s="43" t="s">
        <v>1897</v>
      </c>
      <c r="G495" s="4" t="s">
        <v>1761</v>
      </c>
      <c r="H495" s="43" t="s">
        <v>2439</v>
      </c>
      <c r="I495" s="4"/>
      <c r="J495" s="26" t="s">
        <v>14</v>
      </c>
      <c r="K495" s="27" t="s">
        <v>13</v>
      </c>
      <c r="L495" s="2" t="s">
        <v>2440</v>
      </c>
      <c r="M495" s="24"/>
    </row>
    <row r="496" spans="1:13" ht="99.9" customHeight="1" thickTop="1" thickBot="1">
      <c r="A496" s="4">
        <v>494</v>
      </c>
      <c r="B496" s="52" t="s">
        <v>2441</v>
      </c>
      <c r="C496" s="3" t="s">
        <v>394</v>
      </c>
      <c r="D496" s="3" t="s">
        <v>645</v>
      </c>
      <c r="E496" s="4" t="s">
        <v>22</v>
      </c>
      <c r="F496" s="43" t="s">
        <v>1855</v>
      </c>
      <c r="G496" s="4" t="s">
        <v>1826</v>
      </c>
      <c r="H496" s="43" t="s">
        <v>2442</v>
      </c>
      <c r="I496" s="4"/>
      <c r="J496" s="26" t="s">
        <v>14</v>
      </c>
      <c r="K496" s="27" t="s">
        <v>13</v>
      </c>
      <c r="L496" s="2" t="s">
        <v>2443</v>
      </c>
      <c r="M496" s="24"/>
    </row>
    <row r="497" spans="1:13" ht="99.9" customHeight="1" thickTop="1" thickBot="1">
      <c r="A497" s="31">
        <v>495</v>
      </c>
      <c r="B497" s="52" t="s">
        <v>2444</v>
      </c>
      <c r="C497" s="3" t="s">
        <v>394</v>
      </c>
      <c r="D497" s="3" t="s">
        <v>408</v>
      </c>
      <c r="E497" s="4" t="s">
        <v>22</v>
      </c>
      <c r="F497" s="43" t="s">
        <v>1780</v>
      </c>
      <c r="G497" s="4" t="s">
        <v>1826</v>
      </c>
      <c r="H497" s="43" t="s">
        <v>2442</v>
      </c>
      <c r="I497" s="4"/>
      <c r="J497" s="26" t="s">
        <v>14</v>
      </c>
      <c r="K497" s="27" t="s">
        <v>13</v>
      </c>
      <c r="L497" s="2" t="s">
        <v>2443</v>
      </c>
      <c r="M497" s="24"/>
    </row>
    <row r="498" spans="1:13" ht="99.9" customHeight="1" thickTop="1" thickBot="1">
      <c r="A498" s="4">
        <v>496</v>
      </c>
      <c r="B498" s="52" t="s">
        <v>2445</v>
      </c>
      <c r="C498" s="3" t="s">
        <v>394</v>
      </c>
      <c r="D498" s="3" t="s">
        <v>408</v>
      </c>
      <c r="E498" s="4" t="s">
        <v>22</v>
      </c>
      <c r="F498" s="43" t="s">
        <v>1966</v>
      </c>
      <c r="G498" s="4" t="s">
        <v>1826</v>
      </c>
      <c r="H498" s="43" t="s">
        <v>2446</v>
      </c>
      <c r="I498" s="4"/>
      <c r="J498" s="26" t="s">
        <v>14</v>
      </c>
      <c r="K498" s="27" t="s">
        <v>13</v>
      </c>
      <c r="L498" s="2" t="s">
        <v>2443</v>
      </c>
      <c r="M498" s="24"/>
    </row>
    <row r="499" spans="1:13" ht="99.9" customHeight="1" thickTop="1" thickBot="1">
      <c r="A499" s="31">
        <v>497</v>
      </c>
      <c r="B499" s="52" t="s">
        <v>2445</v>
      </c>
      <c r="C499" s="3" t="s">
        <v>394</v>
      </c>
      <c r="D499" s="3" t="s">
        <v>645</v>
      </c>
      <c r="E499" s="4" t="s">
        <v>22</v>
      </c>
      <c r="F499" s="43" t="s">
        <v>1855</v>
      </c>
      <c r="G499" s="4" t="s">
        <v>1816</v>
      </c>
      <c r="H499" s="43" t="s">
        <v>2447</v>
      </c>
      <c r="I499" s="4"/>
      <c r="J499" s="26" t="s">
        <v>14</v>
      </c>
      <c r="K499" s="27" t="s">
        <v>13</v>
      </c>
      <c r="L499" s="2" t="s">
        <v>2443</v>
      </c>
      <c r="M499" s="24"/>
    </row>
    <row r="500" spans="1:13" ht="99.9" customHeight="1" thickTop="1" thickBot="1">
      <c r="A500" s="4">
        <v>498</v>
      </c>
      <c r="B500" s="52" t="s">
        <v>2448</v>
      </c>
      <c r="C500" s="3" t="s">
        <v>394</v>
      </c>
      <c r="D500" s="3" t="s">
        <v>645</v>
      </c>
      <c r="E500" s="4" t="s">
        <v>22</v>
      </c>
      <c r="F500" s="43" t="s">
        <v>2215</v>
      </c>
      <c r="G500" s="4" t="s">
        <v>2216</v>
      </c>
      <c r="H500" s="43" t="s">
        <v>2449</v>
      </c>
      <c r="I500" s="4"/>
      <c r="J500" s="26" t="s">
        <v>14</v>
      </c>
      <c r="K500" s="27" t="s">
        <v>13</v>
      </c>
      <c r="L500" s="2" t="s">
        <v>2205</v>
      </c>
      <c r="M500" s="24"/>
    </row>
    <row r="501" spans="1:13" ht="99.9" customHeight="1" thickTop="1" thickBot="1">
      <c r="A501" s="31">
        <v>499</v>
      </c>
      <c r="B501" s="52" t="s">
        <v>2450</v>
      </c>
      <c r="C501" s="3" t="s">
        <v>394</v>
      </c>
      <c r="D501" s="3" t="s">
        <v>645</v>
      </c>
      <c r="E501" s="4" t="s">
        <v>22</v>
      </c>
      <c r="F501" s="43" t="s">
        <v>1995</v>
      </c>
      <c r="G501" s="4" t="s">
        <v>1826</v>
      </c>
      <c r="H501" s="43" t="s">
        <v>2451</v>
      </c>
      <c r="I501" s="4"/>
      <c r="J501" s="26" t="s">
        <v>14</v>
      </c>
      <c r="K501" s="27" t="s">
        <v>13</v>
      </c>
      <c r="L501" s="2" t="s">
        <v>2115</v>
      </c>
      <c r="M501" s="24"/>
    </row>
    <row r="502" spans="1:13" ht="99.9" customHeight="1" thickTop="1" thickBot="1">
      <c r="A502" s="4">
        <v>500</v>
      </c>
      <c r="B502" s="52" t="s">
        <v>2452</v>
      </c>
      <c r="C502" s="3" t="s">
        <v>394</v>
      </c>
      <c r="D502" s="3" t="s">
        <v>645</v>
      </c>
      <c r="E502" s="4" t="s">
        <v>22</v>
      </c>
      <c r="F502" s="43" t="s">
        <v>2002</v>
      </c>
      <c r="G502" s="4" t="s">
        <v>1826</v>
      </c>
      <c r="H502" s="43" t="s">
        <v>2451</v>
      </c>
      <c r="I502" s="4"/>
      <c r="J502" s="26" t="s">
        <v>14</v>
      </c>
      <c r="K502" s="27" t="s">
        <v>13</v>
      </c>
      <c r="L502" s="2" t="s">
        <v>2115</v>
      </c>
      <c r="M502" s="24"/>
    </row>
    <row r="503" spans="1:13" ht="99.9" customHeight="1" thickTop="1" thickBot="1">
      <c r="A503" s="31">
        <v>501</v>
      </c>
      <c r="B503" s="52" t="s">
        <v>2453</v>
      </c>
      <c r="C503" s="3" t="s">
        <v>394</v>
      </c>
      <c r="D503" s="3" t="s">
        <v>645</v>
      </c>
      <c r="E503" s="4" t="s">
        <v>22</v>
      </c>
      <c r="F503" s="43" t="s">
        <v>1789</v>
      </c>
      <c r="G503" s="4" t="s">
        <v>1826</v>
      </c>
      <c r="H503" s="43" t="s">
        <v>2442</v>
      </c>
      <c r="I503" s="4"/>
      <c r="J503" s="26" t="s">
        <v>14</v>
      </c>
      <c r="K503" s="27" t="s">
        <v>13</v>
      </c>
      <c r="L503" s="2" t="s">
        <v>2115</v>
      </c>
      <c r="M503" s="24"/>
    </row>
    <row r="504" spans="1:13" ht="99.9" customHeight="1" thickTop="1" thickBot="1">
      <c r="A504" s="4">
        <v>502</v>
      </c>
      <c r="B504" s="52" t="s">
        <v>2454</v>
      </c>
      <c r="C504" s="3" t="s">
        <v>394</v>
      </c>
      <c r="D504" s="3" t="s">
        <v>645</v>
      </c>
      <c r="E504" s="4" t="s">
        <v>22</v>
      </c>
      <c r="F504" s="43" t="s">
        <v>2455</v>
      </c>
      <c r="G504" s="4" t="s">
        <v>1826</v>
      </c>
      <c r="H504" s="43" t="s">
        <v>2442</v>
      </c>
      <c r="I504" s="4"/>
      <c r="J504" s="26" t="s">
        <v>14</v>
      </c>
      <c r="K504" s="27" t="s">
        <v>13</v>
      </c>
      <c r="L504" s="2" t="s">
        <v>2115</v>
      </c>
      <c r="M504" s="24"/>
    </row>
    <row r="505" spans="1:13" ht="99.9" customHeight="1" thickTop="1" thickBot="1">
      <c r="A505" s="31">
        <v>503</v>
      </c>
      <c r="B505" s="52" t="s">
        <v>2456</v>
      </c>
      <c r="C505" s="3" t="s">
        <v>394</v>
      </c>
      <c r="D505" s="3" t="s">
        <v>645</v>
      </c>
      <c r="E505" s="4" t="s">
        <v>22</v>
      </c>
      <c r="F505" s="43" t="s">
        <v>1861</v>
      </c>
      <c r="G505" s="4" t="s">
        <v>1826</v>
      </c>
      <c r="H505" s="43" t="s">
        <v>2457</v>
      </c>
      <c r="I505" s="4"/>
      <c r="J505" s="26" t="s">
        <v>14</v>
      </c>
      <c r="K505" s="27" t="s">
        <v>13</v>
      </c>
      <c r="L505" s="2" t="s">
        <v>2115</v>
      </c>
      <c r="M505" s="24"/>
    </row>
    <row r="506" spans="1:13" ht="99.9" customHeight="1" thickTop="1" thickBot="1">
      <c r="A506" s="4">
        <v>504</v>
      </c>
      <c r="B506" s="52" t="s">
        <v>2458</v>
      </c>
      <c r="C506" s="3" t="s">
        <v>394</v>
      </c>
      <c r="D506" s="3" t="s">
        <v>408</v>
      </c>
      <c r="E506" s="4" t="s">
        <v>22</v>
      </c>
      <c r="F506" s="43" t="s">
        <v>1855</v>
      </c>
      <c r="G506" s="4" t="s">
        <v>1816</v>
      </c>
      <c r="H506" s="43" t="s">
        <v>2459</v>
      </c>
      <c r="I506" s="4"/>
      <c r="J506" s="26" t="s">
        <v>14</v>
      </c>
      <c r="K506" s="27" t="s">
        <v>13</v>
      </c>
      <c r="L506" s="2" t="s">
        <v>2115</v>
      </c>
      <c r="M506" s="24"/>
    </row>
    <row r="507" spans="1:13" ht="99.9" customHeight="1" thickTop="1" thickBot="1">
      <c r="A507" s="31">
        <v>505</v>
      </c>
      <c r="B507" s="52" t="s">
        <v>2460</v>
      </c>
      <c r="C507" s="3" t="s">
        <v>394</v>
      </c>
      <c r="D507" s="3" t="s">
        <v>645</v>
      </c>
      <c r="E507" s="4" t="s">
        <v>22</v>
      </c>
      <c r="F507" s="43" t="s">
        <v>1855</v>
      </c>
      <c r="G507" s="4" t="s">
        <v>1826</v>
      </c>
      <c r="H507" s="43" t="s">
        <v>2457</v>
      </c>
      <c r="I507" s="4"/>
      <c r="J507" s="26" t="s">
        <v>14</v>
      </c>
      <c r="K507" s="27" t="s">
        <v>13</v>
      </c>
      <c r="L507" s="2" t="s">
        <v>2115</v>
      </c>
      <c r="M507" s="24"/>
    </row>
    <row r="508" spans="1:13" ht="99.9" customHeight="1" thickTop="1" thickBot="1">
      <c r="A508" s="4">
        <v>506</v>
      </c>
      <c r="B508" s="52" t="s">
        <v>2461</v>
      </c>
      <c r="C508" s="3" t="s">
        <v>394</v>
      </c>
      <c r="D508" s="3" t="s">
        <v>645</v>
      </c>
      <c r="E508" s="4" t="s">
        <v>22</v>
      </c>
      <c r="F508" s="43" t="s">
        <v>1855</v>
      </c>
      <c r="G508" s="4" t="s">
        <v>1816</v>
      </c>
      <c r="H508" s="43" t="s">
        <v>2462</v>
      </c>
      <c r="I508" s="4"/>
      <c r="J508" s="26" t="s">
        <v>14</v>
      </c>
      <c r="K508" s="27" t="s">
        <v>13</v>
      </c>
      <c r="L508" s="2" t="s">
        <v>2115</v>
      </c>
      <c r="M508" s="24"/>
    </row>
    <row r="509" spans="1:13" ht="99.9" customHeight="1" thickTop="1" thickBot="1">
      <c r="A509" s="31">
        <v>507</v>
      </c>
      <c r="B509" s="52" t="s">
        <v>2463</v>
      </c>
      <c r="C509" s="3" t="s">
        <v>394</v>
      </c>
      <c r="D509" s="3" t="s">
        <v>645</v>
      </c>
      <c r="E509" s="4" t="s">
        <v>22</v>
      </c>
      <c r="F509" s="43" t="s">
        <v>1855</v>
      </c>
      <c r="G509" s="4" t="s">
        <v>1816</v>
      </c>
      <c r="H509" s="43" t="s">
        <v>2464</v>
      </c>
      <c r="I509" s="4"/>
      <c r="J509" s="26" t="s">
        <v>14</v>
      </c>
      <c r="K509" s="27" t="s">
        <v>13</v>
      </c>
      <c r="L509" s="2" t="s">
        <v>2115</v>
      </c>
      <c r="M509" s="24"/>
    </row>
    <row r="510" spans="1:13" ht="99.9" customHeight="1" thickTop="1" thickBot="1">
      <c r="A510" s="4">
        <v>508</v>
      </c>
      <c r="B510" s="52" t="s">
        <v>2465</v>
      </c>
      <c r="C510" s="3" t="s">
        <v>394</v>
      </c>
      <c r="D510" s="3" t="s">
        <v>645</v>
      </c>
      <c r="E510" s="4" t="s">
        <v>22</v>
      </c>
      <c r="F510" s="43" t="s">
        <v>2466</v>
      </c>
      <c r="G510" s="4" t="s">
        <v>2467</v>
      </c>
      <c r="H510" s="43" t="s">
        <v>2468</v>
      </c>
      <c r="I510" s="4"/>
      <c r="J510" s="26" t="s">
        <v>14</v>
      </c>
      <c r="K510" s="27" t="s">
        <v>13</v>
      </c>
      <c r="L510" s="2" t="s">
        <v>2115</v>
      </c>
      <c r="M510" s="24"/>
    </row>
    <row r="511" spans="1:13" ht="99.9" customHeight="1" thickTop="1" thickBot="1">
      <c r="A511" s="31">
        <v>509</v>
      </c>
      <c r="B511" s="52" t="s">
        <v>2469</v>
      </c>
      <c r="C511" s="3" t="s">
        <v>394</v>
      </c>
      <c r="D511" s="3" t="s">
        <v>1749</v>
      </c>
      <c r="E511" s="4" t="s">
        <v>21</v>
      </c>
      <c r="F511" s="43" t="s">
        <v>1995</v>
      </c>
      <c r="G511" s="4" t="s">
        <v>1761</v>
      </c>
      <c r="H511" s="43" t="s">
        <v>2470</v>
      </c>
      <c r="I511" s="4"/>
      <c r="J511" s="26" t="s">
        <v>14</v>
      </c>
      <c r="K511" s="27" t="s">
        <v>13</v>
      </c>
      <c r="L511" s="2" t="s">
        <v>2471</v>
      </c>
      <c r="M511" s="24"/>
    </row>
    <row r="512" spans="1:13" ht="99.9" customHeight="1" thickTop="1" thickBot="1">
      <c r="A512" s="4">
        <v>510</v>
      </c>
      <c r="B512" s="52" t="s">
        <v>2472</v>
      </c>
      <c r="C512" s="3" t="s">
        <v>394</v>
      </c>
      <c r="D512" s="3" t="s">
        <v>1749</v>
      </c>
      <c r="E512" s="4" t="s">
        <v>21</v>
      </c>
      <c r="F512" s="43" t="s">
        <v>1750</v>
      </c>
      <c r="G512" s="4" t="s">
        <v>2201</v>
      </c>
      <c r="H512" s="43" t="s">
        <v>2473</v>
      </c>
      <c r="I512" s="4"/>
      <c r="J512" s="26" t="s">
        <v>14</v>
      </c>
      <c r="K512" s="27" t="s">
        <v>13</v>
      </c>
      <c r="L512" s="2" t="s">
        <v>2474</v>
      </c>
      <c r="M512" s="24"/>
    </row>
    <row r="513" spans="1:13" ht="99.9" customHeight="1" thickTop="1" thickBot="1">
      <c r="A513" s="31">
        <v>511</v>
      </c>
      <c r="B513" s="52" t="s">
        <v>2475</v>
      </c>
      <c r="C513" s="3" t="s">
        <v>394</v>
      </c>
      <c r="D513" s="3" t="s">
        <v>1749</v>
      </c>
      <c r="E513" s="4" t="s">
        <v>21</v>
      </c>
      <c r="F513" s="43" t="s">
        <v>1780</v>
      </c>
      <c r="G513" s="4" t="s">
        <v>1761</v>
      </c>
      <c r="H513" s="43" t="s">
        <v>2476</v>
      </c>
      <c r="I513" s="4"/>
      <c r="J513" s="26" t="s">
        <v>14</v>
      </c>
      <c r="K513" s="27" t="s">
        <v>13</v>
      </c>
      <c r="L513" s="2" t="s">
        <v>2477</v>
      </c>
      <c r="M513" s="24"/>
    </row>
    <row r="514" spans="1:13" ht="99.9" customHeight="1" thickTop="1" thickBot="1">
      <c r="A514" s="4">
        <v>512</v>
      </c>
      <c r="B514" s="52" t="s">
        <v>2478</v>
      </c>
      <c r="C514" s="3" t="s">
        <v>394</v>
      </c>
      <c r="D514" s="3" t="s">
        <v>1749</v>
      </c>
      <c r="E514" s="4" t="s">
        <v>21</v>
      </c>
      <c r="F514" s="43" t="s">
        <v>1780</v>
      </c>
      <c r="G514" s="4" t="s">
        <v>1816</v>
      </c>
      <c r="H514" s="43" t="s">
        <v>2479</v>
      </c>
      <c r="I514" s="4"/>
      <c r="J514" s="26" t="s">
        <v>14</v>
      </c>
      <c r="K514" s="27" t="s">
        <v>13</v>
      </c>
      <c r="L514" s="2" t="s">
        <v>2477</v>
      </c>
      <c r="M514" s="24"/>
    </row>
    <row r="515" spans="1:13" ht="99.9" customHeight="1" thickTop="1" thickBot="1">
      <c r="A515" s="31">
        <v>513</v>
      </c>
      <c r="B515" s="52" t="s">
        <v>2480</v>
      </c>
      <c r="C515" s="3" t="s">
        <v>394</v>
      </c>
      <c r="D515" s="3" t="s">
        <v>1749</v>
      </c>
      <c r="E515" s="4" t="s">
        <v>21</v>
      </c>
      <c r="F515" s="43" t="s">
        <v>1780</v>
      </c>
      <c r="G515" s="4" t="s">
        <v>2433</v>
      </c>
      <c r="H515" s="43" t="s">
        <v>2481</v>
      </c>
      <c r="I515" s="4"/>
      <c r="J515" s="26" t="s">
        <v>14</v>
      </c>
      <c r="K515" s="27" t="s">
        <v>13</v>
      </c>
      <c r="L515" s="2" t="s">
        <v>2482</v>
      </c>
      <c r="M515" s="24"/>
    </row>
    <row r="516" spans="1:13" ht="99.9" customHeight="1" thickTop="1" thickBot="1">
      <c r="A516" s="4">
        <v>514</v>
      </c>
      <c r="B516" s="52" t="s">
        <v>2483</v>
      </c>
      <c r="C516" s="3" t="s">
        <v>394</v>
      </c>
      <c r="D516" s="3" t="s">
        <v>1749</v>
      </c>
      <c r="E516" s="4" t="s">
        <v>21</v>
      </c>
      <c r="F516" s="43" t="s">
        <v>1780</v>
      </c>
      <c r="G516" s="4" t="s">
        <v>2201</v>
      </c>
      <c r="H516" s="43" t="s">
        <v>2484</v>
      </c>
      <c r="I516" s="4"/>
      <c r="J516" s="26" t="s">
        <v>14</v>
      </c>
      <c r="K516" s="27" t="s">
        <v>13</v>
      </c>
      <c r="L516" s="2" t="s">
        <v>2482</v>
      </c>
      <c r="M516" s="24"/>
    </row>
    <row r="517" spans="1:13" ht="99.9" customHeight="1" thickTop="1" thickBot="1">
      <c r="A517" s="31">
        <v>515</v>
      </c>
      <c r="B517" s="52" t="s">
        <v>2483</v>
      </c>
      <c r="C517" s="3" t="s">
        <v>394</v>
      </c>
      <c r="D517" s="3" t="s">
        <v>1749</v>
      </c>
      <c r="E517" s="4" t="s">
        <v>21</v>
      </c>
      <c r="F517" s="43" t="s">
        <v>1780</v>
      </c>
      <c r="G517" s="4" t="s">
        <v>1761</v>
      </c>
      <c r="H517" s="43" t="s">
        <v>2485</v>
      </c>
      <c r="I517" s="4"/>
      <c r="J517" s="26" t="s">
        <v>14</v>
      </c>
      <c r="K517" s="27" t="s">
        <v>13</v>
      </c>
      <c r="L517" s="2" t="s">
        <v>2486</v>
      </c>
      <c r="M517" s="24"/>
    </row>
    <row r="518" spans="1:13" ht="99.9" customHeight="1" thickTop="1" thickBot="1">
      <c r="A518" s="4">
        <v>516</v>
      </c>
      <c r="B518" s="52" t="s">
        <v>2487</v>
      </c>
      <c r="C518" s="3" t="s">
        <v>394</v>
      </c>
      <c r="D518" s="3" t="s">
        <v>1749</v>
      </c>
      <c r="E518" s="4" t="s">
        <v>21</v>
      </c>
      <c r="F518" s="43" t="s">
        <v>1780</v>
      </c>
      <c r="G518" s="4" t="s">
        <v>2250</v>
      </c>
      <c r="H518" s="43" t="s">
        <v>2488</v>
      </c>
      <c r="I518" s="4"/>
      <c r="J518" s="26" t="s">
        <v>14</v>
      </c>
      <c r="K518" s="27" t="s">
        <v>13</v>
      </c>
      <c r="L518" s="2" t="s">
        <v>2489</v>
      </c>
      <c r="M518" s="24"/>
    </row>
    <row r="519" spans="1:13" ht="99.9" customHeight="1" thickTop="1" thickBot="1">
      <c r="A519" s="31">
        <v>517</v>
      </c>
      <c r="B519" s="52" t="s">
        <v>2490</v>
      </c>
      <c r="C519" s="3" t="s">
        <v>394</v>
      </c>
      <c r="D519" s="3" t="s">
        <v>1749</v>
      </c>
      <c r="E519" s="4" t="s">
        <v>21</v>
      </c>
      <c r="F519" s="43" t="s">
        <v>1780</v>
      </c>
      <c r="G519" s="4" t="s">
        <v>1761</v>
      </c>
      <c r="H519" s="43" t="s">
        <v>2491</v>
      </c>
      <c r="I519" s="4"/>
      <c r="J519" s="26" t="s">
        <v>14</v>
      </c>
      <c r="K519" s="27" t="s">
        <v>13</v>
      </c>
      <c r="L519" s="2" t="s">
        <v>2492</v>
      </c>
      <c r="M519" s="24"/>
    </row>
    <row r="520" spans="1:13" ht="99.9" customHeight="1" thickTop="1" thickBot="1">
      <c r="A520" s="4">
        <v>518</v>
      </c>
      <c r="B520" s="52" t="s">
        <v>2493</v>
      </c>
      <c r="C520" s="3" t="s">
        <v>394</v>
      </c>
      <c r="D520" s="3" t="s">
        <v>1749</v>
      </c>
      <c r="E520" s="4" t="s">
        <v>21</v>
      </c>
      <c r="F520" s="43" t="s">
        <v>1861</v>
      </c>
      <c r="G520" s="4" t="s">
        <v>1826</v>
      </c>
      <c r="H520" s="43" t="s">
        <v>2494</v>
      </c>
      <c r="I520" s="4"/>
      <c r="J520" s="26" t="s">
        <v>14</v>
      </c>
      <c r="K520" s="27" t="s">
        <v>13</v>
      </c>
      <c r="L520" s="2" t="s">
        <v>2495</v>
      </c>
      <c r="M520" s="24"/>
    </row>
    <row r="521" spans="1:13" ht="99.9" customHeight="1" thickTop="1" thickBot="1">
      <c r="A521" s="31">
        <v>519</v>
      </c>
      <c r="B521" s="52" t="s">
        <v>2496</v>
      </c>
      <c r="C521" s="3" t="s">
        <v>394</v>
      </c>
      <c r="D521" s="3" t="s">
        <v>1749</v>
      </c>
      <c r="E521" s="4" t="s">
        <v>21</v>
      </c>
      <c r="F521" s="43" t="s">
        <v>1756</v>
      </c>
      <c r="G521" s="4" t="s">
        <v>406</v>
      </c>
      <c r="H521" s="43" t="s">
        <v>2497</v>
      </c>
      <c r="I521" s="4"/>
      <c r="J521" s="26" t="s">
        <v>14</v>
      </c>
      <c r="K521" s="27" t="s">
        <v>13</v>
      </c>
      <c r="L521" s="2" t="s">
        <v>2251</v>
      </c>
      <c r="M521" s="24"/>
    </row>
    <row r="522" spans="1:13" ht="99.9" customHeight="1" thickTop="1" thickBot="1">
      <c r="A522" s="4">
        <v>520</v>
      </c>
      <c r="B522" s="52" t="s">
        <v>2498</v>
      </c>
      <c r="C522" s="3" t="s">
        <v>394</v>
      </c>
      <c r="D522" s="3" t="s">
        <v>1864</v>
      </c>
      <c r="E522" s="4" t="s">
        <v>21</v>
      </c>
      <c r="F522" s="43" t="s">
        <v>1966</v>
      </c>
      <c r="G522" s="4" t="s">
        <v>1865</v>
      </c>
      <c r="H522" s="43" t="s">
        <v>2499</v>
      </c>
      <c r="I522" s="4"/>
      <c r="J522" s="26" t="s">
        <v>14</v>
      </c>
      <c r="K522" s="27" t="s">
        <v>13</v>
      </c>
      <c r="L522" s="2" t="s">
        <v>2266</v>
      </c>
      <c r="M522" s="24"/>
    </row>
    <row r="523" spans="1:13" ht="99.9" customHeight="1" thickTop="1" thickBot="1">
      <c r="A523" s="31">
        <v>521</v>
      </c>
      <c r="B523" s="52" t="s">
        <v>2500</v>
      </c>
      <c r="C523" s="3" t="s">
        <v>394</v>
      </c>
      <c r="D523" s="3" t="s">
        <v>645</v>
      </c>
      <c r="E523" s="4" t="s">
        <v>22</v>
      </c>
      <c r="F523" s="43" t="s">
        <v>1966</v>
      </c>
      <c r="G523" s="4" t="s">
        <v>2620</v>
      </c>
      <c r="H523" s="43" t="s">
        <v>2501</v>
      </c>
      <c r="I523" s="4"/>
      <c r="J523" s="26" t="s">
        <v>14</v>
      </c>
      <c r="K523" s="27" t="s">
        <v>13</v>
      </c>
      <c r="L523" s="2" t="s">
        <v>2502</v>
      </c>
      <c r="M523" s="24"/>
    </row>
    <row r="524" spans="1:13" ht="99.9" customHeight="1" thickTop="1" thickBot="1">
      <c r="A524" s="4">
        <v>522</v>
      </c>
      <c r="B524" s="52" t="s">
        <v>2503</v>
      </c>
      <c r="C524" s="3" t="s">
        <v>394</v>
      </c>
      <c r="D524" s="3" t="s">
        <v>645</v>
      </c>
      <c r="E524" s="4" t="s">
        <v>22</v>
      </c>
      <c r="F524" s="43" t="s">
        <v>2649</v>
      </c>
      <c r="G524" s="4" t="s">
        <v>2644</v>
      </c>
      <c r="H524" s="43" t="s">
        <v>2504</v>
      </c>
      <c r="I524" s="4"/>
      <c r="J524" s="26" t="s">
        <v>14</v>
      </c>
      <c r="K524" s="27" t="s">
        <v>13</v>
      </c>
      <c r="L524" s="2" t="s">
        <v>2502</v>
      </c>
      <c r="M524" s="24"/>
    </row>
    <row r="525" spans="1:13" ht="99.9" customHeight="1" thickTop="1" thickBot="1">
      <c r="A525" s="31">
        <v>523</v>
      </c>
      <c r="B525" s="52" t="s">
        <v>2502</v>
      </c>
      <c r="C525" s="3" t="s">
        <v>394</v>
      </c>
      <c r="D525" s="3" t="s">
        <v>645</v>
      </c>
      <c r="E525" s="4" t="s">
        <v>22</v>
      </c>
      <c r="F525" s="43" t="s">
        <v>2505</v>
      </c>
      <c r="G525" s="4" t="s">
        <v>1865</v>
      </c>
      <c r="H525" s="43" t="s">
        <v>2506</v>
      </c>
      <c r="I525" s="4"/>
      <c r="J525" s="26" t="s">
        <v>14</v>
      </c>
      <c r="K525" s="27" t="s">
        <v>13</v>
      </c>
      <c r="L525" s="2" t="s">
        <v>2502</v>
      </c>
      <c r="M525" s="24"/>
    </row>
    <row r="526" spans="1:13" ht="99.9" customHeight="1" thickTop="1" thickBot="1">
      <c r="A526" s="4">
        <v>524</v>
      </c>
      <c r="B526" s="52" t="s">
        <v>2507</v>
      </c>
      <c r="C526" s="3" t="s">
        <v>394</v>
      </c>
      <c r="D526" s="3" t="s">
        <v>395</v>
      </c>
      <c r="E526" s="4" t="s">
        <v>21</v>
      </c>
      <c r="F526" s="43" t="s">
        <v>1966</v>
      </c>
      <c r="G526" s="4" t="s">
        <v>1865</v>
      </c>
      <c r="H526" s="43" t="s">
        <v>2508</v>
      </c>
      <c r="I526" s="4"/>
      <c r="J526" s="26" t="s">
        <v>14</v>
      </c>
      <c r="K526" s="27" t="s">
        <v>13</v>
      </c>
      <c r="L526" s="2" t="s">
        <v>2266</v>
      </c>
      <c r="M526" s="24"/>
    </row>
    <row r="527" spans="1:13" ht="99.9" customHeight="1" thickTop="1" thickBot="1">
      <c r="A527" s="31">
        <v>525</v>
      </c>
      <c r="B527" s="52" t="s">
        <v>2509</v>
      </c>
      <c r="C527" s="3" t="s">
        <v>394</v>
      </c>
      <c r="D527" s="3" t="s">
        <v>645</v>
      </c>
      <c r="E527" s="4" t="s">
        <v>22</v>
      </c>
      <c r="F527" s="43" t="s">
        <v>1780</v>
      </c>
      <c r="G527" s="4" t="s">
        <v>1826</v>
      </c>
      <c r="H527" s="43" t="s">
        <v>2457</v>
      </c>
      <c r="I527" s="4"/>
      <c r="J527" s="26" t="s">
        <v>14</v>
      </c>
      <c r="K527" s="27" t="s">
        <v>13</v>
      </c>
      <c r="L527" s="2" t="s">
        <v>2510</v>
      </c>
      <c r="M527" s="24"/>
    </row>
    <row r="528" spans="1:13" ht="99.9" customHeight="1" thickTop="1" thickBot="1">
      <c r="A528" s="4">
        <v>526</v>
      </c>
      <c r="B528" s="52" t="s">
        <v>2511</v>
      </c>
      <c r="C528" s="3" t="s">
        <v>394</v>
      </c>
      <c r="D528" s="3" t="s">
        <v>645</v>
      </c>
      <c r="E528" s="4" t="s">
        <v>22</v>
      </c>
      <c r="F528" s="43" t="s">
        <v>1789</v>
      </c>
      <c r="G528" s="4" t="s">
        <v>1826</v>
      </c>
      <c r="H528" s="43" t="s">
        <v>2457</v>
      </c>
      <c r="I528" s="4"/>
      <c r="J528" s="26" t="s">
        <v>14</v>
      </c>
      <c r="K528" s="27" t="s">
        <v>13</v>
      </c>
      <c r="L528" s="2"/>
      <c r="M528" s="24"/>
    </row>
    <row r="529" spans="1:13" ht="99.9" customHeight="1" thickTop="1" thickBot="1">
      <c r="A529" s="31">
        <v>527</v>
      </c>
      <c r="B529" s="52" t="s">
        <v>2512</v>
      </c>
      <c r="C529" s="3" t="s">
        <v>394</v>
      </c>
      <c r="D529" s="3" t="s">
        <v>645</v>
      </c>
      <c r="E529" s="4" t="s">
        <v>22</v>
      </c>
      <c r="F529" s="43" t="s">
        <v>2455</v>
      </c>
      <c r="G529" s="4" t="s">
        <v>1826</v>
      </c>
      <c r="H529" s="43" t="s">
        <v>2457</v>
      </c>
      <c r="I529" s="4"/>
      <c r="J529" s="26" t="s">
        <v>14</v>
      </c>
      <c r="K529" s="27" t="s">
        <v>13</v>
      </c>
      <c r="L529" s="2" t="s">
        <v>2510</v>
      </c>
      <c r="M529" s="24"/>
    </row>
    <row r="530" spans="1:13" ht="99.9" customHeight="1" thickTop="1" thickBot="1">
      <c r="A530" s="4">
        <v>528</v>
      </c>
      <c r="B530" s="52" t="s">
        <v>2510</v>
      </c>
      <c r="C530" s="3" t="s">
        <v>394</v>
      </c>
      <c r="D530" s="3" t="s">
        <v>645</v>
      </c>
      <c r="E530" s="4" t="s">
        <v>22</v>
      </c>
      <c r="F530" s="43" t="s">
        <v>508</v>
      </c>
      <c r="G530" s="4" t="s">
        <v>1826</v>
      </c>
      <c r="H530" s="43" t="s">
        <v>2513</v>
      </c>
      <c r="I530" s="4"/>
      <c r="J530" s="26" t="s">
        <v>14</v>
      </c>
      <c r="K530" s="27" t="s">
        <v>13</v>
      </c>
      <c r="L530" s="2" t="s">
        <v>2510</v>
      </c>
      <c r="M530" s="24"/>
    </row>
    <row r="531" spans="1:13" ht="99.9" customHeight="1" thickTop="1" thickBot="1">
      <c r="A531" s="31">
        <v>529</v>
      </c>
      <c r="B531" s="52" t="s">
        <v>2514</v>
      </c>
      <c r="C531" s="3" t="s">
        <v>394</v>
      </c>
      <c r="D531" s="3" t="s">
        <v>395</v>
      </c>
      <c r="E531" s="4" t="s">
        <v>21</v>
      </c>
      <c r="F531" s="43" t="s">
        <v>1750</v>
      </c>
      <c r="G531" s="4" t="s">
        <v>1865</v>
      </c>
      <c r="H531" s="43" t="s">
        <v>2515</v>
      </c>
      <c r="I531" s="4"/>
      <c r="J531" s="26" t="s">
        <v>14</v>
      </c>
      <c r="K531" s="27" t="s">
        <v>13</v>
      </c>
      <c r="L531" s="2" t="s">
        <v>2516</v>
      </c>
      <c r="M531" s="24"/>
    </row>
    <row r="532" spans="1:13" ht="99.9" customHeight="1" thickTop="1" thickBot="1">
      <c r="A532" s="4">
        <v>530</v>
      </c>
      <c r="B532" s="52" t="s">
        <v>2517</v>
      </c>
      <c r="C532" s="3" t="s">
        <v>394</v>
      </c>
      <c r="D532" s="3" t="s">
        <v>395</v>
      </c>
      <c r="E532" s="4" t="s">
        <v>21</v>
      </c>
      <c r="F532" s="43" t="s">
        <v>1750</v>
      </c>
      <c r="G532" s="4" t="s">
        <v>1865</v>
      </c>
      <c r="H532" s="43" t="s">
        <v>2518</v>
      </c>
      <c r="I532" s="4"/>
      <c r="J532" s="26" t="s">
        <v>14</v>
      </c>
      <c r="K532" s="27" t="s">
        <v>13</v>
      </c>
      <c r="L532" s="2" t="s">
        <v>2519</v>
      </c>
      <c r="M532" s="24"/>
    </row>
    <row r="533" spans="1:13" ht="99.9" customHeight="1" thickTop="1" thickBot="1">
      <c r="A533" s="31">
        <v>531</v>
      </c>
      <c r="B533" s="52" t="s">
        <v>2520</v>
      </c>
      <c r="C533" s="3" t="s">
        <v>394</v>
      </c>
      <c r="D533" s="3" t="s">
        <v>395</v>
      </c>
      <c r="E533" s="4" t="s">
        <v>21</v>
      </c>
      <c r="F533" s="43" t="s">
        <v>1789</v>
      </c>
      <c r="G533" s="4" t="s">
        <v>1865</v>
      </c>
      <c r="H533" s="43" t="s">
        <v>2521</v>
      </c>
      <c r="I533" s="4"/>
      <c r="J533" s="26" t="s">
        <v>14</v>
      </c>
      <c r="K533" s="27" t="s">
        <v>13</v>
      </c>
      <c r="L533" s="2" t="s">
        <v>2522</v>
      </c>
      <c r="M533" s="24"/>
    </row>
    <row r="534" spans="1:13" ht="99.9" customHeight="1" thickTop="1" thickBot="1">
      <c r="A534" s="4">
        <v>532</v>
      </c>
      <c r="B534" s="52" t="s">
        <v>2523</v>
      </c>
      <c r="C534" s="3" t="s">
        <v>394</v>
      </c>
      <c r="D534" s="3" t="s">
        <v>395</v>
      </c>
      <c r="E534" s="4" t="s">
        <v>21</v>
      </c>
      <c r="F534" s="43" t="s">
        <v>1789</v>
      </c>
      <c r="G534" s="4" t="s">
        <v>1865</v>
      </c>
      <c r="H534" s="43" t="s">
        <v>2524</v>
      </c>
      <c r="I534" s="4"/>
      <c r="J534" s="26" t="s">
        <v>14</v>
      </c>
      <c r="K534" s="27" t="s">
        <v>13</v>
      </c>
      <c r="L534" s="2" t="s">
        <v>2137</v>
      </c>
      <c r="M534" s="24"/>
    </row>
    <row r="535" spans="1:13" ht="99.9" customHeight="1" thickTop="1" thickBot="1">
      <c r="A535" s="31">
        <v>533</v>
      </c>
      <c r="B535" s="52" t="s">
        <v>2525</v>
      </c>
      <c r="C535" s="3" t="s">
        <v>394</v>
      </c>
      <c r="D535" s="3" t="s">
        <v>395</v>
      </c>
      <c r="E535" s="4" t="s">
        <v>21</v>
      </c>
      <c r="F535" s="43" t="s">
        <v>1789</v>
      </c>
      <c r="G535" s="4" t="s">
        <v>1865</v>
      </c>
      <c r="H535" s="43" t="s">
        <v>2526</v>
      </c>
      <c r="I535" s="4"/>
      <c r="J535" s="26" t="s">
        <v>14</v>
      </c>
      <c r="K535" s="27" t="s">
        <v>13</v>
      </c>
      <c r="L535" s="2" t="s">
        <v>2525</v>
      </c>
      <c r="M535" s="24"/>
    </row>
    <row r="536" spans="1:13" ht="99.9" customHeight="1" thickTop="1" thickBot="1">
      <c r="A536" s="4">
        <v>534</v>
      </c>
      <c r="B536" s="52" t="s">
        <v>2527</v>
      </c>
      <c r="C536" s="3" t="s">
        <v>394</v>
      </c>
      <c r="D536" s="3" t="s">
        <v>395</v>
      </c>
      <c r="E536" s="4" t="s">
        <v>21</v>
      </c>
      <c r="F536" s="43" t="s">
        <v>1789</v>
      </c>
      <c r="G536" s="4" t="s">
        <v>1844</v>
      </c>
      <c r="H536" s="43" t="s">
        <v>2528</v>
      </c>
      <c r="I536" s="4"/>
      <c r="J536" s="26" t="s">
        <v>14</v>
      </c>
      <c r="K536" s="27" t="s">
        <v>13</v>
      </c>
      <c r="L536" s="2" t="s">
        <v>2529</v>
      </c>
      <c r="M536" s="24"/>
    </row>
    <row r="537" spans="1:13" ht="99.9" customHeight="1" thickTop="1" thickBot="1">
      <c r="A537" s="31">
        <v>535</v>
      </c>
      <c r="B537" s="52" t="s">
        <v>2322</v>
      </c>
      <c r="C537" s="3" t="s">
        <v>394</v>
      </c>
      <c r="D537" s="3" t="s">
        <v>395</v>
      </c>
      <c r="E537" s="4" t="s">
        <v>21</v>
      </c>
      <c r="F537" s="43" t="s">
        <v>1750</v>
      </c>
      <c r="G537" s="4" t="s">
        <v>1865</v>
      </c>
      <c r="H537" s="43" t="s">
        <v>2530</v>
      </c>
      <c r="I537" s="4"/>
      <c r="J537" s="26" t="s">
        <v>14</v>
      </c>
      <c r="K537" s="27" t="s">
        <v>13</v>
      </c>
      <c r="L537" s="2" t="s">
        <v>2531</v>
      </c>
      <c r="M537" s="24"/>
    </row>
    <row r="538" spans="1:13" ht="99.9" customHeight="1" thickTop="1" thickBot="1">
      <c r="A538" s="4">
        <v>536</v>
      </c>
      <c r="B538" s="52" t="s">
        <v>2532</v>
      </c>
      <c r="C538" s="3" t="s">
        <v>394</v>
      </c>
      <c r="D538" s="3" t="s">
        <v>395</v>
      </c>
      <c r="E538" s="4" t="s">
        <v>21</v>
      </c>
      <c r="F538" s="43" t="s">
        <v>1756</v>
      </c>
      <c r="G538" s="4" t="s">
        <v>437</v>
      </c>
      <c r="H538" s="43" t="s">
        <v>2533</v>
      </c>
      <c r="I538" s="4"/>
      <c r="J538" s="26" t="s">
        <v>14</v>
      </c>
      <c r="K538" s="27" t="s">
        <v>13</v>
      </c>
      <c r="L538" s="2" t="s">
        <v>2531</v>
      </c>
      <c r="M538" s="24"/>
    </row>
    <row r="539" spans="1:13" ht="99.9" customHeight="1" thickTop="1" thickBot="1">
      <c r="A539" s="31">
        <v>537</v>
      </c>
      <c r="B539" s="52" t="s">
        <v>2534</v>
      </c>
      <c r="C539" s="3" t="s">
        <v>394</v>
      </c>
      <c r="D539" s="3" t="s">
        <v>395</v>
      </c>
      <c r="E539" s="4" t="s">
        <v>21</v>
      </c>
      <c r="F539" s="43" t="s">
        <v>1750</v>
      </c>
      <c r="G539" s="4" t="s">
        <v>1865</v>
      </c>
      <c r="H539" s="43" t="s">
        <v>2535</v>
      </c>
      <c r="I539" s="4"/>
      <c r="J539" s="26" t="s">
        <v>14</v>
      </c>
      <c r="K539" s="27" t="s">
        <v>13</v>
      </c>
      <c r="L539" s="2" t="s">
        <v>2536</v>
      </c>
      <c r="M539" s="24"/>
    </row>
    <row r="540" spans="1:13" ht="99.9" customHeight="1" thickTop="1" thickBot="1">
      <c r="A540" s="4">
        <v>538</v>
      </c>
      <c r="B540" s="52" t="s">
        <v>2537</v>
      </c>
      <c r="C540" s="3" t="s">
        <v>394</v>
      </c>
      <c r="D540" s="3" t="s">
        <v>395</v>
      </c>
      <c r="E540" s="4" t="s">
        <v>21</v>
      </c>
      <c r="F540" s="43" t="s">
        <v>1966</v>
      </c>
      <c r="G540" s="4" t="s">
        <v>1844</v>
      </c>
      <c r="H540" s="43" t="s">
        <v>2538</v>
      </c>
      <c r="I540" s="4"/>
      <c r="J540" s="26" t="s">
        <v>14</v>
      </c>
      <c r="K540" s="27" t="s">
        <v>13</v>
      </c>
      <c r="L540" s="2" t="s">
        <v>2338</v>
      </c>
      <c r="M540" s="24"/>
    </row>
    <row r="541" spans="1:13" ht="99.9" customHeight="1" thickTop="1" thickBot="1">
      <c r="A541" s="31">
        <v>539</v>
      </c>
      <c r="B541" s="52" t="s">
        <v>2539</v>
      </c>
      <c r="C541" s="3" t="s">
        <v>394</v>
      </c>
      <c r="D541" s="3" t="s">
        <v>395</v>
      </c>
      <c r="E541" s="4" t="s">
        <v>21</v>
      </c>
      <c r="F541" s="43" t="s">
        <v>1966</v>
      </c>
      <c r="G541" s="4" t="s">
        <v>2540</v>
      </c>
      <c r="H541" s="43" t="s">
        <v>2541</v>
      </c>
      <c r="I541" s="4"/>
      <c r="J541" s="26" t="s">
        <v>14</v>
      </c>
      <c r="K541" s="27" t="s">
        <v>13</v>
      </c>
      <c r="L541" s="2" t="s">
        <v>2338</v>
      </c>
      <c r="M541" s="24"/>
    </row>
    <row r="542" spans="1:13" ht="99.9" customHeight="1" thickTop="1" thickBot="1">
      <c r="A542" s="4">
        <v>540</v>
      </c>
      <c r="B542" s="52" t="s">
        <v>2542</v>
      </c>
      <c r="C542" s="3" t="s">
        <v>394</v>
      </c>
      <c r="D542" s="3" t="s">
        <v>408</v>
      </c>
      <c r="E542" s="4" t="s">
        <v>22</v>
      </c>
      <c r="F542" s="43" t="s">
        <v>1789</v>
      </c>
      <c r="G542" s="4" t="s">
        <v>1844</v>
      </c>
      <c r="H542" s="43" t="s">
        <v>2543</v>
      </c>
      <c r="I542" s="4"/>
      <c r="J542" s="26" t="s">
        <v>14</v>
      </c>
      <c r="K542" s="27" t="s">
        <v>13</v>
      </c>
      <c r="L542" s="2" t="s">
        <v>2544</v>
      </c>
      <c r="M542" s="24"/>
    </row>
    <row r="543" spans="1:13" ht="99.9" customHeight="1" thickTop="1" thickBot="1">
      <c r="A543" s="31">
        <v>541</v>
      </c>
      <c r="B543" s="52" t="s">
        <v>2545</v>
      </c>
      <c r="C543" s="3" t="s">
        <v>394</v>
      </c>
      <c r="D543" s="3" t="s">
        <v>645</v>
      </c>
      <c r="E543" s="4" t="s">
        <v>22</v>
      </c>
      <c r="F543" s="43" t="s">
        <v>1789</v>
      </c>
      <c r="G543" s="4" t="s">
        <v>2645</v>
      </c>
      <c r="H543" s="43" t="s">
        <v>2546</v>
      </c>
      <c r="I543" s="4"/>
      <c r="J543" s="26" t="s">
        <v>14</v>
      </c>
      <c r="K543" s="27" t="s">
        <v>13</v>
      </c>
      <c r="L543" s="2" t="s">
        <v>2544</v>
      </c>
      <c r="M543" s="24"/>
    </row>
    <row r="544" spans="1:13" ht="99.9" customHeight="1" thickTop="1" thickBot="1">
      <c r="A544" s="4">
        <v>542</v>
      </c>
      <c r="B544" s="52" t="s">
        <v>2547</v>
      </c>
      <c r="C544" s="3" t="s">
        <v>394</v>
      </c>
      <c r="D544" s="3" t="s">
        <v>645</v>
      </c>
      <c r="E544" s="4" t="s">
        <v>22</v>
      </c>
      <c r="F544" s="43" t="s">
        <v>1789</v>
      </c>
      <c r="G544" s="4" t="s">
        <v>2645</v>
      </c>
      <c r="H544" s="43" t="s">
        <v>2548</v>
      </c>
      <c r="I544" s="4"/>
      <c r="J544" s="26" t="s">
        <v>14</v>
      </c>
      <c r="K544" s="27" t="s">
        <v>13</v>
      </c>
      <c r="L544" s="2" t="s">
        <v>2544</v>
      </c>
      <c r="M544" s="24"/>
    </row>
    <row r="545" spans="1:13" ht="99.9" customHeight="1" thickTop="1" thickBot="1">
      <c r="A545" s="31">
        <v>543</v>
      </c>
      <c r="B545" s="52" t="s">
        <v>2549</v>
      </c>
      <c r="C545" s="3" t="s">
        <v>394</v>
      </c>
      <c r="D545" s="3" t="s">
        <v>645</v>
      </c>
      <c r="E545" s="4" t="s">
        <v>22</v>
      </c>
      <c r="F545" s="43" t="s">
        <v>1897</v>
      </c>
      <c r="G545" s="4" t="s">
        <v>2621</v>
      </c>
      <c r="H545" s="43" t="s">
        <v>2550</v>
      </c>
      <c r="I545" s="4"/>
      <c r="J545" s="26" t="s">
        <v>14</v>
      </c>
      <c r="K545" s="27" t="s">
        <v>13</v>
      </c>
      <c r="L545" s="2" t="s">
        <v>2544</v>
      </c>
      <c r="M545" s="24"/>
    </row>
    <row r="546" spans="1:13" ht="99.9" customHeight="1" thickTop="1" thickBot="1">
      <c r="A546" s="4">
        <v>544</v>
      </c>
      <c r="B546" s="52" t="s">
        <v>2551</v>
      </c>
      <c r="C546" s="3" t="s">
        <v>394</v>
      </c>
      <c r="D546" s="3" t="s">
        <v>395</v>
      </c>
      <c r="E546" s="4" t="s">
        <v>21</v>
      </c>
      <c r="F546" s="43" t="s">
        <v>1789</v>
      </c>
      <c r="G546" s="4" t="s">
        <v>439</v>
      </c>
      <c r="H546" s="43" t="s">
        <v>2552</v>
      </c>
      <c r="I546" s="4"/>
      <c r="J546" s="26" t="s">
        <v>14</v>
      </c>
      <c r="K546" s="27" t="s">
        <v>13</v>
      </c>
      <c r="L546" s="2" t="s">
        <v>2553</v>
      </c>
      <c r="M546" s="24"/>
    </row>
    <row r="547" spans="1:13" ht="99.9" customHeight="1" thickTop="1" thickBot="1">
      <c r="A547" s="31">
        <v>545</v>
      </c>
      <c r="B547" s="52" t="s">
        <v>2144</v>
      </c>
      <c r="C547" s="3" t="s">
        <v>394</v>
      </c>
      <c r="D547" s="3" t="s">
        <v>395</v>
      </c>
      <c r="E547" s="4" t="s">
        <v>21</v>
      </c>
      <c r="F547" s="43" t="s">
        <v>1789</v>
      </c>
      <c r="G547" s="4" t="s">
        <v>1865</v>
      </c>
      <c r="H547" s="43" t="s">
        <v>2554</v>
      </c>
      <c r="I547" s="4"/>
      <c r="J547" s="26" t="s">
        <v>14</v>
      </c>
      <c r="K547" s="27" t="s">
        <v>13</v>
      </c>
      <c r="L547" s="2" t="s">
        <v>2553</v>
      </c>
      <c r="M547" s="24"/>
    </row>
    <row r="548" spans="1:13" ht="99.9" customHeight="1" thickTop="1" thickBot="1">
      <c r="A548" s="4">
        <v>546</v>
      </c>
      <c r="B548" s="52" t="s">
        <v>2555</v>
      </c>
      <c r="C548" s="3" t="s">
        <v>394</v>
      </c>
      <c r="D548" s="3" t="s">
        <v>395</v>
      </c>
      <c r="E548" s="4" t="s">
        <v>21</v>
      </c>
      <c r="F548" s="43" t="s">
        <v>1995</v>
      </c>
      <c r="G548" s="4" t="s">
        <v>1865</v>
      </c>
      <c r="H548" s="43" t="s">
        <v>2556</v>
      </c>
      <c r="I548" s="4"/>
      <c r="J548" s="26" t="s">
        <v>14</v>
      </c>
      <c r="K548" s="27" t="s">
        <v>13</v>
      </c>
      <c r="L548" s="2" t="s">
        <v>2557</v>
      </c>
      <c r="M548" s="24"/>
    </row>
    <row r="549" spans="1:13" ht="99.9" customHeight="1" thickTop="1" thickBot="1">
      <c r="A549" s="31">
        <v>547</v>
      </c>
      <c r="B549" s="52" t="s">
        <v>2558</v>
      </c>
      <c r="C549" s="3" t="s">
        <v>394</v>
      </c>
      <c r="D549" s="3" t="s">
        <v>395</v>
      </c>
      <c r="E549" s="4" t="s">
        <v>21</v>
      </c>
      <c r="F549" s="43" t="s">
        <v>1855</v>
      </c>
      <c r="G549" s="4" t="s">
        <v>797</v>
      </c>
      <c r="H549" s="43" t="s">
        <v>2559</v>
      </c>
      <c r="I549" s="4"/>
      <c r="J549" s="26" t="s">
        <v>14</v>
      </c>
      <c r="K549" s="27" t="s">
        <v>13</v>
      </c>
      <c r="L549" s="2" t="s">
        <v>2560</v>
      </c>
      <c r="M549" s="24"/>
    </row>
    <row r="550" spans="1:13" ht="99.9" customHeight="1" thickTop="1" thickBot="1">
      <c r="A550" s="4">
        <v>548</v>
      </c>
      <c r="B550" s="52" t="s">
        <v>2561</v>
      </c>
      <c r="C550" s="3" t="s">
        <v>394</v>
      </c>
      <c r="D550" s="3" t="s">
        <v>395</v>
      </c>
      <c r="E550" s="4" t="s">
        <v>21</v>
      </c>
      <c r="F550" s="43" t="s">
        <v>1995</v>
      </c>
      <c r="G550" s="4" t="s">
        <v>1844</v>
      </c>
      <c r="H550" s="43" t="s">
        <v>2562</v>
      </c>
      <c r="I550" s="4"/>
      <c r="J550" s="26" t="s">
        <v>14</v>
      </c>
      <c r="K550" s="27" t="s">
        <v>13</v>
      </c>
      <c r="L550" s="2" t="s">
        <v>1993</v>
      </c>
      <c r="M550" s="24"/>
    </row>
    <row r="551" spans="1:13" ht="99.9" customHeight="1" thickTop="1" thickBot="1">
      <c r="A551" s="31">
        <v>549</v>
      </c>
      <c r="B551" s="52" t="s">
        <v>2563</v>
      </c>
      <c r="C551" s="3" t="s">
        <v>394</v>
      </c>
      <c r="D551" s="3" t="s">
        <v>395</v>
      </c>
      <c r="E551" s="4" t="s">
        <v>21</v>
      </c>
      <c r="F551" s="43" t="s">
        <v>1966</v>
      </c>
      <c r="G551" s="4" t="s">
        <v>602</v>
      </c>
      <c r="H551" s="43" t="s">
        <v>2564</v>
      </c>
      <c r="I551" s="4"/>
      <c r="J551" s="26" t="s">
        <v>14</v>
      </c>
      <c r="K551" s="27" t="s">
        <v>13</v>
      </c>
      <c r="L551" s="2" t="s">
        <v>2565</v>
      </c>
      <c r="M551" s="24"/>
    </row>
    <row r="552" spans="1:13" ht="99.9" customHeight="1" thickTop="1" thickBot="1">
      <c r="A552" s="4">
        <v>550</v>
      </c>
      <c r="B552" s="52" t="s">
        <v>2566</v>
      </c>
      <c r="C552" s="3" t="s">
        <v>394</v>
      </c>
      <c r="D552" s="3" t="s">
        <v>395</v>
      </c>
      <c r="E552" s="4" t="s">
        <v>21</v>
      </c>
      <c r="F552" s="43" t="s">
        <v>1966</v>
      </c>
      <c r="G552" s="4" t="s">
        <v>2567</v>
      </c>
      <c r="H552" s="43" t="s">
        <v>2568</v>
      </c>
      <c r="I552" s="4"/>
      <c r="J552" s="26" t="s">
        <v>14</v>
      </c>
      <c r="K552" s="27" t="s">
        <v>13</v>
      </c>
      <c r="L552" s="2" t="s">
        <v>1997</v>
      </c>
      <c r="M552" s="24"/>
    </row>
    <row r="553" spans="1:13" ht="99.9" customHeight="1" thickTop="1" thickBot="1">
      <c r="A553" s="31">
        <v>551</v>
      </c>
      <c r="B553" s="52" t="s">
        <v>2569</v>
      </c>
      <c r="C553" s="3" t="s">
        <v>394</v>
      </c>
      <c r="D553" s="3" t="s">
        <v>395</v>
      </c>
      <c r="E553" s="4" t="s">
        <v>21</v>
      </c>
      <c r="F553" s="43" t="s">
        <v>1966</v>
      </c>
      <c r="G553" s="4" t="s">
        <v>1865</v>
      </c>
      <c r="H553" s="43" t="s">
        <v>2570</v>
      </c>
      <c r="I553" s="4"/>
      <c r="J553" s="26" t="s">
        <v>14</v>
      </c>
      <c r="K553" s="27" t="s">
        <v>13</v>
      </c>
      <c r="L553" s="2" t="s">
        <v>1997</v>
      </c>
      <c r="M553" s="24"/>
    </row>
    <row r="554" spans="1:13" ht="99.9" customHeight="1" thickTop="1" thickBot="1">
      <c r="A554" s="4">
        <v>552</v>
      </c>
      <c r="B554" s="52" t="s">
        <v>2381</v>
      </c>
      <c r="C554" s="3" t="s">
        <v>394</v>
      </c>
      <c r="D554" s="3" t="s">
        <v>395</v>
      </c>
      <c r="E554" s="4" t="s">
        <v>21</v>
      </c>
      <c r="F554" s="43" t="s">
        <v>1780</v>
      </c>
      <c r="G554" s="4" t="s">
        <v>1844</v>
      </c>
      <c r="H554" s="43" t="s">
        <v>2571</v>
      </c>
      <c r="I554" s="4"/>
      <c r="J554" s="26" t="s">
        <v>14</v>
      </c>
      <c r="K554" s="27" t="s">
        <v>13</v>
      </c>
      <c r="L554" s="2" t="s">
        <v>2572</v>
      </c>
      <c r="M554" s="24"/>
    </row>
    <row r="555" spans="1:13" ht="99.9" customHeight="1" thickTop="1" thickBot="1">
      <c r="A555" s="31">
        <v>553</v>
      </c>
      <c r="B555" s="52" t="s">
        <v>2157</v>
      </c>
      <c r="C555" s="3" t="s">
        <v>394</v>
      </c>
      <c r="D555" s="3" t="s">
        <v>395</v>
      </c>
      <c r="E555" s="4" t="s">
        <v>21</v>
      </c>
      <c r="F555" s="43" t="s">
        <v>1756</v>
      </c>
      <c r="G555" s="4" t="s">
        <v>1844</v>
      </c>
      <c r="H555" s="43" t="s">
        <v>2573</v>
      </c>
      <c r="I555" s="4"/>
      <c r="J555" s="26" t="s">
        <v>14</v>
      </c>
      <c r="K555" s="27" t="s">
        <v>13</v>
      </c>
      <c r="L555" s="2" t="s">
        <v>2574</v>
      </c>
      <c r="M555" s="24"/>
    </row>
    <row r="556" spans="1:13" ht="99.9" customHeight="1" thickTop="1" thickBot="1">
      <c r="A556" s="4">
        <v>554</v>
      </c>
      <c r="B556" s="52" t="s">
        <v>2397</v>
      </c>
      <c r="C556" s="3" t="s">
        <v>394</v>
      </c>
      <c r="D556" s="3" t="s">
        <v>395</v>
      </c>
      <c r="E556" s="4" t="s">
        <v>21</v>
      </c>
      <c r="F556" s="43" t="s">
        <v>1750</v>
      </c>
      <c r="G556" s="4" t="s">
        <v>1865</v>
      </c>
      <c r="H556" s="43" t="s">
        <v>2575</v>
      </c>
      <c r="I556" s="4"/>
      <c r="J556" s="26" t="s">
        <v>14</v>
      </c>
      <c r="K556" s="27" t="s">
        <v>13</v>
      </c>
      <c r="L556" s="2" t="s">
        <v>2022</v>
      </c>
      <c r="M556" s="24"/>
    </row>
    <row r="557" spans="1:13" ht="99.9" customHeight="1" thickTop="1" thickBot="1">
      <c r="A557" s="31">
        <v>555</v>
      </c>
      <c r="B557" s="52" t="s">
        <v>2576</v>
      </c>
      <c r="C557" s="3" t="s">
        <v>394</v>
      </c>
      <c r="D557" s="3" t="s">
        <v>395</v>
      </c>
      <c r="E557" s="4" t="s">
        <v>21</v>
      </c>
      <c r="F557" s="43" t="s">
        <v>1966</v>
      </c>
      <c r="G557" s="4" t="s">
        <v>1865</v>
      </c>
      <c r="H557" s="43" t="s">
        <v>2577</v>
      </c>
      <c r="I557" s="4"/>
      <c r="J557" s="26" t="s">
        <v>14</v>
      </c>
      <c r="K557" s="27" t="s">
        <v>13</v>
      </c>
      <c r="L557" s="2" t="s">
        <v>2578</v>
      </c>
      <c r="M557" s="24"/>
    </row>
    <row r="558" spans="1:13" ht="99.9" customHeight="1" thickTop="1" thickBot="1">
      <c r="A558" s="4">
        <v>556</v>
      </c>
      <c r="B558" s="52" t="s">
        <v>2579</v>
      </c>
      <c r="C558" s="3" t="s">
        <v>394</v>
      </c>
      <c r="D558" s="3" t="s">
        <v>395</v>
      </c>
      <c r="E558" s="4" t="s">
        <v>21</v>
      </c>
      <c r="F558" s="43" t="s">
        <v>1780</v>
      </c>
      <c r="G558" s="4" t="s">
        <v>1865</v>
      </c>
      <c r="H558" s="43" t="s">
        <v>669</v>
      </c>
      <c r="I558" s="4"/>
      <c r="J558" s="26" t="s">
        <v>14</v>
      </c>
      <c r="K558" s="27" t="s">
        <v>13</v>
      </c>
      <c r="L558" s="2" t="s">
        <v>2580</v>
      </c>
      <c r="M558" s="24"/>
    </row>
    <row r="559" spans="1:13" ht="99.9" customHeight="1" thickTop="1" thickBot="1">
      <c r="A559" s="31">
        <v>557</v>
      </c>
      <c r="B559" s="52" t="s">
        <v>2581</v>
      </c>
      <c r="C559" s="3" t="s">
        <v>394</v>
      </c>
      <c r="D559" s="3" t="s">
        <v>395</v>
      </c>
      <c r="E559" s="4" t="s">
        <v>21</v>
      </c>
      <c r="F559" s="43" t="s">
        <v>1780</v>
      </c>
      <c r="G559" s="4" t="s">
        <v>2582</v>
      </c>
      <c r="H559" s="43" t="s">
        <v>2583</v>
      </c>
      <c r="I559" s="4"/>
      <c r="J559" s="26" t="s">
        <v>14</v>
      </c>
      <c r="K559" s="27" t="s">
        <v>13</v>
      </c>
      <c r="L559" s="2" t="s">
        <v>2038</v>
      </c>
      <c r="M559" s="24"/>
    </row>
    <row r="560" spans="1:13" ht="99.9" customHeight="1" thickTop="1" thickBot="1">
      <c r="A560" s="4">
        <v>558</v>
      </c>
      <c r="B560" s="52" t="s">
        <v>2584</v>
      </c>
      <c r="C560" s="3" t="s">
        <v>394</v>
      </c>
      <c r="D560" s="3" t="s">
        <v>395</v>
      </c>
      <c r="E560" s="4" t="s">
        <v>21</v>
      </c>
      <c r="F560" s="43" t="s">
        <v>1789</v>
      </c>
      <c r="G560" s="4" t="s">
        <v>2037</v>
      </c>
      <c r="H560" s="43" t="s">
        <v>2585</v>
      </c>
      <c r="I560" s="4"/>
      <c r="J560" s="26" t="s">
        <v>14</v>
      </c>
      <c r="K560" s="27" t="s">
        <v>13</v>
      </c>
      <c r="L560" s="2" t="s">
        <v>2586</v>
      </c>
      <c r="M560" s="24"/>
    </row>
    <row r="561" spans="1:13" ht="99.9" customHeight="1" thickTop="1" thickBot="1">
      <c r="A561" s="31">
        <v>559</v>
      </c>
      <c r="B561" s="52" t="s">
        <v>2587</v>
      </c>
      <c r="C561" s="3" t="s">
        <v>394</v>
      </c>
      <c r="D561" s="3" t="s">
        <v>395</v>
      </c>
      <c r="E561" s="4" t="s">
        <v>21</v>
      </c>
      <c r="F561" s="43" t="s">
        <v>1995</v>
      </c>
      <c r="G561" s="4" t="s">
        <v>446</v>
      </c>
      <c r="H561" s="43" t="s">
        <v>2588</v>
      </c>
      <c r="I561" s="4"/>
      <c r="J561" s="26" t="s">
        <v>14</v>
      </c>
      <c r="K561" s="27" t="s">
        <v>13</v>
      </c>
      <c r="L561" s="2" t="s">
        <v>2589</v>
      </c>
      <c r="M561" s="24"/>
    </row>
    <row r="562" spans="1:13" ht="99.9" customHeight="1" thickTop="1" thickBot="1">
      <c r="A562" s="4">
        <v>560</v>
      </c>
      <c r="B562" s="52" t="s">
        <v>2590</v>
      </c>
      <c r="C562" s="3" t="s">
        <v>394</v>
      </c>
      <c r="D562" s="3" t="s">
        <v>395</v>
      </c>
      <c r="E562" s="4" t="s">
        <v>21</v>
      </c>
      <c r="F562" s="43" t="s">
        <v>1855</v>
      </c>
      <c r="G562" s="4" t="s">
        <v>1844</v>
      </c>
      <c r="H562" s="43" t="s">
        <v>1173</v>
      </c>
      <c r="I562" s="4"/>
      <c r="J562" s="26" t="s">
        <v>14</v>
      </c>
      <c r="K562" s="27" t="s">
        <v>17</v>
      </c>
      <c r="L562" s="2" t="s">
        <v>2591</v>
      </c>
      <c r="M562" s="24"/>
    </row>
    <row r="563" spans="1:13" ht="99.9" customHeight="1" thickTop="1" thickBot="1">
      <c r="A563" s="31">
        <v>561</v>
      </c>
      <c r="B563" s="52" t="s">
        <v>2592</v>
      </c>
      <c r="C563" s="3" t="s">
        <v>394</v>
      </c>
      <c r="D563" s="3" t="s">
        <v>395</v>
      </c>
      <c r="E563" s="4" t="s">
        <v>21</v>
      </c>
      <c r="F563" s="43" t="s">
        <v>1789</v>
      </c>
      <c r="G563" s="4" t="s">
        <v>2028</v>
      </c>
      <c r="H563" s="43" t="s">
        <v>2593</v>
      </c>
      <c r="I563" s="4"/>
      <c r="J563" s="26" t="s">
        <v>14</v>
      </c>
      <c r="K563" s="27" t="s">
        <v>13</v>
      </c>
      <c r="L563" s="2"/>
      <c r="M563" s="24"/>
    </row>
    <row r="564" spans="1:13" ht="99.9" customHeight="1" thickTop="1" thickBot="1">
      <c r="A564" s="4">
        <v>562</v>
      </c>
      <c r="B564" s="52" t="s">
        <v>2594</v>
      </c>
      <c r="C564" s="3" t="s">
        <v>394</v>
      </c>
      <c r="D564" s="3" t="s">
        <v>395</v>
      </c>
      <c r="E564" s="4" t="s">
        <v>21</v>
      </c>
      <c r="F564" s="43" t="s">
        <v>1780</v>
      </c>
      <c r="G564" s="4" t="s">
        <v>439</v>
      </c>
      <c r="H564" s="43" t="s">
        <v>2595</v>
      </c>
      <c r="I564" s="4"/>
      <c r="J564" s="26" t="s">
        <v>14</v>
      </c>
      <c r="K564" s="27" t="s">
        <v>13</v>
      </c>
      <c r="L564" s="2" t="s">
        <v>2596</v>
      </c>
      <c r="M564" s="24"/>
    </row>
    <row r="565" spans="1:13" ht="99.9" customHeight="1" thickTop="1" thickBot="1">
      <c r="A565" s="31">
        <v>563</v>
      </c>
      <c r="B565" s="52" t="s">
        <v>2597</v>
      </c>
      <c r="C565" s="3" t="s">
        <v>394</v>
      </c>
      <c r="D565" s="3" t="s">
        <v>395</v>
      </c>
      <c r="E565" s="4" t="s">
        <v>21</v>
      </c>
      <c r="F565" s="43" t="s">
        <v>1966</v>
      </c>
      <c r="G565" s="4" t="s">
        <v>1844</v>
      </c>
      <c r="H565" s="43" t="s">
        <v>2598</v>
      </c>
      <c r="I565" s="4"/>
      <c r="J565" s="26" t="s">
        <v>14</v>
      </c>
      <c r="K565" s="27" t="s">
        <v>13</v>
      </c>
      <c r="L565" s="2" t="s">
        <v>2420</v>
      </c>
      <c r="M565" s="24"/>
    </row>
    <row r="566" spans="1:13" ht="99.9" customHeight="1" thickTop="1" thickBot="1">
      <c r="A566" s="4">
        <v>564</v>
      </c>
      <c r="B566" s="52" t="s">
        <v>2599</v>
      </c>
      <c r="C566" s="3" t="s">
        <v>394</v>
      </c>
      <c r="D566" s="3" t="s">
        <v>395</v>
      </c>
      <c r="E566" s="4" t="s">
        <v>21</v>
      </c>
      <c r="F566" s="43" t="s">
        <v>1789</v>
      </c>
      <c r="G566" s="4" t="s">
        <v>446</v>
      </c>
      <c r="H566" s="43" t="s">
        <v>2577</v>
      </c>
      <c r="I566" s="4"/>
      <c r="J566" s="26" t="s">
        <v>14</v>
      </c>
      <c r="K566" s="27" t="s">
        <v>13</v>
      </c>
      <c r="L566" s="2" t="s">
        <v>2589</v>
      </c>
      <c r="M566" s="24"/>
    </row>
    <row r="567" spans="1:13" ht="99.9" customHeight="1" thickTop="1" thickBot="1">
      <c r="A567" s="31">
        <v>565</v>
      </c>
      <c r="B567" s="52" t="s">
        <v>2600</v>
      </c>
      <c r="C567" s="3" t="s">
        <v>394</v>
      </c>
      <c r="D567" s="3" t="s">
        <v>395</v>
      </c>
      <c r="E567" s="4" t="s">
        <v>21</v>
      </c>
      <c r="F567" s="43" t="s">
        <v>1750</v>
      </c>
      <c r="G567" s="4" t="s">
        <v>1865</v>
      </c>
      <c r="H567" s="43" t="s">
        <v>2601</v>
      </c>
      <c r="I567" s="4"/>
      <c r="J567" s="26"/>
      <c r="K567" s="27" t="s">
        <v>17</v>
      </c>
      <c r="L567" s="2" t="s">
        <v>1931</v>
      </c>
      <c r="M567" s="24"/>
    </row>
    <row r="568" spans="1:13" ht="99.9" customHeight="1" thickTop="1" thickBot="1">
      <c r="A568" s="4">
        <v>566</v>
      </c>
      <c r="B568" s="52" t="s">
        <v>2602</v>
      </c>
      <c r="C568" s="3" t="s">
        <v>394</v>
      </c>
      <c r="D568" s="3" t="s">
        <v>395</v>
      </c>
      <c r="E568" s="4" t="s">
        <v>21</v>
      </c>
      <c r="F568" s="43" t="s">
        <v>1897</v>
      </c>
      <c r="G568" s="4" t="s">
        <v>1844</v>
      </c>
      <c r="H568" s="43" t="s">
        <v>2603</v>
      </c>
      <c r="I568" s="4"/>
      <c r="J568" s="26"/>
      <c r="K568" s="27" t="s">
        <v>717</v>
      </c>
      <c r="L568" s="2" t="s">
        <v>2604</v>
      </c>
      <c r="M568" s="24" t="s">
        <v>2134</v>
      </c>
    </row>
    <row r="569" spans="1:13" ht="99.9" customHeight="1" thickTop="1" thickBot="1">
      <c r="A569" s="31">
        <v>567</v>
      </c>
      <c r="B569" s="52"/>
      <c r="C569" s="3"/>
      <c r="D569" s="3"/>
      <c r="E569" s="4"/>
      <c r="F569" s="43"/>
      <c r="G569" s="4"/>
      <c r="H569" s="43"/>
      <c r="I569" s="4"/>
      <c r="J569" s="26"/>
      <c r="K569" s="27"/>
      <c r="L569" s="2"/>
      <c r="M569" s="24"/>
    </row>
    <row r="570" spans="1:13" ht="99.9" customHeight="1" thickTop="1" thickBot="1">
      <c r="A570" s="4">
        <v>568</v>
      </c>
      <c r="B570" s="52"/>
      <c r="C570" s="3"/>
      <c r="D570" s="3"/>
      <c r="E570" s="4"/>
      <c r="F570" s="43"/>
      <c r="G570" s="4"/>
      <c r="H570" s="43"/>
      <c r="I570" s="4"/>
      <c r="J570" s="26"/>
      <c r="K570" s="27"/>
      <c r="L570" s="2"/>
      <c r="M570" s="24"/>
    </row>
    <row r="571" spans="1:13" ht="99.9" customHeight="1" thickTop="1" thickBot="1">
      <c r="A571" s="31">
        <v>569</v>
      </c>
      <c r="B571" s="52"/>
      <c r="C571" s="3"/>
      <c r="D571" s="3"/>
      <c r="E571" s="4"/>
      <c r="F571" s="43"/>
      <c r="G571" s="4"/>
      <c r="H571" s="43"/>
      <c r="I571" s="4"/>
      <c r="J571" s="26"/>
      <c r="K571" s="27"/>
      <c r="L571" s="2"/>
      <c r="M571" s="24"/>
    </row>
    <row r="572" spans="1:13" ht="99.9" customHeight="1" thickTop="1" thickBot="1">
      <c r="A572" s="4">
        <v>570</v>
      </c>
      <c r="B572" s="52"/>
      <c r="C572" s="3"/>
      <c r="D572" s="3"/>
      <c r="E572" s="4"/>
      <c r="F572" s="43"/>
      <c r="G572" s="4"/>
      <c r="H572" s="43"/>
      <c r="I572" s="4"/>
      <c r="J572" s="26"/>
      <c r="K572" s="27"/>
      <c r="L572" s="2"/>
      <c r="M572" s="24"/>
    </row>
    <row r="573" spans="1:13" ht="99.9" customHeight="1" thickTop="1" thickBot="1">
      <c r="A573" s="31">
        <v>571</v>
      </c>
      <c r="B573" s="52"/>
      <c r="C573" s="3"/>
      <c r="D573" s="3"/>
      <c r="E573" s="4"/>
      <c r="F573" s="43"/>
      <c r="G573" s="4"/>
      <c r="H573" s="43"/>
      <c r="I573" s="4"/>
      <c r="J573" s="26"/>
      <c r="K573" s="27"/>
      <c r="L573" s="2"/>
      <c r="M573" s="24"/>
    </row>
    <row r="574" spans="1:13" ht="99.9" customHeight="1" thickTop="1" thickBot="1">
      <c r="A574" s="4">
        <v>572</v>
      </c>
      <c r="B574" s="52"/>
      <c r="C574" s="3"/>
      <c r="D574" s="3"/>
      <c r="E574" s="4"/>
      <c r="F574" s="43"/>
      <c r="G574" s="4"/>
      <c r="H574" s="43"/>
      <c r="I574" s="4"/>
      <c r="J574" s="26"/>
      <c r="K574" s="27"/>
      <c r="L574" s="2"/>
      <c r="M574" s="24"/>
    </row>
    <row r="575" spans="1:13" ht="99.9" customHeight="1" thickTop="1" thickBot="1">
      <c r="A575" s="31">
        <v>573</v>
      </c>
      <c r="B575" s="52"/>
      <c r="C575" s="3"/>
      <c r="D575" s="3"/>
      <c r="E575" s="4"/>
      <c r="F575" s="43"/>
      <c r="G575" s="4"/>
      <c r="H575" s="43"/>
      <c r="I575" s="4"/>
      <c r="J575" s="26"/>
      <c r="K575" s="27"/>
      <c r="L575" s="2"/>
      <c r="M575" s="24"/>
    </row>
    <row r="576" spans="1:13" ht="99.9" customHeight="1" thickTop="1" thickBot="1">
      <c r="A576" s="4">
        <v>574</v>
      </c>
      <c r="B576" s="52"/>
      <c r="C576" s="3"/>
      <c r="D576" s="3"/>
      <c r="E576" s="4"/>
      <c r="F576" s="43"/>
      <c r="G576" s="4"/>
      <c r="H576" s="43"/>
      <c r="I576" s="4"/>
      <c r="J576" s="26"/>
      <c r="K576" s="27"/>
      <c r="L576" s="2"/>
      <c r="M576" s="24"/>
    </row>
    <row r="577" spans="1:13" ht="99.9" customHeight="1" thickTop="1" thickBot="1">
      <c r="A577" s="31">
        <v>575</v>
      </c>
      <c r="B577" s="52"/>
      <c r="C577" s="3"/>
      <c r="D577" s="3"/>
      <c r="E577" s="4"/>
      <c r="F577" s="43"/>
      <c r="G577" s="4"/>
      <c r="H577" s="43"/>
      <c r="I577" s="4"/>
      <c r="J577" s="26"/>
      <c r="K577" s="27"/>
      <c r="L577" s="2"/>
      <c r="M577" s="24"/>
    </row>
    <row r="578" spans="1:13" ht="99.9" customHeight="1" thickTop="1" thickBot="1">
      <c r="A578" s="4">
        <v>576</v>
      </c>
      <c r="B578" s="52"/>
      <c r="C578" s="3"/>
      <c r="D578" s="3"/>
      <c r="E578" s="4"/>
      <c r="F578" s="43"/>
      <c r="G578" s="4"/>
      <c r="H578" s="43"/>
      <c r="I578" s="4"/>
      <c r="J578" s="26"/>
      <c r="K578" s="27"/>
      <c r="L578" s="2"/>
      <c r="M578" s="24"/>
    </row>
    <row r="579" spans="1:13" ht="99.9" customHeight="1" thickTop="1" thickBot="1">
      <c r="A579" s="31">
        <v>577</v>
      </c>
      <c r="B579" s="52"/>
      <c r="C579" s="3"/>
      <c r="D579" s="3"/>
      <c r="E579" s="4"/>
      <c r="F579" s="43"/>
      <c r="G579" s="4"/>
      <c r="H579" s="43"/>
      <c r="I579" s="4"/>
      <c r="J579" s="26"/>
      <c r="K579" s="27"/>
      <c r="L579" s="2"/>
      <c r="M579" s="24"/>
    </row>
    <row r="580" spans="1:13" ht="99.9" customHeight="1" thickTop="1" thickBot="1">
      <c r="A580" s="4">
        <v>578</v>
      </c>
      <c r="B580" s="52"/>
      <c r="C580" s="3"/>
      <c r="D580" s="3"/>
      <c r="E580" s="4"/>
      <c r="F580" s="43"/>
      <c r="G580" s="4"/>
      <c r="H580" s="43"/>
      <c r="I580" s="4"/>
      <c r="J580" s="26"/>
      <c r="K580" s="27"/>
      <c r="L580" s="2"/>
      <c r="M580" s="24"/>
    </row>
    <row r="581" spans="1:13" ht="99.9" customHeight="1" thickTop="1" thickBot="1">
      <c r="A581" s="31">
        <v>579</v>
      </c>
      <c r="B581" s="52"/>
      <c r="C581" s="3"/>
      <c r="D581" s="3"/>
      <c r="E581" s="4"/>
      <c r="F581" s="43"/>
      <c r="G581" s="4"/>
      <c r="H581" s="43"/>
      <c r="I581" s="4"/>
      <c r="J581" s="26"/>
      <c r="K581" s="27"/>
      <c r="L581" s="2"/>
      <c r="M581" s="24"/>
    </row>
    <row r="582" spans="1:13" ht="99.9" customHeight="1" thickTop="1" thickBot="1">
      <c r="A582" s="4">
        <v>580</v>
      </c>
      <c r="B582" s="52"/>
      <c r="C582" s="3"/>
      <c r="D582" s="3"/>
      <c r="E582" s="4"/>
      <c r="F582" s="43"/>
      <c r="G582" s="4"/>
      <c r="H582" s="43"/>
      <c r="I582" s="4"/>
      <c r="J582" s="26"/>
      <c r="K582" s="27"/>
      <c r="L582" s="2"/>
      <c r="M582" s="24"/>
    </row>
    <row r="583" spans="1:13" ht="99.9" customHeight="1" thickTop="1" thickBot="1">
      <c r="A583" s="31">
        <v>581</v>
      </c>
      <c r="B583" s="52"/>
      <c r="C583" s="3"/>
      <c r="D583" s="3"/>
      <c r="E583" s="4"/>
      <c r="F583" s="43"/>
      <c r="G583" s="4"/>
      <c r="H583" s="43"/>
      <c r="I583" s="4"/>
      <c r="J583" s="26"/>
      <c r="K583" s="27"/>
      <c r="L583" s="2"/>
      <c r="M583" s="24"/>
    </row>
    <row r="584" spans="1:13" ht="99.9" customHeight="1" thickTop="1" thickBot="1">
      <c r="A584" s="4">
        <v>582</v>
      </c>
      <c r="B584" s="52"/>
      <c r="C584" s="3"/>
      <c r="D584" s="3"/>
      <c r="E584" s="4"/>
      <c r="F584" s="43"/>
      <c r="G584" s="4"/>
      <c r="H584" s="43"/>
      <c r="I584" s="4"/>
      <c r="J584" s="26"/>
      <c r="K584" s="27"/>
      <c r="L584" s="2"/>
      <c r="M584" s="24"/>
    </row>
    <row r="585" spans="1:13" ht="99.9" customHeight="1" thickTop="1" thickBot="1">
      <c r="A585" s="31">
        <v>583</v>
      </c>
      <c r="B585" s="52"/>
      <c r="C585" s="3"/>
      <c r="D585" s="3"/>
      <c r="E585" s="4"/>
      <c r="F585" s="43"/>
      <c r="G585" s="4"/>
      <c r="H585" s="43"/>
      <c r="I585" s="4"/>
      <c r="J585" s="26"/>
      <c r="K585" s="27"/>
      <c r="L585" s="2"/>
      <c r="M585" s="24"/>
    </row>
    <row r="586" spans="1:13" ht="99.9" customHeight="1" thickTop="1" thickBot="1">
      <c r="A586" s="4">
        <v>584</v>
      </c>
      <c r="B586" s="52"/>
      <c r="C586" s="3"/>
      <c r="D586" s="3"/>
      <c r="E586" s="4"/>
      <c r="F586" s="43"/>
      <c r="G586" s="4"/>
      <c r="H586" s="43"/>
      <c r="I586" s="4"/>
      <c r="J586" s="26"/>
      <c r="K586" s="27"/>
      <c r="L586" s="2"/>
      <c r="M586" s="24"/>
    </row>
    <row r="587" spans="1:13" ht="99.9" customHeight="1" thickTop="1" thickBot="1">
      <c r="A587" s="31">
        <v>585</v>
      </c>
      <c r="B587" s="52"/>
      <c r="C587" s="3"/>
      <c r="D587" s="3"/>
      <c r="E587" s="4"/>
      <c r="F587" s="43"/>
      <c r="G587" s="4"/>
      <c r="H587" s="43"/>
      <c r="I587" s="4"/>
      <c r="J587" s="26"/>
      <c r="K587" s="27"/>
      <c r="L587" s="2"/>
      <c r="M587" s="24"/>
    </row>
    <row r="588" spans="1:13" ht="99.9" customHeight="1" thickTop="1" thickBot="1">
      <c r="A588" s="4">
        <v>586</v>
      </c>
      <c r="B588" s="52"/>
      <c r="C588" s="3"/>
      <c r="D588" s="3"/>
      <c r="E588" s="4"/>
      <c r="F588" s="43"/>
      <c r="G588" s="4"/>
      <c r="H588" s="43"/>
      <c r="I588" s="4"/>
      <c r="J588" s="26"/>
      <c r="K588" s="27"/>
      <c r="L588" s="2"/>
      <c r="M588" s="24"/>
    </row>
    <row r="589" spans="1:13" ht="99.9" customHeight="1" thickTop="1" thickBot="1">
      <c r="A589" s="31">
        <v>587</v>
      </c>
      <c r="B589" s="52"/>
      <c r="C589" s="3"/>
      <c r="D589" s="3"/>
      <c r="E589" s="4"/>
      <c r="F589" s="43"/>
      <c r="G589" s="4"/>
      <c r="H589" s="43"/>
      <c r="I589" s="4"/>
      <c r="J589" s="26"/>
      <c r="K589" s="27"/>
      <c r="L589" s="2"/>
      <c r="M589" s="24"/>
    </row>
    <row r="590" spans="1:13" ht="99.9" customHeight="1" thickTop="1" thickBot="1">
      <c r="A590" s="4">
        <v>588</v>
      </c>
      <c r="B590" s="52"/>
      <c r="C590" s="3"/>
      <c r="D590" s="3"/>
      <c r="E590" s="4"/>
      <c r="F590" s="43"/>
      <c r="G590" s="4"/>
      <c r="H590" s="43"/>
      <c r="I590" s="4"/>
      <c r="J590" s="26"/>
      <c r="K590" s="27"/>
      <c r="L590" s="2"/>
      <c r="M590" s="24"/>
    </row>
    <row r="591" spans="1:13" ht="99.9" customHeight="1" thickTop="1" thickBot="1">
      <c r="A591" s="31">
        <v>589</v>
      </c>
      <c r="B591" s="52"/>
      <c r="C591" s="3"/>
      <c r="D591" s="3"/>
      <c r="E591" s="4"/>
      <c r="F591" s="43"/>
      <c r="G591" s="4"/>
      <c r="H591" s="43"/>
      <c r="I591" s="4"/>
      <c r="J591" s="26"/>
      <c r="K591" s="27"/>
      <c r="L591" s="2"/>
      <c r="M591" s="24"/>
    </row>
    <row r="592" spans="1:13" ht="99.9" customHeight="1" thickTop="1" thickBot="1">
      <c r="A592" s="4">
        <v>590</v>
      </c>
      <c r="B592" s="52"/>
      <c r="C592" s="3"/>
      <c r="D592" s="3"/>
      <c r="E592" s="4"/>
      <c r="F592" s="43"/>
      <c r="G592" s="4"/>
      <c r="H592" s="43"/>
      <c r="I592" s="4"/>
      <c r="J592" s="26"/>
      <c r="K592" s="27"/>
      <c r="L592" s="2"/>
      <c r="M592" s="24"/>
    </row>
    <row r="593" spans="1:13" ht="99.9" customHeight="1" thickTop="1" thickBot="1">
      <c r="A593" s="31">
        <v>591</v>
      </c>
      <c r="B593" s="52"/>
      <c r="C593" s="3"/>
      <c r="D593" s="3"/>
      <c r="E593" s="4"/>
      <c r="F593" s="43"/>
      <c r="G593" s="4"/>
      <c r="H593" s="43"/>
      <c r="I593" s="4"/>
      <c r="J593" s="26"/>
      <c r="K593" s="27"/>
      <c r="L593" s="2"/>
      <c r="M593" s="24"/>
    </row>
    <row r="594" spans="1:13" ht="99.9" customHeight="1" thickTop="1" thickBot="1">
      <c r="A594" s="4">
        <v>592</v>
      </c>
      <c r="B594" s="52"/>
      <c r="C594" s="3"/>
      <c r="D594" s="3"/>
      <c r="E594" s="4"/>
      <c r="F594" s="43"/>
      <c r="G594" s="4"/>
      <c r="H594" s="43"/>
      <c r="I594" s="4"/>
      <c r="J594" s="26"/>
      <c r="K594" s="27"/>
      <c r="L594" s="2"/>
      <c r="M594" s="24"/>
    </row>
    <row r="595" spans="1:13" ht="99.9" customHeight="1" thickTop="1" thickBot="1">
      <c r="A595" s="31">
        <v>593</v>
      </c>
      <c r="B595" s="52"/>
      <c r="C595" s="3"/>
      <c r="D595" s="3"/>
      <c r="E595" s="4"/>
      <c r="F595" s="43"/>
      <c r="G595" s="4"/>
      <c r="H595" s="43"/>
      <c r="I595" s="4"/>
      <c r="J595" s="26"/>
      <c r="K595" s="27"/>
      <c r="L595" s="2"/>
      <c r="M595" s="24"/>
    </row>
    <row r="596" spans="1:13" ht="99.9" customHeight="1" thickTop="1" thickBot="1">
      <c r="A596" s="4">
        <v>594</v>
      </c>
      <c r="B596" s="52"/>
      <c r="C596" s="3"/>
      <c r="D596" s="3"/>
      <c r="E596" s="4"/>
      <c r="F596" s="43"/>
      <c r="G596" s="4"/>
      <c r="H596" s="43"/>
      <c r="I596" s="4"/>
      <c r="J596" s="26"/>
      <c r="K596" s="27"/>
      <c r="L596" s="2"/>
      <c r="M596" s="24"/>
    </row>
    <row r="597" spans="1:13" ht="99.9" customHeight="1" thickTop="1" thickBot="1">
      <c r="A597" s="31">
        <v>595</v>
      </c>
      <c r="B597" s="52"/>
      <c r="C597" s="3"/>
      <c r="D597" s="3"/>
      <c r="E597" s="4"/>
      <c r="F597" s="43"/>
      <c r="G597" s="4"/>
      <c r="H597" s="43"/>
      <c r="I597" s="4"/>
      <c r="J597" s="26"/>
      <c r="K597" s="27"/>
      <c r="L597" s="2"/>
      <c r="M597" s="24"/>
    </row>
    <row r="598" spans="1:13" ht="99.9" customHeight="1" thickTop="1" thickBot="1">
      <c r="A598" s="4">
        <v>596</v>
      </c>
      <c r="B598" s="52"/>
      <c r="C598" s="3"/>
      <c r="D598" s="3"/>
      <c r="E598" s="4"/>
      <c r="F598" s="43"/>
      <c r="G598" s="4"/>
      <c r="H598" s="43"/>
      <c r="I598" s="4"/>
      <c r="J598" s="26"/>
      <c r="K598" s="27"/>
      <c r="L598" s="2"/>
      <c r="M598" s="24"/>
    </row>
    <row r="599" spans="1:13" ht="99.9" customHeight="1" thickTop="1" thickBot="1">
      <c r="A599" s="31">
        <v>597</v>
      </c>
      <c r="B599" s="52"/>
      <c r="C599" s="3"/>
      <c r="D599" s="3"/>
      <c r="E599" s="4"/>
      <c r="F599" s="43"/>
      <c r="G599" s="4"/>
      <c r="H599" s="43"/>
      <c r="I599" s="4"/>
      <c r="J599" s="26"/>
      <c r="K599" s="27"/>
      <c r="L599" s="2"/>
      <c r="M599" s="24"/>
    </row>
    <row r="600" spans="1:13" ht="99.9" customHeight="1" thickTop="1" thickBot="1">
      <c r="A600" s="4">
        <v>598</v>
      </c>
      <c r="B600" s="52"/>
      <c r="C600" s="3"/>
      <c r="D600" s="3"/>
      <c r="E600" s="4"/>
      <c r="F600" s="43"/>
      <c r="G600" s="4"/>
      <c r="H600" s="43"/>
      <c r="I600" s="4"/>
      <c r="J600" s="26"/>
      <c r="K600" s="27"/>
      <c r="L600" s="2"/>
      <c r="M600" s="24"/>
    </row>
    <row r="601" spans="1:13" ht="99.9" customHeight="1" thickTop="1" thickBot="1">
      <c r="A601" s="31">
        <v>599</v>
      </c>
      <c r="B601" s="52"/>
      <c r="C601" s="3"/>
      <c r="D601" s="3"/>
      <c r="E601" s="4"/>
      <c r="F601" s="43"/>
      <c r="G601" s="4"/>
      <c r="H601" s="43"/>
      <c r="I601" s="4"/>
      <c r="J601" s="26"/>
      <c r="K601" s="27"/>
      <c r="L601" s="2"/>
      <c r="M601" s="24"/>
    </row>
    <row r="602" spans="1:13" ht="99.9" customHeight="1" thickTop="1" thickBot="1">
      <c r="A602" s="4">
        <v>600</v>
      </c>
      <c r="B602" s="52"/>
      <c r="C602" s="3"/>
      <c r="D602" s="3"/>
      <c r="E602" s="4"/>
      <c r="F602" s="43"/>
      <c r="G602" s="4"/>
      <c r="H602" s="43"/>
      <c r="I602" s="4"/>
      <c r="J602" s="26"/>
      <c r="K602" s="27"/>
      <c r="L602" s="2"/>
      <c r="M602" s="24"/>
    </row>
    <row r="603" spans="1:13" ht="99.9" customHeight="1" thickTop="1" thickBot="1">
      <c r="A603" s="31">
        <v>601</v>
      </c>
      <c r="B603" s="52"/>
      <c r="C603" s="3"/>
      <c r="D603" s="3"/>
      <c r="E603" s="4"/>
      <c r="F603" s="43"/>
      <c r="G603" s="4"/>
      <c r="H603" s="43"/>
      <c r="I603" s="4"/>
      <c r="J603" s="26"/>
      <c r="K603" s="27"/>
      <c r="L603" s="2"/>
      <c r="M603" s="24"/>
    </row>
    <row r="604" spans="1:13" ht="99.9" customHeight="1" thickTop="1" thickBot="1">
      <c r="A604" s="4">
        <v>602</v>
      </c>
      <c r="B604" s="52"/>
      <c r="C604" s="3"/>
      <c r="D604" s="3"/>
      <c r="E604" s="4"/>
      <c r="F604" s="43"/>
      <c r="G604" s="4"/>
      <c r="H604" s="43"/>
      <c r="I604" s="4"/>
      <c r="J604" s="26"/>
      <c r="K604" s="27"/>
      <c r="L604" s="2"/>
      <c r="M604" s="24"/>
    </row>
    <row r="605" spans="1:13" ht="99.9" customHeight="1" thickTop="1" thickBot="1">
      <c r="A605" s="31">
        <v>603</v>
      </c>
      <c r="B605" s="52"/>
      <c r="C605" s="3"/>
      <c r="D605" s="3"/>
      <c r="E605" s="4"/>
      <c r="F605" s="43"/>
      <c r="G605" s="4"/>
      <c r="H605" s="43"/>
      <c r="I605" s="4"/>
      <c r="J605" s="26"/>
      <c r="K605" s="27"/>
      <c r="L605" s="2"/>
      <c r="M605" s="24"/>
    </row>
    <row r="606" spans="1:13" ht="99.9" customHeight="1" thickTop="1" thickBot="1">
      <c r="A606" s="4">
        <v>604</v>
      </c>
      <c r="B606" s="52"/>
      <c r="C606" s="3"/>
      <c r="D606" s="3"/>
      <c r="E606" s="4"/>
      <c r="F606" s="43"/>
      <c r="G606" s="4"/>
      <c r="H606" s="43"/>
      <c r="I606" s="4"/>
      <c r="J606" s="26"/>
      <c r="K606" s="27"/>
      <c r="L606" s="2"/>
      <c r="M606" s="24"/>
    </row>
    <row r="607" spans="1:13" ht="99.9" customHeight="1" thickTop="1" thickBot="1">
      <c r="A607" s="31">
        <v>605</v>
      </c>
      <c r="B607" s="52"/>
      <c r="C607" s="3"/>
      <c r="D607" s="3"/>
      <c r="E607" s="4"/>
      <c r="F607" s="43"/>
      <c r="G607" s="4"/>
      <c r="H607" s="43"/>
      <c r="I607" s="4"/>
      <c r="J607" s="26"/>
      <c r="K607" s="27"/>
      <c r="L607" s="2"/>
      <c r="M607" s="24"/>
    </row>
    <row r="608" spans="1:13" ht="99.9" customHeight="1" thickTop="1" thickBot="1">
      <c r="A608" s="4">
        <v>606</v>
      </c>
      <c r="B608" s="52"/>
      <c r="C608" s="3"/>
      <c r="D608" s="3"/>
      <c r="E608" s="4"/>
      <c r="F608" s="43"/>
      <c r="G608" s="4"/>
      <c r="H608" s="43"/>
      <c r="I608" s="4"/>
      <c r="J608" s="26"/>
      <c r="K608" s="27"/>
      <c r="L608" s="2"/>
      <c r="M608" s="24"/>
    </row>
    <row r="609" spans="1:13" ht="99.9" customHeight="1" thickTop="1" thickBot="1">
      <c r="A609" s="31">
        <v>607</v>
      </c>
      <c r="B609" s="52"/>
      <c r="C609" s="3"/>
      <c r="D609" s="3"/>
      <c r="E609" s="4"/>
      <c r="F609" s="43"/>
      <c r="G609" s="4"/>
      <c r="H609" s="43"/>
      <c r="I609" s="4"/>
      <c r="J609" s="26"/>
      <c r="K609" s="27"/>
      <c r="L609" s="2"/>
      <c r="M609" s="24"/>
    </row>
    <row r="610" spans="1:13" ht="99.9" customHeight="1" thickTop="1" thickBot="1">
      <c r="A610" s="4">
        <v>608</v>
      </c>
      <c r="B610" s="52"/>
      <c r="C610" s="3"/>
      <c r="D610" s="3"/>
      <c r="E610" s="4"/>
      <c r="F610" s="43"/>
      <c r="G610" s="4"/>
      <c r="H610" s="43"/>
      <c r="I610" s="4"/>
      <c r="J610" s="26"/>
      <c r="K610" s="27"/>
      <c r="L610" s="2"/>
      <c r="M610" s="24"/>
    </row>
    <row r="611" spans="1:13" ht="99.9" customHeight="1" thickTop="1" thickBot="1">
      <c r="A611" s="31">
        <v>609</v>
      </c>
      <c r="B611" s="52"/>
      <c r="C611" s="3"/>
      <c r="D611" s="3"/>
      <c r="E611" s="4"/>
      <c r="F611" s="43"/>
      <c r="G611" s="4"/>
      <c r="H611" s="43"/>
      <c r="I611" s="4"/>
      <c r="J611" s="26"/>
      <c r="K611" s="27"/>
      <c r="L611" s="2"/>
      <c r="M611" s="24"/>
    </row>
    <row r="612" spans="1:13" ht="99.9" customHeight="1" thickTop="1" thickBot="1">
      <c r="A612" s="4">
        <v>610</v>
      </c>
      <c r="B612" s="52"/>
      <c r="C612" s="3"/>
      <c r="D612" s="3"/>
      <c r="E612" s="4"/>
      <c r="F612" s="43"/>
      <c r="G612" s="4"/>
      <c r="H612" s="43"/>
      <c r="I612" s="4"/>
      <c r="J612" s="26"/>
      <c r="K612" s="27"/>
      <c r="L612" s="2"/>
      <c r="M612" s="24"/>
    </row>
    <row r="613" spans="1:13" ht="99.9" customHeight="1" thickTop="1" thickBot="1">
      <c r="A613" s="31">
        <v>611</v>
      </c>
      <c r="B613" s="52"/>
      <c r="C613" s="3"/>
      <c r="D613" s="3"/>
      <c r="E613" s="4"/>
      <c r="F613" s="43"/>
      <c r="G613" s="4"/>
      <c r="H613" s="43"/>
      <c r="I613" s="4"/>
      <c r="J613" s="26"/>
      <c r="K613" s="27"/>
      <c r="L613" s="2"/>
      <c r="M613" s="24"/>
    </row>
    <row r="614" spans="1:13" ht="99.9" customHeight="1" thickTop="1" thickBot="1">
      <c r="A614" s="4">
        <v>612</v>
      </c>
      <c r="B614" s="52"/>
      <c r="C614" s="3"/>
      <c r="D614" s="3"/>
      <c r="E614" s="4"/>
      <c r="F614" s="43"/>
      <c r="G614" s="4"/>
      <c r="H614" s="43"/>
      <c r="I614" s="4"/>
      <c r="J614" s="26"/>
      <c r="K614" s="27"/>
      <c r="L614" s="2"/>
      <c r="M614" s="24"/>
    </row>
    <row r="615" spans="1:13" ht="99.9" customHeight="1" thickTop="1" thickBot="1">
      <c r="A615" s="31">
        <v>613</v>
      </c>
      <c r="B615" s="52"/>
      <c r="C615" s="3"/>
      <c r="D615" s="3"/>
      <c r="E615" s="4"/>
      <c r="F615" s="43"/>
      <c r="G615" s="4"/>
      <c r="H615" s="43"/>
      <c r="I615" s="4"/>
      <c r="J615" s="26"/>
      <c r="K615" s="27"/>
      <c r="L615" s="2"/>
      <c r="M615" s="24"/>
    </row>
    <row r="616" spans="1:13" ht="99.9" customHeight="1" thickTop="1" thickBot="1">
      <c r="A616" s="4">
        <v>614</v>
      </c>
      <c r="B616" s="52"/>
      <c r="C616" s="3"/>
      <c r="D616" s="3"/>
      <c r="E616" s="4"/>
      <c r="F616" s="43"/>
      <c r="G616" s="4"/>
      <c r="H616" s="43"/>
      <c r="I616" s="4"/>
      <c r="J616" s="26"/>
      <c r="K616" s="27"/>
      <c r="L616" s="2"/>
      <c r="M616" s="24"/>
    </row>
    <row r="617" spans="1:13" ht="99.9" customHeight="1" thickTop="1" thickBot="1">
      <c r="A617" s="31">
        <v>615</v>
      </c>
      <c r="B617" s="52"/>
      <c r="C617" s="3"/>
      <c r="D617" s="3"/>
      <c r="E617" s="4"/>
      <c r="F617" s="43"/>
      <c r="G617" s="4"/>
      <c r="H617" s="43"/>
      <c r="I617" s="4"/>
      <c r="J617" s="26"/>
      <c r="K617" s="27"/>
      <c r="L617" s="2"/>
      <c r="M617" s="24"/>
    </row>
    <row r="618" spans="1:13" ht="99.9" customHeight="1" thickTop="1" thickBot="1">
      <c r="A618" s="4">
        <v>616</v>
      </c>
      <c r="B618" s="52"/>
      <c r="C618" s="3"/>
      <c r="D618" s="3"/>
      <c r="E618" s="4"/>
      <c r="F618" s="43"/>
      <c r="G618" s="4"/>
      <c r="H618" s="43"/>
      <c r="I618" s="4"/>
      <c r="J618" s="26"/>
      <c r="K618" s="27"/>
      <c r="L618" s="2"/>
      <c r="M618" s="24"/>
    </row>
    <row r="619" spans="1:13" ht="99.9" customHeight="1" thickTop="1" thickBot="1">
      <c r="A619" s="31">
        <v>617</v>
      </c>
      <c r="B619" s="52"/>
      <c r="C619" s="3"/>
      <c r="D619" s="3"/>
      <c r="E619" s="4"/>
      <c r="F619" s="43"/>
      <c r="G619" s="4"/>
      <c r="H619" s="43"/>
      <c r="I619" s="4"/>
      <c r="J619" s="26"/>
      <c r="K619" s="27"/>
      <c r="L619" s="2"/>
      <c r="M619" s="24"/>
    </row>
    <row r="620" spans="1:13" ht="99.9" customHeight="1" thickTop="1" thickBot="1">
      <c r="A620" s="4">
        <v>618</v>
      </c>
      <c r="B620" s="52"/>
      <c r="C620" s="3"/>
      <c r="D620" s="3"/>
      <c r="E620" s="4"/>
      <c r="F620" s="43"/>
      <c r="G620" s="4"/>
      <c r="H620" s="43"/>
      <c r="I620" s="4"/>
      <c r="J620" s="26"/>
      <c r="K620" s="27"/>
      <c r="L620" s="2"/>
      <c r="M620" s="24"/>
    </row>
    <row r="621" spans="1:13" ht="99.9" customHeight="1" thickTop="1" thickBot="1">
      <c r="A621" s="31">
        <v>619</v>
      </c>
      <c r="B621" s="52"/>
      <c r="C621" s="3"/>
      <c r="D621" s="3"/>
      <c r="E621" s="4"/>
      <c r="F621" s="43"/>
      <c r="G621" s="4"/>
      <c r="H621" s="43"/>
      <c r="I621" s="4"/>
      <c r="J621" s="26"/>
      <c r="K621" s="27"/>
      <c r="L621" s="2"/>
      <c r="M621" s="24"/>
    </row>
    <row r="622" spans="1:13" ht="99.9" customHeight="1" thickTop="1" thickBot="1">
      <c r="A622" s="4">
        <v>620</v>
      </c>
      <c r="B622" s="52"/>
      <c r="C622" s="3"/>
      <c r="D622" s="3"/>
      <c r="E622" s="4"/>
      <c r="F622" s="43"/>
      <c r="G622" s="4"/>
      <c r="H622" s="43"/>
      <c r="I622" s="4"/>
      <c r="J622" s="26"/>
      <c r="K622" s="27"/>
      <c r="L622" s="2"/>
      <c r="M622" s="24"/>
    </row>
    <row r="623" spans="1:13" ht="99.9" customHeight="1" thickTop="1" thickBot="1">
      <c r="A623" s="31">
        <v>621</v>
      </c>
      <c r="B623" s="52"/>
      <c r="C623" s="3"/>
      <c r="D623" s="3"/>
      <c r="E623" s="4"/>
      <c r="F623" s="43"/>
      <c r="G623" s="4"/>
      <c r="H623" s="43"/>
      <c r="I623" s="4"/>
      <c r="J623" s="26"/>
      <c r="K623" s="27"/>
      <c r="L623" s="2"/>
      <c r="M623" s="24"/>
    </row>
    <row r="624" spans="1:13" ht="99.9" customHeight="1" thickTop="1" thickBot="1">
      <c r="A624" s="4">
        <v>622</v>
      </c>
      <c r="B624" s="52"/>
      <c r="C624" s="3"/>
      <c r="D624" s="3"/>
      <c r="E624" s="4"/>
      <c r="F624" s="43"/>
      <c r="G624" s="4"/>
      <c r="H624" s="43"/>
      <c r="I624" s="4"/>
      <c r="J624" s="26"/>
      <c r="K624" s="27"/>
      <c r="L624" s="2"/>
      <c r="M624" s="24"/>
    </row>
    <row r="625" spans="1:13" ht="99.9" customHeight="1" thickTop="1" thickBot="1">
      <c r="A625" s="31">
        <v>623</v>
      </c>
      <c r="B625" s="52"/>
      <c r="C625" s="3"/>
      <c r="D625" s="3"/>
      <c r="E625" s="4"/>
      <c r="F625" s="43"/>
      <c r="G625" s="4"/>
      <c r="H625" s="43"/>
      <c r="I625" s="4"/>
      <c r="J625" s="26"/>
      <c r="K625" s="27"/>
      <c r="L625" s="2"/>
      <c r="M625" s="24"/>
    </row>
    <row r="626" spans="1:13" ht="99.9" customHeight="1" thickTop="1" thickBot="1">
      <c r="A626" s="4">
        <v>624</v>
      </c>
      <c r="B626" s="52"/>
      <c r="C626" s="3"/>
      <c r="D626" s="3"/>
      <c r="E626" s="4"/>
      <c r="F626" s="43"/>
      <c r="G626" s="4"/>
      <c r="H626" s="43"/>
      <c r="I626" s="4"/>
      <c r="J626" s="26"/>
      <c r="K626" s="27"/>
      <c r="L626" s="2"/>
      <c r="M626" s="24"/>
    </row>
    <row r="627" spans="1:13" ht="99.9" customHeight="1" thickTop="1" thickBot="1">
      <c r="A627" s="31">
        <v>625</v>
      </c>
      <c r="B627" s="52"/>
      <c r="C627" s="3"/>
      <c r="D627" s="3"/>
      <c r="E627" s="4"/>
      <c r="F627" s="43"/>
      <c r="G627" s="4"/>
      <c r="H627" s="43"/>
      <c r="I627" s="4"/>
      <c r="J627" s="26"/>
      <c r="K627" s="27"/>
      <c r="L627" s="2"/>
      <c r="M627" s="24"/>
    </row>
    <row r="628" spans="1:13" ht="99.9" customHeight="1" thickTop="1" thickBot="1">
      <c r="A628" s="4">
        <v>626</v>
      </c>
      <c r="B628" s="52"/>
      <c r="C628" s="3"/>
      <c r="D628" s="3"/>
      <c r="E628" s="4"/>
      <c r="F628" s="43"/>
      <c r="G628" s="4"/>
      <c r="H628" s="43"/>
      <c r="I628" s="4"/>
      <c r="J628" s="26"/>
      <c r="K628" s="27"/>
      <c r="L628" s="2"/>
      <c r="M628" s="24"/>
    </row>
    <row r="629" spans="1:13" ht="99.9" customHeight="1" thickTop="1" thickBot="1">
      <c r="A629" s="31">
        <v>627</v>
      </c>
      <c r="B629" s="52"/>
      <c r="C629" s="3"/>
      <c r="D629" s="3"/>
      <c r="E629" s="4"/>
      <c r="F629" s="43"/>
      <c r="G629" s="4"/>
      <c r="H629" s="43"/>
      <c r="I629" s="4"/>
      <c r="J629" s="26"/>
      <c r="K629" s="27"/>
      <c r="L629" s="2"/>
      <c r="M629" s="24"/>
    </row>
    <row r="630" spans="1:13" ht="99.9" customHeight="1" thickTop="1" thickBot="1">
      <c r="A630" s="4">
        <v>628</v>
      </c>
      <c r="B630" s="52"/>
      <c r="C630" s="3"/>
      <c r="D630" s="3"/>
      <c r="E630" s="4"/>
      <c r="F630" s="43"/>
      <c r="G630" s="4"/>
      <c r="H630" s="43"/>
      <c r="I630" s="4"/>
      <c r="J630" s="26"/>
      <c r="K630" s="27"/>
      <c r="L630" s="2"/>
      <c r="M630" s="24"/>
    </row>
    <row r="631" spans="1:13" ht="99.9" customHeight="1" thickTop="1" thickBot="1">
      <c r="A631" s="31">
        <v>629</v>
      </c>
      <c r="B631" s="52"/>
      <c r="C631" s="3"/>
      <c r="D631" s="3"/>
      <c r="E631" s="4"/>
      <c r="F631" s="43"/>
      <c r="G631" s="4"/>
      <c r="H631" s="43"/>
      <c r="I631" s="4"/>
      <c r="J631" s="26"/>
      <c r="K631" s="27"/>
      <c r="L631" s="2"/>
      <c r="M631" s="24"/>
    </row>
    <row r="632" spans="1:13" ht="99.9" customHeight="1" thickTop="1" thickBot="1">
      <c r="A632" s="4">
        <v>630</v>
      </c>
      <c r="B632" s="2"/>
      <c r="C632" s="3"/>
      <c r="D632" s="3"/>
      <c r="E632" s="4"/>
      <c r="F632" s="43"/>
      <c r="G632" s="4"/>
      <c r="H632" s="43"/>
      <c r="I632" s="4"/>
      <c r="J632" s="26"/>
      <c r="K632" s="27"/>
      <c r="L632" s="2"/>
      <c r="M632" s="24"/>
    </row>
    <row r="633" spans="1:13" ht="99.9" customHeight="1" thickTop="1" thickBot="1">
      <c r="A633" s="31">
        <v>631</v>
      </c>
      <c r="B633" s="2"/>
      <c r="C633" s="3"/>
      <c r="D633" s="3"/>
      <c r="E633" s="4"/>
      <c r="F633" s="43"/>
      <c r="G633" s="4"/>
      <c r="H633" s="43"/>
      <c r="I633" s="4"/>
      <c r="J633" s="26"/>
      <c r="K633" s="27"/>
      <c r="L633" s="2"/>
      <c r="M633" s="24"/>
    </row>
    <row r="634" spans="1:13" ht="99.9" customHeight="1" thickTop="1" thickBot="1">
      <c r="A634" s="4">
        <v>632</v>
      </c>
      <c r="B634" s="2"/>
      <c r="C634" s="3"/>
      <c r="D634" s="3"/>
      <c r="E634" s="4"/>
      <c r="F634" s="43"/>
      <c r="G634" s="4"/>
      <c r="H634" s="43"/>
      <c r="I634" s="4"/>
      <c r="J634" s="26"/>
      <c r="K634" s="27"/>
      <c r="L634" s="2"/>
      <c r="M634" s="24"/>
    </row>
    <row r="635" spans="1:13" ht="99.9" customHeight="1" thickTop="1" thickBot="1">
      <c r="A635" s="31">
        <v>633</v>
      </c>
      <c r="B635" s="2"/>
      <c r="C635" s="3"/>
      <c r="D635" s="3"/>
      <c r="E635" s="4"/>
      <c r="F635" s="43"/>
      <c r="G635" s="4"/>
      <c r="H635" s="43"/>
      <c r="I635" s="4"/>
      <c r="J635" s="26"/>
      <c r="K635" s="27"/>
      <c r="L635" s="2"/>
      <c r="M635" s="24"/>
    </row>
    <row r="636" spans="1:13" ht="99.9" customHeight="1" thickTop="1" thickBot="1">
      <c r="A636" s="4">
        <v>634</v>
      </c>
      <c r="B636" s="2"/>
      <c r="C636" s="3"/>
      <c r="D636" s="3"/>
      <c r="E636" s="4"/>
      <c r="F636" s="43"/>
      <c r="G636" s="4"/>
      <c r="H636" s="43"/>
      <c r="I636" s="4"/>
      <c r="J636" s="26"/>
      <c r="K636" s="27"/>
      <c r="L636" s="2"/>
      <c r="M636" s="24"/>
    </row>
    <row r="637" spans="1:13" ht="99.9" customHeight="1" thickTop="1" thickBot="1">
      <c r="A637" s="31">
        <v>635</v>
      </c>
      <c r="B637" s="2"/>
      <c r="C637" s="3"/>
      <c r="D637" s="3"/>
      <c r="E637" s="4"/>
      <c r="F637" s="43"/>
      <c r="G637" s="4"/>
      <c r="H637" s="43"/>
      <c r="I637" s="4"/>
      <c r="J637" s="26"/>
      <c r="K637" s="27"/>
      <c r="L637" s="2"/>
      <c r="M637" s="24"/>
    </row>
    <row r="638" spans="1:13" ht="99.9" customHeight="1" thickTop="1" thickBot="1">
      <c r="A638" s="4">
        <v>636</v>
      </c>
      <c r="B638" s="2"/>
      <c r="C638" s="3"/>
      <c r="D638" s="3"/>
      <c r="E638" s="4"/>
      <c r="F638" s="43"/>
      <c r="G638" s="4"/>
      <c r="H638" s="43"/>
      <c r="I638" s="4"/>
      <c r="J638" s="26"/>
      <c r="K638" s="27"/>
      <c r="L638" s="2"/>
      <c r="M638" s="24"/>
    </row>
    <row r="639" spans="1:13" ht="99.9" customHeight="1" thickTop="1" thickBot="1">
      <c r="A639" s="31">
        <v>637</v>
      </c>
      <c r="B639" s="2"/>
      <c r="C639" s="3"/>
      <c r="D639" s="3"/>
      <c r="E639" s="4"/>
      <c r="F639" s="43"/>
      <c r="G639" s="4"/>
      <c r="H639" s="43"/>
      <c r="I639" s="4"/>
      <c r="J639" s="26"/>
      <c r="K639" s="27"/>
      <c r="L639" s="2"/>
      <c r="M639" s="24"/>
    </row>
    <row r="640" spans="1:13" ht="99.9" customHeight="1" thickTop="1" thickBot="1">
      <c r="A640" s="4">
        <v>638</v>
      </c>
      <c r="B640" s="2"/>
      <c r="C640" s="3"/>
      <c r="D640" s="3"/>
      <c r="E640" s="4"/>
      <c r="F640" s="43"/>
      <c r="G640" s="4"/>
      <c r="H640" s="43"/>
      <c r="I640" s="4"/>
      <c r="J640" s="26"/>
      <c r="K640" s="27"/>
      <c r="L640" s="2"/>
      <c r="M640" s="24"/>
    </row>
    <row r="641" spans="1:13" ht="99.9" customHeight="1" thickTop="1" thickBot="1">
      <c r="A641" s="31">
        <v>639</v>
      </c>
      <c r="B641" s="2"/>
      <c r="C641" s="3"/>
      <c r="D641" s="3"/>
      <c r="E641" s="4"/>
      <c r="F641" s="43"/>
      <c r="G641" s="4"/>
      <c r="H641" s="43"/>
      <c r="I641" s="4"/>
      <c r="J641" s="26"/>
      <c r="K641" s="27"/>
      <c r="L641" s="2"/>
      <c r="M641" s="24"/>
    </row>
    <row r="642" spans="1:13" ht="99.9" customHeight="1" thickTop="1" thickBot="1">
      <c r="A642" s="4">
        <v>640</v>
      </c>
      <c r="B642" s="2"/>
      <c r="C642" s="3"/>
      <c r="D642" s="3"/>
      <c r="E642" s="4"/>
      <c r="F642" s="43"/>
      <c r="G642" s="4"/>
      <c r="H642" s="43"/>
      <c r="I642" s="4"/>
      <c r="J642" s="26"/>
      <c r="K642" s="27"/>
      <c r="L642" s="2"/>
      <c r="M642" s="24"/>
    </row>
    <row r="643" spans="1:13" ht="99.9" customHeight="1" thickTop="1" thickBot="1">
      <c r="A643" s="31">
        <v>641</v>
      </c>
      <c r="B643" s="2"/>
      <c r="C643" s="3"/>
      <c r="D643" s="3"/>
      <c r="E643" s="4"/>
      <c r="F643" s="43"/>
      <c r="G643" s="4"/>
      <c r="H643" s="43"/>
      <c r="I643" s="4"/>
      <c r="J643" s="26"/>
      <c r="K643" s="27"/>
      <c r="L643" s="2"/>
      <c r="M643" s="24"/>
    </row>
    <row r="644" spans="1:13" ht="99.9" customHeight="1" thickTop="1" thickBot="1">
      <c r="A644" s="4">
        <v>642</v>
      </c>
      <c r="B644" s="2"/>
      <c r="C644" s="3"/>
      <c r="D644" s="3"/>
      <c r="E644" s="4"/>
      <c r="F644" s="43"/>
      <c r="G644" s="4"/>
      <c r="H644" s="43"/>
      <c r="I644" s="4"/>
      <c r="J644" s="26"/>
      <c r="K644" s="27"/>
      <c r="L644" s="2"/>
      <c r="M644" s="24"/>
    </row>
    <row r="645" spans="1:13" ht="99.9" customHeight="1" thickTop="1" thickBot="1">
      <c r="A645" s="31">
        <v>643</v>
      </c>
      <c r="B645" s="2"/>
      <c r="C645" s="3"/>
      <c r="D645" s="3"/>
      <c r="E645" s="4"/>
      <c r="F645" s="43"/>
      <c r="G645" s="4"/>
      <c r="H645" s="43"/>
      <c r="I645" s="4"/>
      <c r="J645" s="26"/>
      <c r="K645" s="27"/>
      <c r="L645" s="2"/>
      <c r="M645" s="24"/>
    </row>
    <row r="646" spans="1:13" ht="99.9" customHeight="1" thickTop="1" thickBot="1">
      <c r="A646" s="4">
        <v>644</v>
      </c>
      <c r="B646" s="2"/>
      <c r="C646" s="3"/>
      <c r="D646" s="3"/>
      <c r="E646" s="4"/>
      <c r="F646" s="43"/>
      <c r="G646" s="4"/>
      <c r="H646" s="43"/>
      <c r="I646" s="4"/>
      <c r="J646" s="26"/>
      <c r="K646" s="27"/>
      <c r="L646" s="2"/>
      <c r="M646" s="24"/>
    </row>
    <row r="647" spans="1:13" ht="99.9" customHeight="1" thickTop="1" thickBot="1">
      <c r="A647" s="31">
        <v>645</v>
      </c>
      <c r="B647" s="2"/>
      <c r="C647" s="3"/>
      <c r="D647" s="3"/>
      <c r="E647" s="4"/>
      <c r="F647" s="43"/>
      <c r="G647" s="4"/>
      <c r="H647" s="43"/>
      <c r="I647" s="4"/>
      <c r="J647" s="26"/>
      <c r="K647" s="27"/>
      <c r="L647" s="2"/>
      <c r="M647" s="24"/>
    </row>
    <row r="648" spans="1:13" ht="99.9" customHeight="1" thickTop="1" thickBot="1">
      <c r="A648" s="4">
        <v>646</v>
      </c>
      <c r="B648" s="2"/>
      <c r="C648" s="3"/>
      <c r="D648" s="3"/>
      <c r="E648" s="4"/>
      <c r="F648" s="43"/>
      <c r="G648" s="4"/>
      <c r="H648" s="43"/>
      <c r="I648" s="4"/>
      <c r="J648" s="26"/>
      <c r="K648" s="27"/>
      <c r="L648" s="2"/>
      <c r="M648" s="24"/>
    </row>
    <row r="649" spans="1:13" ht="99.9" customHeight="1" thickTop="1" thickBot="1">
      <c r="A649" s="31">
        <v>647</v>
      </c>
      <c r="B649" s="2"/>
      <c r="C649" s="3"/>
      <c r="D649" s="3"/>
      <c r="E649" s="4"/>
      <c r="F649" s="43"/>
      <c r="G649" s="4"/>
      <c r="H649" s="43"/>
      <c r="I649" s="4"/>
      <c r="J649" s="26"/>
      <c r="K649" s="27"/>
      <c r="L649" s="2"/>
      <c r="M649" s="24"/>
    </row>
    <row r="650" spans="1:13" ht="99.9" customHeight="1" thickTop="1" thickBot="1">
      <c r="A650" s="4">
        <v>648</v>
      </c>
      <c r="B650" s="2"/>
      <c r="C650" s="3"/>
      <c r="D650" s="3"/>
      <c r="E650" s="4"/>
      <c r="F650" s="43"/>
      <c r="G650" s="4"/>
      <c r="H650" s="43"/>
      <c r="I650" s="4"/>
      <c r="J650" s="26"/>
      <c r="K650" s="27"/>
      <c r="L650" s="2"/>
      <c r="M650" s="24"/>
    </row>
    <row r="651" spans="1:13" ht="99.9" customHeight="1" thickTop="1" thickBot="1">
      <c r="A651" s="31">
        <v>649</v>
      </c>
      <c r="B651" s="2"/>
      <c r="C651" s="3"/>
      <c r="D651" s="3"/>
      <c r="E651" s="4"/>
      <c r="F651" s="43"/>
      <c r="G651" s="4"/>
      <c r="H651" s="43"/>
      <c r="I651" s="4"/>
      <c r="J651" s="26"/>
      <c r="K651" s="27"/>
      <c r="L651" s="2"/>
      <c r="M651" s="24"/>
    </row>
    <row r="652" spans="1:13" ht="99.9" customHeight="1" thickTop="1" thickBot="1">
      <c r="A652" s="4">
        <v>650</v>
      </c>
      <c r="B652" s="2"/>
      <c r="C652" s="3"/>
      <c r="D652" s="3"/>
      <c r="E652" s="4"/>
      <c r="F652" s="43"/>
      <c r="G652" s="4"/>
      <c r="H652" s="43"/>
      <c r="I652" s="4"/>
      <c r="J652" s="26"/>
      <c r="K652" s="27"/>
      <c r="L652" s="2"/>
      <c r="M652" s="24"/>
    </row>
    <row r="653" spans="1:13" ht="99.9" customHeight="1" thickTop="1" thickBot="1">
      <c r="A653" s="31">
        <v>651</v>
      </c>
      <c r="B653" s="2"/>
      <c r="C653" s="3"/>
      <c r="D653" s="3"/>
      <c r="E653" s="4"/>
      <c r="F653" s="43"/>
      <c r="G653" s="4"/>
      <c r="H653" s="43"/>
      <c r="I653" s="4"/>
      <c r="J653" s="26"/>
      <c r="K653" s="27"/>
      <c r="L653" s="2"/>
      <c r="M653" s="24"/>
    </row>
    <row r="654" spans="1:13" ht="99.9" customHeight="1" thickTop="1" thickBot="1">
      <c r="A654" s="4">
        <v>652</v>
      </c>
      <c r="B654" s="2"/>
      <c r="C654" s="3"/>
      <c r="D654" s="3"/>
      <c r="E654" s="4"/>
      <c r="F654" s="43"/>
      <c r="G654" s="4"/>
      <c r="H654" s="43"/>
      <c r="I654" s="4"/>
      <c r="J654" s="26"/>
      <c r="K654" s="27"/>
      <c r="L654" s="2"/>
      <c r="M654" s="24"/>
    </row>
    <row r="655" spans="1:13" ht="99.9" customHeight="1" thickTop="1" thickBot="1">
      <c r="A655" s="31">
        <v>653</v>
      </c>
      <c r="B655" s="2"/>
      <c r="C655" s="3"/>
      <c r="D655" s="3"/>
      <c r="E655" s="4"/>
      <c r="F655" s="43"/>
      <c r="G655" s="4"/>
      <c r="H655" s="43"/>
      <c r="I655" s="4"/>
      <c r="J655" s="26"/>
      <c r="K655" s="27"/>
      <c r="L655" s="2"/>
      <c r="M655" s="24"/>
    </row>
    <row r="656" spans="1:13" ht="99.9" customHeight="1" thickTop="1" thickBot="1">
      <c r="A656" s="4">
        <v>654</v>
      </c>
      <c r="B656" s="2"/>
      <c r="C656" s="3"/>
      <c r="D656" s="3"/>
      <c r="E656" s="4"/>
      <c r="F656" s="43"/>
      <c r="G656" s="4"/>
      <c r="H656" s="43"/>
      <c r="I656" s="4"/>
      <c r="J656" s="26"/>
      <c r="K656" s="27"/>
      <c r="L656" s="2"/>
      <c r="M656" s="24"/>
    </row>
    <row r="657" spans="1:13" ht="99.9" customHeight="1" thickTop="1" thickBot="1">
      <c r="A657" s="31">
        <v>655</v>
      </c>
      <c r="B657" s="2"/>
      <c r="C657" s="3"/>
      <c r="D657" s="3"/>
      <c r="E657" s="4"/>
      <c r="F657" s="43"/>
      <c r="G657" s="4"/>
      <c r="H657" s="43"/>
      <c r="I657" s="4"/>
      <c r="J657" s="26"/>
      <c r="K657" s="27"/>
      <c r="L657" s="2"/>
      <c r="M657" s="24"/>
    </row>
    <row r="658" spans="1:13" ht="99.9" customHeight="1" thickTop="1" thickBot="1">
      <c r="A658" s="4">
        <v>656</v>
      </c>
      <c r="B658" s="2"/>
      <c r="C658" s="3"/>
      <c r="D658" s="3"/>
      <c r="E658" s="4"/>
      <c r="F658" s="43"/>
      <c r="G658" s="4"/>
      <c r="H658" s="43"/>
      <c r="I658" s="4"/>
      <c r="J658" s="26"/>
      <c r="K658" s="27"/>
      <c r="L658" s="2"/>
      <c r="M658" s="24"/>
    </row>
    <row r="659" spans="1:13" ht="99.9" customHeight="1" thickTop="1" thickBot="1">
      <c r="A659" s="31">
        <v>657</v>
      </c>
      <c r="B659" s="2"/>
      <c r="C659" s="3"/>
      <c r="D659" s="3"/>
      <c r="E659" s="4"/>
      <c r="F659" s="43"/>
      <c r="G659" s="4"/>
      <c r="H659" s="43"/>
      <c r="I659" s="4"/>
      <c r="J659" s="26"/>
      <c r="K659" s="27"/>
      <c r="L659" s="2"/>
      <c r="M659" s="24"/>
    </row>
    <row r="660" spans="1:13" ht="99.9" customHeight="1" thickTop="1" thickBot="1">
      <c r="A660" s="4">
        <v>658</v>
      </c>
      <c r="B660" s="2"/>
      <c r="C660" s="3"/>
      <c r="D660" s="3"/>
      <c r="E660" s="4"/>
      <c r="F660" s="43"/>
      <c r="G660" s="4"/>
      <c r="H660" s="43"/>
      <c r="I660" s="4"/>
      <c r="J660" s="26"/>
      <c r="K660" s="27"/>
      <c r="L660" s="2"/>
      <c r="M660" s="24"/>
    </row>
    <row r="661" spans="1:13" ht="99.9" customHeight="1" thickTop="1" thickBot="1">
      <c r="A661" s="31">
        <v>659</v>
      </c>
      <c r="B661" s="2"/>
      <c r="C661" s="3"/>
      <c r="D661" s="3"/>
      <c r="E661" s="4"/>
      <c r="F661" s="43"/>
      <c r="G661" s="4"/>
      <c r="H661" s="43"/>
      <c r="I661" s="4"/>
      <c r="J661" s="26"/>
      <c r="K661" s="27"/>
      <c r="L661" s="2"/>
      <c r="M661" s="24"/>
    </row>
    <row r="662" spans="1:13" ht="99.9" customHeight="1" thickTop="1" thickBot="1">
      <c r="A662" s="4">
        <v>660</v>
      </c>
      <c r="B662" s="2"/>
      <c r="C662" s="3"/>
      <c r="D662" s="3"/>
      <c r="E662" s="4"/>
      <c r="F662" s="43"/>
      <c r="G662" s="4"/>
      <c r="H662" s="43"/>
      <c r="I662" s="4"/>
      <c r="J662" s="26"/>
      <c r="K662" s="27"/>
      <c r="L662" s="2"/>
      <c r="M662" s="24"/>
    </row>
    <row r="663" spans="1:13" ht="99.9" customHeight="1" thickTop="1" thickBot="1">
      <c r="A663" s="31">
        <v>661</v>
      </c>
      <c r="B663" s="2"/>
      <c r="C663" s="3"/>
      <c r="D663" s="3"/>
      <c r="E663" s="4"/>
      <c r="F663" s="43"/>
      <c r="G663" s="4"/>
      <c r="H663" s="43"/>
      <c r="I663" s="4"/>
      <c r="J663" s="26"/>
      <c r="K663" s="27"/>
      <c r="L663" s="2"/>
      <c r="M663" s="24"/>
    </row>
    <row r="664" spans="1:13" ht="99.9" customHeight="1" thickTop="1" thickBot="1">
      <c r="A664" s="4">
        <v>662</v>
      </c>
      <c r="B664" s="2"/>
      <c r="C664" s="3"/>
      <c r="D664" s="3"/>
      <c r="E664" s="4"/>
      <c r="F664" s="43"/>
      <c r="G664" s="4"/>
      <c r="H664" s="43"/>
      <c r="I664" s="4"/>
      <c r="J664" s="26"/>
      <c r="K664" s="27"/>
      <c r="L664" s="2"/>
      <c r="M664" s="24"/>
    </row>
    <row r="665" spans="1:13" ht="99.9" customHeight="1" thickTop="1" thickBot="1">
      <c r="A665" s="31">
        <v>663</v>
      </c>
      <c r="B665" s="2"/>
      <c r="C665" s="3"/>
      <c r="D665" s="3"/>
      <c r="E665" s="4"/>
      <c r="F665" s="43"/>
      <c r="G665" s="4"/>
      <c r="H665" s="43"/>
      <c r="I665" s="4"/>
      <c r="J665" s="26"/>
      <c r="K665" s="27"/>
      <c r="L665" s="2"/>
      <c r="M665" s="4"/>
    </row>
    <row r="666" spans="1:13" ht="99.9" customHeight="1" thickTop="1" thickBot="1">
      <c r="A666" s="4">
        <v>664</v>
      </c>
      <c r="B666" s="2"/>
      <c r="C666" s="3"/>
      <c r="D666" s="3"/>
      <c r="E666" s="4"/>
      <c r="F666" s="43"/>
      <c r="G666" s="4"/>
      <c r="H666" s="43"/>
      <c r="I666" s="4"/>
      <c r="J666" s="26"/>
      <c r="K666" s="27"/>
      <c r="L666" s="2"/>
      <c r="M666" s="4"/>
    </row>
    <row r="667" spans="1:13" ht="99.9" customHeight="1" thickTop="1" thickBot="1">
      <c r="A667" s="31">
        <v>665</v>
      </c>
      <c r="B667" s="2"/>
      <c r="C667" s="3"/>
      <c r="D667" s="3"/>
      <c r="E667" s="4"/>
      <c r="F667" s="43"/>
      <c r="G667" s="4"/>
      <c r="H667" s="43"/>
      <c r="I667" s="4"/>
      <c r="J667" s="26"/>
      <c r="K667" s="27"/>
      <c r="L667" s="2"/>
      <c r="M667" s="4"/>
    </row>
    <row r="668" spans="1:13" ht="99.9" customHeight="1" thickTop="1" thickBot="1">
      <c r="A668" s="4">
        <v>666</v>
      </c>
      <c r="B668" s="2"/>
      <c r="C668" s="3"/>
      <c r="D668" s="3"/>
      <c r="E668" s="4"/>
      <c r="F668" s="43"/>
      <c r="G668" s="4"/>
      <c r="H668" s="43"/>
      <c r="I668" s="4"/>
      <c r="J668" s="26"/>
      <c r="K668" s="27"/>
      <c r="L668" s="2"/>
      <c r="M668" s="4"/>
    </row>
    <row r="669" spans="1:13" ht="99.9" customHeight="1" thickTop="1" thickBot="1">
      <c r="A669" s="31">
        <v>667</v>
      </c>
      <c r="B669" s="2"/>
      <c r="C669" s="3"/>
      <c r="D669" s="3"/>
      <c r="E669" s="4"/>
      <c r="F669" s="43"/>
      <c r="G669" s="4"/>
      <c r="H669" s="43"/>
      <c r="I669" s="4"/>
      <c r="J669" s="26"/>
      <c r="K669" s="27"/>
      <c r="L669" s="2"/>
      <c r="M669" s="4"/>
    </row>
    <row r="670" spans="1:13" ht="99.9" customHeight="1" thickTop="1" thickBot="1">
      <c r="A670" s="4">
        <v>668</v>
      </c>
      <c r="B670" s="2"/>
      <c r="C670" s="3"/>
      <c r="D670" s="3"/>
      <c r="E670" s="4"/>
      <c r="F670" s="43"/>
      <c r="G670" s="4"/>
      <c r="H670" s="43"/>
      <c r="I670" s="4"/>
      <c r="J670" s="26"/>
      <c r="K670" s="27"/>
      <c r="L670" s="2"/>
      <c r="M670" s="4"/>
    </row>
    <row r="671" spans="1:13" ht="99.9" customHeight="1" thickTop="1" thickBot="1">
      <c r="A671" s="31">
        <v>669</v>
      </c>
      <c r="B671" s="2"/>
      <c r="C671" s="3"/>
      <c r="D671" s="3"/>
      <c r="E671" s="4"/>
      <c r="F671" s="43"/>
      <c r="G671" s="4"/>
      <c r="H671" s="43"/>
      <c r="I671" s="4"/>
      <c r="J671" s="26"/>
      <c r="K671" s="27"/>
      <c r="L671" s="2"/>
      <c r="M671" s="4"/>
    </row>
    <row r="672" spans="1:13" ht="99.9" customHeight="1" thickTop="1" thickBot="1">
      <c r="A672" s="4">
        <v>670</v>
      </c>
      <c r="B672" s="2"/>
      <c r="C672" s="3"/>
      <c r="D672" s="3"/>
      <c r="E672" s="4"/>
      <c r="F672" s="43"/>
      <c r="G672" s="4"/>
      <c r="H672" s="43"/>
      <c r="I672" s="4"/>
      <c r="J672" s="26"/>
      <c r="K672" s="27"/>
      <c r="L672" s="2"/>
      <c r="M672" s="4"/>
    </row>
    <row r="673" spans="1:13" ht="99.9" customHeight="1" thickTop="1" thickBot="1">
      <c r="A673" s="31">
        <v>671</v>
      </c>
      <c r="B673" s="2"/>
      <c r="C673" s="3"/>
      <c r="D673" s="3"/>
      <c r="E673" s="4"/>
      <c r="F673" s="43"/>
      <c r="G673" s="4"/>
      <c r="H673" s="43"/>
      <c r="I673" s="4"/>
      <c r="J673" s="26"/>
      <c r="K673" s="27"/>
      <c r="L673" s="2"/>
      <c r="M673" s="4"/>
    </row>
    <row r="674" spans="1:13" ht="99.9" customHeight="1" thickTop="1" thickBot="1">
      <c r="A674" s="4">
        <v>672</v>
      </c>
      <c r="B674" s="2"/>
      <c r="C674" s="3"/>
      <c r="D674" s="3"/>
      <c r="E674" s="4"/>
      <c r="F674" s="43"/>
      <c r="G674" s="4"/>
      <c r="H674" s="43"/>
      <c r="I674" s="4"/>
      <c r="J674" s="26"/>
      <c r="K674" s="27"/>
      <c r="L674" s="2"/>
      <c r="M674" s="4"/>
    </row>
    <row r="675" spans="1:13" ht="99.9" customHeight="1" thickTop="1" thickBot="1">
      <c r="A675" s="31">
        <v>673</v>
      </c>
      <c r="B675" s="2"/>
      <c r="C675" s="3"/>
      <c r="D675" s="3"/>
      <c r="E675" s="4"/>
      <c r="F675" s="43"/>
      <c r="G675" s="4"/>
      <c r="H675" s="43"/>
      <c r="I675" s="4"/>
      <c r="J675" s="26"/>
      <c r="K675" s="27"/>
      <c r="L675" s="2"/>
      <c r="M675" s="4"/>
    </row>
    <row r="676" spans="1:13" ht="99.9" customHeight="1" thickTop="1" thickBot="1">
      <c r="A676" s="4">
        <v>674</v>
      </c>
      <c r="B676" s="2"/>
      <c r="C676" s="3"/>
      <c r="D676" s="3"/>
      <c r="E676" s="4"/>
      <c r="F676" s="43"/>
      <c r="G676" s="4"/>
      <c r="H676" s="43"/>
      <c r="I676" s="4"/>
      <c r="J676" s="26"/>
      <c r="K676" s="27"/>
      <c r="L676" s="2"/>
      <c r="M676" s="4"/>
    </row>
    <row r="677" spans="1:13" ht="99.9" customHeight="1" thickTop="1" thickBot="1">
      <c r="A677" s="31">
        <v>675</v>
      </c>
      <c r="B677" s="2"/>
      <c r="C677" s="3"/>
      <c r="D677" s="3"/>
      <c r="E677" s="4"/>
      <c r="F677" s="43"/>
      <c r="G677" s="4"/>
      <c r="H677" s="43"/>
      <c r="I677" s="4"/>
      <c r="J677" s="26"/>
      <c r="K677" s="27"/>
      <c r="L677" s="2"/>
      <c r="M677" s="4"/>
    </row>
    <row r="678" spans="1:13" ht="99.9" customHeight="1" thickTop="1" thickBot="1">
      <c r="A678" s="4">
        <v>676</v>
      </c>
      <c r="B678" s="2"/>
      <c r="C678" s="3"/>
      <c r="D678" s="3"/>
      <c r="E678" s="4"/>
      <c r="F678" s="43"/>
      <c r="G678" s="4"/>
      <c r="H678" s="43"/>
      <c r="I678" s="4"/>
      <c r="J678" s="26"/>
      <c r="K678" s="27"/>
      <c r="L678" s="2"/>
      <c r="M678" s="4"/>
    </row>
    <row r="679" spans="1:13" ht="99.9" customHeight="1" thickTop="1" thickBot="1">
      <c r="A679" s="31">
        <v>677</v>
      </c>
      <c r="B679" s="2"/>
      <c r="C679" s="3"/>
      <c r="D679" s="3"/>
      <c r="E679" s="4"/>
      <c r="F679" s="43"/>
      <c r="G679" s="4"/>
      <c r="H679" s="43"/>
      <c r="I679" s="4"/>
      <c r="J679" s="26"/>
      <c r="K679" s="27"/>
      <c r="L679" s="2"/>
      <c r="M679" s="4"/>
    </row>
    <row r="680" spans="1:13" ht="99.9" customHeight="1" thickTop="1" thickBot="1">
      <c r="A680" s="4">
        <v>678</v>
      </c>
      <c r="B680" s="2"/>
      <c r="C680" s="3"/>
      <c r="D680" s="3"/>
      <c r="E680" s="4"/>
      <c r="F680" s="43"/>
      <c r="G680" s="4"/>
      <c r="H680" s="43"/>
      <c r="I680" s="4"/>
      <c r="J680" s="26"/>
      <c r="K680" s="27"/>
      <c r="L680" s="2"/>
      <c r="M680" s="4"/>
    </row>
    <row r="681" spans="1:13" ht="99.9" customHeight="1" thickTop="1" thickBot="1">
      <c r="A681" s="31">
        <v>679</v>
      </c>
      <c r="B681" s="2"/>
      <c r="C681" s="3"/>
      <c r="D681" s="3"/>
      <c r="E681" s="4"/>
      <c r="F681" s="43"/>
      <c r="G681" s="4"/>
      <c r="H681" s="43"/>
      <c r="I681" s="4"/>
      <c r="J681" s="26"/>
      <c r="K681" s="27"/>
      <c r="L681" s="2"/>
      <c r="M681" s="4"/>
    </row>
    <row r="682" spans="1:13" ht="99.9" customHeight="1" thickTop="1" thickBot="1">
      <c r="A682" s="4">
        <v>680</v>
      </c>
      <c r="B682" s="2"/>
      <c r="C682" s="3"/>
      <c r="D682" s="3"/>
      <c r="E682" s="4"/>
      <c r="F682" s="43"/>
      <c r="G682" s="4"/>
      <c r="H682" s="43"/>
      <c r="I682" s="4"/>
      <c r="J682" s="26"/>
      <c r="K682" s="27"/>
      <c r="L682" s="2"/>
      <c r="M682" s="4"/>
    </row>
    <row r="683" spans="1:13" ht="99.9" customHeight="1" thickTop="1" thickBot="1">
      <c r="A683" s="31">
        <v>681</v>
      </c>
      <c r="B683" s="2"/>
      <c r="C683" s="3"/>
      <c r="D683" s="3"/>
      <c r="E683" s="4"/>
      <c r="F683" s="43"/>
      <c r="G683" s="4"/>
      <c r="H683" s="43"/>
      <c r="I683" s="4"/>
      <c r="J683" s="26"/>
      <c r="K683" s="27"/>
      <c r="L683" s="2"/>
      <c r="M683" s="4"/>
    </row>
    <row r="684" spans="1:13" ht="99.9" customHeight="1" thickTop="1" thickBot="1">
      <c r="A684" s="4">
        <v>682</v>
      </c>
      <c r="B684" s="2"/>
      <c r="C684" s="3"/>
      <c r="D684" s="3"/>
      <c r="E684" s="4"/>
      <c r="F684" s="43"/>
      <c r="G684" s="4"/>
      <c r="H684" s="43"/>
      <c r="I684" s="4"/>
      <c r="J684" s="26"/>
      <c r="K684" s="27"/>
      <c r="L684" s="2"/>
      <c r="M684" s="4"/>
    </row>
    <row r="685" spans="1:13" ht="99.9" customHeight="1" thickTop="1" thickBot="1">
      <c r="A685" s="31">
        <v>683</v>
      </c>
      <c r="B685" s="2"/>
      <c r="C685" s="3"/>
      <c r="D685" s="3"/>
      <c r="E685" s="4"/>
      <c r="F685" s="43"/>
      <c r="G685" s="4"/>
      <c r="H685" s="43"/>
      <c r="I685" s="4"/>
      <c r="J685" s="26"/>
      <c r="K685" s="27"/>
      <c r="L685" s="2"/>
      <c r="M685" s="4"/>
    </row>
    <row r="686" spans="1:13" ht="99.9" customHeight="1" thickTop="1" thickBot="1">
      <c r="A686" s="4">
        <v>684</v>
      </c>
      <c r="B686" s="2"/>
      <c r="C686" s="3"/>
      <c r="D686" s="3"/>
      <c r="E686" s="4"/>
      <c r="F686" s="43"/>
      <c r="G686" s="4"/>
      <c r="H686" s="43"/>
      <c r="I686" s="4"/>
      <c r="J686" s="26"/>
      <c r="K686" s="27"/>
      <c r="L686" s="2"/>
      <c r="M686" s="4"/>
    </row>
    <row r="687" spans="1:13" ht="99.9" customHeight="1" thickTop="1" thickBot="1">
      <c r="A687" s="31">
        <v>685</v>
      </c>
      <c r="B687" s="2"/>
      <c r="C687" s="3"/>
      <c r="D687" s="3"/>
      <c r="E687" s="4"/>
      <c r="F687" s="43"/>
      <c r="G687" s="4"/>
      <c r="H687" s="43"/>
      <c r="I687" s="4"/>
      <c r="J687" s="26"/>
      <c r="K687" s="27"/>
      <c r="L687" s="2"/>
      <c r="M687" s="4"/>
    </row>
    <row r="688" spans="1:13" ht="99.9" customHeight="1" thickTop="1" thickBot="1">
      <c r="A688" s="4">
        <v>686</v>
      </c>
      <c r="B688" s="2"/>
      <c r="C688" s="3"/>
      <c r="D688" s="3"/>
      <c r="E688" s="4"/>
      <c r="F688" s="43"/>
      <c r="G688" s="4"/>
      <c r="H688" s="43"/>
      <c r="I688" s="4"/>
      <c r="J688" s="26"/>
      <c r="K688" s="27"/>
      <c r="L688" s="2"/>
      <c r="M688" s="4"/>
    </row>
    <row r="689" spans="1:13" ht="99.9" customHeight="1" thickTop="1" thickBot="1">
      <c r="A689" s="31">
        <v>687</v>
      </c>
      <c r="B689" s="2"/>
      <c r="C689" s="3"/>
      <c r="D689" s="3"/>
      <c r="E689" s="4"/>
      <c r="F689" s="43"/>
      <c r="G689" s="4"/>
      <c r="H689" s="43"/>
      <c r="I689" s="4"/>
      <c r="J689" s="26"/>
      <c r="K689" s="27"/>
      <c r="L689" s="2"/>
      <c r="M689" s="4"/>
    </row>
    <row r="690" spans="1:13" ht="99.9" customHeight="1" thickTop="1" thickBot="1">
      <c r="A690" s="4">
        <v>688</v>
      </c>
      <c r="B690" s="2"/>
      <c r="C690" s="3"/>
      <c r="D690" s="3"/>
      <c r="E690" s="4"/>
      <c r="F690" s="43"/>
      <c r="G690" s="4"/>
      <c r="H690" s="43"/>
      <c r="I690" s="4"/>
      <c r="J690" s="26"/>
      <c r="K690" s="27"/>
      <c r="L690" s="2"/>
      <c r="M690" s="4"/>
    </row>
    <row r="691" spans="1:13" ht="99.9" customHeight="1" thickTop="1" thickBot="1">
      <c r="A691" s="31">
        <v>689</v>
      </c>
      <c r="B691" s="2"/>
      <c r="C691" s="3"/>
      <c r="D691" s="3"/>
      <c r="E691" s="4"/>
      <c r="F691" s="43"/>
      <c r="G691" s="4"/>
      <c r="H691" s="43"/>
      <c r="I691" s="4"/>
      <c r="J691" s="26"/>
      <c r="K691" s="27"/>
      <c r="L691" s="2"/>
      <c r="M691" s="4"/>
    </row>
    <row r="692" spans="1:13" ht="99.9" customHeight="1" thickTop="1" thickBot="1">
      <c r="A692" s="4">
        <v>690</v>
      </c>
      <c r="B692" s="2"/>
      <c r="C692" s="3"/>
      <c r="D692" s="3"/>
      <c r="E692" s="4"/>
      <c r="F692" s="43"/>
      <c r="G692" s="4"/>
      <c r="H692" s="43"/>
      <c r="I692" s="4"/>
      <c r="J692" s="26"/>
      <c r="K692" s="27"/>
      <c r="L692" s="2"/>
      <c r="M692" s="4"/>
    </row>
    <row r="693" spans="1:13" ht="99.9" customHeight="1" thickTop="1" thickBot="1">
      <c r="A693" s="31">
        <v>691</v>
      </c>
      <c r="B693" s="2"/>
      <c r="C693" s="3"/>
      <c r="D693" s="3"/>
      <c r="E693" s="4"/>
      <c r="F693" s="43"/>
      <c r="G693" s="4"/>
      <c r="H693" s="43"/>
      <c r="I693" s="4"/>
      <c r="J693" s="26"/>
      <c r="K693" s="27"/>
      <c r="L693" s="2"/>
      <c r="M693" s="4"/>
    </row>
    <row r="694" spans="1:13" ht="99.9" customHeight="1" thickTop="1" thickBot="1">
      <c r="A694" s="4">
        <v>692</v>
      </c>
      <c r="B694" s="2"/>
      <c r="C694" s="3"/>
      <c r="D694" s="3"/>
      <c r="E694" s="4"/>
      <c r="F694" s="43"/>
      <c r="G694" s="4"/>
      <c r="H694" s="43"/>
      <c r="I694" s="4"/>
      <c r="J694" s="26"/>
      <c r="K694" s="27"/>
      <c r="L694" s="2"/>
      <c r="M694" s="4"/>
    </row>
    <row r="695" spans="1:13" ht="99.9" customHeight="1" thickTop="1" thickBot="1">
      <c r="A695" s="31">
        <v>693</v>
      </c>
      <c r="B695" s="2"/>
      <c r="C695" s="3"/>
      <c r="D695" s="3"/>
      <c r="E695" s="4"/>
      <c r="F695" s="43"/>
      <c r="G695" s="4"/>
      <c r="H695" s="43"/>
      <c r="I695" s="4"/>
      <c r="J695" s="26"/>
      <c r="K695" s="27"/>
      <c r="L695" s="2"/>
      <c r="M695" s="4"/>
    </row>
    <row r="696" spans="1:13" ht="99.9" customHeight="1" thickTop="1" thickBot="1">
      <c r="A696" s="4">
        <v>694</v>
      </c>
      <c r="B696" s="2"/>
      <c r="C696" s="3"/>
      <c r="D696" s="3"/>
      <c r="E696" s="4"/>
      <c r="F696" s="43"/>
      <c r="G696" s="4"/>
      <c r="H696" s="43"/>
      <c r="I696" s="4"/>
      <c r="J696" s="26"/>
      <c r="K696" s="27"/>
      <c r="L696" s="2"/>
      <c r="M696" s="4"/>
    </row>
    <row r="697" spans="1:13" ht="99.9" customHeight="1" thickTop="1" thickBot="1">
      <c r="A697" s="31">
        <v>695</v>
      </c>
      <c r="B697" s="2"/>
      <c r="C697" s="3"/>
      <c r="D697" s="3"/>
      <c r="E697" s="4"/>
      <c r="F697" s="43"/>
      <c r="G697" s="4"/>
      <c r="H697" s="43"/>
      <c r="I697" s="4"/>
      <c r="J697" s="26"/>
      <c r="K697" s="27"/>
      <c r="L697" s="2"/>
      <c r="M697" s="4"/>
    </row>
    <row r="698" spans="1:13" ht="99.9" customHeight="1" thickTop="1" thickBot="1">
      <c r="A698" s="4">
        <v>696</v>
      </c>
      <c r="B698" s="2"/>
      <c r="C698" s="3"/>
      <c r="D698" s="3"/>
      <c r="E698" s="4"/>
      <c r="F698" s="43"/>
      <c r="G698" s="4"/>
      <c r="H698" s="43"/>
      <c r="I698" s="4"/>
      <c r="J698" s="26"/>
      <c r="K698" s="27"/>
      <c r="L698" s="2"/>
      <c r="M698" s="4"/>
    </row>
    <row r="699" spans="1:13" ht="99.9" customHeight="1" thickTop="1" thickBot="1">
      <c r="A699" s="31">
        <v>697</v>
      </c>
      <c r="B699" s="2"/>
      <c r="C699" s="3"/>
      <c r="D699" s="3"/>
      <c r="E699" s="4"/>
      <c r="F699" s="43"/>
      <c r="G699" s="4"/>
      <c r="H699" s="43"/>
      <c r="I699" s="4"/>
      <c r="J699" s="26"/>
      <c r="K699" s="27"/>
      <c r="L699" s="2"/>
      <c r="M699" s="4"/>
    </row>
    <row r="700" spans="1:13" ht="99.9" customHeight="1" thickTop="1" thickBot="1">
      <c r="A700" s="4">
        <v>698</v>
      </c>
      <c r="B700" s="2"/>
      <c r="C700" s="3"/>
      <c r="D700" s="3"/>
      <c r="E700" s="4"/>
      <c r="F700" s="43"/>
      <c r="G700" s="4"/>
      <c r="H700" s="43"/>
      <c r="I700" s="4"/>
      <c r="J700" s="26"/>
      <c r="K700" s="27"/>
      <c r="L700" s="2"/>
      <c r="M700" s="4"/>
    </row>
    <row r="701" spans="1:13" ht="99.9" customHeight="1" thickTop="1" thickBot="1">
      <c r="A701" s="31">
        <v>699</v>
      </c>
      <c r="B701" s="2"/>
      <c r="C701" s="3"/>
      <c r="D701" s="3"/>
      <c r="E701" s="4"/>
      <c r="F701" s="43"/>
      <c r="G701" s="4"/>
      <c r="H701" s="43"/>
      <c r="I701" s="4"/>
      <c r="J701" s="26"/>
      <c r="K701" s="27"/>
      <c r="L701" s="2"/>
      <c r="M701" s="4"/>
    </row>
    <row r="702" spans="1:13" ht="99.9" customHeight="1" thickTop="1" thickBot="1">
      <c r="A702" s="4">
        <v>700</v>
      </c>
      <c r="B702" s="2"/>
      <c r="C702" s="3"/>
      <c r="D702" s="3"/>
      <c r="E702" s="4"/>
      <c r="F702" s="43"/>
      <c r="G702" s="4"/>
      <c r="H702" s="43"/>
      <c r="I702" s="4"/>
      <c r="J702" s="26"/>
      <c r="K702" s="27"/>
      <c r="L702" s="2"/>
      <c r="M702" s="4"/>
    </row>
    <row r="703" spans="1:13" ht="99.9" customHeight="1" thickTop="1" thickBot="1">
      <c r="A703" s="31">
        <v>701</v>
      </c>
      <c r="B703" s="2"/>
      <c r="C703" s="3"/>
      <c r="D703" s="3"/>
      <c r="E703" s="4"/>
      <c r="F703" s="43"/>
      <c r="G703" s="4"/>
      <c r="H703" s="43"/>
      <c r="I703" s="4"/>
      <c r="J703" s="26"/>
      <c r="K703" s="27"/>
      <c r="L703" s="2"/>
      <c r="M703" s="4"/>
    </row>
    <row r="704" spans="1:13" ht="99.9" customHeight="1" thickTop="1" thickBot="1">
      <c r="A704" s="4">
        <v>702</v>
      </c>
      <c r="B704" s="2"/>
      <c r="C704" s="3"/>
      <c r="D704" s="3"/>
      <c r="E704" s="4"/>
      <c r="F704" s="43"/>
      <c r="G704" s="4"/>
      <c r="H704" s="43"/>
      <c r="I704" s="4"/>
      <c r="J704" s="26"/>
      <c r="K704" s="27"/>
      <c r="L704" s="2"/>
      <c r="M704" s="4"/>
    </row>
    <row r="705" spans="1:13" ht="99.9" customHeight="1" thickTop="1" thickBot="1">
      <c r="A705" s="31">
        <v>703</v>
      </c>
      <c r="B705" s="2"/>
      <c r="C705" s="3"/>
      <c r="D705" s="3"/>
      <c r="E705" s="4"/>
      <c r="F705" s="43"/>
      <c r="G705" s="4"/>
      <c r="H705" s="43"/>
      <c r="I705" s="4"/>
      <c r="J705" s="26"/>
      <c r="K705" s="27"/>
      <c r="L705" s="2"/>
      <c r="M705" s="4"/>
    </row>
    <row r="706" spans="1:13" ht="99.9" customHeight="1" thickTop="1" thickBot="1">
      <c r="A706" s="4">
        <v>704</v>
      </c>
      <c r="B706" s="2"/>
      <c r="C706" s="3"/>
      <c r="D706" s="3"/>
      <c r="E706" s="4"/>
      <c r="F706" s="43"/>
      <c r="G706" s="4"/>
      <c r="H706" s="43"/>
      <c r="I706" s="4"/>
      <c r="J706" s="26"/>
      <c r="K706" s="27"/>
      <c r="L706" s="2"/>
      <c r="M706" s="4"/>
    </row>
    <row r="707" spans="1:13" ht="99.9" customHeight="1" thickTop="1" thickBot="1">
      <c r="A707" s="31">
        <v>705</v>
      </c>
      <c r="B707" s="2"/>
      <c r="C707" s="3"/>
      <c r="D707" s="3"/>
      <c r="E707" s="4"/>
      <c r="F707" s="43"/>
      <c r="G707" s="4"/>
      <c r="H707" s="43"/>
      <c r="I707" s="4"/>
      <c r="J707" s="26"/>
      <c r="K707" s="27"/>
      <c r="L707" s="2"/>
      <c r="M707" s="4"/>
    </row>
    <row r="708" spans="1:13" ht="99.9" customHeight="1" thickTop="1" thickBot="1">
      <c r="A708" s="4">
        <v>706</v>
      </c>
      <c r="B708" s="2"/>
      <c r="C708" s="3"/>
      <c r="D708" s="3"/>
      <c r="E708" s="4"/>
      <c r="F708" s="43"/>
      <c r="G708" s="4"/>
      <c r="H708" s="43"/>
      <c r="I708" s="4"/>
      <c r="J708" s="26"/>
      <c r="K708" s="27"/>
      <c r="L708" s="2"/>
      <c r="M708" s="4"/>
    </row>
    <row r="709" spans="1:13" ht="99.9" customHeight="1" thickTop="1" thickBot="1">
      <c r="A709" s="31">
        <v>707</v>
      </c>
      <c r="B709" s="2"/>
      <c r="C709" s="3"/>
      <c r="D709" s="3"/>
      <c r="E709" s="4"/>
      <c r="F709" s="43"/>
      <c r="G709" s="4"/>
      <c r="H709" s="43"/>
      <c r="I709" s="4"/>
      <c r="J709" s="26"/>
      <c r="K709" s="27"/>
      <c r="L709" s="2"/>
      <c r="M709" s="4"/>
    </row>
    <row r="710" spans="1:13" ht="99.9" customHeight="1" thickTop="1" thickBot="1">
      <c r="A710" s="4">
        <v>708</v>
      </c>
      <c r="B710" s="2"/>
      <c r="C710" s="3"/>
      <c r="D710" s="3"/>
      <c r="E710" s="4"/>
      <c r="F710" s="43"/>
      <c r="G710" s="4"/>
      <c r="H710" s="43"/>
      <c r="I710" s="4"/>
      <c r="J710" s="26"/>
      <c r="K710" s="27"/>
      <c r="L710" s="2"/>
      <c r="M710" s="4"/>
    </row>
    <row r="711" spans="1:13" ht="99.9" customHeight="1" thickTop="1" thickBot="1">
      <c r="A711" s="31">
        <v>709</v>
      </c>
      <c r="B711" s="2"/>
      <c r="C711" s="3"/>
      <c r="D711" s="3"/>
      <c r="E711" s="4"/>
      <c r="F711" s="43"/>
      <c r="G711" s="4"/>
      <c r="H711" s="43"/>
      <c r="I711" s="4"/>
      <c r="J711" s="26"/>
      <c r="K711" s="27"/>
      <c r="L711" s="2"/>
      <c r="M711" s="4"/>
    </row>
    <row r="712" spans="1:13" ht="99.9" customHeight="1" thickTop="1" thickBot="1">
      <c r="A712" s="4">
        <v>710</v>
      </c>
      <c r="B712" s="2"/>
      <c r="C712" s="3"/>
      <c r="D712" s="3"/>
      <c r="E712" s="4"/>
      <c r="F712" s="43"/>
      <c r="G712" s="4"/>
      <c r="H712" s="43"/>
      <c r="I712" s="4"/>
      <c r="J712" s="26"/>
      <c r="K712" s="27"/>
      <c r="L712" s="2"/>
      <c r="M712" s="4"/>
    </row>
    <row r="713" spans="1:13" ht="99.9" customHeight="1" thickTop="1" thickBot="1">
      <c r="A713" s="31">
        <v>711</v>
      </c>
      <c r="B713" s="2"/>
      <c r="C713" s="3"/>
      <c r="D713" s="3"/>
      <c r="E713" s="4"/>
      <c r="F713" s="43"/>
      <c r="G713" s="4"/>
      <c r="H713" s="43"/>
      <c r="I713" s="4"/>
      <c r="J713" s="26"/>
      <c r="K713" s="27"/>
      <c r="L713" s="2"/>
      <c r="M713" s="4"/>
    </row>
    <row r="714" spans="1:13" ht="99.9" customHeight="1" thickTop="1" thickBot="1">
      <c r="A714" s="4">
        <v>712</v>
      </c>
      <c r="B714" s="2"/>
      <c r="C714" s="3"/>
      <c r="D714" s="3"/>
      <c r="E714" s="4"/>
      <c r="F714" s="43"/>
      <c r="G714" s="4"/>
      <c r="H714" s="43"/>
      <c r="I714" s="4"/>
      <c r="J714" s="26"/>
      <c r="K714" s="27"/>
      <c r="L714" s="2"/>
      <c r="M714" s="4"/>
    </row>
    <row r="715" spans="1:13" ht="99.9" customHeight="1" thickTop="1" thickBot="1">
      <c r="A715" s="31">
        <v>713</v>
      </c>
      <c r="B715" s="2"/>
      <c r="C715" s="3"/>
      <c r="D715" s="3"/>
      <c r="E715" s="4"/>
      <c r="F715" s="43"/>
      <c r="G715" s="4"/>
      <c r="H715" s="43"/>
      <c r="I715" s="4"/>
      <c r="J715" s="26"/>
      <c r="K715" s="27"/>
      <c r="L715" s="2"/>
      <c r="M715" s="4"/>
    </row>
    <row r="716" spans="1:13" ht="99.9" customHeight="1" thickTop="1" thickBot="1">
      <c r="A716" s="4">
        <v>714</v>
      </c>
      <c r="B716" s="2"/>
      <c r="C716" s="3"/>
      <c r="D716" s="3"/>
      <c r="E716" s="4"/>
      <c r="F716" s="43"/>
      <c r="G716" s="4"/>
      <c r="H716" s="43"/>
      <c r="I716" s="4"/>
      <c r="J716" s="26"/>
      <c r="K716" s="27"/>
      <c r="L716" s="2"/>
      <c r="M716" s="4"/>
    </row>
    <row r="717" spans="1:13" ht="99.9" customHeight="1" thickTop="1" thickBot="1">
      <c r="A717" s="31">
        <v>715</v>
      </c>
      <c r="B717" s="2"/>
      <c r="C717" s="3"/>
      <c r="D717" s="3"/>
      <c r="E717" s="4"/>
      <c r="F717" s="43"/>
      <c r="G717" s="4"/>
      <c r="H717" s="43"/>
      <c r="I717" s="4"/>
      <c r="J717" s="26"/>
      <c r="K717" s="27"/>
      <c r="L717" s="2"/>
      <c r="M717" s="4"/>
    </row>
    <row r="718" spans="1:13" ht="99.9" customHeight="1" thickTop="1" thickBot="1">
      <c r="A718" s="4">
        <v>716</v>
      </c>
      <c r="B718" s="2"/>
      <c r="C718" s="3"/>
      <c r="D718" s="3"/>
      <c r="E718" s="4"/>
      <c r="F718" s="43"/>
      <c r="G718" s="4"/>
      <c r="H718" s="43"/>
      <c r="I718" s="4"/>
      <c r="J718" s="26"/>
      <c r="K718" s="27"/>
      <c r="L718" s="2"/>
      <c r="M718" s="4"/>
    </row>
    <row r="719" spans="1:13" ht="99.9" customHeight="1" thickTop="1" thickBot="1">
      <c r="A719" s="31">
        <v>717</v>
      </c>
      <c r="B719" s="2"/>
      <c r="C719" s="3"/>
      <c r="D719" s="3"/>
      <c r="E719" s="4"/>
      <c r="F719" s="43"/>
      <c r="G719" s="4"/>
      <c r="H719" s="43"/>
      <c r="I719" s="4"/>
      <c r="J719" s="26"/>
      <c r="K719" s="27"/>
      <c r="L719" s="2"/>
      <c r="M719" s="4"/>
    </row>
    <row r="720" spans="1:13" ht="99.9" customHeight="1" thickTop="1" thickBot="1">
      <c r="A720" s="4">
        <v>718</v>
      </c>
      <c r="B720" s="2"/>
      <c r="C720" s="3"/>
      <c r="D720" s="3"/>
      <c r="E720" s="4"/>
      <c r="F720" s="43"/>
      <c r="G720" s="4"/>
      <c r="H720" s="43"/>
      <c r="I720" s="4"/>
      <c r="J720" s="26"/>
      <c r="K720" s="27"/>
      <c r="L720" s="2"/>
      <c r="M720" s="4"/>
    </row>
    <row r="721" spans="1:13" ht="99.9" customHeight="1" thickTop="1" thickBot="1">
      <c r="A721" s="31">
        <v>719</v>
      </c>
      <c r="B721" s="2"/>
      <c r="C721" s="3"/>
      <c r="D721" s="3"/>
      <c r="E721" s="4"/>
      <c r="F721" s="43"/>
      <c r="G721" s="4"/>
      <c r="H721" s="43"/>
      <c r="I721" s="4"/>
      <c r="J721" s="26"/>
      <c r="K721" s="27"/>
      <c r="L721" s="2"/>
      <c r="M721" s="4"/>
    </row>
    <row r="722" spans="1:13" ht="99.9" customHeight="1" thickTop="1" thickBot="1">
      <c r="A722" s="4">
        <v>720</v>
      </c>
      <c r="B722" s="2"/>
      <c r="C722" s="3"/>
      <c r="D722" s="3"/>
      <c r="E722" s="4"/>
      <c r="F722" s="43"/>
      <c r="G722" s="4"/>
      <c r="H722" s="43"/>
      <c r="I722" s="4"/>
      <c r="J722" s="26"/>
      <c r="K722" s="27"/>
      <c r="L722" s="2"/>
      <c r="M722" s="4"/>
    </row>
    <row r="723" spans="1:13" ht="99.9" customHeight="1" thickTop="1" thickBot="1">
      <c r="A723" s="31">
        <v>721</v>
      </c>
      <c r="B723" s="2"/>
      <c r="C723" s="3"/>
      <c r="D723" s="3"/>
      <c r="E723" s="4"/>
      <c r="F723" s="43"/>
      <c r="G723" s="4"/>
      <c r="H723" s="43"/>
      <c r="I723" s="4"/>
      <c r="J723" s="26"/>
      <c r="K723" s="27"/>
      <c r="L723" s="2"/>
      <c r="M723" s="4"/>
    </row>
    <row r="724" spans="1:13" ht="99.9" customHeight="1" thickTop="1" thickBot="1">
      <c r="A724" s="4">
        <v>722</v>
      </c>
      <c r="B724" s="2"/>
      <c r="C724" s="3"/>
      <c r="D724" s="3"/>
      <c r="E724" s="4"/>
      <c r="F724" s="43"/>
      <c r="G724" s="4"/>
      <c r="H724" s="43"/>
      <c r="I724" s="4"/>
      <c r="J724" s="26"/>
      <c r="K724" s="27"/>
      <c r="L724" s="2"/>
      <c r="M724" s="4"/>
    </row>
    <row r="725" spans="1:13" ht="99.9" customHeight="1" thickTop="1" thickBot="1">
      <c r="A725" s="31">
        <v>723</v>
      </c>
      <c r="B725" s="2"/>
      <c r="C725" s="3"/>
      <c r="D725" s="3"/>
      <c r="E725" s="4"/>
      <c r="F725" s="43"/>
      <c r="G725" s="4"/>
      <c r="H725" s="43"/>
      <c r="I725" s="4"/>
      <c r="J725" s="26"/>
      <c r="K725" s="27"/>
      <c r="L725" s="2"/>
      <c r="M725" s="4"/>
    </row>
    <row r="726" spans="1:13" ht="99.9" customHeight="1" thickTop="1" thickBot="1">
      <c r="A726" s="4">
        <v>724</v>
      </c>
      <c r="B726" s="2"/>
      <c r="C726" s="3"/>
      <c r="D726" s="3"/>
      <c r="E726" s="4"/>
      <c r="F726" s="43"/>
      <c r="G726" s="4"/>
      <c r="H726" s="43"/>
      <c r="I726" s="4"/>
      <c r="J726" s="26"/>
      <c r="K726" s="27"/>
      <c r="L726" s="2"/>
      <c r="M726" s="4"/>
    </row>
    <row r="727" spans="1:13" ht="99.9" customHeight="1" thickTop="1" thickBot="1">
      <c r="A727" s="31">
        <v>725</v>
      </c>
      <c r="B727" s="2"/>
      <c r="C727" s="3"/>
      <c r="D727" s="3"/>
      <c r="E727" s="4"/>
      <c r="F727" s="43"/>
      <c r="G727" s="4"/>
      <c r="H727" s="43"/>
      <c r="I727" s="4"/>
      <c r="J727" s="26"/>
      <c r="K727" s="27"/>
      <c r="L727" s="2"/>
      <c r="M727" s="4"/>
    </row>
    <row r="728" spans="1:13" ht="99.9" customHeight="1" thickTop="1" thickBot="1">
      <c r="A728" s="4">
        <v>726</v>
      </c>
      <c r="B728" s="2"/>
      <c r="C728" s="3"/>
      <c r="D728" s="3"/>
      <c r="E728" s="4"/>
      <c r="F728" s="43"/>
      <c r="G728" s="4"/>
      <c r="H728" s="43"/>
      <c r="I728" s="4"/>
      <c r="J728" s="26"/>
      <c r="K728" s="27"/>
      <c r="L728" s="2"/>
      <c r="M728" s="4"/>
    </row>
    <row r="729" spans="1:13" ht="99.9" customHeight="1" thickTop="1" thickBot="1">
      <c r="A729" s="31">
        <v>727</v>
      </c>
      <c r="B729" s="2"/>
      <c r="C729" s="3"/>
      <c r="D729" s="3"/>
      <c r="E729" s="4"/>
      <c r="F729" s="43"/>
      <c r="G729" s="4"/>
      <c r="H729" s="43"/>
      <c r="I729" s="4"/>
      <c r="J729" s="26"/>
      <c r="K729" s="27"/>
      <c r="L729" s="2"/>
      <c r="M729" s="4"/>
    </row>
    <row r="730" spans="1:13" ht="99.9" customHeight="1" thickTop="1" thickBot="1">
      <c r="A730" s="4">
        <v>728</v>
      </c>
      <c r="B730" s="2"/>
      <c r="C730" s="3"/>
      <c r="D730" s="3"/>
      <c r="E730" s="4"/>
      <c r="F730" s="43"/>
      <c r="G730" s="4"/>
      <c r="H730" s="43"/>
      <c r="I730" s="4"/>
      <c r="J730" s="26"/>
      <c r="K730" s="27"/>
      <c r="L730" s="2"/>
      <c r="M730" s="4"/>
    </row>
    <row r="731" spans="1:13" ht="99.9" customHeight="1" thickTop="1" thickBot="1">
      <c r="A731" s="31">
        <v>729</v>
      </c>
      <c r="B731" s="2"/>
      <c r="C731" s="3"/>
      <c r="D731" s="3"/>
      <c r="E731" s="4"/>
      <c r="F731" s="43"/>
      <c r="G731" s="4"/>
      <c r="H731" s="43"/>
      <c r="I731" s="4"/>
      <c r="J731" s="26"/>
      <c r="K731" s="27"/>
      <c r="L731" s="2"/>
      <c r="M731" s="4"/>
    </row>
    <row r="732" spans="1:13" ht="99.9" customHeight="1" thickTop="1" thickBot="1">
      <c r="A732" s="4">
        <v>730</v>
      </c>
      <c r="B732" s="2"/>
      <c r="C732" s="3"/>
      <c r="D732" s="3"/>
      <c r="E732" s="4"/>
      <c r="F732" s="43"/>
      <c r="G732" s="4"/>
      <c r="H732" s="43"/>
      <c r="I732" s="4"/>
      <c r="J732" s="26"/>
      <c r="K732" s="27"/>
      <c r="L732" s="2"/>
      <c r="M732" s="4"/>
    </row>
    <row r="733" spans="1:13" ht="99.9" customHeight="1" thickTop="1" thickBot="1">
      <c r="A733" s="31">
        <v>731</v>
      </c>
      <c r="B733" s="2"/>
      <c r="C733" s="3"/>
      <c r="D733" s="3"/>
      <c r="E733" s="4"/>
      <c r="F733" s="43"/>
      <c r="G733" s="4"/>
      <c r="H733" s="43"/>
      <c r="I733" s="4"/>
      <c r="J733" s="26"/>
      <c r="K733" s="27"/>
      <c r="L733" s="2"/>
      <c r="M733" s="4"/>
    </row>
    <row r="734" spans="1:13" ht="99.9" customHeight="1" thickTop="1" thickBot="1">
      <c r="A734" s="4">
        <v>732</v>
      </c>
      <c r="B734" s="2"/>
      <c r="C734" s="3"/>
      <c r="D734" s="3"/>
      <c r="E734" s="4"/>
      <c r="F734" s="43"/>
      <c r="G734" s="4"/>
      <c r="H734" s="43"/>
      <c r="I734" s="4"/>
      <c r="J734" s="26"/>
      <c r="K734" s="27"/>
      <c r="L734" s="2"/>
      <c r="M734" s="4"/>
    </row>
    <row r="735" spans="1:13" ht="99.9" customHeight="1" thickTop="1" thickBot="1">
      <c r="A735" s="31">
        <v>733</v>
      </c>
      <c r="B735" s="2"/>
      <c r="C735" s="3"/>
      <c r="D735" s="3"/>
      <c r="E735" s="4"/>
      <c r="F735" s="43"/>
      <c r="G735" s="4"/>
      <c r="H735" s="43"/>
      <c r="I735" s="4"/>
      <c r="J735" s="26"/>
      <c r="K735" s="27"/>
      <c r="L735" s="2"/>
      <c r="M735" s="4"/>
    </row>
    <row r="736" spans="1:13" ht="99.9" customHeight="1" thickTop="1" thickBot="1">
      <c r="A736" s="4">
        <v>734</v>
      </c>
      <c r="B736" s="2"/>
      <c r="C736" s="3"/>
      <c r="D736" s="3"/>
      <c r="E736" s="4"/>
      <c r="F736" s="43"/>
      <c r="G736" s="4"/>
      <c r="H736" s="43"/>
      <c r="I736" s="4"/>
      <c r="J736" s="26"/>
      <c r="K736" s="27"/>
      <c r="L736" s="2"/>
      <c r="M736" s="4"/>
    </row>
    <row r="737" spans="1:13" ht="99.9" customHeight="1" thickTop="1" thickBot="1">
      <c r="A737" s="31">
        <v>735</v>
      </c>
      <c r="B737" s="2"/>
      <c r="C737" s="3"/>
      <c r="D737" s="3"/>
      <c r="E737" s="4"/>
      <c r="F737" s="43"/>
      <c r="G737" s="4"/>
      <c r="H737" s="43"/>
      <c r="I737" s="4"/>
      <c r="J737" s="26"/>
      <c r="K737" s="27"/>
      <c r="L737" s="2"/>
      <c r="M737" s="4"/>
    </row>
    <row r="738" spans="1:13" ht="99.9" customHeight="1" thickTop="1" thickBot="1">
      <c r="A738" s="4">
        <v>736</v>
      </c>
      <c r="B738" s="2"/>
      <c r="C738" s="3"/>
      <c r="D738" s="3"/>
      <c r="E738" s="4"/>
      <c r="F738" s="43"/>
      <c r="G738" s="4"/>
      <c r="H738" s="43"/>
      <c r="I738" s="4"/>
      <c r="J738" s="26"/>
      <c r="K738" s="27"/>
      <c r="L738" s="2"/>
      <c r="M738" s="4"/>
    </row>
    <row r="739" spans="1:13" ht="99.9" customHeight="1" thickTop="1" thickBot="1">
      <c r="A739" s="31">
        <v>737</v>
      </c>
      <c r="B739" s="2"/>
      <c r="C739" s="3"/>
      <c r="D739" s="3"/>
      <c r="E739" s="4"/>
      <c r="F739" s="43"/>
      <c r="G739" s="4"/>
      <c r="H739" s="43"/>
      <c r="I739" s="4"/>
      <c r="J739" s="26"/>
      <c r="K739" s="27"/>
      <c r="L739" s="2"/>
      <c r="M739" s="4"/>
    </row>
    <row r="740" spans="1:13" ht="99.9" customHeight="1" thickTop="1" thickBot="1">
      <c r="A740" s="4">
        <v>738</v>
      </c>
      <c r="B740" s="2"/>
      <c r="C740" s="3"/>
      <c r="D740" s="3"/>
      <c r="E740" s="4"/>
      <c r="F740" s="43"/>
      <c r="G740" s="4"/>
      <c r="H740" s="43"/>
      <c r="I740" s="4"/>
      <c r="J740" s="26"/>
      <c r="K740" s="27"/>
      <c r="L740" s="2"/>
      <c r="M740" s="4"/>
    </row>
    <row r="741" spans="1:13" ht="99.9" customHeight="1" thickTop="1" thickBot="1">
      <c r="A741" s="31">
        <v>739</v>
      </c>
      <c r="B741" s="2"/>
      <c r="C741" s="3"/>
      <c r="D741" s="3"/>
      <c r="E741" s="4"/>
      <c r="F741" s="43"/>
      <c r="G741" s="4"/>
      <c r="H741" s="43"/>
      <c r="I741" s="4"/>
      <c r="J741" s="26"/>
      <c r="K741" s="27"/>
      <c r="L741" s="2"/>
      <c r="M741" s="4"/>
    </row>
    <row r="742" spans="1:13" ht="99.9" customHeight="1" thickTop="1" thickBot="1">
      <c r="A742" s="4">
        <v>740</v>
      </c>
      <c r="B742" s="2"/>
      <c r="C742" s="3"/>
      <c r="D742" s="3"/>
      <c r="E742" s="4"/>
      <c r="F742" s="43"/>
      <c r="G742" s="4"/>
      <c r="H742" s="43"/>
      <c r="I742" s="4"/>
      <c r="J742" s="26"/>
      <c r="K742" s="27"/>
      <c r="L742" s="2"/>
      <c r="M742" s="4"/>
    </row>
    <row r="743" spans="1:13" ht="99.9" customHeight="1" thickTop="1" thickBot="1">
      <c r="A743" s="31">
        <v>741</v>
      </c>
      <c r="B743" s="2"/>
      <c r="C743" s="3"/>
      <c r="D743" s="3"/>
      <c r="E743" s="4"/>
      <c r="F743" s="43"/>
      <c r="G743" s="4"/>
      <c r="H743" s="43"/>
      <c r="I743" s="4"/>
      <c r="J743" s="26"/>
      <c r="K743" s="27"/>
      <c r="L743" s="2"/>
      <c r="M743" s="4"/>
    </row>
    <row r="744" spans="1:13" ht="99.9" customHeight="1" thickTop="1" thickBot="1">
      <c r="A744" s="4">
        <v>742</v>
      </c>
      <c r="B744" s="2"/>
      <c r="C744" s="3"/>
      <c r="D744" s="3"/>
      <c r="E744" s="4"/>
      <c r="F744" s="43"/>
      <c r="G744" s="4"/>
      <c r="H744" s="43"/>
      <c r="I744" s="4"/>
      <c r="J744" s="26"/>
      <c r="K744" s="27"/>
      <c r="L744" s="2"/>
      <c r="M744" s="4"/>
    </row>
    <row r="745" spans="1:13" ht="99.9" customHeight="1" thickTop="1" thickBot="1">
      <c r="A745" s="31">
        <v>743</v>
      </c>
      <c r="B745" s="2"/>
      <c r="C745" s="3"/>
      <c r="D745" s="3"/>
      <c r="E745" s="4"/>
      <c r="F745" s="43"/>
      <c r="G745" s="4"/>
      <c r="H745" s="43"/>
      <c r="I745" s="4"/>
      <c r="J745" s="26"/>
      <c r="K745" s="27"/>
      <c r="L745" s="2"/>
      <c r="M745" s="4"/>
    </row>
    <row r="746" spans="1:13" ht="99.9" customHeight="1" thickTop="1" thickBot="1">
      <c r="A746" s="4">
        <v>744</v>
      </c>
      <c r="B746" s="2"/>
      <c r="C746" s="3"/>
      <c r="D746" s="3"/>
      <c r="E746" s="4"/>
      <c r="F746" s="43"/>
      <c r="G746" s="4"/>
      <c r="H746" s="43"/>
      <c r="I746" s="4"/>
      <c r="J746" s="26"/>
      <c r="K746" s="27"/>
      <c r="L746" s="2"/>
      <c r="M746" s="4"/>
    </row>
    <row r="747" spans="1:13" ht="99.9" customHeight="1" thickTop="1" thickBot="1">
      <c r="A747" s="31">
        <v>745</v>
      </c>
      <c r="B747" s="2"/>
      <c r="C747" s="3"/>
      <c r="D747" s="3"/>
      <c r="E747" s="4"/>
      <c r="F747" s="43"/>
      <c r="G747" s="4"/>
      <c r="H747" s="43"/>
      <c r="I747" s="4"/>
      <c r="J747" s="26"/>
      <c r="K747" s="27"/>
      <c r="L747" s="2"/>
      <c r="M747" s="4"/>
    </row>
    <row r="748" spans="1:13" ht="99.9" customHeight="1" thickTop="1" thickBot="1">
      <c r="A748" s="4">
        <v>746</v>
      </c>
      <c r="B748" s="2"/>
      <c r="C748" s="3"/>
      <c r="D748" s="3"/>
      <c r="E748" s="4"/>
      <c r="F748" s="43"/>
      <c r="G748" s="4"/>
      <c r="H748" s="43"/>
      <c r="I748" s="4"/>
      <c r="J748" s="26"/>
      <c r="K748" s="27"/>
      <c r="L748" s="2"/>
      <c r="M748" s="4"/>
    </row>
    <row r="749" spans="1:13" ht="99.9" customHeight="1" thickTop="1" thickBot="1">
      <c r="A749" s="31">
        <v>747</v>
      </c>
      <c r="B749" s="2"/>
      <c r="C749" s="3"/>
      <c r="D749" s="3"/>
      <c r="E749" s="4"/>
      <c r="F749" s="43"/>
      <c r="G749" s="4"/>
      <c r="H749" s="43"/>
      <c r="I749" s="4"/>
      <c r="J749" s="26"/>
      <c r="K749" s="27"/>
      <c r="L749" s="2"/>
      <c r="M749" s="4"/>
    </row>
    <row r="750" spans="1:13" ht="99.9" customHeight="1" thickTop="1" thickBot="1">
      <c r="A750" s="4">
        <v>748</v>
      </c>
      <c r="B750" s="2"/>
      <c r="C750" s="3"/>
      <c r="D750" s="3"/>
      <c r="E750" s="4"/>
      <c r="F750" s="43"/>
      <c r="G750" s="4"/>
      <c r="H750" s="43"/>
      <c r="I750" s="4"/>
      <c r="J750" s="26"/>
      <c r="K750" s="27"/>
      <c r="L750" s="2"/>
      <c r="M750" s="4"/>
    </row>
    <row r="751" spans="1:13" ht="99.9" customHeight="1" thickTop="1" thickBot="1">
      <c r="A751" s="31">
        <v>749</v>
      </c>
      <c r="B751" s="2"/>
      <c r="C751" s="3"/>
      <c r="D751" s="3"/>
      <c r="E751" s="4"/>
      <c r="F751" s="43"/>
      <c r="G751" s="4"/>
      <c r="H751" s="43"/>
      <c r="I751" s="4"/>
      <c r="J751" s="26"/>
      <c r="K751" s="27"/>
      <c r="L751" s="2"/>
      <c r="M751" s="4"/>
    </row>
    <row r="752" spans="1:13" ht="99.9" customHeight="1" thickTop="1" thickBot="1">
      <c r="A752" s="4">
        <v>750</v>
      </c>
      <c r="B752" s="2"/>
      <c r="C752" s="3"/>
      <c r="D752" s="3"/>
      <c r="E752" s="4"/>
      <c r="F752" s="43"/>
      <c r="G752" s="4"/>
      <c r="H752" s="43"/>
      <c r="I752" s="4"/>
      <c r="J752" s="26"/>
      <c r="K752" s="27"/>
      <c r="L752" s="2"/>
      <c r="M752" s="4"/>
    </row>
    <row r="753" spans="1:13" ht="99.9" customHeight="1" thickTop="1" thickBot="1">
      <c r="A753" s="31">
        <v>751</v>
      </c>
      <c r="B753" s="2"/>
      <c r="C753" s="3"/>
      <c r="D753" s="3"/>
      <c r="E753" s="4"/>
      <c r="F753" s="43"/>
      <c r="G753" s="4"/>
      <c r="H753" s="43"/>
      <c r="I753" s="4"/>
      <c r="J753" s="26"/>
      <c r="K753" s="27"/>
      <c r="L753" s="2"/>
      <c r="M753" s="4"/>
    </row>
    <row r="754" spans="1:13" ht="99.9" customHeight="1" thickTop="1" thickBot="1">
      <c r="A754" s="4">
        <v>752</v>
      </c>
      <c r="B754" s="2"/>
      <c r="C754" s="3"/>
      <c r="D754" s="3"/>
      <c r="E754" s="4"/>
      <c r="F754" s="43"/>
      <c r="G754" s="4"/>
      <c r="H754" s="43"/>
      <c r="I754" s="4"/>
      <c r="J754" s="26"/>
      <c r="K754" s="27"/>
      <c r="L754" s="2"/>
      <c r="M754" s="4"/>
    </row>
    <row r="755" spans="1:13" ht="99.9" customHeight="1" thickTop="1" thickBot="1">
      <c r="A755" s="31">
        <v>753</v>
      </c>
      <c r="B755" s="2"/>
      <c r="C755" s="3"/>
      <c r="D755" s="3"/>
      <c r="E755" s="4"/>
      <c r="F755" s="43"/>
      <c r="G755" s="4"/>
      <c r="H755" s="43"/>
      <c r="I755" s="4"/>
      <c r="J755" s="26"/>
      <c r="K755" s="27"/>
      <c r="L755" s="2"/>
      <c r="M755" s="4"/>
    </row>
    <row r="756" spans="1:13" ht="99.9" customHeight="1" thickTop="1" thickBot="1">
      <c r="A756" s="4">
        <v>754</v>
      </c>
      <c r="B756" s="2"/>
      <c r="C756" s="3"/>
      <c r="D756" s="3"/>
      <c r="E756" s="4"/>
      <c r="F756" s="43"/>
      <c r="G756" s="4"/>
      <c r="H756" s="43"/>
      <c r="I756" s="4"/>
      <c r="J756" s="26"/>
      <c r="K756" s="27"/>
      <c r="L756" s="2"/>
      <c r="M756" s="4"/>
    </row>
    <row r="757" spans="1:13" ht="99.9" customHeight="1" thickTop="1" thickBot="1">
      <c r="A757" s="31">
        <v>755</v>
      </c>
      <c r="B757" s="2"/>
      <c r="C757" s="3"/>
      <c r="D757" s="3"/>
      <c r="E757" s="4"/>
      <c r="F757" s="43"/>
      <c r="G757" s="4"/>
      <c r="H757" s="43"/>
      <c r="I757" s="4"/>
      <c r="J757" s="26"/>
      <c r="K757" s="27"/>
      <c r="L757" s="2"/>
      <c r="M757" s="4"/>
    </row>
    <row r="758" spans="1:13" ht="99.9" customHeight="1" thickTop="1" thickBot="1">
      <c r="A758" s="4">
        <v>756</v>
      </c>
      <c r="B758" s="2"/>
      <c r="C758" s="3"/>
      <c r="D758" s="3"/>
      <c r="E758" s="4"/>
      <c r="F758" s="43"/>
      <c r="G758" s="4"/>
      <c r="H758" s="43"/>
      <c r="I758" s="4"/>
      <c r="J758" s="26"/>
      <c r="K758" s="27"/>
      <c r="L758" s="2"/>
      <c r="M758" s="4"/>
    </row>
    <row r="759" spans="1:13" ht="99.9" customHeight="1" thickTop="1" thickBot="1">
      <c r="A759" s="31">
        <v>757</v>
      </c>
      <c r="B759" s="2"/>
      <c r="C759" s="3"/>
      <c r="D759" s="3"/>
      <c r="E759" s="4"/>
      <c r="F759" s="43"/>
      <c r="G759" s="4"/>
      <c r="H759" s="43"/>
      <c r="I759" s="4"/>
      <c r="J759" s="26"/>
      <c r="K759" s="27"/>
      <c r="L759" s="2"/>
      <c r="M759" s="4"/>
    </row>
    <row r="760" spans="1:13" ht="99.9" customHeight="1" thickTop="1" thickBot="1">
      <c r="A760" s="4">
        <v>758</v>
      </c>
      <c r="B760" s="2"/>
      <c r="C760" s="3"/>
      <c r="D760" s="3"/>
      <c r="E760" s="4"/>
      <c r="F760" s="43"/>
      <c r="G760" s="4"/>
      <c r="H760" s="43"/>
      <c r="I760" s="4"/>
      <c r="J760" s="26"/>
      <c r="K760" s="27"/>
      <c r="L760" s="2"/>
      <c r="M760" s="4"/>
    </row>
    <row r="761" spans="1:13" ht="99.9" customHeight="1" thickTop="1" thickBot="1">
      <c r="A761" s="31">
        <v>759</v>
      </c>
      <c r="B761" s="2"/>
      <c r="C761" s="3"/>
      <c r="D761" s="3"/>
      <c r="E761" s="4"/>
      <c r="F761" s="43"/>
      <c r="G761" s="4"/>
      <c r="H761" s="43"/>
      <c r="I761" s="4"/>
      <c r="J761" s="26"/>
      <c r="K761" s="27"/>
      <c r="L761" s="2"/>
      <c r="M761" s="4"/>
    </row>
    <row r="762" spans="1:13" ht="99.9" customHeight="1" thickTop="1" thickBot="1">
      <c r="A762" s="4">
        <v>760</v>
      </c>
      <c r="B762" s="2"/>
      <c r="C762" s="3"/>
      <c r="D762" s="3"/>
      <c r="E762" s="4"/>
      <c r="F762" s="43"/>
      <c r="G762" s="4"/>
      <c r="H762" s="43"/>
      <c r="I762" s="4"/>
      <c r="J762" s="26"/>
      <c r="K762" s="27"/>
      <c r="L762" s="2"/>
      <c r="M762" s="4"/>
    </row>
    <row r="763" spans="1:13" ht="99.9" customHeight="1" thickTop="1" thickBot="1">
      <c r="A763" s="31">
        <v>761</v>
      </c>
      <c r="B763" s="2"/>
      <c r="C763" s="3"/>
      <c r="D763" s="3"/>
      <c r="E763" s="4"/>
      <c r="F763" s="43"/>
      <c r="G763" s="4"/>
      <c r="H763" s="43"/>
      <c r="I763" s="4"/>
      <c r="J763" s="26"/>
      <c r="K763" s="27"/>
      <c r="L763" s="2"/>
      <c r="M763" s="4"/>
    </row>
    <row r="764" spans="1:13" ht="99.9" customHeight="1" thickTop="1" thickBot="1">
      <c r="A764" s="4">
        <v>762</v>
      </c>
      <c r="B764" s="2"/>
      <c r="C764" s="3"/>
      <c r="D764" s="3"/>
      <c r="E764" s="4"/>
      <c r="F764" s="43"/>
      <c r="G764" s="4"/>
      <c r="H764" s="43"/>
      <c r="I764" s="4"/>
      <c r="J764" s="26"/>
      <c r="K764" s="27"/>
      <c r="L764" s="2"/>
      <c r="M764" s="4"/>
    </row>
    <row r="765" spans="1:13" ht="99.9" customHeight="1" thickTop="1" thickBot="1">
      <c r="A765" s="31">
        <v>763</v>
      </c>
      <c r="B765" s="2"/>
      <c r="C765" s="3"/>
      <c r="D765" s="3"/>
      <c r="E765" s="4"/>
      <c r="F765" s="43"/>
      <c r="G765" s="4"/>
      <c r="H765" s="43"/>
      <c r="I765" s="4"/>
      <c r="J765" s="26"/>
      <c r="K765" s="27"/>
      <c r="L765" s="2"/>
      <c r="M765" s="4"/>
    </row>
    <row r="766" spans="1:13" ht="99.9" customHeight="1" thickTop="1" thickBot="1">
      <c r="A766" s="4">
        <v>764</v>
      </c>
      <c r="B766" s="2"/>
      <c r="C766" s="3"/>
      <c r="D766" s="3"/>
      <c r="E766" s="4"/>
      <c r="F766" s="43"/>
      <c r="G766" s="4"/>
      <c r="H766" s="43"/>
      <c r="I766" s="4"/>
      <c r="J766" s="26"/>
      <c r="K766" s="27"/>
      <c r="L766" s="2"/>
      <c r="M766" s="4"/>
    </row>
    <row r="767" spans="1:13" ht="99.9" customHeight="1" thickTop="1" thickBot="1">
      <c r="A767" s="31">
        <v>765</v>
      </c>
      <c r="B767" s="2"/>
      <c r="C767" s="3"/>
      <c r="D767" s="3"/>
      <c r="E767" s="4"/>
      <c r="F767" s="43"/>
      <c r="G767" s="4"/>
      <c r="H767" s="43"/>
      <c r="I767" s="4"/>
      <c r="J767" s="26"/>
      <c r="K767" s="27"/>
      <c r="L767" s="2"/>
      <c r="M767" s="4"/>
    </row>
    <row r="768" spans="1:13" ht="99.9" customHeight="1" thickTop="1" thickBot="1">
      <c r="A768" s="4">
        <v>766</v>
      </c>
      <c r="B768" s="2"/>
      <c r="C768" s="3"/>
      <c r="D768" s="3"/>
      <c r="E768" s="4"/>
      <c r="F768" s="43"/>
      <c r="G768" s="4"/>
      <c r="H768" s="43"/>
      <c r="I768" s="4"/>
      <c r="J768" s="26"/>
      <c r="K768" s="27"/>
      <c r="L768" s="2"/>
      <c r="M768" s="4"/>
    </row>
    <row r="769" spans="1:13" ht="99.9" customHeight="1" thickTop="1" thickBot="1">
      <c r="A769" s="31">
        <v>767</v>
      </c>
      <c r="B769" s="2"/>
      <c r="C769" s="3"/>
      <c r="D769" s="3"/>
      <c r="E769" s="4"/>
      <c r="F769" s="43"/>
      <c r="G769" s="4"/>
      <c r="H769" s="43"/>
      <c r="I769" s="4"/>
      <c r="J769" s="26"/>
      <c r="K769" s="27"/>
      <c r="L769" s="2"/>
      <c r="M769" s="4"/>
    </row>
    <row r="770" spans="1:13" ht="99.9" customHeight="1" thickTop="1" thickBot="1">
      <c r="A770" s="4">
        <v>768</v>
      </c>
      <c r="B770" s="2"/>
      <c r="C770" s="3"/>
      <c r="D770" s="3"/>
      <c r="E770" s="4"/>
      <c r="F770" s="43"/>
      <c r="G770" s="4"/>
      <c r="H770" s="43"/>
      <c r="I770" s="4"/>
      <c r="J770" s="26"/>
      <c r="K770" s="27"/>
      <c r="L770" s="2"/>
      <c r="M770" s="4"/>
    </row>
    <row r="771" spans="1:13" ht="99.9" customHeight="1" thickTop="1" thickBot="1">
      <c r="A771" s="31">
        <v>769</v>
      </c>
      <c r="B771" s="2"/>
      <c r="C771" s="3"/>
      <c r="D771" s="3"/>
      <c r="E771" s="4"/>
      <c r="F771" s="43"/>
      <c r="G771" s="4"/>
      <c r="H771" s="43"/>
      <c r="I771" s="4"/>
      <c r="J771" s="26"/>
      <c r="K771" s="27"/>
      <c r="L771" s="2"/>
      <c r="M771" s="4"/>
    </row>
    <row r="772" spans="1:13" ht="99.9" customHeight="1" thickTop="1" thickBot="1">
      <c r="A772" s="4">
        <v>770</v>
      </c>
      <c r="B772" s="2"/>
      <c r="C772" s="3"/>
      <c r="D772" s="3"/>
      <c r="E772" s="4"/>
      <c r="F772" s="43"/>
      <c r="G772" s="4"/>
      <c r="H772" s="43"/>
      <c r="I772" s="4"/>
      <c r="J772" s="26"/>
      <c r="K772" s="27"/>
      <c r="L772" s="2"/>
      <c r="M772" s="4"/>
    </row>
    <row r="773" spans="1:13" ht="99.9" customHeight="1" thickTop="1" thickBot="1">
      <c r="A773" s="31">
        <v>771</v>
      </c>
      <c r="B773" s="2"/>
      <c r="C773" s="3"/>
      <c r="D773" s="3"/>
      <c r="E773" s="4"/>
      <c r="F773" s="43"/>
      <c r="G773" s="4"/>
      <c r="H773" s="43"/>
      <c r="I773" s="4"/>
      <c r="J773" s="26"/>
      <c r="K773" s="27"/>
      <c r="L773" s="2"/>
      <c r="M773" s="4"/>
    </row>
    <row r="774" spans="1:13" ht="99.9" customHeight="1" thickTop="1" thickBot="1">
      <c r="A774" s="4">
        <v>772</v>
      </c>
      <c r="B774" s="2"/>
      <c r="C774" s="3"/>
      <c r="D774" s="3"/>
      <c r="E774" s="4"/>
      <c r="F774" s="43"/>
      <c r="G774" s="4"/>
      <c r="H774" s="43"/>
      <c r="I774" s="4"/>
      <c r="J774" s="26"/>
      <c r="K774" s="27"/>
      <c r="L774" s="2"/>
      <c r="M774" s="4"/>
    </row>
    <row r="775" spans="1:13" ht="99.9" customHeight="1" thickTop="1" thickBot="1">
      <c r="A775" s="31">
        <v>773</v>
      </c>
      <c r="B775" s="2"/>
      <c r="C775" s="3"/>
      <c r="D775" s="3"/>
      <c r="E775" s="4"/>
      <c r="F775" s="43"/>
      <c r="G775" s="4"/>
      <c r="H775" s="43"/>
      <c r="I775" s="4"/>
      <c r="J775" s="26"/>
      <c r="K775" s="27"/>
      <c r="L775" s="2"/>
      <c r="M775" s="4"/>
    </row>
    <row r="776" spans="1:13" ht="99.9" customHeight="1" thickTop="1" thickBot="1">
      <c r="A776" s="4">
        <v>774</v>
      </c>
      <c r="B776" s="2"/>
      <c r="C776" s="3"/>
      <c r="D776" s="3"/>
      <c r="E776" s="4"/>
      <c r="F776" s="43"/>
      <c r="G776" s="4"/>
      <c r="H776" s="43"/>
      <c r="I776" s="4"/>
      <c r="J776" s="26"/>
      <c r="K776" s="27"/>
      <c r="L776" s="2"/>
      <c r="M776" s="4"/>
    </row>
    <row r="777" spans="1:13" ht="99.9" customHeight="1" thickTop="1" thickBot="1">
      <c r="A777" s="31">
        <v>775</v>
      </c>
      <c r="B777" s="2"/>
      <c r="C777" s="3"/>
      <c r="D777" s="3"/>
      <c r="E777" s="4"/>
      <c r="F777" s="43"/>
      <c r="G777" s="4"/>
      <c r="H777" s="43"/>
      <c r="I777" s="4"/>
      <c r="J777" s="26"/>
      <c r="K777" s="27"/>
      <c r="L777" s="2"/>
      <c r="M777" s="4"/>
    </row>
    <row r="778" spans="1:13" ht="99.9" customHeight="1" thickTop="1" thickBot="1">
      <c r="A778" s="4">
        <v>776</v>
      </c>
      <c r="B778" s="2"/>
      <c r="C778" s="3"/>
      <c r="D778" s="3"/>
      <c r="E778" s="4"/>
      <c r="F778" s="43"/>
      <c r="G778" s="4"/>
      <c r="H778" s="43"/>
      <c r="I778" s="4"/>
      <c r="J778" s="26"/>
      <c r="K778" s="27"/>
      <c r="L778" s="2"/>
      <c r="M778" s="4"/>
    </row>
    <row r="779" spans="1:13" ht="99.9" customHeight="1" thickTop="1" thickBot="1">
      <c r="A779" s="31">
        <v>777</v>
      </c>
      <c r="B779" s="2"/>
      <c r="C779" s="3"/>
      <c r="D779" s="3"/>
      <c r="E779" s="4"/>
      <c r="F779" s="43"/>
      <c r="G779" s="4"/>
      <c r="H779" s="43"/>
      <c r="I779" s="4"/>
      <c r="J779" s="26"/>
      <c r="K779" s="27"/>
      <c r="L779" s="2"/>
      <c r="M779" s="4"/>
    </row>
    <row r="780" spans="1:13" ht="99.9" customHeight="1" thickTop="1" thickBot="1">
      <c r="A780" s="4">
        <v>778</v>
      </c>
      <c r="B780" s="2"/>
      <c r="C780" s="3"/>
      <c r="D780" s="3"/>
      <c r="E780" s="4"/>
      <c r="F780" s="43"/>
      <c r="G780" s="4"/>
      <c r="H780" s="43"/>
      <c r="I780" s="4"/>
      <c r="J780" s="26"/>
      <c r="K780" s="27"/>
      <c r="L780" s="2"/>
      <c r="M780" s="4"/>
    </row>
    <row r="781" spans="1:13" ht="99.9" customHeight="1" thickTop="1" thickBot="1">
      <c r="A781" s="31">
        <v>779</v>
      </c>
      <c r="B781" s="2"/>
      <c r="C781" s="3"/>
      <c r="D781" s="3"/>
      <c r="E781" s="4"/>
      <c r="F781" s="43"/>
      <c r="G781" s="4"/>
      <c r="H781" s="43"/>
      <c r="I781" s="4"/>
      <c r="J781" s="26"/>
      <c r="K781" s="27"/>
      <c r="L781" s="2"/>
      <c r="M781" s="4"/>
    </row>
    <row r="782" spans="1:13" ht="99.9" customHeight="1" thickTop="1" thickBot="1">
      <c r="A782" s="4">
        <v>780</v>
      </c>
      <c r="B782" s="2"/>
      <c r="C782" s="3"/>
      <c r="D782" s="3"/>
      <c r="E782" s="4"/>
      <c r="F782" s="43"/>
      <c r="G782" s="4"/>
      <c r="H782" s="43"/>
      <c r="I782" s="4"/>
      <c r="J782" s="26"/>
      <c r="K782" s="27"/>
      <c r="L782" s="2"/>
      <c r="M782" s="4"/>
    </row>
    <row r="783" spans="1:13" ht="99.9" customHeight="1" thickTop="1" thickBot="1">
      <c r="A783" s="31">
        <v>781</v>
      </c>
      <c r="B783" s="2"/>
      <c r="C783" s="3"/>
      <c r="D783" s="3"/>
      <c r="E783" s="4"/>
      <c r="F783" s="43"/>
      <c r="G783" s="4"/>
      <c r="H783" s="43"/>
      <c r="I783" s="4"/>
      <c r="J783" s="26"/>
      <c r="K783" s="27"/>
      <c r="L783" s="2"/>
      <c r="M783" s="4"/>
    </row>
    <row r="784" spans="1:13" ht="99.9" customHeight="1" thickTop="1" thickBot="1">
      <c r="A784" s="4">
        <v>782</v>
      </c>
      <c r="B784" s="2"/>
      <c r="C784" s="3"/>
      <c r="D784" s="3"/>
      <c r="E784" s="4"/>
      <c r="F784" s="43"/>
      <c r="G784" s="4"/>
      <c r="H784" s="43"/>
      <c r="I784" s="4"/>
      <c r="J784" s="26"/>
      <c r="K784" s="27"/>
      <c r="L784" s="2"/>
      <c r="M784" s="4"/>
    </row>
    <row r="785" spans="1:13" ht="99.9" customHeight="1" thickTop="1" thickBot="1">
      <c r="A785" s="31">
        <v>783</v>
      </c>
      <c r="B785" s="2"/>
      <c r="C785" s="3"/>
      <c r="D785" s="3"/>
      <c r="E785" s="4"/>
      <c r="F785" s="43"/>
      <c r="G785" s="4"/>
      <c r="H785" s="43"/>
      <c r="I785" s="4"/>
      <c r="J785" s="26"/>
      <c r="K785" s="27"/>
      <c r="L785" s="2"/>
      <c r="M785" s="4"/>
    </row>
    <row r="786" spans="1:13" ht="99.9" customHeight="1" thickTop="1" thickBot="1">
      <c r="A786" s="4">
        <v>784</v>
      </c>
      <c r="B786" s="2"/>
      <c r="C786" s="3"/>
      <c r="D786" s="3"/>
      <c r="E786" s="4"/>
      <c r="F786" s="43"/>
      <c r="G786" s="4"/>
      <c r="H786" s="43"/>
      <c r="I786" s="4"/>
      <c r="J786" s="26"/>
      <c r="K786" s="27"/>
      <c r="L786" s="2"/>
      <c r="M786" s="4"/>
    </row>
    <row r="787" spans="1:13" ht="99.9" customHeight="1" thickTop="1" thickBot="1">
      <c r="A787" s="31">
        <v>785</v>
      </c>
      <c r="B787" s="2"/>
      <c r="C787" s="3"/>
      <c r="D787" s="3"/>
      <c r="E787" s="4"/>
      <c r="F787" s="43"/>
      <c r="G787" s="4"/>
      <c r="H787" s="43"/>
      <c r="I787" s="4"/>
      <c r="J787" s="26"/>
      <c r="K787" s="27"/>
      <c r="L787" s="2"/>
      <c r="M787" s="4"/>
    </row>
    <row r="788" spans="1:13" ht="99.9" customHeight="1" thickTop="1" thickBot="1">
      <c r="A788" s="4">
        <v>786</v>
      </c>
      <c r="B788" s="2"/>
      <c r="C788" s="3"/>
      <c r="D788" s="3"/>
      <c r="E788" s="4"/>
      <c r="F788" s="43"/>
      <c r="G788" s="4"/>
      <c r="H788" s="43"/>
      <c r="I788" s="4"/>
      <c r="J788" s="26"/>
      <c r="K788" s="27"/>
      <c r="L788" s="2"/>
      <c r="M788" s="4"/>
    </row>
    <row r="789" spans="1:13" ht="99.9" customHeight="1" thickTop="1" thickBot="1">
      <c r="A789" s="31">
        <v>787</v>
      </c>
      <c r="B789" s="2"/>
      <c r="C789" s="3"/>
      <c r="D789" s="3"/>
      <c r="E789" s="4"/>
      <c r="F789" s="43"/>
      <c r="G789" s="4"/>
      <c r="H789" s="43"/>
      <c r="I789" s="4"/>
      <c r="J789" s="26"/>
      <c r="K789" s="27"/>
      <c r="L789" s="2"/>
      <c r="M789" s="4"/>
    </row>
    <row r="790" spans="1:13" ht="99.9" customHeight="1" thickTop="1" thickBot="1">
      <c r="A790" s="4">
        <v>788</v>
      </c>
      <c r="B790" s="2"/>
      <c r="C790" s="3"/>
      <c r="D790" s="3"/>
      <c r="E790" s="4"/>
      <c r="F790" s="43"/>
      <c r="G790" s="4"/>
      <c r="H790" s="43"/>
      <c r="I790" s="4"/>
      <c r="J790" s="26"/>
      <c r="K790" s="27"/>
      <c r="L790" s="2"/>
      <c r="M790" s="4"/>
    </row>
    <row r="791" spans="1:13" ht="99.9" customHeight="1" thickTop="1" thickBot="1">
      <c r="A791" s="31">
        <v>789</v>
      </c>
      <c r="B791" s="2"/>
      <c r="C791" s="3"/>
      <c r="D791" s="3"/>
      <c r="E791" s="4"/>
      <c r="F791" s="43"/>
      <c r="G791" s="4"/>
      <c r="H791" s="43"/>
      <c r="I791" s="4"/>
      <c r="J791" s="26"/>
      <c r="K791" s="27"/>
      <c r="L791" s="2"/>
      <c r="M791" s="4"/>
    </row>
    <row r="792" spans="1:13" ht="99.9" customHeight="1" thickTop="1" thickBot="1">
      <c r="A792" s="4">
        <v>790</v>
      </c>
      <c r="B792" s="2"/>
      <c r="C792" s="3"/>
      <c r="D792" s="3"/>
      <c r="E792" s="4"/>
      <c r="F792" s="43"/>
      <c r="G792" s="4"/>
      <c r="H792" s="43"/>
      <c r="I792" s="4"/>
      <c r="J792" s="26"/>
      <c r="K792" s="27"/>
      <c r="L792" s="2"/>
      <c r="M792" s="4"/>
    </row>
    <row r="793" spans="1:13" ht="99.9" customHeight="1" thickTop="1" thickBot="1">
      <c r="A793" s="31">
        <v>791</v>
      </c>
      <c r="B793" s="2"/>
      <c r="C793" s="3"/>
      <c r="D793" s="3"/>
      <c r="E793" s="4"/>
      <c r="F793" s="43"/>
      <c r="G793" s="4"/>
      <c r="H793" s="43"/>
      <c r="I793" s="4"/>
      <c r="J793" s="26"/>
      <c r="K793" s="27"/>
      <c r="L793" s="2"/>
      <c r="M793" s="4"/>
    </row>
    <row r="794" spans="1:13" ht="99.9" customHeight="1" thickTop="1" thickBot="1">
      <c r="A794" s="4">
        <v>792</v>
      </c>
      <c r="B794" s="2"/>
      <c r="C794" s="3"/>
      <c r="D794" s="3"/>
      <c r="E794" s="4"/>
      <c r="F794" s="43"/>
      <c r="G794" s="4"/>
      <c r="H794" s="43"/>
      <c r="I794" s="4"/>
      <c r="J794" s="26"/>
      <c r="K794" s="27"/>
      <c r="L794" s="2"/>
      <c r="M794" s="4"/>
    </row>
    <row r="795" spans="1:13" ht="99.9" customHeight="1" thickTop="1" thickBot="1">
      <c r="A795" s="31">
        <v>793</v>
      </c>
      <c r="B795" s="2"/>
      <c r="C795" s="3"/>
      <c r="D795" s="3"/>
      <c r="E795" s="4"/>
      <c r="F795" s="43"/>
      <c r="G795" s="4"/>
      <c r="H795" s="43"/>
      <c r="I795" s="4"/>
      <c r="J795" s="26"/>
      <c r="K795" s="27"/>
      <c r="L795" s="2"/>
      <c r="M795" s="4"/>
    </row>
    <row r="796" spans="1:13" ht="99.9" customHeight="1" thickTop="1" thickBot="1">
      <c r="A796" s="4">
        <v>794</v>
      </c>
      <c r="B796" s="2"/>
      <c r="C796" s="3"/>
      <c r="D796" s="3"/>
      <c r="E796" s="4"/>
      <c r="F796" s="43"/>
      <c r="G796" s="4"/>
      <c r="H796" s="43"/>
      <c r="I796" s="4"/>
      <c r="J796" s="26"/>
      <c r="K796" s="27"/>
      <c r="L796" s="2"/>
      <c r="M796" s="4"/>
    </row>
    <row r="797" spans="1:13" ht="99.9" customHeight="1" thickTop="1" thickBot="1">
      <c r="A797" s="31">
        <v>795</v>
      </c>
      <c r="B797" s="2"/>
      <c r="C797" s="3"/>
      <c r="D797" s="3"/>
      <c r="E797" s="4"/>
      <c r="F797" s="43"/>
      <c r="G797" s="4"/>
      <c r="H797" s="43"/>
      <c r="I797" s="4"/>
      <c r="J797" s="26"/>
      <c r="K797" s="27"/>
      <c r="L797" s="2"/>
      <c r="M797" s="4"/>
    </row>
    <row r="798" spans="1:13" ht="99.9" customHeight="1" thickTop="1" thickBot="1">
      <c r="A798" s="4">
        <v>796</v>
      </c>
      <c r="B798" s="2"/>
      <c r="C798" s="3"/>
      <c r="D798" s="3"/>
      <c r="E798" s="4"/>
      <c r="F798" s="43"/>
      <c r="G798" s="4"/>
      <c r="H798" s="43"/>
      <c r="I798" s="4"/>
      <c r="J798" s="26"/>
      <c r="K798" s="27"/>
      <c r="L798" s="2"/>
      <c r="M798" s="4"/>
    </row>
    <row r="799" spans="1:13" ht="99.9" customHeight="1" thickTop="1" thickBot="1">
      <c r="A799" s="31">
        <v>797</v>
      </c>
      <c r="B799" s="2"/>
      <c r="C799" s="3"/>
      <c r="D799" s="3"/>
      <c r="E799" s="4"/>
      <c r="F799" s="43"/>
      <c r="G799" s="4"/>
      <c r="H799" s="43"/>
      <c r="I799" s="4"/>
      <c r="J799" s="26"/>
      <c r="K799" s="27"/>
      <c r="L799" s="2"/>
      <c r="M799" s="4"/>
    </row>
    <row r="800" spans="1:13" ht="99.9" customHeight="1" thickTop="1" thickBot="1">
      <c r="A800" s="4">
        <v>798</v>
      </c>
      <c r="B800" s="2"/>
      <c r="C800" s="3"/>
      <c r="D800" s="3"/>
      <c r="E800" s="4"/>
      <c r="F800" s="43"/>
      <c r="G800" s="4"/>
      <c r="H800" s="43"/>
      <c r="I800" s="4"/>
      <c r="J800" s="26"/>
      <c r="K800" s="27"/>
      <c r="L800" s="2"/>
      <c r="M800" s="4"/>
    </row>
    <row r="801" spans="1:13" ht="99.9" customHeight="1" thickTop="1" thickBot="1">
      <c r="A801" s="31">
        <v>799</v>
      </c>
      <c r="B801" s="2"/>
      <c r="C801" s="3"/>
      <c r="D801" s="3"/>
      <c r="E801" s="4"/>
      <c r="F801" s="43"/>
      <c r="G801" s="4"/>
      <c r="H801" s="43"/>
      <c r="I801" s="4"/>
      <c r="J801" s="26"/>
      <c r="K801" s="27"/>
      <c r="L801" s="2"/>
      <c r="M801" s="4"/>
    </row>
    <row r="802" spans="1:13" ht="99.9" customHeight="1" thickTop="1" thickBot="1">
      <c r="A802" s="4">
        <v>800</v>
      </c>
      <c r="B802" s="2"/>
      <c r="C802" s="3"/>
      <c r="D802" s="3"/>
      <c r="E802" s="4"/>
      <c r="F802" s="43"/>
      <c r="G802" s="4"/>
      <c r="H802" s="43"/>
      <c r="I802" s="4"/>
      <c r="J802" s="26"/>
      <c r="K802" s="27"/>
      <c r="L802" s="2"/>
      <c r="M802" s="4"/>
    </row>
    <row r="803" spans="1:13" ht="99.9" customHeight="1" thickTop="1" thickBot="1">
      <c r="A803" s="31">
        <v>801</v>
      </c>
      <c r="B803" s="2"/>
      <c r="C803" s="3"/>
      <c r="D803" s="3"/>
      <c r="E803" s="4"/>
      <c r="F803" s="43"/>
      <c r="G803" s="4"/>
      <c r="H803" s="43"/>
      <c r="I803" s="4"/>
      <c r="J803" s="26"/>
      <c r="K803" s="27"/>
      <c r="L803" s="2"/>
      <c r="M803" s="4"/>
    </row>
    <row r="804" spans="1:13" ht="99.9" customHeight="1" thickTop="1" thickBot="1">
      <c r="A804" s="4">
        <v>802</v>
      </c>
      <c r="B804" s="2"/>
      <c r="C804" s="3"/>
      <c r="D804" s="3"/>
      <c r="E804" s="4"/>
      <c r="F804" s="43"/>
      <c r="G804" s="4"/>
      <c r="H804" s="43"/>
      <c r="I804" s="4"/>
      <c r="J804" s="26"/>
      <c r="K804" s="27"/>
      <c r="L804" s="2"/>
      <c r="M804" s="4"/>
    </row>
    <row r="805" spans="1:13" ht="99.9" customHeight="1" thickTop="1" thickBot="1">
      <c r="A805" s="31">
        <v>803</v>
      </c>
      <c r="B805" s="2"/>
      <c r="C805" s="3"/>
      <c r="D805" s="3"/>
      <c r="E805" s="4"/>
      <c r="F805" s="43"/>
      <c r="G805" s="4"/>
      <c r="H805" s="43"/>
      <c r="I805" s="4"/>
      <c r="J805" s="26"/>
      <c r="K805" s="27"/>
      <c r="L805" s="2"/>
      <c r="M805" s="4"/>
    </row>
    <row r="806" spans="1:13" ht="99.9" customHeight="1" thickTop="1" thickBot="1">
      <c r="A806" s="4">
        <v>804</v>
      </c>
      <c r="B806" s="2"/>
      <c r="C806" s="3"/>
      <c r="D806" s="3"/>
      <c r="E806" s="4"/>
      <c r="F806" s="43"/>
      <c r="G806" s="4"/>
      <c r="H806" s="43"/>
      <c r="I806" s="4"/>
      <c r="J806" s="26"/>
      <c r="K806" s="27"/>
      <c r="L806" s="2"/>
      <c r="M806" s="4"/>
    </row>
    <row r="807" spans="1:13" ht="99.9" customHeight="1" thickTop="1" thickBot="1">
      <c r="A807" s="31">
        <v>805</v>
      </c>
      <c r="B807" s="2"/>
      <c r="C807" s="3"/>
      <c r="D807" s="3"/>
      <c r="E807" s="4"/>
      <c r="F807" s="43"/>
      <c r="G807" s="4"/>
      <c r="H807" s="43"/>
      <c r="I807" s="4"/>
      <c r="J807" s="26"/>
      <c r="K807" s="27"/>
      <c r="L807" s="2"/>
      <c r="M807" s="4"/>
    </row>
    <row r="808" spans="1:13" ht="99.9" customHeight="1" thickTop="1" thickBot="1">
      <c r="A808" s="4">
        <v>806</v>
      </c>
      <c r="B808" s="2"/>
      <c r="C808" s="3"/>
      <c r="D808" s="3"/>
      <c r="E808" s="4"/>
      <c r="F808" s="43"/>
      <c r="G808" s="4"/>
      <c r="H808" s="43"/>
      <c r="I808" s="4"/>
      <c r="J808" s="26"/>
      <c r="K808" s="27"/>
      <c r="L808" s="2"/>
      <c r="M808" s="4"/>
    </row>
    <row r="809" spans="1:13" ht="99.9" customHeight="1" thickTop="1" thickBot="1">
      <c r="A809" s="31">
        <v>807</v>
      </c>
      <c r="B809" s="2"/>
      <c r="C809" s="3"/>
      <c r="D809" s="3"/>
      <c r="E809" s="4"/>
      <c r="F809" s="43"/>
      <c r="G809" s="4"/>
      <c r="H809" s="43"/>
      <c r="I809" s="4"/>
      <c r="J809" s="26"/>
      <c r="K809" s="27"/>
      <c r="L809" s="2"/>
      <c r="M809" s="4"/>
    </row>
    <row r="810" spans="1:13" ht="99.9" customHeight="1" thickTop="1" thickBot="1">
      <c r="A810" s="4">
        <v>808</v>
      </c>
      <c r="B810" s="2"/>
      <c r="C810" s="3"/>
      <c r="D810" s="3"/>
      <c r="E810" s="4"/>
      <c r="F810" s="43"/>
      <c r="G810" s="4"/>
      <c r="H810" s="43"/>
      <c r="I810" s="4"/>
      <c r="J810" s="26"/>
      <c r="K810" s="27"/>
      <c r="L810" s="2"/>
      <c r="M810" s="4"/>
    </row>
    <row r="811" spans="1:13" ht="99.9" customHeight="1" thickTop="1" thickBot="1">
      <c r="A811" s="31">
        <v>809</v>
      </c>
      <c r="B811" s="2"/>
      <c r="C811" s="3"/>
      <c r="D811" s="3"/>
      <c r="E811" s="4"/>
      <c r="F811" s="43"/>
      <c r="G811" s="4"/>
      <c r="H811" s="43"/>
      <c r="I811" s="4"/>
      <c r="J811" s="26"/>
      <c r="K811" s="27"/>
      <c r="L811" s="2"/>
      <c r="M811" s="4"/>
    </row>
    <row r="812" spans="1:13" ht="99.9" customHeight="1" thickTop="1" thickBot="1">
      <c r="A812" s="4">
        <v>810</v>
      </c>
      <c r="B812" s="2"/>
      <c r="C812" s="3"/>
      <c r="D812" s="3"/>
      <c r="E812" s="4"/>
      <c r="F812" s="43"/>
      <c r="G812" s="4"/>
      <c r="H812" s="43"/>
      <c r="I812" s="4"/>
      <c r="J812" s="26"/>
      <c r="K812" s="27"/>
      <c r="L812" s="2"/>
      <c r="M812" s="4"/>
    </row>
    <row r="813" spans="1:13" ht="99.9" customHeight="1" thickTop="1" thickBot="1">
      <c r="A813" s="31">
        <v>811</v>
      </c>
      <c r="B813" s="2"/>
      <c r="C813" s="3"/>
      <c r="D813" s="3"/>
      <c r="E813" s="4"/>
      <c r="F813" s="43"/>
      <c r="G813" s="4"/>
      <c r="H813" s="43"/>
      <c r="I813" s="4"/>
      <c r="J813" s="26"/>
      <c r="K813" s="27"/>
      <c r="L813" s="2"/>
      <c r="M813" s="4"/>
    </row>
    <row r="814" spans="1:13" ht="99.9" customHeight="1" thickTop="1" thickBot="1">
      <c r="A814" s="4">
        <v>812</v>
      </c>
      <c r="B814" s="2"/>
      <c r="C814" s="3"/>
      <c r="D814" s="3"/>
      <c r="E814" s="4"/>
      <c r="F814" s="43"/>
      <c r="G814" s="4"/>
      <c r="H814" s="43"/>
      <c r="I814" s="4"/>
      <c r="J814" s="26"/>
      <c r="K814" s="27"/>
      <c r="L814" s="2"/>
      <c r="M814" s="4"/>
    </row>
    <row r="815" spans="1:13" ht="99.9" customHeight="1" thickTop="1" thickBot="1">
      <c r="A815" s="31">
        <v>813</v>
      </c>
      <c r="B815" s="2"/>
      <c r="C815" s="3"/>
      <c r="D815" s="3"/>
      <c r="E815" s="4"/>
      <c r="F815" s="43"/>
      <c r="G815" s="4"/>
      <c r="H815" s="43"/>
      <c r="I815" s="4"/>
      <c r="J815" s="26"/>
      <c r="K815" s="27"/>
      <c r="L815" s="2"/>
      <c r="M815" s="4"/>
    </row>
    <row r="816" spans="1:13" ht="99.9" customHeight="1" thickTop="1" thickBot="1">
      <c r="A816" s="4">
        <v>814</v>
      </c>
      <c r="B816" s="2"/>
      <c r="C816" s="3"/>
      <c r="D816" s="3"/>
      <c r="E816" s="4"/>
      <c r="F816" s="43"/>
      <c r="G816" s="4"/>
      <c r="H816" s="43"/>
      <c r="I816" s="4"/>
      <c r="J816" s="26"/>
      <c r="K816" s="27"/>
      <c r="L816" s="2"/>
      <c r="M816" s="4"/>
    </row>
    <row r="817" spans="1:13" ht="99.9" customHeight="1" thickTop="1" thickBot="1">
      <c r="A817" s="31">
        <v>815</v>
      </c>
      <c r="B817" s="2"/>
      <c r="C817" s="3"/>
      <c r="D817" s="3"/>
      <c r="E817" s="4"/>
      <c r="F817" s="43"/>
      <c r="G817" s="4"/>
      <c r="H817" s="43"/>
      <c r="I817" s="4"/>
      <c r="J817" s="26"/>
      <c r="K817" s="27"/>
      <c r="L817" s="2"/>
      <c r="M817" s="4"/>
    </row>
    <row r="818" spans="1:13" ht="99.9" customHeight="1" thickTop="1" thickBot="1">
      <c r="A818" s="4">
        <v>816</v>
      </c>
      <c r="B818" s="2"/>
      <c r="C818" s="3"/>
      <c r="D818" s="3"/>
      <c r="E818" s="4"/>
      <c r="F818" s="43"/>
      <c r="G818" s="4"/>
      <c r="H818" s="43"/>
      <c r="I818" s="4"/>
      <c r="J818" s="26"/>
      <c r="K818" s="27"/>
      <c r="L818" s="2"/>
      <c r="M818" s="4"/>
    </row>
    <row r="819" spans="1:13" ht="99.9" customHeight="1" thickTop="1" thickBot="1">
      <c r="A819" s="31">
        <v>817</v>
      </c>
      <c r="B819" s="2"/>
      <c r="C819" s="3"/>
      <c r="D819" s="3"/>
      <c r="E819" s="4"/>
      <c r="F819" s="43"/>
      <c r="G819" s="4"/>
      <c r="H819" s="43"/>
      <c r="I819" s="4"/>
      <c r="J819" s="26"/>
      <c r="K819" s="27"/>
      <c r="L819" s="2"/>
      <c r="M819" s="4"/>
    </row>
    <row r="820" spans="1:13" ht="99.9" customHeight="1" thickTop="1" thickBot="1">
      <c r="A820" s="4">
        <v>818</v>
      </c>
      <c r="B820" s="2"/>
      <c r="C820" s="3"/>
      <c r="D820" s="3"/>
      <c r="E820" s="4"/>
      <c r="F820" s="43"/>
      <c r="G820" s="4"/>
      <c r="H820" s="43"/>
      <c r="I820" s="4"/>
      <c r="J820" s="26"/>
      <c r="K820" s="27"/>
      <c r="L820" s="2"/>
      <c r="M820" s="4"/>
    </row>
    <row r="821" spans="1:13" ht="99.9" customHeight="1" thickTop="1" thickBot="1">
      <c r="A821" s="31">
        <v>819</v>
      </c>
      <c r="B821" s="2"/>
      <c r="C821" s="3"/>
      <c r="D821" s="3"/>
      <c r="E821" s="4"/>
      <c r="F821" s="43"/>
      <c r="G821" s="4"/>
      <c r="H821" s="43"/>
      <c r="I821" s="4"/>
      <c r="J821" s="26"/>
      <c r="K821" s="27"/>
      <c r="L821" s="2"/>
      <c r="M821" s="4"/>
    </row>
    <row r="822" spans="1:13" ht="99.9" customHeight="1" thickTop="1" thickBot="1">
      <c r="A822" s="4">
        <v>820</v>
      </c>
      <c r="B822" s="2"/>
      <c r="C822" s="3"/>
      <c r="D822" s="3"/>
      <c r="E822" s="4"/>
      <c r="F822" s="43"/>
      <c r="G822" s="4"/>
      <c r="H822" s="43"/>
      <c r="I822" s="4"/>
      <c r="J822" s="26"/>
      <c r="K822" s="27"/>
      <c r="L822" s="2"/>
      <c r="M822" s="4"/>
    </row>
    <row r="823" spans="1:13" ht="99.9" customHeight="1" thickTop="1" thickBot="1">
      <c r="A823" s="31">
        <v>821</v>
      </c>
      <c r="B823" s="2"/>
      <c r="C823" s="3"/>
      <c r="D823" s="3"/>
      <c r="E823" s="4"/>
      <c r="F823" s="43"/>
      <c r="G823" s="4"/>
      <c r="H823" s="43"/>
      <c r="I823" s="4"/>
      <c r="J823" s="26"/>
      <c r="K823" s="27"/>
      <c r="L823" s="2"/>
      <c r="M823" s="4"/>
    </row>
    <row r="824" spans="1:13" ht="99.9" customHeight="1" thickTop="1" thickBot="1">
      <c r="A824" s="4">
        <v>822</v>
      </c>
      <c r="B824" s="2"/>
      <c r="C824" s="3"/>
      <c r="D824" s="3"/>
      <c r="E824" s="4"/>
      <c r="F824" s="43"/>
      <c r="G824" s="4"/>
      <c r="H824" s="43"/>
      <c r="I824" s="4"/>
      <c r="J824" s="26"/>
      <c r="K824" s="27"/>
      <c r="L824" s="2"/>
      <c r="M824" s="4"/>
    </row>
    <row r="825" spans="1:13" ht="99.9" customHeight="1" thickTop="1" thickBot="1">
      <c r="A825" s="31">
        <v>823</v>
      </c>
      <c r="B825" s="2"/>
      <c r="C825" s="3"/>
      <c r="D825" s="3"/>
      <c r="E825" s="4"/>
      <c r="F825" s="43"/>
      <c r="G825" s="4"/>
      <c r="H825" s="43"/>
      <c r="I825" s="4"/>
      <c r="J825" s="26"/>
      <c r="K825" s="27"/>
      <c r="L825" s="2"/>
      <c r="M825" s="4"/>
    </row>
    <row r="826" spans="1:13" ht="99.9" customHeight="1" thickTop="1" thickBot="1">
      <c r="A826" s="4">
        <v>824</v>
      </c>
      <c r="B826" s="2"/>
      <c r="C826" s="3"/>
      <c r="D826" s="3"/>
      <c r="E826" s="4"/>
      <c r="F826" s="43"/>
      <c r="G826" s="4"/>
      <c r="H826" s="43"/>
      <c r="I826" s="4"/>
      <c r="J826" s="26"/>
      <c r="K826" s="27"/>
      <c r="L826" s="2"/>
      <c r="M826" s="4"/>
    </row>
    <row r="827" spans="1:13" ht="99.9" customHeight="1" thickTop="1" thickBot="1">
      <c r="A827" s="31">
        <v>825</v>
      </c>
      <c r="B827" s="2"/>
      <c r="C827" s="3"/>
      <c r="D827" s="3"/>
      <c r="E827" s="4"/>
      <c r="F827" s="43"/>
      <c r="G827" s="4"/>
      <c r="H827" s="43"/>
      <c r="I827" s="4"/>
      <c r="J827" s="26"/>
      <c r="K827" s="27"/>
      <c r="L827" s="2"/>
      <c r="M827" s="4"/>
    </row>
    <row r="828" spans="1:13" ht="99.9" customHeight="1" thickTop="1" thickBot="1">
      <c r="A828" s="4">
        <v>826</v>
      </c>
      <c r="B828" s="2"/>
      <c r="C828" s="3"/>
      <c r="D828" s="3"/>
      <c r="E828" s="4"/>
      <c r="F828" s="43"/>
      <c r="G828" s="4"/>
      <c r="H828" s="43"/>
      <c r="I828" s="4"/>
      <c r="J828" s="26"/>
      <c r="K828" s="27"/>
      <c r="L828" s="2"/>
      <c r="M828" s="4"/>
    </row>
    <row r="829" spans="1:13" ht="99.9" customHeight="1" thickTop="1" thickBot="1">
      <c r="A829" s="31">
        <v>827</v>
      </c>
      <c r="B829" s="2"/>
      <c r="C829" s="3"/>
      <c r="D829" s="3"/>
      <c r="E829" s="4"/>
      <c r="F829" s="43"/>
      <c r="G829" s="4"/>
      <c r="H829" s="43"/>
      <c r="I829" s="4"/>
      <c r="J829" s="26"/>
      <c r="K829" s="27"/>
      <c r="L829" s="2"/>
      <c r="M829" s="4"/>
    </row>
    <row r="830" spans="1:13" ht="99.9" customHeight="1" thickTop="1" thickBot="1">
      <c r="A830" s="4">
        <v>828</v>
      </c>
      <c r="B830" s="2"/>
      <c r="C830" s="3"/>
      <c r="D830" s="3"/>
      <c r="E830" s="4"/>
      <c r="F830" s="43"/>
      <c r="G830" s="4"/>
      <c r="H830" s="43"/>
      <c r="I830" s="4"/>
      <c r="J830" s="26"/>
      <c r="K830" s="27"/>
      <c r="L830" s="2"/>
      <c r="M830" s="4"/>
    </row>
    <row r="831" spans="1:13" ht="99.9" customHeight="1" thickTop="1" thickBot="1">
      <c r="A831" s="31">
        <v>829</v>
      </c>
      <c r="B831" s="2"/>
      <c r="C831" s="3"/>
      <c r="D831" s="3"/>
      <c r="E831" s="4"/>
      <c r="F831" s="43"/>
      <c r="G831" s="4"/>
      <c r="H831" s="43"/>
      <c r="I831" s="4"/>
      <c r="J831" s="26"/>
      <c r="K831" s="27"/>
      <c r="L831" s="2"/>
      <c r="M831" s="4"/>
    </row>
    <row r="832" spans="1:13" ht="99.9" customHeight="1" thickTop="1" thickBot="1">
      <c r="A832" s="4">
        <v>830</v>
      </c>
      <c r="B832" s="2"/>
      <c r="C832" s="3"/>
      <c r="D832" s="3"/>
      <c r="E832" s="4"/>
      <c r="F832" s="43"/>
      <c r="G832" s="4"/>
      <c r="H832" s="43"/>
      <c r="I832" s="4"/>
      <c r="J832" s="26"/>
      <c r="K832" s="27"/>
      <c r="L832" s="2"/>
      <c r="M832" s="4"/>
    </row>
    <row r="833" spans="1:13" ht="99.9" customHeight="1" thickTop="1" thickBot="1">
      <c r="A833" s="31">
        <v>831</v>
      </c>
      <c r="B833" s="2"/>
      <c r="C833" s="3"/>
      <c r="D833" s="3"/>
      <c r="E833" s="4"/>
      <c r="F833" s="43"/>
      <c r="G833" s="4"/>
      <c r="H833" s="43"/>
      <c r="I833" s="4"/>
      <c r="J833" s="26"/>
      <c r="K833" s="27"/>
      <c r="L833" s="2"/>
      <c r="M833" s="4"/>
    </row>
    <row r="834" spans="1:13" ht="99.9" customHeight="1" thickTop="1" thickBot="1">
      <c r="A834" s="4">
        <v>832</v>
      </c>
      <c r="B834" s="2"/>
      <c r="C834" s="3"/>
      <c r="D834" s="3"/>
      <c r="E834" s="4"/>
      <c r="F834" s="43"/>
      <c r="G834" s="4"/>
      <c r="H834" s="43"/>
      <c r="I834" s="4"/>
      <c r="J834" s="26"/>
      <c r="K834" s="27"/>
      <c r="L834" s="2"/>
      <c r="M834" s="4"/>
    </row>
    <row r="835" spans="1:13" ht="99.9" customHeight="1" thickTop="1" thickBot="1">
      <c r="A835" s="31">
        <v>833</v>
      </c>
      <c r="B835" s="2"/>
      <c r="C835" s="3"/>
      <c r="D835" s="3"/>
      <c r="E835" s="4"/>
      <c r="F835" s="43"/>
      <c r="G835" s="4"/>
      <c r="H835" s="43"/>
      <c r="I835" s="4"/>
      <c r="J835" s="26"/>
      <c r="K835" s="27"/>
      <c r="L835" s="2"/>
      <c r="M835" s="4"/>
    </row>
    <row r="836" spans="1:13" ht="99.9" customHeight="1" thickTop="1" thickBot="1">
      <c r="A836" s="4">
        <v>834</v>
      </c>
      <c r="B836" s="2"/>
      <c r="C836" s="3"/>
      <c r="D836" s="3"/>
      <c r="E836" s="4"/>
      <c r="F836" s="43"/>
      <c r="G836" s="4"/>
      <c r="H836" s="43"/>
      <c r="I836" s="4"/>
      <c r="J836" s="26"/>
      <c r="K836" s="27"/>
      <c r="L836" s="2"/>
      <c r="M836" s="4"/>
    </row>
    <row r="837" spans="1:13" ht="99.9" customHeight="1" thickTop="1" thickBot="1">
      <c r="A837" s="31">
        <v>835</v>
      </c>
      <c r="B837" s="2"/>
      <c r="C837" s="3"/>
      <c r="D837" s="3"/>
      <c r="E837" s="4"/>
      <c r="F837" s="43"/>
      <c r="G837" s="4"/>
      <c r="H837" s="43"/>
      <c r="I837" s="4"/>
      <c r="J837" s="26"/>
      <c r="K837" s="27"/>
      <c r="L837" s="2"/>
      <c r="M837" s="4"/>
    </row>
    <row r="838" spans="1:13" ht="99.9" customHeight="1" thickTop="1" thickBot="1">
      <c r="A838" s="4">
        <v>836</v>
      </c>
      <c r="B838" s="2"/>
      <c r="C838" s="3"/>
      <c r="D838" s="3"/>
      <c r="E838" s="4"/>
      <c r="F838" s="43"/>
      <c r="G838" s="4"/>
      <c r="H838" s="43"/>
      <c r="I838" s="4"/>
      <c r="J838" s="26"/>
      <c r="K838" s="27"/>
      <c r="L838" s="2"/>
      <c r="M838" s="4"/>
    </row>
    <row r="839" spans="1:13" ht="99.9" customHeight="1" thickTop="1" thickBot="1">
      <c r="A839" s="31">
        <v>837</v>
      </c>
      <c r="B839" s="2"/>
      <c r="C839" s="3"/>
      <c r="D839" s="3"/>
      <c r="E839" s="4"/>
      <c r="F839" s="43"/>
      <c r="G839" s="4"/>
      <c r="H839" s="43"/>
      <c r="I839" s="4"/>
      <c r="J839" s="26"/>
      <c r="K839" s="27"/>
      <c r="L839" s="2"/>
      <c r="M839" s="4"/>
    </row>
    <row r="840" spans="1:13" ht="99.9" customHeight="1" thickTop="1" thickBot="1">
      <c r="A840" s="4">
        <v>838</v>
      </c>
      <c r="B840" s="2"/>
      <c r="C840" s="3"/>
      <c r="D840" s="3"/>
      <c r="E840" s="4"/>
      <c r="F840" s="43"/>
      <c r="G840" s="4"/>
      <c r="H840" s="43"/>
      <c r="I840" s="4"/>
      <c r="J840" s="26"/>
      <c r="K840" s="27"/>
      <c r="L840" s="2"/>
      <c r="M840" s="4"/>
    </row>
    <row r="841" spans="1:13" ht="99.9" customHeight="1" thickTop="1" thickBot="1">
      <c r="A841" s="31">
        <v>839</v>
      </c>
      <c r="B841" s="2"/>
      <c r="C841" s="3"/>
      <c r="D841" s="3"/>
      <c r="E841" s="4"/>
      <c r="F841" s="43"/>
      <c r="G841" s="4"/>
      <c r="H841" s="43"/>
      <c r="I841" s="4"/>
      <c r="J841" s="26"/>
      <c r="K841" s="27"/>
      <c r="L841" s="2"/>
      <c r="M841" s="4"/>
    </row>
    <row r="842" spans="1:13" ht="99.9" customHeight="1" thickTop="1" thickBot="1">
      <c r="A842" s="4">
        <v>840</v>
      </c>
      <c r="B842" s="2"/>
      <c r="C842" s="3"/>
      <c r="D842" s="3"/>
      <c r="E842" s="4"/>
      <c r="F842" s="43"/>
      <c r="G842" s="4"/>
      <c r="H842" s="43"/>
      <c r="I842" s="4"/>
      <c r="J842" s="26"/>
      <c r="K842" s="27"/>
      <c r="L842" s="2"/>
      <c r="M842" s="4"/>
    </row>
    <row r="843" spans="1:13" ht="99.9" customHeight="1" thickTop="1" thickBot="1">
      <c r="A843" s="31">
        <v>841</v>
      </c>
      <c r="B843" s="2"/>
      <c r="C843" s="3"/>
      <c r="D843" s="3"/>
      <c r="E843" s="4"/>
      <c r="F843" s="43"/>
      <c r="G843" s="4"/>
      <c r="H843" s="43"/>
      <c r="I843" s="4"/>
      <c r="J843" s="26"/>
      <c r="K843" s="27"/>
      <c r="L843" s="2"/>
      <c r="M843" s="4"/>
    </row>
    <row r="844" spans="1:13" ht="99.9" customHeight="1" thickTop="1" thickBot="1">
      <c r="A844" s="4">
        <v>842</v>
      </c>
      <c r="B844" s="2"/>
      <c r="C844" s="3"/>
      <c r="D844" s="3"/>
      <c r="E844" s="4"/>
      <c r="F844" s="43"/>
      <c r="G844" s="4"/>
      <c r="H844" s="43"/>
      <c r="I844" s="4"/>
      <c r="J844" s="26"/>
      <c r="K844" s="27"/>
      <c r="L844" s="2"/>
      <c r="M844" s="4"/>
    </row>
    <row r="845" spans="1:13" ht="99.9" customHeight="1" thickTop="1" thickBot="1">
      <c r="A845" s="31">
        <v>843</v>
      </c>
      <c r="B845" s="2"/>
      <c r="C845" s="3"/>
      <c r="D845" s="3"/>
      <c r="E845" s="4"/>
      <c r="F845" s="43"/>
      <c r="G845" s="4"/>
      <c r="H845" s="43"/>
      <c r="I845" s="4"/>
      <c r="J845" s="26"/>
      <c r="K845" s="27"/>
      <c r="L845" s="2"/>
      <c r="M845" s="4"/>
    </row>
    <row r="846" spans="1:13" ht="99.9" customHeight="1" thickTop="1" thickBot="1">
      <c r="A846" s="4">
        <v>844</v>
      </c>
      <c r="B846" s="2"/>
      <c r="C846" s="3"/>
      <c r="D846" s="3"/>
      <c r="E846" s="4"/>
      <c r="F846" s="43"/>
      <c r="G846" s="4"/>
      <c r="H846" s="43"/>
      <c r="I846" s="4"/>
      <c r="J846" s="26"/>
      <c r="K846" s="27"/>
      <c r="L846" s="2"/>
      <c r="M846" s="4"/>
    </row>
    <row r="847" spans="1:13" ht="99.9" customHeight="1" thickTop="1" thickBot="1">
      <c r="A847" s="31">
        <v>845</v>
      </c>
      <c r="B847" s="2"/>
      <c r="C847" s="3"/>
      <c r="D847" s="3"/>
      <c r="E847" s="4"/>
      <c r="F847" s="43"/>
      <c r="G847" s="4"/>
      <c r="H847" s="43"/>
      <c r="I847" s="4"/>
      <c r="J847" s="26"/>
      <c r="K847" s="27"/>
      <c r="L847" s="2"/>
      <c r="M847" s="4"/>
    </row>
    <row r="848" spans="1:13" ht="99.9" customHeight="1" thickTop="1" thickBot="1">
      <c r="A848" s="4">
        <v>846</v>
      </c>
      <c r="B848" s="2"/>
      <c r="C848" s="3"/>
      <c r="D848" s="3"/>
      <c r="E848" s="4"/>
      <c r="F848" s="43"/>
      <c r="G848" s="4"/>
      <c r="H848" s="43"/>
      <c r="I848" s="4"/>
      <c r="J848" s="26"/>
      <c r="K848" s="27"/>
      <c r="L848" s="2"/>
      <c r="M848" s="4"/>
    </row>
    <row r="849" spans="1:13" ht="99.9" customHeight="1" thickTop="1" thickBot="1">
      <c r="A849" s="31">
        <v>847</v>
      </c>
      <c r="B849" s="2"/>
      <c r="C849" s="3"/>
      <c r="D849" s="3"/>
      <c r="E849" s="4"/>
      <c r="F849" s="43"/>
      <c r="G849" s="4"/>
      <c r="H849" s="43"/>
      <c r="I849" s="4"/>
      <c r="J849" s="26"/>
      <c r="K849" s="27"/>
      <c r="L849" s="2"/>
      <c r="M849" s="4"/>
    </row>
    <row r="850" spans="1:13" ht="99.9" customHeight="1" thickTop="1" thickBot="1">
      <c r="A850" s="4">
        <v>848</v>
      </c>
      <c r="B850" s="2"/>
      <c r="C850" s="3"/>
      <c r="D850" s="3"/>
      <c r="E850" s="4"/>
      <c r="F850" s="43"/>
      <c r="G850" s="4"/>
      <c r="H850" s="43"/>
      <c r="I850" s="4"/>
      <c r="J850" s="26"/>
      <c r="K850" s="27"/>
      <c r="L850" s="2"/>
      <c r="M850" s="4"/>
    </row>
    <row r="851" spans="1:13" ht="99.9" customHeight="1" thickTop="1" thickBot="1">
      <c r="A851" s="31">
        <v>849</v>
      </c>
      <c r="B851" s="2"/>
      <c r="C851" s="3"/>
      <c r="D851" s="3"/>
      <c r="E851" s="4"/>
      <c r="F851" s="43"/>
      <c r="G851" s="4"/>
      <c r="H851" s="43"/>
      <c r="I851" s="4"/>
      <c r="J851" s="26"/>
      <c r="K851" s="27"/>
      <c r="L851" s="2"/>
      <c r="M851" s="4"/>
    </row>
    <row r="852" spans="1:13" ht="99.9" customHeight="1" thickTop="1" thickBot="1">
      <c r="A852" s="4">
        <v>850</v>
      </c>
      <c r="B852" s="2"/>
      <c r="C852" s="3"/>
      <c r="D852" s="3"/>
      <c r="E852" s="4"/>
      <c r="F852" s="43"/>
      <c r="G852" s="4"/>
      <c r="H852" s="43"/>
      <c r="I852" s="4"/>
      <c r="J852" s="26"/>
      <c r="K852" s="27"/>
      <c r="L852" s="2"/>
      <c r="M852" s="4"/>
    </row>
    <row r="853" spans="1:13" ht="99.9" customHeight="1" thickTop="1" thickBot="1">
      <c r="A853" s="31">
        <v>851</v>
      </c>
      <c r="B853" s="2"/>
      <c r="C853" s="3"/>
      <c r="D853" s="3"/>
      <c r="E853" s="4"/>
      <c r="F853" s="43"/>
      <c r="G853" s="4"/>
      <c r="H853" s="43"/>
      <c r="I853" s="4"/>
      <c r="J853" s="26"/>
      <c r="K853" s="27"/>
      <c r="L853" s="2"/>
      <c r="M853" s="4"/>
    </row>
    <row r="854" spans="1:13" ht="99.9" customHeight="1" thickTop="1" thickBot="1">
      <c r="A854" s="4">
        <v>852</v>
      </c>
      <c r="B854" s="2"/>
      <c r="C854" s="3"/>
      <c r="D854" s="3"/>
      <c r="E854" s="4"/>
      <c r="F854" s="43"/>
      <c r="G854" s="4"/>
      <c r="H854" s="43"/>
      <c r="I854" s="4"/>
      <c r="J854" s="26"/>
      <c r="K854" s="27"/>
      <c r="L854" s="2"/>
      <c r="M854" s="4"/>
    </row>
    <row r="855" spans="1:13" ht="99.9" customHeight="1" thickTop="1" thickBot="1">
      <c r="A855" s="31">
        <v>853</v>
      </c>
      <c r="B855" s="2"/>
      <c r="C855" s="3"/>
      <c r="D855" s="3"/>
      <c r="E855" s="4"/>
      <c r="F855" s="43"/>
      <c r="G855" s="4"/>
      <c r="H855" s="43"/>
      <c r="I855" s="4"/>
      <c r="J855" s="26"/>
      <c r="K855" s="27"/>
      <c r="L855" s="2"/>
      <c r="M855" s="4"/>
    </row>
    <row r="856" spans="1:13" ht="99.9" customHeight="1" thickTop="1" thickBot="1">
      <c r="A856" s="4">
        <v>854</v>
      </c>
      <c r="B856" s="2"/>
      <c r="C856" s="3"/>
      <c r="D856" s="3"/>
      <c r="E856" s="4"/>
      <c r="F856" s="43"/>
      <c r="G856" s="4"/>
      <c r="H856" s="43"/>
      <c r="I856" s="4"/>
      <c r="J856" s="26"/>
      <c r="K856" s="27"/>
      <c r="L856" s="2"/>
      <c r="M856" s="4"/>
    </row>
    <row r="857" spans="1:13" ht="99.9" customHeight="1" thickTop="1" thickBot="1">
      <c r="A857" s="31">
        <v>855</v>
      </c>
      <c r="B857" s="2"/>
      <c r="C857" s="3"/>
      <c r="D857" s="3"/>
      <c r="E857" s="4"/>
      <c r="F857" s="43"/>
      <c r="G857" s="4"/>
      <c r="H857" s="43"/>
      <c r="I857" s="4"/>
      <c r="J857" s="26"/>
      <c r="K857" s="27"/>
      <c r="L857" s="2"/>
      <c r="M857" s="4"/>
    </row>
    <row r="858" spans="1:13" ht="99.9" customHeight="1" thickTop="1" thickBot="1">
      <c r="A858" s="4">
        <v>856</v>
      </c>
      <c r="B858" s="2"/>
      <c r="C858" s="3"/>
      <c r="D858" s="3"/>
      <c r="E858" s="4"/>
      <c r="F858" s="43"/>
      <c r="G858" s="4"/>
      <c r="H858" s="43"/>
      <c r="I858" s="4"/>
      <c r="J858" s="26"/>
      <c r="K858" s="27"/>
      <c r="L858" s="2"/>
      <c r="M858" s="4"/>
    </row>
    <row r="859" spans="1:13" ht="99.9" customHeight="1" thickTop="1" thickBot="1">
      <c r="A859" s="31">
        <v>857</v>
      </c>
      <c r="B859" s="2"/>
      <c r="C859" s="3"/>
      <c r="D859" s="3"/>
      <c r="E859" s="4"/>
      <c r="F859" s="43"/>
      <c r="G859" s="4"/>
      <c r="H859" s="43"/>
      <c r="I859" s="4"/>
      <c r="J859" s="26"/>
      <c r="K859" s="27"/>
      <c r="L859" s="2"/>
      <c r="M859" s="4"/>
    </row>
    <row r="860" spans="1:13" ht="99.9" customHeight="1" thickTop="1" thickBot="1">
      <c r="A860" s="4">
        <v>858</v>
      </c>
      <c r="B860" s="2"/>
      <c r="C860" s="3"/>
      <c r="D860" s="3"/>
      <c r="E860" s="4"/>
      <c r="F860" s="43"/>
      <c r="G860" s="4"/>
      <c r="H860" s="43"/>
      <c r="I860" s="4"/>
      <c r="J860" s="26"/>
      <c r="K860" s="27"/>
      <c r="L860" s="2"/>
      <c r="M860" s="4"/>
    </row>
    <row r="861" spans="1:13" ht="99.9" customHeight="1" thickTop="1" thickBot="1">
      <c r="A861" s="31">
        <v>859</v>
      </c>
      <c r="B861" s="2"/>
      <c r="C861" s="3"/>
      <c r="D861" s="3"/>
      <c r="E861" s="4"/>
      <c r="F861" s="43"/>
      <c r="G861" s="4"/>
      <c r="H861" s="43"/>
      <c r="I861" s="4"/>
      <c r="J861" s="26"/>
      <c r="K861" s="27"/>
      <c r="L861" s="2"/>
      <c r="M861" s="4"/>
    </row>
    <row r="862" spans="1:13" ht="99.9" customHeight="1" thickTop="1" thickBot="1">
      <c r="A862" s="4">
        <v>860</v>
      </c>
      <c r="B862" s="2"/>
      <c r="C862" s="3"/>
      <c r="D862" s="3"/>
      <c r="E862" s="4"/>
      <c r="F862" s="43"/>
      <c r="G862" s="4"/>
      <c r="H862" s="43"/>
      <c r="I862" s="4"/>
      <c r="J862" s="26"/>
      <c r="K862" s="27"/>
      <c r="L862" s="2"/>
      <c r="M862" s="4"/>
    </row>
    <row r="863" spans="1:13" ht="99.9" customHeight="1" thickTop="1" thickBot="1">
      <c r="A863" s="31">
        <v>861</v>
      </c>
      <c r="B863" s="2"/>
      <c r="C863" s="3"/>
      <c r="D863" s="3"/>
      <c r="E863" s="4"/>
      <c r="F863" s="43"/>
      <c r="G863" s="4"/>
      <c r="H863" s="43"/>
      <c r="I863" s="4"/>
      <c r="J863" s="26"/>
      <c r="K863" s="27"/>
      <c r="L863" s="2"/>
      <c r="M863" s="4"/>
    </row>
    <row r="864" spans="1:13" ht="99.9" customHeight="1" thickTop="1" thickBot="1">
      <c r="A864" s="4">
        <v>862</v>
      </c>
      <c r="B864" s="2"/>
      <c r="C864" s="3"/>
      <c r="D864" s="3"/>
      <c r="E864" s="4"/>
      <c r="F864" s="43"/>
      <c r="G864" s="4"/>
      <c r="H864" s="43"/>
      <c r="I864" s="4"/>
      <c r="J864" s="26"/>
      <c r="K864" s="27"/>
      <c r="L864" s="2"/>
      <c r="M864" s="4"/>
    </row>
    <row r="865" spans="1:13" ht="99.9" customHeight="1" thickTop="1" thickBot="1">
      <c r="A865" s="31">
        <v>863</v>
      </c>
      <c r="B865" s="2"/>
      <c r="C865" s="3"/>
      <c r="D865" s="3"/>
      <c r="E865" s="4"/>
      <c r="F865" s="43"/>
      <c r="G865" s="4"/>
      <c r="H865" s="43"/>
      <c r="I865" s="4"/>
      <c r="J865" s="26"/>
      <c r="K865" s="27"/>
      <c r="L865" s="2"/>
      <c r="M865" s="4"/>
    </row>
    <row r="866" spans="1:13" ht="99.9" customHeight="1" thickTop="1" thickBot="1">
      <c r="A866" s="4">
        <v>864</v>
      </c>
      <c r="B866" s="2"/>
      <c r="C866" s="3"/>
      <c r="D866" s="3"/>
      <c r="E866" s="4"/>
      <c r="F866" s="43"/>
      <c r="G866" s="4"/>
      <c r="H866" s="43"/>
      <c r="I866" s="4"/>
      <c r="J866" s="26"/>
      <c r="K866" s="27"/>
      <c r="L866" s="2"/>
      <c r="M866" s="4"/>
    </row>
    <row r="867" spans="1:13" ht="99.9" customHeight="1" thickTop="1" thickBot="1">
      <c r="A867" s="31">
        <v>865</v>
      </c>
      <c r="B867" s="2"/>
      <c r="C867" s="3"/>
      <c r="D867" s="3"/>
      <c r="E867" s="4"/>
      <c r="F867" s="43"/>
      <c r="G867" s="4"/>
      <c r="H867" s="43"/>
      <c r="I867" s="4"/>
      <c r="J867" s="26"/>
      <c r="K867" s="27"/>
      <c r="L867" s="2"/>
      <c r="M867" s="4"/>
    </row>
    <row r="868" spans="1:13" ht="99.9" customHeight="1" thickTop="1" thickBot="1">
      <c r="A868" s="4">
        <v>866</v>
      </c>
      <c r="B868" s="2"/>
      <c r="C868" s="3"/>
      <c r="D868" s="3"/>
      <c r="E868" s="4"/>
      <c r="F868" s="43"/>
      <c r="G868" s="4"/>
      <c r="H868" s="43"/>
      <c r="I868" s="4"/>
      <c r="J868" s="26"/>
      <c r="K868" s="27"/>
      <c r="L868" s="2"/>
      <c r="M868" s="4"/>
    </row>
    <row r="869" spans="1:13" ht="99.9" customHeight="1" thickTop="1" thickBot="1">
      <c r="A869" s="31">
        <v>867</v>
      </c>
      <c r="B869" s="2"/>
      <c r="C869" s="3"/>
      <c r="D869" s="3"/>
      <c r="E869" s="4"/>
      <c r="F869" s="43"/>
      <c r="G869" s="4"/>
      <c r="H869" s="43"/>
      <c r="I869" s="4"/>
      <c r="J869" s="26"/>
      <c r="K869" s="27"/>
      <c r="L869" s="2"/>
      <c r="M869" s="4"/>
    </row>
    <row r="870" spans="1:13" ht="99.9" customHeight="1" thickTop="1" thickBot="1">
      <c r="A870" s="4">
        <v>868</v>
      </c>
      <c r="B870" s="2"/>
      <c r="C870" s="3"/>
      <c r="D870" s="3"/>
      <c r="E870" s="4"/>
      <c r="F870" s="43"/>
      <c r="G870" s="4"/>
      <c r="H870" s="43"/>
      <c r="I870" s="4"/>
      <c r="J870" s="26"/>
      <c r="K870" s="27"/>
      <c r="L870" s="2"/>
      <c r="M870" s="4"/>
    </row>
    <row r="871" spans="1:13" ht="99.9" customHeight="1" thickTop="1" thickBot="1">
      <c r="A871" s="31">
        <v>869</v>
      </c>
      <c r="B871" s="2"/>
      <c r="C871" s="3"/>
      <c r="D871" s="3"/>
      <c r="E871" s="4"/>
      <c r="F871" s="43"/>
      <c r="G871" s="4"/>
      <c r="H871" s="43"/>
      <c r="I871" s="4"/>
      <c r="J871" s="26"/>
      <c r="K871" s="27"/>
      <c r="L871" s="2"/>
      <c r="M871" s="4"/>
    </row>
    <row r="872" spans="1:13" ht="99.9" customHeight="1" thickTop="1" thickBot="1">
      <c r="A872" s="4">
        <v>870</v>
      </c>
      <c r="B872" s="2"/>
      <c r="C872" s="3"/>
      <c r="D872" s="3"/>
      <c r="E872" s="4"/>
      <c r="F872" s="43"/>
      <c r="G872" s="4"/>
      <c r="H872" s="43"/>
      <c r="I872" s="4"/>
      <c r="J872" s="26"/>
      <c r="K872" s="27"/>
      <c r="L872" s="2"/>
      <c r="M872" s="4"/>
    </row>
    <row r="873" spans="1:13" ht="99.9" customHeight="1" thickTop="1" thickBot="1">
      <c r="A873" s="31">
        <v>871</v>
      </c>
      <c r="B873" s="2"/>
      <c r="C873" s="3"/>
      <c r="D873" s="3"/>
      <c r="E873" s="4"/>
      <c r="F873" s="43"/>
      <c r="G873" s="4"/>
      <c r="H873" s="43"/>
      <c r="I873" s="4"/>
      <c r="J873" s="26"/>
      <c r="K873" s="27"/>
      <c r="L873" s="2"/>
      <c r="M873" s="4"/>
    </row>
    <row r="874" spans="1:13" ht="99.9" customHeight="1" thickTop="1" thickBot="1">
      <c r="A874" s="4">
        <v>872</v>
      </c>
      <c r="B874" s="2"/>
      <c r="C874" s="3"/>
      <c r="D874" s="3"/>
      <c r="E874" s="4"/>
      <c r="F874" s="43"/>
      <c r="G874" s="4"/>
      <c r="H874" s="43"/>
      <c r="I874" s="4"/>
      <c r="J874" s="26"/>
      <c r="K874" s="27"/>
      <c r="L874" s="2"/>
      <c r="M874" s="4"/>
    </row>
    <row r="875" spans="1:13" ht="99.9" customHeight="1" thickTop="1" thickBot="1">
      <c r="A875" s="31">
        <v>873</v>
      </c>
      <c r="B875" s="2"/>
      <c r="C875" s="3"/>
      <c r="D875" s="3"/>
      <c r="E875" s="4"/>
      <c r="F875" s="43"/>
      <c r="G875" s="4"/>
      <c r="H875" s="43"/>
      <c r="I875" s="4"/>
      <c r="J875" s="26"/>
      <c r="K875" s="27"/>
      <c r="L875" s="2"/>
      <c r="M875" s="4"/>
    </row>
    <row r="876" spans="1:13" ht="99.9" customHeight="1" thickTop="1" thickBot="1">
      <c r="A876" s="4">
        <v>874</v>
      </c>
      <c r="B876" s="2"/>
      <c r="C876" s="3"/>
      <c r="D876" s="3"/>
      <c r="E876" s="4"/>
      <c r="F876" s="43"/>
      <c r="G876" s="4"/>
      <c r="H876" s="43"/>
      <c r="I876" s="4"/>
      <c r="J876" s="26"/>
      <c r="K876" s="27"/>
      <c r="L876" s="2"/>
      <c r="M876" s="4"/>
    </row>
    <row r="877" spans="1:13" ht="99.9" customHeight="1" thickTop="1" thickBot="1">
      <c r="A877" s="31">
        <v>875</v>
      </c>
      <c r="B877" s="2"/>
      <c r="C877" s="3"/>
      <c r="D877" s="3"/>
      <c r="E877" s="4"/>
      <c r="F877" s="43"/>
      <c r="G877" s="4"/>
      <c r="H877" s="43"/>
      <c r="I877" s="4"/>
      <c r="J877" s="26"/>
      <c r="K877" s="27"/>
      <c r="L877" s="2"/>
      <c r="M877" s="4"/>
    </row>
    <row r="878" spans="1:13" ht="99.9" customHeight="1" thickTop="1" thickBot="1">
      <c r="A878" s="4">
        <v>876</v>
      </c>
      <c r="B878" s="2"/>
      <c r="C878" s="3"/>
      <c r="D878" s="3"/>
      <c r="E878" s="4"/>
      <c r="F878" s="43"/>
      <c r="G878" s="4"/>
      <c r="H878" s="43"/>
      <c r="I878" s="4"/>
      <c r="J878" s="26"/>
      <c r="K878" s="27"/>
      <c r="L878" s="2"/>
      <c r="M878" s="4"/>
    </row>
    <row r="879" spans="1:13" ht="99.9" customHeight="1" thickTop="1" thickBot="1">
      <c r="A879" s="31">
        <v>877</v>
      </c>
      <c r="B879" s="2"/>
      <c r="C879" s="3"/>
      <c r="D879" s="3"/>
      <c r="E879" s="4"/>
      <c r="F879" s="43"/>
      <c r="G879" s="4"/>
      <c r="H879" s="43"/>
      <c r="I879" s="4"/>
      <c r="J879" s="26"/>
      <c r="K879" s="27"/>
      <c r="L879" s="2"/>
      <c r="M879" s="4"/>
    </row>
    <row r="880" spans="1:13" ht="99.9" customHeight="1" thickTop="1" thickBot="1">
      <c r="A880" s="4">
        <v>878</v>
      </c>
      <c r="B880" s="2"/>
      <c r="C880" s="3"/>
      <c r="D880" s="3"/>
      <c r="E880" s="4"/>
      <c r="F880" s="43"/>
      <c r="G880" s="4"/>
      <c r="H880" s="43"/>
      <c r="I880" s="4"/>
      <c r="J880" s="26"/>
      <c r="K880" s="27"/>
      <c r="L880" s="2"/>
      <c r="M880" s="4"/>
    </row>
    <row r="881" spans="1:13" ht="99.9" customHeight="1" thickTop="1" thickBot="1">
      <c r="A881" s="31">
        <v>879</v>
      </c>
      <c r="B881" s="2"/>
      <c r="C881" s="3"/>
      <c r="D881" s="3"/>
      <c r="E881" s="4"/>
      <c r="F881" s="43"/>
      <c r="G881" s="4"/>
      <c r="H881" s="43"/>
      <c r="I881" s="4"/>
      <c r="J881" s="26"/>
      <c r="K881" s="27"/>
      <c r="L881" s="2"/>
      <c r="M881" s="4"/>
    </row>
    <row r="882" spans="1:13" ht="99.9" customHeight="1" thickTop="1" thickBot="1">
      <c r="A882" s="4">
        <v>880</v>
      </c>
      <c r="B882" s="2"/>
      <c r="C882" s="3"/>
      <c r="D882" s="3"/>
      <c r="E882" s="4"/>
      <c r="F882" s="43"/>
      <c r="G882" s="4"/>
      <c r="H882" s="43"/>
      <c r="I882" s="4"/>
      <c r="J882" s="26"/>
      <c r="K882" s="27"/>
      <c r="L882" s="2"/>
      <c r="M882" s="4"/>
    </row>
    <row r="883" spans="1:13" ht="99.9" customHeight="1" thickTop="1" thickBot="1">
      <c r="A883" s="31">
        <v>881</v>
      </c>
      <c r="B883" s="2"/>
      <c r="C883" s="3"/>
      <c r="D883" s="3"/>
      <c r="E883" s="4"/>
      <c r="F883" s="43"/>
      <c r="G883" s="4"/>
      <c r="H883" s="43"/>
      <c r="I883" s="4"/>
      <c r="J883" s="26"/>
      <c r="K883" s="27"/>
      <c r="L883" s="2"/>
      <c r="M883" s="4"/>
    </row>
    <row r="884" spans="1:13" ht="99.9" customHeight="1" thickTop="1" thickBot="1">
      <c r="A884" s="4">
        <v>882</v>
      </c>
      <c r="B884" s="2"/>
      <c r="C884" s="3"/>
      <c r="D884" s="3"/>
      <c r="E884" s="4"/>
      <c r="F884" s="43"/>
      <c r="G884" s="4"/>
      <c r="H884" s="43"/>
      <c r="I884" s="4"/>
      <c r="J884" s="26"/>
      <c r="K884" s="27"/>
      <c r="L884" s="2"/>
      <c r="M884" s="4"/>
    </row>
    <row r="885" spans="1:13" ht="99.9" customHeight="1" thickTop="1" thickBot="1">
      <c r="A885" s="31">
        <v>883</v>
      </c>
      <c r="B885" s="2"/>
      <c r="C885" s="3"/>
      <c r="D885" s="3"/>
      <c r="E885" s="4"/>
      <c r="F885" s="43"/>
      <c r="G885" s="4"/>
      <c r="H885" s="43"/>
      <c r="I885" s="4"/>
      <c r="J885" s="26"/>
      <c r="K885" s="27"/>
      <c r="L885" s="2"/>
      <c r="M885" s="4"/>
    </row>
    <row r="886" spans="1:13" ht="99.9" customHeight="1" thickTop="1" thickBot="1">
      <c r="A886" s="4">
        <v>884</v>
      </c>
      <c r="B886" s="2"/>
      <c r="C886" s="3"/>
      <c r="D886" s="3"/>
      <c r="E886" s="4"/>
      <c r="F886" s="43"/>
      <c r="G886" s="4"/>
      <c r="H886" s="43"/>
      <c r="I886" s="4"/>
      <c r="J886" s="26"/>
      <c r="K886" s="27"/>
      <c r="L886" s="2"/>
      <c r="M886" s="4"/>
    </row>
    <row r="887" spans="1:13" ht="99.9" customHeight="1" thickTop="1" thickBot="1">
      <c r="A887" s="31">
        <v>885</v>
      </c>
      <c r="B887" s="2"/>
      <c r="C887" s="3"/>
      <c r="D887" s="3"/>
      <c r="E887" s="4"/>
      <c r="F887" s="43"/>
      <c r="G887" s="4"/>
      <c r="H887" s="43"/>
      <c r="I887" s="4"/>
      <c r="J887" s="26"/>
      <c r="K887" s="27"/>
      <c r="L887" s="2"/>
      <c r="M887" s="4"/>
    </row>
    <row r="888" spans="1:13" ht="99.9" customHeight="1" thickTop="1" thickBot="1">
      <c r="A888" s="4">
        <v>886</v>
      </c>
      <c r="B888" s="2"/>
      <c r="C888" s="3"/>
      <c r="D888" s="3"/>
      <c r="E888" s="4"/>
      <c r="F888" s="43"/>
      <c r="G888" s="4"/>
      <c r="H888" s="43"/>
      <c r="I888" s="4"/>
      <c r="J888" s="26"/>
      <c r="K888" s="27"/>
      <c r="L888" s="2"/>
      <c r="M888" s="4"/>
    </row>
    <row r="889" spans="1:13" ht="99.9" customHeight="1" thickTop="1" thickBot="1">
      <c r="A889" s="31">
        <v>887</v>
      </c>
      <c r="B889" s="2"/>
      <c r="C889" s="3"/>
      <c r="D889" s="3"/>
      <c r="E889" s="4"/>
      <c r="F889" s="43"/>
      <c r="G889" s="4"/>
      <c r="H889" s="43"/>
      <c r="I889" s="4"/>
      <c r="J889" s="26"/>
      <c r="K889" s="27"/>
      <c r="L889" s="2"/>
      <c r="M889" s="4"/>
    </row>
    <row r="890" spans="1:13" ht="99.9" customHeight="1" thickTop="1" thickBot="1">
      <c r="A890" s="4">
        <v>888</v>
      </c>
      <c r="B890" s="2"/>
      <c r="C890" s="3"/>
      <c r="D890" s="3"/>
      <c r="E890" s="4"/>
      <c r="F890" s="43"/>
      <c r="G890" s="4"/>
      <c r="H890" s="43"/>
      <c r="I890" s="4"/>
      <c r="J890" s="26"/>
      <c r="K890" s="27"/>
      <c r="L890" s="2"/>
      <c r="M890" s="4"/>
    </row>
    <row r="891" spans="1:13" ht="99.9" customHeight="1" thickTop="1" thickBot="1">
      <c r="A891" s="31">
        <v>889</v>
      </c>
      <c r="B891" s="2"/>
      <c r="C891" s="3"/>
      <c r="D891" s="3"/>
      <c r="E891" s="4"/>
      <c r="F891" s="43"/>
      <c r="G891" s="4"/>
      <c r="H891" s="43"/>
      <c r="I891" s="4"/>
      <c r="J891" s="26"/>
      <c r="K891" s="27"/>
      <c r="L891" s="2"/>
      <c r="M891" s="4"/>
    </row>
    <row r="892" spans="1:13" ht="99.9" customHeight="1" thickTop="1" thickBot="1">
      <c r="A892" s="4">
        <v>890</v>
      </c>
      <c r="B892" s="2"/>
      <c r="C892" s="3"/>
      <c r="D892" s="3"/>
      <c r="E892" s="4"/>
      <c r="F892" s="43"/>
      <c r="G892" s="4"/>
      <c r="H892" s="43"/>
      <c r="I892" s="4"/>
      <c r="J892" s="26"/>
      <c r="K892" s="27"/>
      <c r="L892" s="2"/>
      <c r="M892" s="4"/>
    </row>
    <row r="893" spans="1:13" ht="99.9" customHeight="1" thickTop="1" thickBot="1">
      <c r="A893" s="31">
        <v>891</v>
      </c>
      <c r="B893" s="2"/>
      <c r="C893" s="3"/>
      <c r="D893" s="3"/>
      <c r="E893" s="4"/>
      <c r="F893" s="43"/>
      <c r="G893" s="4"/>
      <c r="H893" s="43"/>
      <c r="I893" s="4"/>
      <c r="J893" s="26"/>
      <c r="K893" s="27"/>
      <c r="L893" s="2"/>
      <c r="M893" s="4"/>
    </row>
    <row r="894" spans="1:13" ht="99.9" customHeight="1" thickTop="1" thickBot="1">
      <c r="A894" s="4">
        <v>892</v>
      </c>
      <c r="B894" s="2"/>
      <c r="C894" s="3"/>
      <c r="D894" s="3"/>
      <c r="E894" s="4"/>
      <c r="F894" s="43"/>
      <c r="G894" s="4"/>
      <c r="H894" s="43"/>
      <c r="I894" s="4"/>
      <c r="J894" s="26"/>
      <c r="K894" s="27"/>
      <c r="L894" s="2"/>
      <c r="M894" s="4"/>
    </row>
    <row r="895" spans="1:13" ht="99.9" customHeight="1" thickTop="1" thickBot="1">
      <c r="A895" s="31">
        <v>893</v>
      </c>
      <c r="B895" s="2"/>
      <c r="C895" s="3"/>
      <c r="D895" s="3"/>
      <c r="E895" s="4"/>
      <c r="F895" s="43"/>
      <c r="G895" s="4"/>
      <c r="H895" s="43"/>
      <c r="I895" s="4"/>
      <c r="J895" s="26"/>
      <c r="K895" s="27"/>
      <c r="L895" s="2"/>
      <c r="M895" s="4"/>
    </row>
    <row r="896" spans="1:13" ht="99.9" customHeight="1" thickTop="1" thickBot="1">
      <c r="A896" s="4">
        <v>894</v>
      </c>
      <c r="B896" s="2"/>
      <c r="C896" s="3"/>
      <c r="D896" s="3"/>
      <c r="E896" s="4"/>
      <c r="F896" s="43"/>
      <c r="G896" s="4"/>
      <c r="H896" s="43"/>
      <c r="I896" s="4"/>
      <c r="J896" s="26"/>
      <c r="K896" s="27"/>
      <c r="L896" s="2"/>
      <c r="M896" s="4"/>
    </row>
    <row r="897" spans="1:13" ht="99.9" customHeight="1" thickTop="1" thickBot="1">
      <c r="A897" s="31">
        <v>895</v>
      </c>
      <c r="B897" s="2"/>
      <c r="C897" s="3"/>
      <c r="D897" s="3"/>
      <c r="E897" s="4"/>
      <c r="F897" s="43"/>
      <c r="G897" s="4"/>
      <c r="H897" s="43"/>
      <c r="I897" s="4"/>
      <c r="J897" s="26"/>
      <c r="K897" s="27"/>
      <c r="L897" s="2"/>
      <c r="M897" s="4"/>
    </row>
    <row r="898" spans="1:13" ht="99.9" customHeight="1" thickTop="1" thickBot="1">
      <c r="A898" s="4">
        <v>896</v>
      </c>
      <c r="B898" s="2"/>
      <c r="C898" s="3"/>
      <c r="D898" s="3"/>
      <c r="E898" s="4"/>
      <c r="F898" s="43"/>
      <c r="G898" s="4"/>
      <c r="H898" s="43"/>
      <c r="I898" s="4"/>
      <c r="J898" s="26"/>
      <c r="K898" s="27"/>
      <c r="L898" s="2"/>
      <c r="M898" s="4"/>
    </row>
    <row r="899" spans="1:13" ht="99.9" customHeight="1" thickTop="1" thickBot="1">
      <c r="A899" s="31">
        <v>897</v>
      </c>
      <c r="B899" s="2"/>
      <c r="C899" s="3"/>
      <c r="D899" s="3"/>
      <c r="E899" s="4"/>
      <c r="F899" s="43"/>
      <c r="G899" s="4"/>
      <c r="H899" s="43"/>
      <c r="I899" s="4"/>
      <c r="J899" s="26"/>
      <c r="K899" s="27"/>
      <c r="L899" s="2"/>
      <c r="M899" s="4"/>
    </row>
    <row r="900" spans="1:13" ht="99.9" customHeight="1" thickTop="1" thickBot="1">
      <c r="A900" s="4">
        <v>898</v>
      </c>
      <c r="B900" s="2"/>
      <c r="C900" s="3"/>
      <c r="D900" s="3"/>
      <c r="E900" s="4"/>
      <c r="F900" s="43"/>
      <c r="G900" s="4"/>
      <c r="H900" s="43"/>
      <c r="I900" s="4"/>
      <c r="J900" s="26"/>
      <c r="K900" s="27"/>
      <c r="L900" s="2"/>
      <c r="M900" s="4"/>
    </row>
    <row r="901" spans="1:13" ht="99.9" customHeight="1" thickTop="1" thickBot="1">
      <c r="A901" s="31">
        <v>899</v>
      </c>
      <c r="B901" s="2"/>
      <c r="C901" s="3"/>
      <c r="D901" s="3"/>
      <c r="E901" s="4"/>
      <c r="F901" s="43"/>
      <c r="G901" s="4"/>
      <c r="H901" s="43"/>
      <c r="I901" s="4"/>
      <c r="J901" s="26"/>
      <c r="K901" s="27"/>
      <c r="L901" s="2"/>
      <c r="M901" s="4"/>
    </row>
    <row r="902" spans="1:13" ht="99.9" customHeight="1" thickTop="1" thickBot="1">
      <c r="A902" s="4">
        <v>900</v>
      </c>
      <c r="B902" s="2"/>
      <c r="C902" s="3"/>
      <c r="D902" s="3"/>
      <c r="E902" s="4"/>
      <c r="F902" s="43"/>
      <c r="G902" s="4"/>
      <c r="H902" s="43"/>
      <c r="I902" s="4"/>
      <c r="J902" s="26"/>
      <c r="K902" s="27"/>
      <c r="L902" s="2"/>
      <c r="M902" s="4"/>
    </row>
    <row r="903" spans="1:13" ht="99.9" customHeight="1" thickTop="1" thickBot="1">
      <c r="A903" s="31">
        <v>901</v>
      </c>
      <c r="B903" s="2"/>
      <c r="C903" s="3"/>
      <c r="D903" s="3"/>
      <c r="E903" s="4"/>
      <c r="F903" s="43"/>
      <c r="G903" s="4"/>
      <c r="H903" s="43"/>
      <c r="I903" s="4"/>
      <c r="J903" s="26"/>
      <c r="K903" s="27"/>
      <c r="L903" s="2"/>
      <c r="M903" s="4"/>
    </row>
    <row r="904" spans="1:13" ht="99.9" customHeight="1" thickTop="1" thickBot="1">
      <c r="A904" s="4">
        <v>902</v>
      </c>
      <c r="B904" s="2"/>
      <c r="C904" s="3"/>
      <c r="D904" s="3"/>
      <c r="E904" s="4"/>
      <c r="F904" s="43"/>
      <c r="G904" s="4"/>
      <c r="H904" s="43"/>
      <c r="I904" s="4"/>
      <c r="J904" s="26"/>
      <c r="K904" s="27"/>
      <c r="L904" s="2"/>
      <c r="M904" s="4"/>
    </row>
    <row r="905" spans="1:13" ht="99.9" customHeight="1" thickTop="1" thickBot="1">
      <c r="A905" s="31">
        <v>903</v>
      </c>
      <c r="B905" s="2"/>
      <c r="C905" s="3"/>
      <c r="D905" s="3"/>
      <c r="E905" s="4"/>
      <c r="F905" s="43"/>
      <c r="G905" s="4"/>
      <c r="H905" s="43"/>
      <c r="I905" s="4"/>
      <c r="J905" s="26"/>
      <c r="K905" s="27"/>
      <c r="L905" s="2"/>
      <c r="M905" s="4"/>
    </row>
    <row r="906" spans="1:13" ht="99.9" customHeight="1" thickTop="1" thickBot="1">
      <c r="A906" s="4">
        <v>904</v>
      </c>
      <c r="B906" s="2"/>
      <c r="C906" s="3"/>
      <c r="D906" s="3"/>
      <c r="E906" s="4"/>
      <c r="F906" s="43"/>
      <c r="G906" s="4"/>
      <c r="H906" s="43"/>
      <c r="I906" s="4"/>
      <c r="J906" s="26"/>
      <c r="K906" s="27"/>
      <c r="L906" s="2"/>
      <c r="M906" s="4"/>
    </row>
    <row r="907" spans="1:13" ht="99.9" customHeight="1" thickTop="1" thickBot="1">
      <c r="A907" s="31">
        <v>905</v>
      </c>
      <c r="B907" s="2"/>
      <c r="C907" s="3"/>
      <c r="D907" s="3"/>
      <c r="E907" s="4"/>
      <c r="F907" s="43"/>
      <c r="G907" s="4"/>
      <c r="H907" s="43"/>
      <c r="I907" s="4"/>
      <c r="J907" s="26"/>
      <c r="K907" s="27"/>
      <c r="L907" s="2"/>
      <c r="M907" s="4"/>
    </row>
    <row r="908" spans="1:13" ht="99.9" customHeight="1" thickTop="1" thickBot="1">
      <c r="A908" s="4">
        <v>906</v>
      </c>
      <c r="B908" s="2"/>
      <c r="C908" s="3"/>
      <c r="D908" s="3"/>
      <c r="E908" s="4"/>
      <c r="F908" s="43"/>
      <c r="G908" s="4"/>
      <c r="H908" s="43"/>
      <c r="I908" s="4"/>
      <c r="J908" s="26"/>
      <c r="K908" s="27"/>
      <c r="L908" s="2"/>
      <c r="M908" s="4"/>
    </row>
    <row r="909" spans="1:13" ht="99.9" customHeight="1" thickTop="1" thickBot="1">
      <c r="A909" s="31">
        <v>907</v>
      </c>
      <c r="B909" s="2"/>
      <c r="C909" s="3"/>
      <c r="D909" s="3"/>
      <c r="E909" s="4"/>
      <c r="F909" s="43"/>
      <c r="G909" s="4"/>
      <c r="H909" s="43"/>
      <c r="I909" s="4"/>
      <c r="J909" s="26"/>
      <c r="K909" s="27"/>
      <c r="L909" s="2"/>
      <c r="M909" s="4"/>
    </row>
    <row r="910" spans="1:13" ht="99.9" customHeight="1" thickTop="1" thickBot="1">
      <c r="A910" s="4">
        <v>908</v>
      </c>
      <c r="B910" s="2"/>
      <c r="C910" s="3"/>
      <c r="D910" s="3"/>
      <c r="E910" s="4"/>
      <c r="F910" s="43"/>
      <c r="G910" s="4"/>
      <c r="H910" s="43"/>
      <c r="I910" s="4"/>
      <c r="J910" s="26"/>
      <c r="K910" s="27"/>
      <c r="L910" s="2"/>
      <c r="M910" s="4"/>
    </row>
    <row r="911" spans="1:13" ht="99.9" customHeight="1" thickTop="1" thickBot="1">
      <c r="A911" s="31">
        <v>909</v>
      </c>
      <c r="B911" s="2"/>
      <c r="C911" s="3"/>
      <c r="D911" s="3"/>
      <c r="E911" s="4"/>
      <c r="F911" s="43"/>
      <c r="G911" s="4"/>
      <c r="H911" s="43"/>
      <c r="I911" s="4"/>
      <c r="J911" s="26"/>
      <c r="K911" s="27"/>
      <c r="L911" s="2"/>
      <c r="M911" s="4"/>
    </row>
    <row r="912" spans="1:13" ht="99.9" customHeight="1" thickTop="1" thickBot="1">
      <c r="A912" s="4">
        <v>910</v>
      </c>
      <c r="B912" s="2"/>
      <c r="C912" s="3"/>
      <c r="D912" s="3"/>
      <c r="E912" s="4"/>
      <c r="F912" s="43"/>
      <c r="G912" s="4"/>
      <c r="H912" s="43"/>
      <c r="I912" s="4"/>
      <c r="J912" s="26"/>
      <c r="K912" s="27"/>
      <c r="L912" s="2"/>
      <c r="M912" s="4"/>
    </row>
    <row r="913" spans="1:13" ht="99.9" customHeight="1" thickTop="1" thickBot="1">
      <c r="A913" s="31">
        <v>911</v>
      </c>
      <c r="B913" s="2"/>
      <c r="C913" s="3"/>
      <c r="D913" s="3"/>
      <c r="E913" s="4"/>
      <c r="F913" s="43"/>
      <c r="G913" s="4"/>
      <c r="H913" s="43"/>
      <c r="I913" s="4"/>
      <c r="J913" s="26"/>
      <c r="K913" s="27"/>
      <c r="L913" s="2"/>
      <c r="M913" s="4"/>
    </row>
    <row r="914" spans="1:13" ht="99.9" customHeight="1" thickTop="1" thickBot="1">
      <c r="A914" s="4">
        <v>912</v>
      </c>
      <c r="B914" s="2"/>
      <c r="C914" s="3"/>
      <c r="D914" s="3"/>
      <c r="E914" s="4"/>
      <c r="F914" s="43"/>
      <c r="G914" s="4"/>
      <c r="H914" s="43"/>
      <c r="I914" s="4"/>
      <c r="J914" s="26"/>
      <c r="K914" s="27"/>
      <c r="L914" s="2"/>
      <c r="M914" s="4"/>
    </row>
    <row r="915" spans="1:13" ht="99.9" customHeight="1" thickTop="1" thickBot="1">
      <c r="A915" s="31">
        <v>913</v>
      </c>
      <c r="B915" s="2"/>
      <c r="C915" s="3"/>
      <c r="D915" s="3"/>
      <c r="E915" s="4"/>
      <c r="F915" s="43"/>
      <c r="G915" s="4"/>
      <c r="H915" s="43"/>
      <c r="I915" s="4"/>
      <c r="J915" s="26"/>
      <c r="K915" s="27"/>
      <c r="L915" s="2"/>
      <c r="M915" s="4"/>
    </row>
    <row r="916" spans="1:13" ht="99.9" customHeight="1" thickTop="1" thickBot="1">
      <c r="A916" s="4">
        <v>914</v>
      </c>
      <c r="B916" s="2"/>
      <c r="C916" s="3"/>
      <c r="D916" s="3"/>
      <c r="E916" s="4"/>
      <c r="F916" s="43"/>
      <c r="G916" s="4"/>
      <c r="H916" s="43"/>
      <c r="I916" s="4"/>
      <c r="J916" s="26"/>
      <c r="K916" s="27"/>
      <c r="L916" s="2"/>
      <c r="M916" s="4"/>
    </row>
    <row r="917" spans="1:13" ht="99.9" customHeight="1" thickTop="1" thickBot="1">
      <c r="A917" s="31">
        <v>915</v>
      </c>
      <c r="B917" s="2"/>
      <c r="C917" s="3"/>
      <c r="D917" s="3"/>
      <c r="E917" s="4"/>
      <c r="F917" s="43"/>
      <c r="G917" s="4"/>
      <c r="H917" s="43"/>
      <c r="I917" s="4"/>
      <c r="J917" s="26"/>
      <c r="K917" s="27"/>
      <c r="L917" s="2"/>
      <c r="M917" s="4"/>
    </row>
    <row r="918" spans="1:13" ht="99.9" customHeight="1" thickTop="1" thickBot="1">
      <c r="A918" s="4">
        <v>916</v>
      </c>
      <c r="B918" s="2"/>
      <c r="C918" s="3"/>
      <c r="D918" s="3"/>
      <c r="E918" s="4"/>
      <c r="F918" s="43"/>
      <c r="G918" s="4"/>
      <c r="H918" s="43"/>
      <c r="I918" s="4"/>
      <c r="J918" s="26"/>
      <c r="K918" s="27"/>
      <c r="L918" s="2"/>
      <c r="M918" s="4"/>
    </row>
    <row r="919" spans="1:13" ht="99.9" customHeight="1" thickTop="1" thickBot="1">
      <c r="A919" s="31">
        <v>917</v>
      </c>
      <c r="B919" s="2"/>
      <c r="C919" s="3"/>
      <c r="D919" s="3"/>
      <c r="E919" s="4"/>
      <c r="F919" s="43"/>
      <c r="G919" s="4"/>
      <c r="H919" s="43"/>
      <c r="I919" s="4"/>
      <c r="J919" s="26"/>
      <c r="K919" s="27"/>
      <c r="L919" s="2"/>
      <c r="M919" s="4"/>
    </row>
    <row r="920" spans="1:13" ht="99.9" customHeight="1" thickTop="1" thickBot="1">
      <c r="A920" s="4">
        <v>918</v>
      </c>
      <c r="B920" s="2"/>
      <c r="C920" s="3"/>
      <c r="D920" s="3"/>
      <c r="E920" s="4"/>
      <c r="F920" s="43"/>
      <c r="G920" s="4"/>
      <c r="H920" s="43"/>
      <c r="I920" s="4"/>
      <c r="J920" s="26"/>
      <c r="K920" s="27"/>
      <c r="L920" s="2"/>
      <c r="M920" s="4"/>
    </row>
    <row r="921" spans="1:13" ht="99.9" customHeight="1" thickTop="1" thickBot="1">
      <c r="A921" s="31">
        <v>919</v>
      </c>
      <c r="B921" s="2"/>
      <c r="C921" s="3"/>
      <c r="D921" s="3"/>
      <c r="E921" s="4"/>
      <c r="F921" s="43"/>
      <c r="G921" s="4"/>
      <c r="H921" s="43"/>
      <c r="I921" s="4"/>
      <c r="J921" s="26"/>
      <c r="K921" s="27"/>
      <c r="L921" s="2"/>
      <c r="M921" s="4"/>
    </row>
    <row r="922" spans="1:13" ht="99.9" customHeight="1" thickTop="1" thickBot="1">
      <c r="A922" s="4">
        <v>920</v>
      </c>
      <c r="B922" s="2"/>
      <c r="C922" s="3"/>
      <c r="D922" s="3"/>
      <c r="E922" s="4"/>
      <c r="F922" s="43"/>
      <c r="G922" s="4"/>
      <c r="H922" s="43"/>
      <c r="I922" s="4"/>
      <c r="J922" s="26"/>
      <c r="K922" s="27"/>
      <c r="L922" s="2"/>
      <c r="M922" s="4"/>
    </row>
    <row r="923" spans="1:13" ht="99.9" customHeight="1" thickTop="1" thickBot="1">
      <c r="A923" s="31">
        <v>921</v>
      </c>
      <c r="B923" s="2"/>
      <c r="C923" s="3"/>
      <c r="D923" s="3"/>
      <c r="E923" s="4"/>
      <c r="F923" s="43"/>
      <c r="G923" s="4"/>
      <c r="H923" s="43"/>
      <c r="I923" s="4"/>
      <c r="J923" s="26"/>
      <c r="K923" s="27"/>
      <c r="L923" s="2"/>
      <c r="M923" s="4"/>
    </row>
    <row r="924" spans="1:13" ht="99.9" customHeight="1" thickTop="1" thickBot="1">
      <c r="A924" s="4">
        <v>922</v>
      </c>
      <c r="B924" s="2"/>
      <c r="C924" s="3"/>
      <c r="D924" s="3"/>
      <c r="E924" s="4"/>
      <c r="F924" s="43"/>
      <c r="G924" s="4"/>
      <c r="H924" s="43"/>
      <c r="I924" s="4"/>
      <c r="J924" s="26"/>
      <c r="K924" s="27"/>
      <c r="L924" s="2"/>
      <c r="M924" s="4"/>
    </row>
    <row r="925" spans="1:13" ht="99.9" customHeight="1" thickTop="1" thickBot="1">
      <c r="A925" s="31">
        <v>923</v>
      </c>
      <c r="B925" s="2"/>
      <c r="C925" s="3"/>
      <c r="D925" s="3"/>
      <c r="E925" s="4"/>
      <c r="F925" s="43"/>
      <c r="G925" s="4"/>
      <c r="H925" s="43"/>
      <c r="I925" s="4"/>
      <c r="J925" s="26"/>
      <c r="K925" s="27"/>
      <c r="L925" s="2"/>
      <c r="M925" s="4"/>
    </row>
    <row r="926" spans="1:13" ht="99.9" customHeight="1" thickTop="1" thickBot="1">
      <c r="A926" s="4">
        <v>924</v>
      </c>
      <c r="B926" s="2"/>
      <c r="C926" s="3"/>
      <c r="D926" s="3"/>
      <c r="E926" s="4"/>
      <c r="F926" s="43"/>
      <c r="G926" s="4"/>
      <c r="H926" s="43"/>
      <c r="I926" s="4"/>
      <c r="J926" s="26"/>
      <c r="K926" s="27"/>
      <c r="L926" s="2"/>
      <c r="M926" s="4"/>
    </row>
    <row r="927" spans="1:13" ht="99.9" customHeight="1" thickTop="1" thickBot="1">
      <c r="A927" s="31">
        <v>925</v>
      </c>
      <c r="B927" s="2"/>
      <c r="C927" s="3"/>
      <c r="D927" s="3"/>
      <c r="E927" s="4"/>
      <c r="F927" s="43"/>
      <c r="G927" s="4"/>
      <c r="H927" s="43"/>
      <c r="I927" s="4"/>
      <c r="J927" s="26"/>
      <c r="K927" s="27"/>
      <c r="L927" s="2"/>
      <c r="M927" s="4"/>
    </row>
    <row r="928" spans="1:13" ht="99.9" customHeight="1" thickTop="1" thickBot="1">
      <c r="A928" s="4">
        <v>926</v>
      </c>
      <c r="B928" s="2"/>
      <c r="C928" s="3"/>
      <c r="D928" s="3"/>
      <c r="E928" s="4"/>
      <c r="F928" s="43"/>
      <c r="G928" s="4"/>
      <c r="H928" s="43"/>
      <c r="I928" s="4"/>
      <c r="J928" s="26"/>
      <c r="K928" s="27"/>
      <c r="L928" s="2"/>
      <c r="M928" s="4"/>
    </row>
    <row r="929" spans="1:13" ht="99.9" customHeight="1" thickTop="1" thickBot="1">
      <c r="A929" s="31">
        <v>927</v>
      </c>
      <c r="B929" s="2"/>
      <c r="C929" s="3"/>
      <c r="D929" s="3"/>
      <c r="E929" s="4"/>
      <c r="F929" s="43"/>
      <c r="G929" s="4"/>
      <c r="H929" s="43"/>
      <c r="I929" s="4"/>
      <c r="J929" s="26"/>
      <c r="K929" s="27"/>
      <c r="L929" s="2"/>
      <c r="M929" s="4"/>
    </row>
    <row r="930" spans="1:13" ht="99.9" customHeight="1" thickTop="1" thickBot="1">
      <c r="A930" s="4">
        <v>928</v>
      </c>
      <c r="B930" s="2"/>
      <c r="C930" s="3"/>
      <c r="D930" s="3"/>
      <c r="E930" s="4"/>
      <c r="F930" s="43"/>
      <c r="G930" s="4"/>
      <c r="H930" s="43"/>
      <c r="I930" s="4"/>
      <c r="J930" s="26"/>
      <c r="K930" s="27"/>
      <c r="L930" s="2"/>
      <c r="M930" s="4"/>
    </row>
    <row r="931" spans="1:13" ht="99.9" customHeight="1" thickTop="1" thickBot="1">
      <c r="A931" s="31">
        <v>929</v>
      </c>
      <c r="B931" s="2"/>
      <c r="C931" s="3"/>
      <c r="D931" s="3"/>
      <c r="E931" s="4"/>
      <c r="F931" s="43"/>
      <c r="G931" s="4"/>
      <c r="H931" s="43"/>
      <c r="I931" s="4"/>
      <c r="J931" s="26"/>
      <c r="K931" s="27"/>
      <c r="L931" s="2"/>
      <c r="M931" s="4"/>
    </row>
    <row r="932" spans="1:13" ht="99.9" customHeight="1" thickTop="1" thickBot="1">
      <c r="A932" s="4">
        <v>930</v>
      </c>
      <c r="B932" s="2"/>
      <c r="C932" s="3"/>
      <c r="D932" s="3"/>
      <c r="E932" s="4"/>
      <c r="F932" s="43"/>
      <c r="G932" s="4"/>
      <c r="H932" s="43"/>
      <c r="I932" s="4"/>
      <c r="J932" s="26"/>
      <c r="K932" s="27"/>
      <c r="L932" s="2"/>
      <c r="M932" s="4"/>
    </row>
    <row r="933" spans="1:13" ht="99.9" customHeight="1" thickTop="1" thickBot="1">
      <c r="A933" s="31">
        <v>931</v>
      </c>
      <c r="B933" s="2"/>
      <c r="C933" s="3"/>
      <c r="D933" s="3"/>
      <c r="E933" s="4"/>
      <c r="F933" s="43"/>
      <c r="G933" s="4"/>
      <c r="H933" s="43"/>
      <c r="I933" s="4"/>
      <c r="J933" s="26"/>
      <c r="K933" s="27"/>
      <c r="L933" s="2"/>
      <c r="M933" s="4"/>
    </row>
    <row r="934" spans="1:13" ht="99.9" customHeight="1" thickTop="1" thickBot="1">
      <c r="A934" s="4">
        <v>932</v>
      </c>
      <c r="B934" s="2"/>
      <c r="C934" s="3"/>
      <c r="D934" s="3"/>
      <c r="E934" s="4"/>
      <c r="F934" s="43"/>
      <c r="G934" s="4"/>
      <c r="H934" s="43"/>
      <c r="I934" s="4"/>
      <c r="J934" s="26"/>
      <c r="K934" s="27"/>
      <c r="L934" s="2"/>
      <c r="M934" s="4"/>
    </row>
    <row r="935" spans="1:13" ht="99.9" customHeight="1" thickTop="1" thickBot="1">
      <c r="A935" s="31">
        <v>933</v>
      </c>
      <c r="B935" s="2"/>
      <c r="C935" s="3"/>
      <c r="D935" s="3"/>
      <c r="E935" s="4"/>
      <c r="F935" s="43"/>
      <c r="G935" s="4"/>
      <c r="H935" s="43"/>
      <c r="I935" s="4"/>
      <c r="J935" s="26"/>
      <c r="K935" s="27"/>
      <c r="L935" s="2"/>
      <c r="M935" s="4"/>
    </row>
    <row r="936" spans="1:13" ht="99.9" customHeight="1" thickTop="1" thickBot="1">
      <c r="A936" s="4">
        <v>934</v>
      </c>
      <c r="B936" s="2"/>
      <c r="C936" s="3"/>
      <c r="D936" s="3"/>
      <c r="E936" s="4"/>
      <c r="F936" s="43"/>
      <c r="G936" s="4"/>
      <c r="H936" s="43"/>
      <c r="I936" s="4"/>
      <c r="J936" s="26"/>
      <c r="K936" s="27"/>
      <c r="L936" s="2"/>
      <c r="M936" s="4"/>
    </row>
    <row r="937" spans="1:13" ht="99.9" customHeight="1" thickTop="1" thickBot="1">
      <c r="A937" s="31">
        <v>935</v>
      </c>
      <c r="B937" s="2"/>
      <c r="C937" s="3"/>
      <c r="D937" s="3"/>
      <c r="E937" s="4"/>
      <c r="F937" s="43"/>
      <c r="G937" s="4"/>
      <c r="H937" s="43"/>
      <c r="I937" s="4"/>
      <c r="J937" s="26"/>
      <c r="K937" s="27"/>
      <c r="L937" s="2"/>
      <c r="M937" s="4"/>
    </row>
    <row r="938" spans="1:13" ht="99.9" customHeight="1" thickTop="1" thickBot="1">
      <c r="A938" s="4">
        <v>936</v>
      </c>
      <c r="B938" s="2"/>
      <c r="C938" s="3"/>
      <c r="D938" s="3"/>
      <c r="E938" s="4"/>
      <c r="F938" s="43"/>
      <c r="G938" s="4"/>
      <c r="H938" s="43"/>
      <c r="I938" s="4"/>
      <c r="J938" s="26"/>
      <c r="K938" s="27"/>
      <c r="L938" s="2"/>
      <c r="M938" s="4"/>
    </row>
    <row r="939" spans="1:13" ht="99.9" customHeight="1" thickTop="1" thickBot="1">
      <c r="A939" s="31">
        <v>937</v>
      </c>
      <c r="B939" s="2"/>
      <c r="C939" s="3"/>
      <c r="D939" s="3"/>
      <c r="E939" s="4"/>
      <c r="F939" s="43"/>
      <c r="G939" s="4"/>
      <c r="H939" s="43"/>
      <c r="I939" s="4"/>
      <c r="J939" s="26"/>
      <c r="K939" s="27"/>
      <c r="L939" s="2"/>
      <c r="M939" s="4"/>
    </row>
    <row r="940" spans="1:13" ht="99.9" customHeight="1" thickTop="1" thickBot="1">
      <c r="A940" s="4">
        <v>938</v>
      </c>
      <c r="B940" s="2"/>
      <c r="C940" s="3"/>
      <c r="D940" s="3"/>
      <c r="E940" s="4"/>
      <c r="F940" s="43"/>
      <c r="G940" s="4"/>
      <c r="H940" s="43"/>
      <c r="I940" s="4"/>
      <c r="J940" s="26"/>
      <c r="K940" s="27"/>
      <c r="L940" s="2"/>
      <c r="M940" s="4"/>
    </row>
    <row r="941" spans="1:13" ht="99.9" customHeight="1" thickTop="1" thickBot="1">
      <c r="A941" s="31">
        <v>939</v>
      </c>
      <c r="B941" s="2"/>
      <c r="C941" s="3"/>
      <c r="D941" s="3"/>
      <c r="E941" s="4"/>
      <c r="F941" s="43"/>
      <c r="G941" s="4"/>
      <c r="H941" s="43"/>
      <c r="I941" s="4"/>
      <c r="J941" s="26"/>
      <c r="K941" s="27"/>
      <c r="L941" s="2"/>
      <c r="M941" s="4"/>
    </row>
    <row r="942" spans="1:13" ht="99.9" customHeight="1" thickTop="1" thickBot="1">
      <c r="A942" s="4">
        <v>940</v>
      </c>
      <c r="B942" s="2"/>
      <c r="C942" s="3"/>
      <c r="D942" s="3"/>
      <c r="E942" s="4"/>
      <c r="F942" s="43"/>
      <c r="G942" s="4"/>
      <c r="H942" s="43"/>
      <c r="I942" s="4"/>
      <c r="J942" s="26"/>
      <c r="K942" s="27"/>
      <c r="L942" s="2"/>
      <c r="M942" s="4"/>
    </row>
    <row r="943" spans="1:13" ht="99.9" customHeight="1" thickTop="1" thickBot="1">
      <c r="A943" s="31">
        <v>941</v>
      </c>
      <c r="B943" s="2"/>
      <c r="C943" s="3"/>
      <c r="D943" s="3"/>
      <c r="E943" s="4"/>
      <c r="F943" s="43"/>
      <c r="G943" s="4"/>
      <c r="H943" s="43"/>
      <c r="I943" s="4"/>
      <c r="J943" s="26"/>
      <c r="K943" s="27"/>
      <c r="L943" s="2"/>
      <c r="M943" s="4"/>
    </row>
    <row r="944" spans="1:13" ht="99.9" customHeight="1" thickTop="1" thickBot="1">
      <c r="A944" s="4">
        <v>942</v>
      </c>
      <c r="B944" s="2"/>
      <c r="C944" s="3"/>
      <c r="D944" s="3"/>
      <c r="E944" s="4"/>
      <c r="F944" s="43"/>
      <c r="G944" s="4"/>
      <c r="H944" s="43"/>
      <c r="I944" s="4"/>
      <c r="J944" s="26"/>
      <c r="K944" s="27"/>
      <c r="L944" s="2"/>
      <c r="M944" s="4"/>
    </row>
    <row r="945" spans="1:13" ht="99.9" customHeight="1" thickTop="1" thickBot="1">
      <c r="A945" s="31">
        <v>943</v>
      </c>
      <c r="B945" s="2"/>
      <c r="C945" s="3"/>
      <c r="D945" s="3"/>
      <c r="E945" s="4"/>
      <c r="F945" s="43"/>
      <c r="G945" s="4"/>
      <c r="H945" s="43"/>
      <c r="I945" s="4"/>
      <c r="J945" s="26"/>
      <c r="K945" s="27"/>
      <c r="L945" s="2"/>
      <c r="M945" s="4"/>
    </row>
    <row r="946" spans="1:13" ht="99.9" customHeight="1" thickTop="1" thickBot="1">
      <c r="A946" s="4">
        <v>944</v>
      </c>
      <c r="B946" s="2"/>
      <c r="C946" s="3"/>
      <c r="D946" s="3"/>
      <c r="E946" s="4"/>
      <c r="F946" s="43"/>
      <c r="G946" s="4"/>
      <c r="H946" s="43"/>
      <c r="I946" s="4"/>
      <c r="J946" s="26"/>
      <c r="K946" s="27"/>
      <c r="L946" s="2"/>
      <c r="M946" s="4"/>
    </row>
    <row r="947" spans="1:13" ht="99.9" customHeight="1" thickTop="1" thickBot="1">
      <c r="A947" s="31">
        <v>945</v>
      </c>
      <c r="B947" s="2"/>
      <c r="C947" s="3"/>
      <c r="D947" s="3"/>
      <c r="E947" s="4"/>
      <c r="F947" s="43"/>
      <c r="G947" s="4"/>
      <c r="H947" s="43"/>
      <c r="I947" s="4"/>
      <c r="J947" s="26"/>
      <c r="K947" s="27"/>
      <c r="L947" s="2"/>
      <c r="M947" s="4"/>
    </row>
    <row r="948" spans="1:13" ht="99.9" customHeight="1" thickTop="1" thickBot="1">
      <c r="A948" s="4">
        <v>946</v>
      </c>
      <c r="B948" s="2"/>
      <c r="C948" s="3"/>
      <c r="D948" s="3"/>
      <c r="E948" s="4"/>
      <c r="F948" s="43"/>
      <c r="G948" s="4"/>
      <c r="H948" s="43"/>
      <c r="I948" s="4"/>
      <c r="J948" s="26"/>
      <c r="K948" s="27"/>
      <c r="L948" s="2"/>
      <c r="M948" s="4"/>
    </row>
    <row r="949" spans="1:13" ht="99.9" customHeight="1" thickTop="1" thickBot="1">
      <c r="A949" s="31">
        <v>947</v>
      </c>
      <c r="B949" s="2"/>
      <c r="C949" s="3"/>
      <c r="D949" s="3"/>
      <c r="E949" s="4"/>
      <c r="F949" s="43"/>
      <c r="G949" s="4"/>
      <c r="H949" s="43"/>
      <c r="I949" s="4"/>
      <c r="J949" s="26"/>
      <c r="K949" s="27"/>
      <c r="L949" s="2"/>
      <c r="M949" s="4"/>
    </row>
    <row r="950" spans="1:13" ht="99.9" customHeight="1" thickTop="1" thickBot="1">
      <c r="A950" s="4">
        <v>948</v>
      </c>
      <c r="B950" s="2"/>
      <c r="C950" s="3"/>
      <c r="D950" s="3"/>
      <c r="E950" s="4"/>
      <c r="F950" s="43"/>
      <c r="G950" s="4"/>
      <c r="H950" s="43"/>
      <c r="I950" s="4"/>
      <c r="J950" s="26"/>
      <c r="K950" s="27"/>
      <c r="L950" s="2"/>
      <c r="M950" s="4"/>
    </row>
    <row r="951" spans="1:13" ht="99.9" customHeight="1" thickTop="1" thickBot="1">
      <c r="A951" s="31">
        <v>949</v>
      </c>
      <c r="B951" s="2"/>
      <c r="C951" s="3"/>
      <c r="D951" s="3"/>
      <c r="E951" s="4"/>
      <c r="F951" s="43"/>
      <c r="G951" s="4"/>
      <c r="H951" s="43"/>
      <c r="I951" s="4"/>
      <c r="J951" s="26"/>
      <c r="K951" s="27"/>
      <c r="L951" s="2"/>
      <c r="M951" s="4"/>
    </row>
    <row r="952" spans="1:13" ht="99.9" customHeight="1" thickTop="1" thickBot="1">
      <c r="A952" s="4">
        <v>950</v>
      </c>
      <c r="B952" s="2"/>
      <c r="C952" s="3"/>
      <c r="D952" s="3"/>
      <c r="E952" s="4"/>
      <c r="F952" s="43"/>
      <c r="G952" s="4"/>
      <c r="H952" s="43"/>
      <c r="I952" s="4"/>
      <c r="J952" s="26"/>
      <c r="K952" s="27"/>
      <c r="L952" s="2"/>
      <c r="M952" s="4"/>
    </row>
    <row r="953" spans="1:13" ht="99.9" customHeight="1" thickTop="1" thickBot="1">
      <c r="A953" s="31">
        <v>951</v>
      </c>
      <c r="B953" s="2"/>
      <c r="C953" s="3"/>
      <c r="D953" s="3"/>
      <c r="E953" s="4"/>
      <c r="F953" s="43"/>
      <c r="G953" s="4"/>
      <c r="H953" s="43"/>
      <c r="I953" s="4"/>
      <c r="J953" s="26"/>
      <c r="K953" s="27"/>
      <c r="L953" s="2"/>
      <c r="M953" s="4"/>
    </row>
    <row r="954" spans="1:13" ht="99.9" customHeight="1" thickTop="1" thickBot="1">
      <c r="A954" s="4">
        <v>952</v>
      </c>
      <c r="B954" s="2"/>
      <c r="C954" s="3"/>
      <c r="D954" s="3"/>
      <c r="E954" s="4"/>
      <c r="F954" s="43"/>
      <c r="G954" s="4"/>
      <c r="H954" s="43"/>
      <c r="I954" s="4"/>
      <c r="J954" s="26"/>
      <c r="K954" s="27"/>
      <c r="L954" s="2"/>
      <c r="M954" s="4"/>
    </row>
    <row r="955" spans="1:13" ht="99.9" customHeight="1" thickTop="1" thickBot="1">
      <c r="A955" s="31">
        <v>953</v>
      </c>
      <c r="B955" s="2"/>
      <c r="C955" s="3"/>
      <c r="D955" s="3"/>
      <c r="E955" s="4"/>
      <c r="F955" s="43"/>
      <c r="G955" s="4"/>
      <c r="H955" s="43"/>
      <c r="I955" s="4"/>
      <c r="J955" s="26"/>
      <c r="K955" s="27"/>
      <c r="L955" s="2"/>
      <c r="M955" s="4"/>
    </row>
    <row r="956" spans="1:13" ht="99.9" customHeight="1" thickTop="1" thickBot="1">
      <c r="A956" s="4">
        <v>954</v>
      </c>
      <c r="B956" s="2"/>
      <c r="C956" s="3"/>
      <c r="D956" s="3"/>
      <c r="E956" s="4"/>
      <c r="F956" s="43"/>
      <c r="G956" s="4"/>
      <c r="H956" s="43"/>
      <c r="I956" s="4"/>
      <c r="J956" s="26"/>
      <c r="K956" s="27"/>
      <c r="L956" s="2"/>
      <c r="M956" s="4"/>
    </row>
    <row r="957" spans="1:13" ht="99.9" customHeight="1" thickTop="1" thickBot="1">
      <c r="A957" s="31">
        <v>955</v>
      </c>
      <c r="B957" s="2"/>
      <c r="C957" s="3"/>
      <c r="D957" s="3"/>
      <c r="E957" s="4"/>
      <c r="F957" s="43"/>
      <c r="G957" s="4"/>
      <c r="H957" s="43"/>
      <c r="I957" s="4"/>
      <c r="J957" s="26"/>
      <c r="K957" s="27"/>
      <c r="L957" s="2"/>
      <c r="M957" s="4"/>
    </row>
    <row r="958" spans="1:13" ht="99.9" customHeight="1" thickTop="1" thickBot="1">
      <c r="A958" s="4">
        <v>956</v>
      </c>
      <c r="B958" s="2"/>
      <c r="C958" s="3"/>
      <c r="D958" s="3"/>
      <c r="E958" s="4"/>
      <c r="F958" s="43"/>
      <c r="G958" s="4"/>
      <c r="H958" s="43"/>
      <c r="I958" s="4"/>
      <c r="J958" s="26"/>
      <c r="K958" s="27"/>
      <c r="L958" s="2"/>
      <c r="M958" s="4"/>
    </row>
    <row r="959" spans="1:13" ht="99.9" customHeight="1" thickTop="1" thickBot="1">
      <c r="A959" s="31">
        <v>957</v>
      </c>
      <c r="B959" s="2"/>
      <c r="C959" s="3"/>
      <c r="D959" s="3"/>
      <c r="E959" s="4"/>
      <c r="F959" s="43"/>
      <c r="G959" s="4"/>
      <c r="H959" s="43"/>
      <c r="I959" s="4"/>
      <c r="J959" s="26"/>
      <c r="K959" s="27"/>
      <c r="L959" s="2"/>
      <c r="M959" s="4"/>
    </row>
    <row r="960" spans="1:13" ht="99.9" customHeight="1" thickTop="1" thickBot="1">
      <c r="A960" s="4">
        <v>958</v>
      </c>
      <c r="B960" s="2"/>
      <c r="C960" s="3"/>
      <c r="D960" s="3"/>
      <c r="E960" s="4"/>
      <c r="F960" s="43"/>
      <c r="G960" s="4"/>
      <c r="H960" s="43"/>
      <c r="I960" s="4"/>
      <c r="J960" s="26"/>
      <c r="K960" s="27"/>
      <c r="L960" s="2"/>
      <c r="M960" s="4"/>
    </row>
    <row r="961" spans="1:13" ht="99.9" customHeight="1" thickTop="1" thickBot="1">
      <c r="A961" s="31">
        <v>959</v>
      </c>
      <c r="B961" s="2"/>
      <c r="C961" s="3"/>
      <c r="D961" s="3"/>
      <c r="E961" s="4"/>
      <c r="F961" s="43"/>
      <c r="G961" s="4"/>
      <c r="H961" s="43"/>
      <c r="I961" s="4"/>
      <c r="J961" s="26"/>
      <c r="K961" s="27"/>
      <c r="L961" s="2"/>
      <c r="M961" s="4"/>
    </row>
    <row r="962" spans="1:13" ht="99.9" customHeight="1" thickTop="1" thickBot="1">
      <c r="A962" s="4">
        <v>960</v>
      </c>
      <c r="B962" s="2"/>
      <c r="C962" s="3"/>
      <c r="D962" s="3"/>
      <c r="E962" s="4"/>
      <c r="F962" s="43"/>
      <c r="G962" s="4"/>
      <c r="H962" s="43"/>
      <c r="I962" s="4"/>
      <c r="J962" s="26"/>
      <c r="K962" s="27"/>
      <c r="L962" s="2"/>
      <c r="M962" s="4"/>
    </row>
    <row r="963" spans="1:13" ht="99.9" customHeight="1" thickTop="1" thickBot="1">
      <c r="A963" s="31">
        <v>961</v>
      </c>
      <c r="B963" s="2"/>
      <c r="C963" s="3"/>
      <c r="D963" s="3"/>
      <c r="E963" s="4"/>
      <c r="F963" s="43"/>
      <c r="G963" s="4"/>
      <c r="H963" s="43"/>
      <c r="I963" s="4"/>
      <c r="J963" s="26"/>
      <c r="K963" s="27"/>
      <c r="L963" s="2"/>
      <c r="M963" s="4"/>
    </row>
    <row r="964" spans="1:13" ht="99.9" customHeight="1" thickTop="1" thickBot="1">
      <c r="A964" s="4">
        <v>962</v>
      </c>
      <c r="B964" s="2"/>
      <c r="C964" s="3"/>
      <c r="D964" s="3"/>
      <c r="E964" s="4"/>
      <c r="F964" s="43"/>
      <c r="G964" s="4"/>
      <c r="H964" s="43"/>
      <c r="I964" s="4"/>
      <c r="J964" s="26"/>
      <c r="K964" s="27"/>
      <c r="L964" s="2"/>
      <c r="M964" s="4"/>
    </row>
    <row r="965" spans="1:13" ht="99.9" customHeight="1" thickTop="1" thickBot="1">
      <c r="A965" s="31">
        <v>963</v>
      </c>
      <c r="B965" s="2"/>
      <c r="C965" s="3"/>
      <c r="D965" s="3"/>
      <c r="E965" s="4"/>
      <c r="F965" s="43"/>
      <c r="G965" s="4"/>
      <c r="H965" s="43"/>
      <c r="I965" s="4"/>
      <c r="J965" s="26"/>
      <c r="K965" s="27"/>
      <c r="L965" s="2"/>
      <c r="M965" s="4"/>
    </row>
    <row r="966" spans="1:13" ht="99.9" customHeight="1" thickTop="1" thickBot="1">
      <c r="A966" s="4">
        <v>964</v>
      </c>
      <c r="B966" s="2"/>
      <c r="C966" s="3"/>
      <c r="D966" s="3"/>
      <c r="E966" s="4"/>
      <c r="F966" s="43"/>
      <c r="G966" s="4"/>
      <c r="H966" s="43"/>
      <c r="I966" s="4"/>
      <c r="J966" s="26"/>
      <c r="K966" s="27"/>
      <c r="L966" s="2"/>
      <c r="M966" s="4"/>
    </row>
    <row r="967" spans="1:13" ht="99.9" customHeight="1" thickTop="1" thickBot="1">
      <c r="A967" s="31">
        <v>965</v>
      </c>
      <c r="B967" s="2"/>
      <c r="C967" s="3"/>
      <c r="D967" s="3"/>
      <c r="E967" s="4"/>
      <c r="F967" s="43"/>
      <c r="G967" s="4"/>
      <c r="H967" s="43"/>
      <c r="I967" s="4"/>
      <c r="J967" s="26"/>
      <c r="K967" s="27"/>
      <c r="L967" s="2"/>
      <c r="M967" s="4"/>
    </row>
    <row r="968" spans="1:13" ht="99.9" customHeight="1" thickTop="1" thickBot="1">
      <c r="A968" s="4">
        <v>966</v>
      </c>
      <c r="B968" s="2"/>
      <c r="C968" s="3"/>
      <c r="D968" s="3"/>
      <c r="E968" s="4"/>
      <c r="F968" s="43"/>
      <c r="G968" s="4"/>
      <c r="H968" s="43"/>
      <c r="I968" s="4"/>
      <c r="J968" s="26"/>
      <c r="K968" s="27"/>
      <c r="L968" s="2"/>
      <c r="M968" s="4"/>
    </row>
    <row r="969" spans="1:13" ht="99.9" customHeight="1" thickTop="1" thickBot="1">
      <c r="A969" s="31">
        <v>967</v>
      </c>
      <c r="B969" s="2"/>
      <c r="C969" s="3"/>
      <c r="D969" s="3"/>
      <c r="E969" s="4"/>
      <c r="F969" s="43"/>
      <c r="G969" s="4"/>
      <c r="H969" s="43"/>
      <c r="I969" s="4"/>
      <c r="J969" s="26"/>
      <c r="K969" s="27"/>
      <c r="L969" s="2"/>
      <c r="M969" s="4"/>
    </row>
    <row r="970" spans="1:13" ht="99.9" customHeight="1" thickTop="1" thickBot="1">
      <c r="A970" s="4">
        <v>968</v>
      </c>
      <c r="B970" s="2"/>
      <c r="C970" s="3"/>
      <c r="D970" s="3"/>
      <c r="E970" s="4"/>
      <c r="F970" s="43"/>
      <c r="G970" s="4"/>
      <c r="H970" s="43"/>
      <c r="I970" s="4"/>
      <c r="J970" s="26"/>
      <c r="K970" s="27"/>
      <c r="L970" s="2"/>
      <c r="M970" s="4"/>
    </row>
    <row r="971" spans="1:13" ht="99.9" customHeight="1" thickTop="1" thickBot="1">
      <c r="A971" s="31">
        <v>969</v>
      </c>
      <c r="B971" s="2"/>
      <c r="C971" s="3"/>
      <c r="D971" s="3"/>
      <c r="E971" s="4"/>
      <c r="F971" s="43"/>
      <c r="G971" s="4"/>
      <c r="H971" s="43"/>
      <c r="I971" s="4"/>
      <c r="J971" s="26"/>
      <c r="K971" s="27"/>
      <c r="L971" s="2"/>
      <c r="M971" s="4"/>
    </row>
    <row r="972" spans="1:13" ht="99.9" customHeight="1" thickTop="1" thickBot="1">
      <c r="A972" s="4">
        <v>970</v>
      </c>
      <c r="B972" s="2"/>
      <c r="C972" s="3"/>
      <c r="D972" s="3"/>
      <c r="E972" s="4"/>
      <c r="F972" s="43"/>
      <c r="G972" s="4"/>
      <c r="H972" s="43"/>
      <c r="I972" s="4"/>
      <c r="J972" s="26"/>
      <c r="K972" s="27"/>
      <c r="L972" s="2"/>
      <c r="M972" s="4"/>
    </row>
    <row r="973" spans="1:13" ht="99.9" customHeight="1" thickTop="1" thickBot="1">
      <c r="A973" s="31">
        <v>971</v>
      </c>
      <c r="B973" s="2"/>
      <c r="C973" s="3"/>
      <c r="D973" s="3"/>
      <c r="E973" s="4"/>
      <c r="F973" s="43"/>
      <c r="G973" s="4"/>
      <c r="H973" s="43"/>
      <c r="I973" s="4"/>
      <c r="J973" s="26"/>
      <c r="K973" s="27"/>
      <c r="L973" s="2"/>
      <c r="M973" s="4"/>
    </row>
    <row r="974" spans="1:13" ht="99.9" customHeight="1" thickTop="1" thickBot="1">
      <c r="A974" s="4">
        <v>972</v>
      </c>
      <c r="B974" s="2"/>
      <c r="C974" s="3"/>
      <c r="D974" s="3"/>
      <c r="E974" s="4"/>
      <c r="F974" s="43"/>
      <c r="G974" s="4"/>
      <c r="H974" s="43"/>
      <c r="I974" s="4"/>
      <c r="J974" s="26"/>
      <c r="K974" s="27"/>
      <c r="L974" s="2"/>
      <c r="M974" s="4"/>
    </row>
    <row r="975" spans="1:13" ht="99.9" customHeight="1" thickTop="1" thickBot="1">
      <c r="A975" s="31">
        <v>973</v>
      </c>
      <c r="B975" s="2"/>
      <c r="C975" s="3"/>
      <c r="D975" s="3"/>
      <c r="E975" s="4"/>
      <c r="F975" s="43"/>
      <c r="G975" s="4"/>
      <c r="H975" s="43"/>
      <c r="I975" s="4"/>
      <c r="J975" s="26"/>
      <c r="K975" s="27"/>
      <c r="L975" s="2"/>
      <c r="M975" s="4"/>
    </row>
    <row r="976" spans="1:13" ht="99.9" customHeight="1" thickTop="1" thickBot="1">
      <c r="A976" s="4">
        <v>974</v>
      </c>
      <c r="B976" s="2"/>
      <c r="C976" s="3"/>
      <c r="D976" s="3"/>
      <c r="E976" s="4"/>
      <c r="F976" s="43"/>
      <c r="G976" s="4"/>
      <c r="H976" s="43"/>
      <c r="I976" s="4"/>
      <c r="J976" s="26"/>
      <c r="K976" s="27"/>
      <c r="L976" s="2"/>
      <c r="M976" s="4"/>
    </row>
    <row r="977" spans="1:13" ht="99.9" customHeight="1" thickTop="1" thickBot="1">
      <c r="A977" s="31">
        <v>975</v>
      </c>
      <c r="B977" s="2"/>
      <c r="C977" s="3"/>
      <c r="D977" s="3"/>
      <c r="E977" s="4"/>
      <c r="F977" s="43"/>
      <c r="G977" s="4"/>
      <c r="H977" s="43"/>
      <c r="I977" s="4"/>
      <c r="J977" s="26"/>
      <c r="K977" s="27"/>
      <c r="L977" s="2"/>
      <c r="M977" s="4"/>
    </row>
    <row r="978" spans="1:13" ht="99.9" customHeight="1" thickTop="1" thickBot="1">
      <c r="A978" s="4">
        <v>976</v>
      </c>
      <c r="B978" s="2"/>
      <c r="C978" s="3"/>
      <c r="D978" s="3"/>
      <c r="E978" s="4"/>
      <c r="F978" s="43"/>
      <c r="G978" s="4"/>
      <c r="H978" s="43"/>
      <c r="I978" s="4"/>
      <c r="J978" s="26"/>
      <c r="K978" s="27"/>
      <c r="L978" s="2"/>
      <c r="M978" s="4"/>
    </row>
    <row r="979" spans="1:13" ht="99.9" customHeight="1" thickTop="1" thickBot="1">
      <c r="A979" s="31">
        <v>977</v>
      </c>
      <c r="B979" s="2"/>
      <c r="C979" s="3"/>
      <c r="D979" s="3"/>
      <c r="E979" s="4"/>
      <c r="F979" s="43"/>
      <c r="G979" s="4"/>
      <c r="H979" s="43"/>
      <c r="I979" s="4"/>
      <c r="J979" s="26"/>
      <c r="K979" s="27"/>
      <c r="L979" s="2"/>
      <c r="M979" s="4"/>
    </row>
    <row r="980" spans="1:13" ht="99.9" customHeight="1" thickTop="1" thickBot="1">
      <c r="A980" s="4">
        <v>978</v>
      </c>
      <c r="B980" s="2"/>
      <c r="C980" s="3"/>
      <c r="D980" s="3"/>
      <c r="E980" s="4"/>
      <c r="F980" s="43"/>
      <c r="G980" s="4"/>
      <c r="H980" s="43"/>
      <c r="I980" s="4"/>
      <c r="J980" s="26"/>
      <c r="K980" s="27"/>
      <c r="L980" s="2"/>
      <c r="M980" s="4"/>
    </row>
    <row r="981" spans="1:13" ht="99.9" customHeight="1" thickTop="1" thickBot="1">
      <c r="A981" s="31">
        <v>979</v>
      </c>
      <c r="B981" s="2"/>
      <c r="C981" s="3"/>
      <c r="D981" s="3"/>
      <c r="E981" s="4"/>
      <c r="F981" s="43"/>
      <c r="G981" s="4"/>
      <c r="H981" s="43"/>
      <c r="I981" s="4"/>
      <c r="J981" s="26"/>
      <c r="K981" s="27"/>
      <c r="L981" s="2"/>
      <c r="M981" s="4"/>
    </row>
    <row r="982" spans="1:13" ht="99.9" customHeight="1" thickTop="1" thickBot="1">
      <c r="A982" s="4">
        <v>980</v>
      </c>
      <c r="B982" s="2"/>
      <c r="C982" s="3"/>
      <c r="D982" s="3"/>
      <c r="E982" s="4"/>
      <c r="F982" s="43"/>
      <c r="G982" s="4"/>
      <c r="H982" s="43"/>
      <c r="I982" s="4"/>
      <c r="J982" s="26"/>
      <c r="K982" s="27"/>
      <c r="L982" s="2"/>
      <c r="M982" s="4"/>
    </row>
    <row r="983" spans="1:13" ht="99.9" customHeight="1" thickTop="1" thickBot="1">
      <c r="A983" s="31">
        <v>981</v>
      </c>
      <c r="B983" s="2"/>
      <c r="C983" s="3"/>
      <c r="D983" s="3"/>
      <c r="E983" s="4"/>
      <c r="F983" s="43"/>
      <c r="G983" s="4"/>
      <c r="H983" s="43"/>
      <c r="I983" s="4"/>
      <c r="J983" s="26"/>
      <c r="K983" s="27"/>
      <c r="L983" s="2"/>
      <c r="M983" s="4"/>
    </row>
    <row r="984" spans="1:13" ht="99.9" customHeight="1" thickTop="1" thickBot="1">
      <c r="A984" s="4">
        <v>982</v>
      </c>
      <c r="B984" s="2"/>
      <c r="C984" s="3"/>
      <c r="D984" s="3"/>
      <c r="E984" s="4"/>
      <c r="F984" s="43"/>
      <c r="G984" s="4"/>
      <c r="H984" s="43"/>
      <c r="I984" s="4"/>
      <c r="J984" s="26"/>
      <c r="K984" s="27"/>
      <c r="L984" s="2"/>
      <c r="M984" s="4"/>
    </row>
    <row r="985" spans="1:13" ht="99.9" customHeight="1" thickTop="1" thickBot="1">
      <c r="A985" s="31">
        <v>983</v>
      </c>
      <c r="B985" s="2"/>
      <c r="C985" s="3"/>
      <c r="D985" s="3"/>
      <c r="E985" s="4"/>
      <c r="F985" s="43"/>
      <c r="G985" s="4"/>
      <c r="H985" s="43"/>
      <c r="I985" s="4"/>
      <c r="J985" s="26"/>
      <c r="K985" s="27"/>
      <c r="L985" s="2"/>
      <c r="M985" s="4"/>
    </row>
    <row r="986" spans="1:13" ht="99.9" customHeight="1" thickTop="1" thickBot="1">
      <c r="A986" s="4">
        <v>984</v>
      </c>
      <c r="B986" s="2"/>
      <c r="C986" s="3"/>
      <c r="D986" s="3"/>
      <c r="E986" s="4"/>
      <c r="F986" s="43"/>
      <c r="G986" s="4"/>
      <c r="H986" s="43"/>
      <c r="I986" s="4"/>
      <c r="J986" s="26"/>
      <c r="K986" s="27"/>
      <c r="L986" s="2"/>
      <c r="M986" s="4"/>
    </row>
    <row r="987" spans="1:13" ht="99.9" customHeight="1" thickTop="1" thickBot="1">
      <c r="A987" s="31">
        <v>985</v>
      </c>
      <c r="B987" s="2"/>
      <c r="C987" s="3"/>
      <c r="D987" s="3"/>
      <c r="E987" s="4"/>
      <c r="F987" s="43"/>
      <c r="G987" s="4"/>
      <c r="H987" s="43"/>
      <c r="I987" s="4"/>
      <c r="J987" s="26"/>
      <c r="K987" s="27"/>
      <c r="L987" s="2"/>
      <c r="M987" s="4"/>
    </row>
    <row r="988" spans="1:13" ht="99.9" customHeight="1" thickTop="1" thickBot="1">
      <c r="A988" s="4">
        <v>986</v>
      </c>
      <c r="B988" s="2"/>
      <c r="C988" s="3"/>
      <c r="D988" s="3"/>
      <c r="E988" s="4"/>
      <c r="F988" s="43"/>
      <c r="G988" s="4"/>
      <c r="H988" s="43"/>
      <c r="I988" s="4"/>
      <c r="J988" s="26"/>
      <c r="K988" s="27"/>
      <c r="L988" s="2"/>
      <c r="M988" s="4"/>
    </row>
    <row r="989" spans="1:13" ht="99.9" customHeight="1" thickTop="1" thickBot="1">
      <c r="A989" s="31">
        <v>987</v>
      </c>
      <c r="B989" s="2"/>
      <c r="C989" s="3"/>
      <c r="D989" s="3"/>
      <c r="E989" s="4"/>
      <c r="F989" s="43"/>
      <c r="G989" s="4"/>
      <c r="H989" s="43"/>
      <c r="I989" s="4"/>
      <c r="J989" s="26"/>
      <c r="K989" s="27"/>
      <c r="L989" s="2"/>
      <c r="M989" s="4"/>
    </row>
    <row r="990" spans="1:13" ht="99.9" customHeight="1" thickTop="1" thickBot="1">
      <c r="A990" s="4">
        <v>988</v>
      </c>
      <c r="B990" s="2"/>
      <c r="C990" s="3"/>
      <c r="D990" s="3"/>
      <c r="E990" s="4"/>
      <c r="F990" s="43"/>
      <c r="G990" s="4"/>
      <c r="H990" s="43"/>
      <c r="I990" s="4"/>
      <c r="J990" s="26"/>
      <c r="K990" s="27"/>
      <c r="L990" s="2"/>
      <c r="M990" s="4"/>
    </row>
    <row r="991" spans="1:13" ht="99.9" customHeight="1" thickTop="1" thickBot="1">
      <c r="A991" s="31">
        <v>989</v>
      </c>
      <c r="B991" s="2"/>
      <c r="C991" s="3"/>
      <c r="D991" s="3"/>
      <c r="E991" s="4"/>
      <c r="F991" s="43"/>
      <c r="G991" s="4"/>
      <c r="H991" s="43"/>
      <c r="I991" s="4"/>
      <c r="J991" s="26"/>
      <c r="K991" s="27"/>
      <c r="L991" s="2"/>
      <c r="M991" s="4"/>
    </row>
    <row r="992" spans="1:13" ht="99.9" customHeight="1" thickTop="1" thickBot="1">
      <c r="A992" s="4">
        <v>990</v>
      </c>
      <c r="B992" s="2"/>
      <c r="C992" s="3"/>
      <c r="D992" s="3"/>
      <c r="E992" s="4"/>
      <c r="F992" s="43"/>
      <c r="G992" s="4"/>
      <c r="H992" s="43"/>
      <c r="I992" s="4"/>
      <c r="J992" s="26"/>
      <c r="K992" s="27"/>
      <c r="L992" s="2"/>
      <c r="M992" s="4"/>
    </row>
    <row r="993" spans="1:13" ht="99.9" customHeight="1" thickTop="1" thickBot="1">
      <c r="A993" s="31">
        <v>991</v>
      </c>
      <c r="B993" s="2"/>
      <c r="C993" s="3"/>
      <c r="D993" s="3"/>
      <c r="E993" s="4"/>
      <c r="F993" s="43"/>
      <c r="G993" s="4"/>
      <c r="H993" s="43"/>
      <c r="I993" s="4"/>
      <c r="J993" s="26"/>
      <c r="K993" s="27"/>
      <c r="L993" s="2"/>
      <c r="M993" s="4"/>
    </row>
    <row r="994" spans="1:13" ht="99.9" customHeight="1" thickTop="1" thickBot="1">
      <c r="A994" s="4">
        <v>992</v>
      </c>
      <c r="B994" s="2"/>
      <c r="C994" s="3"/>
      <c r="D994" s="3"/>
      <c r="E994" s="4"/>
      <c r="F994" s="43"/>
      <c r="G994" s="4"/>
      <c r="H994" s="43"/>
      <c r="I994" s="4"/>
      <c r="J994" s="26"/>
      <c r="K994" s="27"/>
      <c r="L994" s="2"/>
      <c r="M994" s="4"/>
    </row>
    <row r="995" spans="1:13" ht="99.9" customHeight="1" thickTop="1" thickBot="1">
      <c r="A995" s="31">
        <v>993</v>
      </c>
      <c r="B995" s="2"/>
      <c r="C995" s="3"/>
      <c r="D995" s="3"/>
      <c r="E995" s="4"/>
      <c r="F995" s="43"/>
      <c r="G995" s="4"/>
      <c r="H995" s="43"/>
      <c r="I995" s="4"/>
      <c r="J995" s="26"/>
      <c r="K995" s="27"/>
      <c r="L995" s="2"/>
      <c r="M995" s="4"/>
    </row>
    <row r="996" spans="1:13" ht="99.9" customHeight="1" thickTop="1" thickBot="1">
      <c r="A996" s="4">
        <v>994</v>
      </c>
      <c r="B996" s="2"/>
      <c r="C996" s="3"/>
      <c r="D996" s="3"/>
      <c r="E996" s="4"/>
      <c r="F996" s="43"/>
      <c r="G996" s="4"/>
      <c r="H996" s="43"/>
      <c r="I996" s="4"/>
      <c r="J996" s="26"/>
      <c r="K996" s="27"/>
      <c r="L996" s="2"/>
      <c r="M996" s="4"/>
    </row>
    <row r="997" spans="1:13" ht="99.9" customHeight="1" thickTop="1" thickBot="1">
      <c r="A997" s="31">
        <v>995</v>
      </c>
      <c r="B997" s="2"/>
      <c r="C997" s="3"/>
      <c r="D997" s="3"/>
      <c r="E997" s="4"/>
      <c r="F997" s="43"/>
      <c r="G997" s="4"/>
      <c r="H997" s="43"/>
      <c r="I997" s="4"/>
      <c r="J997" s="26"/>
      <c r="K997" s="27"/>
      <c r="L997" s="2"/>
      <c r="M997" s="4"/>
    </row>
    <row r="998" spans="1:13" ht="99.9" customHeight="1" thickTop="1" thickBot="1">
      <c r="A998" s="4">
        <v>996</v>
      </c>
      <c r="B998" s="2"/>
      <c r="C998" s="3"/>
      <c r="D998" s="3"/>
      <c r="E998" s="4"/>
      <c r="F998" s="43"/>
      <c r="G998" s="4"/>
      <c r="H998" s="43"/>
      <c r="I998" s="4"/>
      <c r="J998" s="26"/>
      <c r="K998" s="27"/>
      <c r="L998" s="2"/>
      <c r="M998" s="4"/>
    </row>
    <row r="999" spans="1:13" ht="99.9" customHeight="1" thickTop="1" thickBot="1">
      <c r="A999" s="31">
        <v>997</v>
      </c>
      <c r="B999" s="2"/>
      <c r="C999" s="3"/>
      <c r="D999" s="3"/>
      <c r="E999" s="4"/>
      <c r="F999" s="43"/>
      <c r="G999" s="4"/>
      <c r="H999" s="43"/>
      <c r="I999" s="4"/>
      <c r="J999" s="26"/>
      <c r="K999" s="27"/>
      <c r="L999" s="2"/>
      <c r="M999" s="4"/>
    </row>
    <row r="1000" spans="1:13" ht="99.9" customHeight="1" thickTop="1" thickBot="1">
      <c r="A1000" s="4">
        <v>998</v>
      </c>
      <c r="B1000" s="2"/>
      <c r="C1000" s="3"/>
      <c r="D1000" s="3"/>
      <c r="E1000" s="4"/>
      <c r="F1000" s="43"/>
      <c r="G1000" s="4"/>
      <c r="H1000" s="43"/>
      <c r="I1000" s="4"/>
      <c r="J1000" s="26"/>
      <c r="K1000" s="27"/>
      <c r="L1000" s="2"/>
      <c r="M1000" s="4"/>
    </row>
    <row r="1001" spans="1:13" ht="99.9" customHeight="1" thickTop="1" thickBot="1">
      <c r="A1001" s="31">
        <v>999</v>
      </c>
      <c r="B1001" s="2"/>
      <c r="C1001" s="3"/>
      <c r="D1001" s="3"/>
      <c r="E1001" s="4"/>
      <c r="F1001" s="43"/>
      <c r="G1001" s="4"/>
      <c r="H1001" s="43"/>
      <c r="I1001" s="4"/>
      <c r="J1001" s="26"/>
      <c r="K1001" s="27"/>
      <c r="L1001" s="2"/>
      <c r="M1001" s="4"/>
    </row>
    <row r="1002" spans="1:13" ht="99.9" customHeight="1" thickTop="1" thickBot="1">
      <c r="A1002" s="4">
        <v>1000</v>
      </c>
      <c r="B1002" s="44"/>
      <c r="C1002" s="45"/>
      <c r="D1002" s="45"/>
      <c r="E1002" s="46"/>
      <c r="F1002" s="47"/>
      <c r="G1002" s="46"/>
      <c r="H1002" s="47"/>
      <c r="I1002" s="46"/>
      <c r="J1002" s="48"/>
      <c r="K1002" s="49"/>
      <c r="L1002" s="44"/>
      <c r="M1002" s="46"/>
    </row>
    <row r="1003" spans="1:13" ht="99.9" customHeight="1" thickTop="1" thickBot="1">
      <c r="A1003" s="31">
        <v>1001</v>
      </c>
      <c r="B1003" s="2"/>
      <c r="C1003" s="3"/>
      <c r="D1003" s="3"/>
      <c r="E1003" s="4"/>
      <c r="F1003" s="43"/>
      <c r="G1003" s="4"/>
      <c r="H1003" s="43"/>
      <c r="I1003" s="4"/>
      <c r="J1003" s="26"/>
      <c r="K1003" s="27"/>
      <c r="L1003" s="2"/>
      <c r="M1003" s="24"/>
    </row>
    <row r="1004" spans="1:13" ht="99.9" customHeight="1" thickTop="1" thickBot="1">
      <c r="A1004" s="4">
        <v>1002</v>
      </c>
      <c r="B1004" s="2"/>
      <c r="C1004" s="3"/>
      <c r="D1004" s="3"/>
      <c r="E1004" s="4"/>
      <c r="F1004" s="43"/>
      <c r="G1004" s="4"/>
      <c r="H1004" s="43"/>
      <c r="I1004" s="4"/>
      <c r="J1004" s="26"/>
      <c r="K1004" s="27"/>
      <c r="L1004" s="2"/>
      <c r="M1004" s="24"/>
    </row>
    <row r="1005" spans="1:13" ht="99.9" customHeight="1" thickTop="1" thickBot="1">
      <c r="A1005" s="31">
        <v>1003</v>
      </c>
      <c r="B1005" s="2"/>
      <c r="C1005" s="3"/>
      <c r="D1005" s="3"/>
      <c r="E1005" s="4"/>
      <c r="F1005" s="43"/>
      <c r="G1005" s="4"/>
      <c r="H1005" s="43"/>
      <c r="I1005" s="4"/>
      <c r="J1005" s="26"/>
      <c r="K1005" s="27"/>
      <c r="L1005" s="2"/>
      <c r="M1005" s="24"/>
    </row>
    <row r="1006" spans="1:13" ht="99.9" customHeight="1" thickTop="1" thickBot="1">
      <c r="A1006" s="4">
        <v>1004</v>
      </c>
      <c r="B1006" s="2"/>
      <c r="C1006" s="3"/>
      <c r="D1006" s="3"/>
      <c r="E1006" s="4"/>
      <c r="F1006" s="43"/>
      <c r="G1006" s="4"/>
      <c r="H1006" s="43"/>
      <c r="I1006" s="4"/>
      <c r="J1006" s="26"/>
      <c r="K1006" s="27"/>
      <c r="L1006" s="2"/>
      <c r="M1006" s="24"/>
    </row>
    <row r="1007" spans="1:13" ht="99.9" customHeight="1" thickTop="1" thickBot="1">
      <c r="A1007" s="31">
        <v>1005</v>
      </c>
      <c r="B1007" s="2"/>
      <c r="C1007" s="3"/>
      <c r="D1007" s="3"/>
      <c r="E1007" s="4"/>
      <c r="F1007" s="43"/>
      <c r="G1007" s="4"/>
      <c r="H1007" s="43"/>
      <c r="I1007" s="4"/>
      <c r="J1007" s="26"/>
      <c r="K1007" s="27"/>
      <c r="L1007" s="2"/>
      <c r="M1007" s="24"/>
    </row>
    <row r="1008" spans="1:13" ht="99.9" customHeight="1" thickTop="1" thickBot="1">
      <c r="A1008" s="4"/>
      <c r="B1008" s="2"/>
      <c r="C1008" s="3"/>
      <c r="D1008" s="3"/>
      <c r="E1008" s="4"/>
      <c r="F1008" s="43"/>
      <c r="G1008" s="4"/>
      <c r="H1008" s="43"/>
      <c r="I1008" s="4"/>
      <c r="J1008" s="26"/>
      <c r="K1008" s="27"/>
      <c r="L1008" s="2"/>
      <c r="M1008" s="24"/>
    </row>
    <row r="1009" spans="1:13" ht="99.9" customHeight="1" thickTop="1" thickBot="1">
      <c r="A1009" s="4"/>
      <c r="B1009" s="2"/>
      <c r="C1009" s="3"/>
      <c r="D1009" s="3"/>
      <c r="E1009" s="4"/>
      <c r="F1009" s="43"/>
      <c r="G1009" s="4"/>
      <c r="H1009" s="43"/>
      <c r="I1009" s="4"/>
      <c r="J1009" s="26"/>
      <c r="K1009" s="27"/>
      <c r="L1009" s="2"/>
      <c r="M1009" s="24"/>
    </row>
    <row r="1010" spans="1:13" ht="99.9" customHeight="1" thickTop="1" thickBot="1">
      <c r="A1010" s="4"/>
      <c r="B1010" s="2"/>
      <c r="C1010" s="3"/>
      <c r="D1010" s="3"/>
      <c r="E1010" s="4"/>
      <c r="F1010" s="43"/>
      <c r="G1010" s="4"/>
      <c r="H1010" s="43"/>
      <c r="I1010" s="4"/>
      <c r="J1010" s="26"/>
      <c r="K1010" s="27"/>
      <c r="L1010" s="2"/>
      <c r="M1010" s="24"/>
    </row>
    <row r="1011" spans="1:13" ht="99.9" customHeight="1" thickTop="1" thickBot="1">
      <c r="A1011" s="4"/>
      <c r="B1011" s="2"/>
      <c r="C1011" s="3"/>
      <c r="D1011" s="3"/>
      <c r="E1011" s="4"/>
      <c r="F1011" s="43"/>
      <c r="G1011" s="4"/>
      <c r="H1011" s="43"/>
      <c r="I1011" s="4"/>
      <c r="J1011" s="26"/>
      <c r="K1011" s="27"/>
      <c r="L1011" s="2"/>
      <c r="M1011" s="24"/>
    </row>
    <row r="1012" spans="1:13" ht="99.9" customHeight="1" thickTop="1" thickBot="1">
      <c r="A1012" s="4"/>
      <c r="B1012" s="2"/>
      <c r="C1012" s="3"/>
      <c r="D1012" s="3"/>
      <c r="E1012" s="4"/>
      <c r="F1012" s="43"/>
      <c r="G1012" s="4"/>
      <c r="H1012" s="43"/>
      <c r="I1012" s="4"/>
      <c r="J1012" s="26"/>
      <c r="K1012" s="27"/>
      <c r="L1012" s="2"/>
      <c r="M1012" s="24"/>
    </row>
    <row r="1013" spans="1:13" ht="99.9" customHeight="1" thickTop="1" thickBot="1">
      <c r="A1013" s="4"/>
      <c r="B1013" s="2"/>
      <c r="C1013" s="3"/>
      <c r="D1013" s="3"/>
      <c r="E1013" s="4"/>
      <c r="F1013" s="43"/>
      <c r="G1013" s="4"/>
      <c r="H1013" s="43"/>
      <c r="I1013" s="4"/>
      <c r="J1013" s="26"/>
      <c r="K1013" s="27"/>
      <c r="L1013" s="2"/>
      <c r="M1013" s="24"/>
    </row>
    <row r="1014" spans="1:13" ht="99.9" customHeight="1" thickTop="1" thickBot="1">
      <c r="A1014" s="4"/>
      <c r="B1014" s="2"/>
      <c r="C1014" s="3"/>
      <c r="D1014" s="3"/>
      <c r="E1014" s="4"/>
      <c r="F1014" s="43"/>
      <c r="G1014" s="4"/>
      <c r="H1014" s="43"/>
      <c r="I1014" s="4"/>
      <c r="J1014" s="26"/>
      <c r="K1014" s="27"/>
      <c r="L1014" s="2"/>
      <c r="M1014" s="24"/>
    </row>
    <row r="1015" spans="1:13" ht="99.9" customHeight="1" thickTop="1" thickBot="1">
      <c r="A1015" s="4"/>
      <c r="B1015" s="2"/>
      <c r="C1015" s="3"/>
      <c r="D1015" s="3"/>
      <c r="E1015" s="4"/>
      <c r="F1015" s="43"/>
      <c r="G1015" s="4"/>
      <c r="H1015" s="43"/>
      <c r="I1015" s="4"/>
      <c r="J1015" s="26"/>
      <c r="K1015" s="27"/>
      <c r="L1015" s="2"/>
      <c r="M1015" s="24"/>
    </row>
    <row r="1016" spans="1:13" ht="99.9" customHeight="1" thickTop="1" thickBot="1">
      <c r="A1016" s="4"/>
      <c r="B1016" s="2"/>
      <c r="C1016" s="3"/>
      <c r="D1016" s="3"/>
      <c r="E1016" s="4"/>
      <c r="F1016" s="43"/>
      <c r="G1016" s="4"/>
      <c r="H1016" s="43"/>
      <c r="I1016" s="4"/>
      <c r="J1016" s="26"/>
      <c r="K1016" s="27"/>
      <c r="L1016" s="2"/>
      <c r="M1016" s="24"/>
    </row>
    <row r="1017" spans="1:13" ht="99.9" customHeight="1" thickTop="1" thickBot="1">
      <c r="A1017" s="4"/>
      <c r="B1017" s="2"/>
      <c r="C1017" s="3"/>
      <c r="D1017" s="3"/>
      <c r="E1017" s="4"/>
      <c r="F1017" s="43"/>
      <c r="G1017" s="4"/>
      <c r="H1017" s="43"/>
      <c r="I1017" s="4"/>
      <c r="J1017" s="26"/>
      <c r="K1017" s="27"/>
      <c r="L1017" s="2"/>
      <c r="M1017" s="24"/>
    </row>
    <row r="1018" spans="1:13" ht="99.9" customHeight="1" thickTop="1" thickBot="1">
      <c r="A1018" s="4"/>
      <c r="B1018" s="2"/>
      <c r="C1018" s="3"/>
      <c r="D1018" s="3"/>
      <c r="E1018" s="4"/>
      <c r="F1018" s="43"/>
      <c r="G1018" s="4"/>
      <c r="H1018" s="43"/>
      <c r="I1018" s="4"/>
      <c r="J1018" s="26"/>
      <c r="K1018" s="27"/>
      <c r="L1018" s="2"/>
      <c r="M1018" s="24"/>
    </row>
    <row r="1019" spans="1:13" ht="99.9" customHeight="1" thickTop="1" thickBot="1">
      <c r="A1019" s="4"/>
      <c r="B1019" s="2"/>
      <c r="C1019" s="3"/>
      <c r="D1019" s="3"/>
      <c r="E1019" s="4"/>
      <c r="F1019" s="43"/>
      <c r="G1019" s="4"/>
      <c r="H1019" s="43"/>
      <c r="I1019" s="4"/>
      <c r="J1019" s="26"/>
      <c r="K1019" s="27"/>
      <c r="L1019" s="2"/>
      <c r="M1019" s="24"/>
    </row>
    <row r="1020" spans="1:13" ht="99.9" customHeight="1" thickTop="1" thickBot="1">
      <c r="A1020" s="4"/>
      <c r="B1020" s="2"/>
      <c r="C1020" s="3"/>
      <c r="D1020" s="3"/>
      <c r="E1020" s="4"/>
      <c r="F1020" s="43"/>
      <c r="G1020" s="4"/>
      <c r="H1020" s="43"/>
      <c r="I1020" s="4"/>
      <c r="J1020" s="26"/>
      <c r="K1020" s="27"/>
      <c r="L1020" s="2"/>
      <c r="M1020" s="24"/>
    </row>
    <row r="1021" spans="1:13" ht="99.9" customHeight="1" thickTop="1" thickBot="1">
      <c r="A1021" s="4"/>
      <c r="B1021" s="2"/>
      <c r="C1021" s="3"/>
      <c r="D1021" s="3"/>
      <c r="E1021" s="4"/>
      <c r="F1021" s="43"/>
      <c r="G1021" s="4"/>
      <c r="H1021" s="43"/>
      <c r="I1021" s="4"/>
      <c r="J1021" s="26"/>
      <c r="K1021" s="27"/>
      <c r="L1021" s="2"/>
      <c r="M1021" s="24"/>
    </row>
    <row r="1022" spans="1:13" ht="99.9" customHeight="1" thickTop="1" thickBot="1">
      <c r="A1022" s="4"/>
      <c r="B1022" s="2"/>
      <c r="C1022" s="3"/>
      <c r="D1022" s="3"/>
      <c r="E1022" s="4"/>
      <c r="F1022" s="43"/>
      <c r="G1022" s="4"/>
      <c r="H1022" s="43"/>
      <c r="I1022" s="4"/>
      <c r="J1022" s="26"/>
      <c r="K1022" s="27"/>
      <c r="L1022" s="2"/>
      <c r="M1022" s="24"/>
    </row>
    <row r="1023" spans="1:13" ht="99.9" customHeight="1" thickTop="1" thickBot="1">
      <c r="A1023" s="4"/>
      <c r="B1023" s="2"/>
      <c r="C1023" s="3"/>
      <c r="D1023" s="3"/>
      <c r="E1023" s="4"/>
      <c r="F1023" s="43"/>
      <c r="G1023" s="4"/>
      <c r="H1023" s="43"/>
      <c r="I1023" s="4"/>
      <c r="J1023" s="26"/>
      <c r="K1023" s="27"/>
      <c r="L1023" s="2"/>
      <c r="M1023" s="24"/>
    </row>
    <row r="1024" spans="1:13" ht="99.9" customHeight="1" thickTop="1" thickBot="1">
      <c r="A1024" s="4"/>
      <c r="B1024" s="2"/>
      <c r="C1024" s="3"/>
      <c r="D1024" s="3"/>
      <c r="E1024" s="4"/>
      <c r="F1024" s="43"/>
      <c r="G1024" s="4"/>
      <c r="H1024" s="43"/>
      <c r="I1024" s="4"/>
      <c r="J1024" s="26"/>
      <c r="K1024" s="27"/>
      <c r="L1024" s="2"/>
      <c r="M1024" s="24"/>
    </row>
    <row r="1025" spans="1:13" ht="99.9" customHeight="1" thickTop="1" thickBot="1">
      <c r="A1025" s="4"/>
      <c r="B1025" s="2"/>
      <c r="C1025" s="3"/>
      <c r="D1025" s="3"/>
      <c r="E1025" s="4"/>
      <c r="F1025" s="43"/>
      <c r="G1025" s="4"/>
      <c r="H1025" s="43"/>
      <c r="I1025" s="4"/>
      <c r="J1025" s="26"/>
      <c r="K1025" s="27"/>
      <c r="L1025" s="2"/>
      <c r="M1025" s="24"/>
    </row>
    <row r="1026" spans="1:13" ht="99.9" customHeight="1" thickTop="1" thickBot="1">
      <c r="A1026" s="4"/>
      <c r="B1026" s="2"/>
      <c r="C1026" s="3"/>
      <c r="D1026" s="3"/>
      <c r="E1026" s="4"/>
      <c r="F1026" s="43"/>
      <c r="G1026" s="4"/>
      <c r="H1026" s="43"/>
      <c r="I1026" s="4"/>
      <c r="J1026" s="26"/>
      <c r="K1026" s="27"/>
      <c r="L1026" s="2"/>
      <c r="M1026" s="24"/>
    </row>
    <row r="1027" spans="1:13" ht="99.9" customHeight="1" thickTop="1" thickBot="1">
      <c r="A1027" s="4"/>
      <c r="B1027" s="2"/>
      <c r="C1027" s="3"/>
      <c r="D1027" s="3"/>
      <c r="E1027" s="4"/>
      <c r="F1027" s="43"/>
      <c r="G1027" s="4"/>
      <c r="H1027" s="43"/>
      <c r="I1027" s="4"/>
      <c r="J1027" s="26"/>
      <c r="K1027" s="27"/>
      <c r="L1027" s="2"/>
      <c r="M1027" s="24"/>
    </row>
    <row r="1028" spans="1:13" ht="99.9" customHeight="1" thickTop="1" thickBot="1">
      <c r="A1028" s="4"/>
      <c r="B1028" s="2"/>
      <c r="C1028" s="3"/>
      <c r="D1028" s="3"/>
      <c r="E1028" s="4"/>
      <c r="F1028" s="43"/>
      <c r="G1028" s="4"/>
      <c r="H1028" s="43"/>
      <c r="I1028" s="4"/>
      <c r="J1028" s="26"/>
      <c r="K1028" s="27"/>
      <c r="L1028" s="2"/>
      <c r="M1028" s="24"/>
    </row>
    <row r="1029" spans="1:13" ht="99.9" customHeight="1" thickTop="1" thickBot="1">
      <c r="A1029" s="4"/>
      <c r="B1029" s="2"/>
      <c r="C1029" s="3"/>
      <c r="D1029" s="3"/>
      <c r="E1029" s="4"/>
      <c r="F1029" s="43"/>
      <c r="G1029" s="4"/>
      <c r="H1029" s="43"/>
      <c r="I1029" s="4"/>
      <c r="J1029" s="26"/>
      <c r="K1029" s="27"/>
      <c r="L1029" s="2"/>
      <c r="M1029" s="24"/>
    </row>
    <row r="1030" spans="1:13" ht="99.9" customHeight="1" thickTop="1" thickBot="1">
      <c r="A1030" s="4"/>
      <c r="B1030" s="2"/>
      <c r="C1030" s="3"/>
      <c r="D1030" s="3"/>
      <c r="E1030" s="4"/>
      <c r="F1030" s="43"/>
      <c r="G1030" s="4"/>
      <c r="H1030" s="43"/>
      <c r="I1030" s="4"/>
      <c r="J1030" s="26"/>
      <c r="K1030" s="27"/>
      <c r="L1030" s="2"/>
      <c r="M1030" s="24"/>
    </row>
    <row r="1031" spans="1:13" ht="99.9" customHeight="1" thickTop="1" thickBot="1">
      <c r="A1031" s="4"/>
      <c r="B1031" s="2"/>
      <c r="C1031" s="3"/>
      <c r="D1031" s="3"/>
      <c r="E1031" s="4"/>
      <c r="F1031" s="43"/>
      <c r="G1031" s="4"/>
      <c r="H1031" s="43"/>
      <c r="I1031" s="4"/>
      <c r="J1031" s="26"/>
      <c r="K1031" s="27"/>
      <c r="L1031" s="2"/>
      <c r="M1031" s="24"/>
    </row>
    <row r="1032" spans="1:13" ht="99.9" customHeight="1" thickTop="1" thickBot="1">
      <c r="A1032" s="4"/>
      <c r="B1032" s="2"/>
      <c r="C1032" s="3"/>
      <c r="D1032" s="3"/>
      <c r="E1032" s="4"/>
      <c r="F1032" s="43"/>
      <c r="G1032" s="4"/>
      <c r="H1032" s="43"/>
      <c r="I1032" s="4"/>
      <c r="J1032" s="26"/>
      <c r="K1032" s="27"/>
      <c r="L1032" s="2"/>
      <c r="M1032" s="24"/>
    </row>
    <row r="1033" spans="1:13" ht="99.9" customHeight="1" thickTop="1" thickBot="1">
      <c r="A1033" s="4"/>
      <c r="B1033" s="2"/>
      <c r="C1033" s="3"/>
      <c r="D1033" s="3"/>
      <c r="E1033" s="4"/>
      <c r="F1033" s="43"/>
      <c r="G1033" s="4"/>
      <c r="H1033" s="43"/>
      <c r="I1033" s="4"/>
      <c r="J1033" s="26"/>
      <c r="K1033" s="27"/>
      <c r="L1033" s="2"/>
      <c r="M1033" s="24"/>
    </row>
    <row r="1034" spans="1:13" ht="99.9" customHeight="1" thickTop="1" thickBot="1">
      <c r="A1034" s="4"/>
      <c r="B1034" s="2"/>
      <c r="C1034" s="3"/>
      <c r="D1034" s="3"/>
      <c r="E1034" s="4"/>
      <c r="F1034" s="43"/>
      <c r="G1034" s="4"/>
      <c r="H1034" s="43"/>
      <c r="I1034" s="4"/>
      <c r="J1034" s="26"/>
      <c r="K1034" s="27"/>
      <c r="L1034" s="2"/>
      <c r="M1034" s="24"/>
    </row>
    <row r="1035" spans="1:13" ht="99.9" customHeight="1" thickTop="1" thickBot="1">
      <c r="A1035" s="4"/>
      <c r="B1035" s="2"/>
      <c r="C1035" s="3"/>
      <c r="D1035" s="3"/>
      <c r="E1035" s="4"/>
      <c r="F1035" s="43"/>
      <c r="G1035" s="4"/>
      <c r="H1035" s="43"/>
      <c r="I1035" s="4"/>
      <c r="J1035" s="26"/>
      <c r="K1035" s="27"/>
      <c r="L1035" s="2"/>
      <c r="M1035" s="24"/>
    </row>
    <row r="1036" spans="1:13" ht="99.9" customHeight="1" thickTop="1" thickBot="1">
      <c r="A1036" s="4"/>
      <c r="B1036" s="2"/>
      <c r="C1036" s="3"/>
      <c r="D1036" s="3"/>
      <c r="E1036" s="4"/>
      <c r="F1036" s="43"/>
      <c r="G1036" s="4"/>
      <c r="H1036" s="43"/>
      <c r="I1036" s="4"/>
      <c r="J1036" s="26"/>
      <c r="K1036" s="27"/>
      <c r="L1036" s="2"/>
      <c r="M1036" s="24"/>
    </row>
    <row r="1037" spans="1:13" ht="99.9" customHeight="1" thickTop="1" thickBot="1">
      <c r="A1037" s="4"/>
      <c r="B1037" s="2"/>
      <c r="C1037" s="3"/>
      <c r="D1037" s="3"/>
      <c r="E1037" s="4"/>
      <c r="F1037" s="43"/>
      <c r="G1037" s="4"/>
      <c r="H1037" s="43"/>
      <c r="I1037" s="4"/>
      <c r="J1037" s="26"/>
      <c r="K1037" s="27"/>
      <c r="L1037" s="2"/>
      <c r="M1037" s="24"/>
    </row>
    <row r="1038" spans="1:13" ht="99.9" customHeight="1" thickTop="1" thickBot="1">
      <c r="A1038" s="4"/>
      <c r="B1038" s="2"/>
      <c r="C1038" s="3"/>
      <c r="D1038" s="3"/>
      <c r="E1038" s="4"/>
      <c r="F1038" s="43"/>
      <c r="G1038" s="4"/>
      <c r="H1038" s="43"/>
      <c r="I1038" s="4"/>
      <c r="J1038" s="26"/>
      <c r="K1038" s="27"/>
      <c r="L1038" s="2"/>
      <c r="M1038" s="24"/>
    </row>
    <row r="1039" spans="1:13" ht="99.9" customHeight="1" thickTop="1" thickBot="1">
      <c r="A1039" s="4"/>
      <c r="B1039" s="2"/>
      <c r="C1039" s="3"/>
      <c r="D1039" s="3"/>
      <c r="E1039" s="4"/>
      <c r="F1039" s="43"/>
      <c r="G1039" s="4"/>
      <c r="H1039" s="43"/>
      <c r="I1039" s="4"/>
      <c r="J1039" s="26"/>
      <c r="K1039" s="27"/>
      <c r="L1039" s="2"/>
      <c r="M1039" s="24"/>
    </row>
    <row r="1040" spans="1:13" ht="99.9" customHeight="1" thickTop="1" thickBot="1">
      <c r="A1040" s="4"/>
      <c r="B1040" s="2"/>
      <c r="C1040" s="3"/>
      <c r="D1040" s="3"/>
      <c r="E1040" s="4"/>
      <c r="F1040" s="43"/>
      <c r="G1040" s="4"/>
      <c r="H1040" s="43"/>
      <c r="I1040" s="4"/>
      <c r="J1040" s="26"/>
      <c r="K1040" s="27"/>
      <c r="L1040" s="2"/>
      <c r="M1040" s="24"/>
    </row>
    <row r="1041" spans="1:13" ht="99.9" customHeight="1" thickTop="1" thickBot="1">
      <c r="A1041" s="4"/>
      <c r="B1041" s="2"/>
      <c r="C1041" s="3"/>
      <c r="D1041" s="3"/>
      <c r="E1041" s="4"/>
      <c r="F1041" s="43"/>
      <c r="G1041" s="4"/>
      <c r="H1041" s="43"/>
      <c r="I1041" s="4"/>
      <c r="J1041" s="26"/>
      <c r="K1041" s="27"/>
      <c r="L1041" s="2"/>
      <c r="M1041" s="24"/>
    </row>
    <row r="1042" spans="1:13" ht="99.9" customHeight="1" thickTop="1" thickBot="1">
      <c r="A1042" s="4"/>
      <c r="B1042" s="2"/>
      <c r="C1042" s="3"/>
      <c r="D1042" s="3"/>
      <c r="E1042" s="4"/>
      <c r="F1042" s="43"/>
      <c r="G1042" s="4"/>
      <c r="H1042" s="43"/>
      <c r="I1042" s="4"/>
      <c r="J1042" s="26"/>
      <c r="K1042" s="27"/>
      <c r="L1042" s="2"/>
      <c r="M1042" s="24"/>
    </row>
    <row r="1043" spans="1:13" ht="99.9" customHeight="1" thickTop="1" thickBot="1">
      <c r="A1043" s="4"/>
      <c r="B1043" s="2"/>
      <c r="C1043" s="3"/>
      <c r="D1043" s="3"/>
      <c r="E1043" s="4"/>
      <c r="F1043" s="43"/>
      <c r="G1043" s="4"/>
      <c r="H1043" s="43"/>
      <c r="I1043" s="4"/>
      <c r="J1043" s="26"/>
      <c r="K1043" s="27"/>
      <c r="L1043" s="2"/>
      <c r="M1043" s="24"/>
    </row>
    <row r="1044" spans="1:13" ht="99.9" customHeight="1" thickTop="1" thickBot="1">
      <c r="A1044" s="4"/>
      <c r="B1044" s="2"/>
      <c r="C1044" s="3"/>
      <c r="D1044" s="3"/>
      <c r="E1044" s="4"/>
      <c r="F1044" s="43"/>
      <c r="G1044" s="4"/>
      <c r="H1044" s="43"/>
      <c r="I1044" s="4"/>
      <c r="J1044" s="26"/>
      <c r="K1044" s="27"/>
      <c r="L1044" s="2"/>
      <c r="M1044" s="24"/>
    </row>
    <row r="1045" spans="1:13" ht="99.9" customHeight="1" thickTop="1" thickBot="1">
      <c r="A1045" s="4"/>
      <c r="B1045" s="2"/>
      <c r="C1045" s="3"/>
      <c r="D1045" s="3"/>
      <c r="E1045" s="4"/>
      <c r="F1045" s="43"/>
      <c r="G1045" s="4"/>
      <c r="H1045" s="43"/>
      <c r="I1045" s="4"/>
      <c r="J1045" s="26"/>
      <c r="K1045" s="27"/>
      <c r="L1045" s="2"/>
      <c r="M1045" s="24"/>
    </row>
    <row r="1046" spans="1:13" ht="99.9" customHeight="1" thickTop="1" thickBot="1">
      <c r="A1046" s="4"/>
      <c r="B1046" s="2"/>
      <c r="C1046" s="3"/>
      <c r="D1046" s="3"/>
      <c r="E1046" s="4"/>
      <c r="F1046" s="43"/>
      <c r="G1046" s="4"/>
      <c r="H1046" s="43"/>
      <c r="I1046" s="4"/>
      <c r="J1046" s="26"/>
      <c r="K1046" s="27"/>
      <c r="L1046" s="2"/>
      <c r="M1046" s="24"/>
    </row>
    <row r="1047" spans="1:13" ht="99.9" customHeight="1" thickTop="1" thickBot="1">
      <c r="A1047" s="4"/>
      <c r="B1047" s="2"/>
      <c r="C1047" s="3"/>
      <c r="D1047" s="3"/>
      <c r="E1047" s="4"/>
      <c r="F1047" s="43"/>
      <c r="G1047" s="4"/>
      <c r="H1047" s="43"/>
      <c r="I1047" s="4"/>
      <c r="J1047" s="26"/>
      <c r="K1047" s="27"/>
      <c r="L1047" s="2"/>
      <c r="M1047" s="24"/>
    </row>
    <row r="1048" spans="1:13" ht="99.9" customHeight="1" thickTop="1" thickBot="1">
      <c r="A1048" s="4"/>
      <c r="B1048" s="2"/>
      <c r="C1048" s="3"/>
      <c r="D1048" s="3"/>
      <c r="E1048" s="4"/>
      <c r="F1048" s="43"/>
      <c r="G1048" s="4"/>
      <c r="H1048" s="43"/>
      <c r="I1048" s="4"/>
      <c r="J1048" s="26"/>
      <c r="K1048" s="27"/>
      <c r="L1048" s="2"/>
      <c r="M1048" s="24"/>
    </row>
    <row r="1049" spans="1:13" ht="99.9" customHeight="1" thickTop="1" thickBot="1">
      <c r="A1049" s="4"/>
      <c r="B1049" s="2"/>
      <c r="C1049" s="3"/>
      <c r="D1049" s="3"/>
      <c r="E1049" s="4"/>
      <c r="F1049" s="43"/>
      <c r="G1049" s="4"/>
      <c r="H1049" s="43"/>
      <c r="I1049" s="4"/>
      <c r="J1049" s="26"/>
      <c r="K1049" s="27"/>
      <c r="L1049" s="2"/>
      <c r="M1049" s="24"/>
    </row>
    <row r="1050" spans="1:13" ht="99.9" customHeight="1" thickTop="1" thickBot="1">
      <c r="A1050" s="4"/>
      <c r="B1050" s="2"/>
      <c r="C1050" s="3"/>
      <c r="D1050" s="3"/>
      <c r="E1050" s="4"/>
      <c r="F1050" s="43"/>
      <c r="G1050" s="4"/>
      <c r="H1050" s="43"/>
      <c r="I1050" s="4"/>
      <c r="J1050" s="26"/>
      <c r="K1050" s="27"/>
      <c r="L1050" s="2"/>
      <c r="M1050" s="24"/>
    </row>
    <row r="1051" spans="1:13" ht="99.9" customHeight="1" thickTop="1" thickBot="1">
      <c r="A1051" s="4"/>
      <c r="B1051" s="2"/>
      <c r="C1051" s="3"/>
      <c r="D1051" s="3"/>
      <c r="E1051" s="4"/>
      <c r="F1051" s="43"/>
      <c r="G1051" s="4"/>
      <c r="H1051" s="43"/>
      <c r="I1051" s="4"/>
      <c r="J1051" s="26"/>
      <c r="K1051" s="27"/>
      <c r="L1051" s="2"/>
      <c r="M1051" s="24"/>
    </row>
    <row r="1052" spans="1:13" ht="99.9" customHeight="1" thickTop="1" thickBot="1">
      <c r="A1052" s="4"/>
      <c r="B1052" s="2"/>
      <c r="C1052" s="3"/>
      <c r="D1052" s="3"/>
      <c r="E1052" s="4"/>
      <c r="F1052" s="43"/>
      <c r="G1052" s="4"/>
      <c r="H1052" s="43"/>
      <c r="I1052" s="4"/>
      <c r="J1052" s="26"/>
      <c r="K1052" s="27"/>
      <c r="L1052" s="2"/>
      <c r="M1052" s="24"/>
    </row>
    <row r="1053" spans="1:13" ht="99.9" customHeight="1" thickTop="1" thickBot="1">
      <c r="A1053" s="4"/>
      <c r="B1053" s="2"/>
      <c r="C1053" s="3"/>
      <c r="D1053" s="3"/>
      <c r="E1053" s="4"/>
      <c r="F1053" s="43"/>
      <c r="G1053" s="4"/>
      <c r="H1053" s="43"/>
      <c r="I1053" s="4"/>
      <c r="J1053" s="26"/>
      <c r="K1053" s="27"/>
      <c r="L1053" s="2"/>
      <c r="M1053" s="24"/>
    </row>
    <row r="1054" spans="1:13" ht="99.9" customHeight="1" thickTop="1" thickBot="1">
      <c r="A1054" s="4"/>
      <c r="B1054" s="2"/>
      <c r="C1054" s="3"/>
      <c r="D1054" s="3"/>
      <c r="E1054" s="4"/>
      <c r="F1054" s="43"/>
      <c r="G1054" s="4"/>
      <c r="H1054" s="43"/>
      <c r="I1054" s="4"/>
      <c r="J1054" s="26"/>
      <c r="K1054" s="27"/>
      <c r="L1054" s="2"/>
      <c r="M1054" s="24"/>
    </row>
    <row r="1055" spans="1:13" ht="99.9" customHeight="1" thickTop="1" thickBot="1">
      <c r="A1055" s="4"/>
      <c r="B1055" s="2"/>
      <c r="C1055" s="3"/>
      <c r="D1055" s="3"/>
      <c r="E1055" s="4"/>
      <c r="F1055" s="43"/>
      <c r="G1055" s="4"/>
      <c r="H1055" s="43"/>
      <c r="I1055" s="4"/>
      <c r="J1055" s="26"/>
      <c r="K1055" s="27"/>
      <c r="L1055" s="2"/>
      <c r="M1055" s="24"/>
    </row>
    <row r="1056" spans="1:13" ht="99.9" customHeight="1" thickTop="1" thickBot="1">
      <c r="A1056" s="4"/>
      <c r="B1056" s="2"/>
      <c r="C1056" s="3"/>
      <c r="D1056" s="3"/>
      <c r="E1056" s="4"/>
      <c r="F1056" s="43"/>
      <c r="G1056" s="4"/>
      <c r="H1056" s="43"/>
      <c r="I1056" s="4"/>
      <c r="J1056" s="26"/>
      <c r="K1056" s="27"/>
      <c r="L1056" s="2"/>
      <c r="M1056" s="24"/>
    </row>
    <row r="1057" spans="1:13" ht="99.9" customHeight="1" thickTop="1" thickBot="1">
      <c r="A1057" s="4"/>
      <c r="B1057" s="2"/>
      <c r="C1057" s="3"/>
      <c r="D1057" s="3"/>
      <c r="E1057" s="4"/>
      <c r="F1057" s="43"/>
      <c r="G1057" s="4"/>
      <c r="H1057" s="43"/>
      <c r="I1057" s="4"/>
      <c r="J1057" s="26"/>
      <c r="K1057" s="27"/>
      <c r="L1057" s="2"/>
      <c r="M1057" s="24"/>
    </row>
    <row r="1058" spans="1:13" ht="99.9" customHeight="1" thickTop="1" thickBot="1">
      <c r="A1058" s="4"/>
      <c r="B1058" s="2"/>
      <c r="C1058" s="3"/>
      <c r="D1058" s="3"/>
      <c r="E1058" s="4"/>
      <c r="F1058" s="43"/>
      <c r="G1058" s="4"/>
      <c r="H1058" s="43"/>
      <c r="I1058" s="4"/>
      <c r="J1058" s="26"/>
      <c r="K1058" s="27"/>
      <c r="L1058" s="2"/>
      <c r="M1058" s="24"/>
    </row>
    <row r="1059" spans="1:13" ht="99.9" customHeight="1" thickTop="1" thickBot="1">
      <c r="A1059" s="4"/>
      <c r="B1059" s="2"/>
      <c r="C1059" s="3"/>
      <c r="D1059" s="3"/>
      <c r="E1059" s="4"/>
      <c r="F1059" s="43"/>
      <c r="G1059" s="4"/>
      <c r="H1059" s="43"/>
      <c r="I1059" s="4"/>
      <c r="J1059" s="26"/>
      <c r="K1059" s="27"/>
      <c r="L1059" s="2"/>
      <c r="M1059" s="24"/>
    </row>
    <row r="1060" spans="1:13" ht="99.9" customHeight="1" thickTop="1" thickBot="1">
      <c r="A1060" s="4"/>
      <c r="B1060" s="2"/>
      <c r="C1060" s="3"/>
      <c r="D1060" s="3"/>
      <c r="E1060" s="4"/>
      <c r="F1060" s="43"/>
      <c r="G1060" s="4"/>
      <c r="H1060" s="43"/>
      <c r="I1060" s="4"/>
      <c r="J1060" s="26"/>
      <c r="K1060" s="27"/>
      <c r="L1060" s="2"/>
      <c r="M1060" s="24"/>
    </row>
    <row r="1061" spans="1:13" ht="99.9" customHeight="1" thickTop="1" thickBot="1">
      <c r="A1061" s="4"/>
      <c r="B1061" s="2"/>
      <c r="C1061" s="3"/>
      <c r="D1061" s="3"/>
      <c r="E1061" s="4"/>
      <c r="F1061" s="43"/>
      <c r="G1061" s="4"/>
      <c r="H1061" s="43"/>
      <c r="I1061" s="4"/>
      <c r="J1061" s="26"/>
      <c r="K1061" s="27"/>
      <c r="L1061" s="2"/>
      <c r="M1061" s="24"/>
    </row>
    <row r="1062" spans="1:13" ht="99.9" customHeight="1" thickTop="1" thickBot="1">
      <c r="A1062" s="4"/>
      <c r="B1062" s="2"/>
      <c r="C1062" s="3"/>
      <c r="D1062" s="3"/>
      <c r="E1062" s="4"/>
      <c r="F1062" s="43"/>
      <c r="G1062" s="4"/>
      <c r="H1062" s="43"/>
      <c r="I1062" s="4"/>
      <c r="J1062" s="26"/>
      <c r="K1062" s="27"/>
      <c r="L1062" s="2"/>
      <c r="M1062" s="24"/>
    </row>
    <row r="1063" spans="1:13" ht="99.9" customHeight="1" thickTop="1" thickBot="1">
      <c r="A1063" s="4"/>
      <c r="B1063" s="2"/>
      <c r="C1063" s="3"/>
      <c r="D1063" s="3"/>
      <c r="E1063" s="4"/>
      <c r="F1063" s="43"/>
      <c r="G1063" s="4"/>
      <c r="H1063" s="43"/>
      <c r="I1063" s="4"/>
      <c r="J1063" s="26"/>
      <c r="K1063" s="27"/>
      <c r="L1063" s="2"/>
      <c r="M1063" s="24"/>
    </row>
    <row r="1064" spans="1:13" ht="99.9" customHeight="1" thickTop="1" thickBot="1">
      <c r="A1064" s="4"/>
      <c r="B1064" s="2"/>
      <c r="C1064" s="3"/>
      <c r="D1064" s="3"/>
      <c r="E1064" s="4"/>
      <c r="F1064" s="43"/>
      <c r="G1064" s="4"/>
      <c r="H1064" s="43"/>
      <c r="I1064" s="4"/>
      <c r="J1064" s="26"/>
      <c r="K1064" s="27"/>
      <c r="L1064" s="2"/>
      <c r="M1064" s="24"/>
    </row>
    <row r="1065" spans="1:13" ht="99.9" customHeight="1" thickTop="1" thickBot="1">
      <c r="A1065" s="4"/>
      <c r="B1065" s="2"/>
      <c r="C1065" s="3"/>
      <c r="D1065" s="3"/>
      <c r="E1065" s="4"/>
      <c r="F1065" s="43"/>
      <c r="G1065" s="4"/>
      <c r="H1065" s="43"/>
      <c r="I1065" s="4"/>
      <c r="J1065" s="26"/>
      <c r="K1065" s="27"/>
      <c r="L1065" s="2"/>
      <c r="M1065" s="24"/>
    </row>
    <row r="1066" spans="1:13" ht="99.9" customHeight="1" thickTop="1" thickBot="1">
      <c r="A1066" s="4"/>
      <c r="B1066" s="2"/>
      <c r="C1066" s="3"/>
      <c r="D1066" s="3"/>
      <c r="E1066" s="4"/>
      <c r="F1066" s="43"/>
      <c r="G1066" s="4"/>
      <c r="H1066" s="43"/>
      <c r="I1066" s="4"/>
      <c r="J1066" s="26"/>
      <c r="K1066" s="27"/>
      <c r="L1066" s="2"/>
      <c r="M1066" s="24"/>
    </row>
    <row r="1067" spans="1:13" ht="99.9" customHeight="1" thickTop="1" thickBot="1">
      <c r="A1067" s="4"/>
      <c r="B1067" s="2"/>
      <c r="C1067" s="3"/>
      <c r="D1067" s="3"/>
      <c r="E1067" s="4"/>
      <c r="F1067" s="43"/>
      <c r="G1067" s="4"/>
      <c r="H1067" s="43"/>
      <c r="I1067" s="4"/>
      <c r="J1067" s="26"/>
      <c r="K1067" s="27"/>
      <c r="L1067" s="2"/>
      <c r="M1067" s="24"/>
    </row>
    <row r="1068" spans="1:13" ht="99.9" customHeight="1" thickTop="1" thickBot="1">
      <c r="A1068" s="4"/>
      <c r="B1068" s="2"/>
      <c r="C1068" s="3"/>
      <c r="D1068" s="3"/>
      <c r="E1068" s="4"/>
      <c r="F1068" s="43"/>
      <c r="G1068" s="4"/>
      <c r="H1068" s="43"/>
      <c r="I1068" s="4"/>
      <c r="J1068" s="26"/>
      <c r="K1068" s="27"/>
      <c r="L1068" s="2"/>
      <c r="M1068" s="24"/>
    </row>
    <row r="1069" spans="1:13" ht="99.9" customHeight="1" thickTop="1" thickBot="1">
      <c r="A1069" s="4"/>
      <c r="B1069" s="2"/>
      <c r="C1069" s="3"/>
      <c r="D1069" s="3"/>
      <c r="E1069" s="4"/>
      <c r="F1069" s="43"/>
      <c r="G1069" s="4"/>
      <c r="H1069" s="43"/>
      <c r="I1069" s="4"/>
      <c r="J1069" s="26"/>
      <c r="K1069" s="27"/>
      <c r="L1069" s="2"/>
      <c r="M1069" s="24"/>
    </row>
    <row r="1070" spans="1:13" ht="99.9" customHeight="1" thickTop="1" thickBot="1">
      <c r="A1070" s="4"/>
      <c r="B1070" s="2"/>
      <c r="C1070" s="3"/>
      <c r="D1070" s="3"/>
      <c r="E1070" s="4"/>
      <c r="F1070" s="43"/>
      <c r="G1070" s="4"/>
      <c r="H1070" s="43"/>
      <c r="I1070" s="4"/>
      <c r="J1070" s="26"/>
      <c r="K1070" s="27"/>
      <c r="L1070" s="2"/>
      <c r="M1070" s="24"/>
    </row>
    <row r="1071" spans="1:13" ht="99.9" customHeight="1" thickTop="1" thickBot="1">
      <c r="A1071" s="4"/>
      <c r="B1071" s="2"/>
      <c r="C1071" s="3"/>
      <c r="D1071" s="3"/>
      <c r="E1071" s="4"/>
      <c r="F1071" s="43"/>
      <c r="G1071" s="4"/>
      <c r="H1071" s="43"/>
      <c r="I1071" s="4"/>
      <c r="J1071" s="26"/>
      <c r="K1071" s="27"/>
      <c r="L1071" s="2"/>
      <c r="M1071" s="24"/>
    </row>
    <row r="1072" spans="1:13" ht="99.9" customHeight="1" thickTop="1" thickBot="1">
      <c r="A1072" s="4"/>
      <c r="B1072" s="2"/>
      <c r="C1072" s="3"/>
      <c r="D1072" s="3"/>
      <c r="E1072" s="4"/>
      <c r="F1072" s="43"/>
      <c r="G1072" s="4"/>
      <c r="H1072" s="43"/>
      <c r="I1072" s="4"/>
      <c r="J1072" s="26"/>
      <c r="K1072" s="27"/>
      <c r="L1072" s="2"/>
      <c r="M1072" s="24"/>
    </row>
    <row r="1073" spans="1:13" ht="99.9" customHeight="1" thickTop="1" thickBot="1">
      <c r="A1073" s="4"/>
      <c r="B1073" s="2"/>
      <c r="C1073" s="3"/>
      <c r="D1073" s="3"/>
      <c r="E1073" s="4"/>
      <c r="F1073" s="43"/>
      <c r="G1073" s="4"/>
      <c r="H1073" s="43"/>
      <c r="I1073" s="4"/>
      <c r="J1073" s="26"/>
      <c r="K1073" s="27"/>
      <c r="L1073" s="2"/>
      <c r="M1073" s="24"/>
    </row>
    <row r="1074" spans="1:13" ht="15.75" customHeight="1" thickTop="1" thickBot="1">
      <c r="A1074" s="4"/>
      <c r="B1074" s="2"/>
      <c r="C1074" s="3"/>
      <c r="D1074" s="3"/>
      <c r="E1074" s="4"/>
      <c r="F1074" s="43"/>
      <c r="G1074" s="4"/>
      <c r="H1074" s="43"/>
      <c r="I1074" s="4"/>
      <c r="J1074" s="26"/>
      <c r="K1074" s="27"/>
      <c r="L1074" s="2"/>
      <c r="M1074" s="24"/>
    </row>
    <row r="1075" spans="1:13" ht="15.75" customHeight="1" thickTop="1" thickBot="1">
      <c r="A1075" s="4"/>
      <c r="B1075" s="2"/>
      <c r="C1075" s="3"/>
      <c r="D1075" s="3"/>
      <c r="E1075" s="4"/>
      <c r="F1075" s="43"/>
      <c r="G1075" s="4"/>
      <c r="H1075" s="43"/>
      <c r="I1075" s="4"/>
      <c r="J1075" s="26"/>
      <c r="K1075" s="27"/>
      <c r="L1075" s="2"/>
      <c r="M1075" s="24"/>
    </row>
    <row r="1076" spans="1:13" ht="15.75" customHeight="1" thickTop="1"/>
  </sheetData>
  <autoFilter ref="A2:A590" xr:uid="{00000000-0009-0000-0000-000000000000}"/>
  <conditionalFormatting sqref="B3:B1075">
    <cfRule type="expression" dxfId="49" priority="3">
      <formula>AND($B3&lt;&gt;"", TRIM($K3)="")</formula>
    </cfRule>
    <cfRule type="expression" dxfId="48" priority="4">
      <formula>INT($B3) &lt; TODAY()</formula>
    </cfRule>
    <cfRule type="expression" dxfId="47" priority="5">
      <formula>INT($B3) = TODAY()</formula>
    </cfRule>
  </conditionalFormatting>
  <conditionalFormatting sqref="K1:K1048576">
    <cfRule type="containsText" dxfId="46" priority="1" operator="containsText" text="منجز">
      <formula>NOT(ISERROR(SEARCH("منجز",K1)))</formula>
    </cfRule>
    <cfRule type="containsText" dxfId="45" priority="2" operator="containsText" text="منجز">
      <formula>NOT(ISERROR(SEARCH("منجز",K1)))</formula>
    </cfRule>
  </conditionalFormatting>
  <dataValidations disablePrompts="1" count="2">
    <dataValidation type="list" allowBlank="1" sqref="K3:K1002" xr:uid="{D5C299BB-C15D-424E-A298-CB43FBE1357E}">
      <formula1>"منجز,ملغي,تابع للتربية,مؤجل"</formula1>
    </dataValidation>
    <dataValidation type="list" allowBlank="1" sqref="J3:J1002" xr:uid="{892391A1-F4ED-45E5-85A5-4C314AADF25C}">
      <formula1>#REF!</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847B-C46E-4156-9427-5186F314DF7F}">
  <sheetPr>
    <tabColor rgb="FF2ECC71"/>
    <outlinePr summaryBelow="0" summaryRight="0"/>
    <pageSetUpPr fitToPage="1"/>
  </sheetPr>
  <dimension ref="A1:N1076"/>
  <sheetViews>
    <sheetView showGridLines="0" zoomScale="70" zoomScaleNormal="70" workbookViewId="0">
      <pane ySplit="2" topLeftCell="A3" activePane="bottomLeft" state="frozen"/>
      <selection activeCell="H213" sqref="H213"/>
      <selection pane="bottomLeft" activeCell="Q7" sqref="Q7"/>
    </sheetView>
  </sheetViews>
  <sheetFormatPr defaultColWidth="12.5546875" defaultRowHeight="15.75" customHeight="1"/>
  <cols>
    <col min="1" max="1" width="9.33203125" style="25" customWidth="1"/>
    <col min="2" max="2" width="24.88671875" bestFit="1" customWidth="1"/>
    <col min="3" max="4" width="6" customWidth="1"/>
    <col min="5" max="5" width="13" style="25" customWidth="1"/>
    <col min="6" max="6" width="45.33203125" style="25" bestFit="1" customWidth="1"/>
    <col min="7" max="7" width="25.109375" style="25" customWidth="1"/>
    <col min="8" max="8" width="55.33203125" style="51" customWidth="1"/>
    <col min="9" max="9" width="18.88671875" style="25" customWidth="1"/>
    <col min="10" max="10" width="10.6640625" style="25" customWidth="1"/>
    <col min="11" max="11" width="10" style="25" customWidth="1"/>
    <col min="12" max="12" width="25" style="25" bestFit="1" customWidth="1"/>
    <col min="13" max="13" width="18.88671875" style="28" customWidth="1"/>
    <col min="14" max="14" width="15.109375" hidden="1" customWidth="1"/>
  </cols>
  <sheetData>
    <row r="1" spans="1:14" ht="99.9" customHeight="1" thickBot="1">
      <c r="M1" s="25"/>
    </row>
    <row r="2" spans="1:14" ht="50.1" customHeight="1" thickTop="1" thickBot="1">
      <c r="A2" s="37" t="s">
        <v>112</v>
      </c>
      <c r="B2" s="37" t="s">
        <v>0</v>
      </c>
      <c r="C2" s="38" t="s">
        <v>1</v>
      </c>
      <c r="D2" s="38" t="s">
        <v>2</v>
      </c>
      <c r="E2" s="37" t="s">
        <v>3</v>
      </c>
      <c r="F2" s="37" t="s">
        <v>4</v>
      </c>
      <c r="G2" s="37" t="s">
        <v>18</v>
      </c>
      <c r="H2" s="50" t="s">
        <v>5</v>
      </c>
      <c r="I2" s="37" t="s">
        <v>6</v>
      </c>
      <c r="J2" s="40" t="s">
        <v>7</v>
      </c>
      <c r="K2" s="40" t="s">
        <v>8</v>
      </c>
      <c r="L2" s="40" t="s">
        <v>9</v>
      </c>
      <c r="M2" s="41" t="s">
        <v>10</v>
      </c>
      <c r="N2" s="1" t="s">
        <v>11</v>
      </c>
    </row>
    <row r="3" spans="1:14" ht="100.2" customHeight="1" thickTop="1" thickBot="1">
      <c r="A3" s="31">
        <v>1</v>
      </c>
      <c r="B3" s="32">
        <v>45967.497386921299</v>
      </c>
      <c r="C3" s="33" t="s">
        <v>26</v>
      </c>
      <c r="D3" s="33" t="s">
        <v>50</v>
      </c>
      <c r="E3" s="31" t="s">
        <v>21</v>
      </c>
      <c r="F3" s="42" t="s">
        <v>28</v>
      </c>
      <c r="G3" s="31" t="s">
        <v>25</v>
      </c>
      <c r="H3" s="42" t="s">
        <v>1490</v>
      </c>
      <c r="I3" s="31" t="s">
        <v>1491</v>
      </c>
      <c r="J3" s="34" t="s">
        <v>12</v>
      </c>
      <c r="K3" s="35" t="s">
        <v>13</v>
      </c>
      <c r="L3" s="32" t="s">
        <v>1492</v>
      </c>
      <c r="M3" s="36" t="s">
        <v>1493</v>
      </c>
      <c r="N3" s="4" t="s">
        <v>121</v>
      </c>
    </row>
    <row r="4" spans="1:14" ht="100.2" customHeight="1" thickTop="1" thickBot="1">
      <c r="A4" s="4">
        <v>2</v>
      </c>
      <c r="B4" s="2">
        <v>45970.464216921297</v>
      </c>
      <c r="C4" s="3" t="s">
        <v>26</v>
      </c>
      <c r="D4" s="3" t="s">
        <v>1494</v>
      </c>
      <c r="E4" s="4" t="s">
        <v>22</v>
      </c>
      <c r="F4" s="43" t="s">
        <v>1495</v>
      </c>
      <c r="G4" s="4" t="s">
        <v>1496</v>
      </c>
      <c r="H4" s="43" t="s">
        <v>1497</v>
      </c>
      <c r="I4" s="4"/>
      <c r="J4" s="26" t="s">
        <v>12</v>
      </c>
      <c r="K4" s="27" t="s">
        <v>13</v>
      </c>
      <c r="L4" s="2" t="s">
        <v>1498</v>
      </c>
      <c r="M4" s="24"/>
      <c r="N4" s="4" t="s">
        <v>121</v>
      </c>
    </row>
    <row r="5" spans="1:14" ht="100.2" customHeight="1" thickTop="1" thickBot="1">
      <c r="A5" s="31">
        <v>3</v>
      </c>
      <c r="B5" s="2">
        <v>45977.468596689803</v>
      </c>
      <c r="C5" s="3" t="s">
        <v>26</v>
      </c>
      <c r="D5" s="3" t="s">
        <v>1499</v>
      </c>
      <c r="E5" s="4" t="s">
        <v>22</v>
      </c>
      <c r="F5" s="43" t="s">
        <v>28</v>
      </c>
      <c r="G5" s="4" t="s">
        <v>47</v>
      </c>
      <c r="H5" s="43" t="s">
        <v>1500</v>
      </c>
      <c r="I5" s="4"/>
      <c r="J5" s="26" t="s">
        <v>12</v>
      </c>
      <c r="K5" s="27" t="s">
        <v>13</v>
      </c>
      <c r="L5" s="2"/>
      <c r="M5" s="24" t="s">
        <v>1501</v>
      </c>
      <c r="N5" s="4" t="s">
        <v>121</v>
      </c>
    </row>
    <row r="6" spans="1:14" ht="100.2" customHeight="1" thickTop="1" thickBot="1">
      <c r="A6" s="4">
        <v>4</v>
      </c>
      <c r="B6" s="2">
        <v>45977.4695771064</v>
      </c>
      <c r="C6" s="3" t="s">
        <v>26</v>
      </c>
      <c r="D6" s="3" t="s">
        <v>1499</v>
      </c>
      <c r="E6" s="4" t="s">
        <v>22</v>
      </c>
      <c r="F6" s="43" t="s">
        <v>1502</v>
      </c>
      <c r="G6" s="4" t="s">
        <v>1041</v>
      </c>
      <c r="H6" s="43" t="s">
        <v>1503</v>
      </c>
      <c r="I6" s="4"/>
      <c r="J6" s="26" t="s">
        <v>12</v>
      </c>
      <c r="K6" s="27" t="s">
        <v>13</v>
      </c>
      <c r="L6" s="2"/>
      <c r="M6" s="24" t="s">
        <v>1501</v>
      </c>
      <c r="N6" s="4" t="s">
        <v>121</v>
      </c>
    </row>
    <row r="7" spans="1:14" ht="100.2" customHeight="1" thickTop="1" thickBot="1">
      <c r="A7" s="31">
        <v>5</v>
      </c>
      <c r="B7" s="2">
        <v>45977.470788599501</v>
      </c>
      <c r="C7" s="3" t="s">
        <v>26</v>
      </c>
      <c r="D7" s="3" t="s">
        <v>1504</v>
      </c>
      <c r="E7" s="4" t="s">
        <v>22</v>
      </c>
      <c r="F7" s="43" t="s">
        <v>53</v>
      </c>
      <c r="G7" s="4" t="s">
        <v>1221</v>
      </c>
      <c r="H7" s="43" t="s">
        <v>1505</v>
      </c>
      <c r="I7" s="4"/>
      <c r="J7" s="26" t="s">
        <v>12</v>
      </c>
      <c r="K7" s="27" t="s">
        <v>13</v>
      </c>
      <c r="L7" s="2"/>
      <c r="M7" s="24" t="s">
        <v>1501</v>
      </c>
      <c r="N7" s="4" t="s">
        <v>121</v>
      </c>
    </row>
    <row r="8" spans="1:14" ht="100.2" customHeight="1" thickTop="1" thickBot="1">
      <c r="A8" s="4">
        <v>6</v>
      </c>
      <c r="B8" s="2">
        <v>45978.414764942099</v>
      </c>
      <c r="C8" s="3" t="s">
        <v>26</v>
      </c>
      <c r="D8" s="3" t="s">
        <v>1506</v>
      </c>
      <c r="E8" s="4" t="s">
        <v>21</v>
      </c>
      <c r="F8" s="43" t="s">
        <v>42</v>
      </c>
      <c r="G8" s="4" t="s">
        <v>38</v>
      </c>
      <c r="H8" s="43" t="s">
        <v>1507</v>
      </c>
      <c r="I8" s="4" t="s">
        <v>1508</v>
      </c>
      <c r="J8" s="26" t="s">
        <v>12</v>
      </c>
      <c r="K8" s="27" t="s">
        <v>13</v>
      </c>
      <c r="L8" s="2">
        <v>45978.488566030093</v>
      </c>
      <c r="M8" s="24"/>
      <c r="N8" s="4" t="s">
        <v>121</v>
      </c>
    </row>
    <row r="9" spans="1:14" ht="100.2" customHeight="1" thickTop="1" thickBot="1">
      <c r="A9" s="31">
        <v>7</v>
      </c>
      <c r="B9" s="2">
        <v>45979.309213946697</v>
      </c>
      <c r="C9" s="3" t="s">
        <v>26</v>
      </c>
      <c r="D9" s="3" t="s">
        <v>1509</v>
      </c>
      <c r="E9" s="4" t="s">
        <v>21</v>
      </c>
      <c r="F9" s="43" t="s">
        <v>31</v>
      </c>
      <c r="G9" s="4" t="s">
        <v>25</v>
      </c>
      <c r="H9" s="43" t="s">
        <v>1510</v>
      </c>
      <c r="I9" s="4" t="s">
        <v>1511</v>
      </c>
      <c r="J9" s="26" t="s">
        <v>12</v>
      </c>
      <c r="K9" s="27" t="s">
        <v>13</v>
      </c>
      <c r="L9" s="2">
        <v>45979.363786527778</v>
      </c>
      <c r="M9" s="24"/>
      <c r="N9" s="4" t="s">
        <v>121</v>
      </c>
    </row>
    <row r="10" spans="1:14" ht="100.2" customHeight="1" thickTop="1" thickBot="1">
      <c r="A10" s="4">
        <v>8</v>
      </c>
      <c r="B10" s="2">
        <v>45979.449502615702</v>
      </c>
      <c r="C10" s="3" t="s">
        <v>26</v>
      </c>
      <c r="D10" s="3" t="s">
        <v>1512</v>
      </c>
      <c r="E10" s="4" t="s">
        <v>22</v>
      </c>
      <c r="F10" s="43" t="s">
        <v>28</v>
      </c>
      <c r="G10" s="4" t="s">
        <v>25</v>
      </c>
      <c r="H10" s="43" t="s">
        <v>1513</v>
      </c>
      <c r="I10" s="4"/>
      <c r="J10" s="26" t="s">
        <v>12</v>
      </c>
      <c r="K10" s="27" t="s">
        <v>13</v>
      </c>
      <c r="L10" s="2">
        <v>45979.45372513889</v>
      </c>
      <c r="M10" s="24"/>
      <c r="N10" s="4" t="s">
        <v>121</v>
      </c>
    </row>
    <row r="11" spans="1:14" ht="100.2" customHeight="1" thickTop="1" thickBot="1">
      <c r="A11" s="31">
        <v>9</v>
      </c>
      <c r="B11" s="2">
        <v>45979.450365983699</v>
      </c>
      <c r="C11" s="3" t="s">
        <v>26</v>
      </c>
      <c r="D11" s="3" t="s">
        <v>1512</v>
      </c>
      <c r="E11" s="4" t="s">
        <v>22</v>
      </c>
      <c r="F11" s="43" t="s">
        <v>42</v>
      </c>
      <c r="G11" s="4" t="s">
        <v>25</v>
      </c>
      <c r="H11" s="43" t="s">
        <v>1514</v>
      </c>
      <c r="I11" s="4"/>
      <c r="J11" s="26" t="s">
        <v>12</v>
      </c>
      <c r="K11" s="27" t="s">
        <v>13</v>
      </c>
      <c r="L11" s="2">
        <v>45979.453750162036</v>
      </c>
      <c r="M11" s="24"/>
      <c r="N11" s="4" t="s">
        <v>121</v>
      </c>
    </row>
    <row r="12" spans="1:14" ht="100.2" customHeight="1" thickTop="1" thickBot="1">
      <c r="A12" s="4">
        <v>10</v>
      </c>
      <c r="B12" s="2">
        <v>45979.4507614467</v>
      </c>
      <c r="C12" s="3" t="s">
        <v>26</v>
      </c>
      <c r="D12" s="3" t="s">
        <v>1512</v>
      </c>
      <c r="E12" s="4" t="s">
        <v>22</v>
      </c>
      <c r="F12" s="43" t="s">
        <v>31</v>
      </c>
      <c r="G12" s="4" t="s">
        <v>40</v>
      </c>
      <c r="H12" s="43" t="s">
        <v>1515</v>
      </c>
      <c r="I12" s="4"/>
      <c r="J12" s="26" t="s">
        <v>12</v>
      </c>
      <c r="K12" s="27" t="s">
        <v>13</v>
      </c>
      <c r="L12" s="2">
        <v>45979.453770092594</v>
      </c>
      <c r="M12" s="24"/>
      <c r="N12" s="4" t="s">
        <v>121</v>
      </c>
    </row>
    <row r="13" spans="1:14" ht="100.2" customHeight="1" thickTop="1" thickBot="1">
      <c r="A13" s="31">
        <v>11</v>
      </c>
      <c r="B13" s="2">
        <v>45979.451798310103</v>
      </c>
      <c r="C13" s="3" t="s">
        <v>26</v>
      </c>
      <c r="D13" s="3" t="s">
        <v>1512</v>
      </c>
      <c r="E13" s="4" t="s">
        <v>22</v>
      </c>
      <c r="F13" s="43" t="s">
        <v>31</v>
      </c>
      <c r="G13" s="4" t="s">
        <v>40</v>
      </c>
      <c r="H13" s="43" t="s">
        <v>1516</v>
      </c>
      <c r="I13" s="4"/>
      <c r="J13" s="26" t="s">
        <v>12</v>
      </c>
      <c r="K13" s="27" t="s">
        <v>13</v>
      </c>
      <c r="L13" s="2">
        <v>45979.453813333334</v>
      </c>
      <c r="M13" s="24"/>
      <c r="N13" s="4" t="s">
        <v>121</v>
      </c>
    </row>
    <row r="14" spans="1:14" ht="100.2" customHeight="1" thickTop="1" thickBot="1">
      <c r="A14" s="4">
        <v>12</v>
      </c>
      <c r="B14" s="2">
        <v>45980.6308270601</v>
      </c>
      <c r="C14" s="3" t="s">
        <v>26</v>
      </c>
      <c r="D14" s="3" t="s">
        <v>1517</v>
      </c>
      <c r="E14" s="4" t="s">
        <v>21</v>
      </c>
      <c r="F14" s="43" t="s">
        <v>1518</v>
      </c>
      <c r="G14" s="4" t="s">
        <v>56</v>
      </c>
      <c r="H14" s="43" t="s">
        <v>1519</v>
      </c>
      <c r="I14" s="4" t="s">
        <v>1520</v>
      </c>
      <c r="J14" s="26" t="s">
        <v>12</v>
      </c>
      <c r="K14" s="27" t="s">
        <v>13</v>
      </c>
      <c r="L14" s="2">
        <v>45980.676959664357</v>
      </c>
      <c r="M14" s="24"/>
      <c r="N14" s="4" t="s">
        <v>121</v>
      </c>
    </row>
    <row r="15" spans="1:14" ht="100.2" customHeight="1" thickTop="1" thickBot="1">
      <c r="A15" s="31">
        <v>13</v>
      </c>
      <c r="B15" s="2">
        <v>45983.390279560102</v>
      </c>
      <c r="C15" s="3" t="s">
        <v>26</v>
      </c>
      <c r="D15" s="3" t="s">
        <v>1521</v>
      </c>
      <c r="E15" s="4" t="s">
        <v>22</v>
      </c>
      <c r="F15" s="43" t="s">
        <v>42</v>
      </c>
      <c r="G15" s="4" t="s">
        <v>1221</v>
      </c>
      <c r="H15" s="43" t="s">
        <v>1522</v>
      </c>
      <c r="I15" s="4"/>
      <c r="J15" s="26" t="s">
        <v>12</v>
      </c>
      <c r="K15" s="27" t="s">
        <v>13</v>
      </c>
      <c r="L15" s="2">
        <v>45983.429549652777</v>
      </c>
      <c r="M15" s="24" t="s">
        <v>1523</v>
      </c>
      <c r="N15" s="4" t="s">
        <v>121</v>
      </c>
    </row>
    <row r="16" spans="1:14" ht="100.2" customHeight="1" thickTop="1" thickBot="1">
      <c r="A16" s="4">
        <v>14</v>
      </c>
      <c r="B16" s="2">
        <v>45987.511486678202</v>
      </c>
      <c r="C16" s="3" t="s">
        <v>26</v>
      </c>
      <c r="D16" s="3" t="s">
        <v>1524</v>
      </c>
      <c r="E16" s="4" t="s">
        <v>22</v>
      </c>
      <c r="F16" s="43" t="s">
        <v>28</v>
      </c>
      <c r="G16" s="4" t="s">
        <v>25</v>
      </c>
      <c r="H16" s="43" t="s">
        <v>1525</v>
      </c>
      <c r="I16" s="4"/>
      <c r="J16" s="26" t="s">
        <v>12</v>
      </c>
      <c r="K16" s="27" t="s">
        <v>717</v>
      </c>
      <c r="L16" s="2">
        <v>45987.512694421297</v>
      </c>
      <c r="M16" s="24" t="s">
        <v>1526</v>
      </c>
      <c r="N16" s="4" t="s">
        <v>121</v>
      </c>
    </row>
    <row r="17" spans="1:14" ht="100.2" customHeight="1" thickTop="1" thickBot="1">
      <c r="A17" s="31">
        <v>15</v>
      </c>
      <c r="B17" s="2">
        <v>45987.512194097202</v>
      </c>
      <c r="C17" s="3" t="s">
        <v>26</v>
      </c>
      <c r="D17" s="3" t="s">
        <v>1524</v>
      </c>
      <c r="E17" s="4" t="s">
        <v>22</v>
      </c>
      <c r="F17" s="43" t="s">
        <v>42</v>
      </c>
      <c r="G17" s="4" t="s">
        <v>25</v>
      </c>
      <c r="H17" s="43" t="s">
        <v>1527</v>
      </c>
      <c r="I17" s="4"/>
      <c r="J17" s="26" t="s">
        <v>12</v>
      </c>
      <c r="K17" s="27" t="s">
        <v>13</v>
      </c>
      <c r="L17" s="2">
        <v>45987.512907870376</v>
      </c>
      <c r="M17" s="24" t="s">
        <v>1528</v>
      </c>
      <c r="N17" s="4" t="s">
        <v>121</v>
      </c>
    </row>
    <row r="18" spans="1:14" ht="100.2" customHeight="1" thickTop="1" thickBot="1">
      <c r="A18" s="4">
        <v>16</v>
      </c>
      <c r="B18" s="2">
        <v>45988.469820127299</v>
      </c>
      <c r="C18" s="3" t="s">
        <v>26</v>
      </c>
      <c r="D18" s="3" t="s">
        <v>1521</v>
      </c>
      <c r="E18" s="4" t="s">
        <v>22</v>
      </c>
      <c r="F18" s="43" t="s">
        <v>1529</v>
      </c>
      <c r="G18" s="4" t="s">
        <v>1530</v>
      </c>
      <c r="H18" s="43" t="s">
        <v>1531</v>
      </c>
      <c r="I18" s="4"/>
      <c r="J18" s="26" t="s">
        <v>12</v>
      </c>
      <c r="K18" s="27" t="s">
        <v>13</v>
      </c>
      <c r="L18" s="2">
        <v>45988.54646975694</v>
      </c>
      <c r="M18" s="24"/>
      <c r="N18" s="4" t="s">
        <v>121</v>
      </c>
    </row>
    <row r="19" spans="1:14" ht="100.2" customHeight="1" thickTop="1" thickBot="1">
      <c r="A19" s="31">
        <v>17</v>
      </c>
      <c r="B19" s="2">
        <v>45988.479782002301</v>
      </c>
      <c r="C19" s="3" t="s">
        <v>26</v>
      </c>
      <c r="D19" s="3" t="s">
        <v>1532</v>
      </c>
      <c r="E19" s="4" t="s">
        <v>21</v>
      </c>
      <c r="F19" s="43" t="s">
        <v>39</v>
      </c>
      <c r="G19" s="4" t="s">
        <v>37</v>
      </c>
      <c r="H19" s="43" t="s">
        <v>1533</v>
      </c>
      <c r="I19" s="4" t="s">
        <v>1534</v>
      </c>
      <c r="J19" s="26" t="s">
        <v>12</v>
      </c>
      <c r="K19" s="27" t="s">
        <v>13</v>
      </c>
      <c r="L19" s="2">
        <v>45988.744168958336</v>
      </c>
      <c r="M19" s="24"/>
      <c r="N19" s="4" t="s">
        <v>121</v>
      </c>
    </row>
    <row r="20" spans="1:14" ht="100.2" customHeight="1" thickTop="1" thickBot="1">
      <c r="A20" s="4">
        <v>18</v>
      </c>
      <c r="B20" s="2">
        <v>45964.387115254598</v>
      </c>
      <c r="C20" s="3" t="s">
        <v>26</v>
      </c>
      <c r="D20" s="3" t="s">
        <v>29</v>
      </c>
      <c r="E20" s="4" t="s">
        <v>21</v>
      </c>
      <c r="F20" s="43" t="s">
        <v>1535</v>
      </c>
      <c r="G20" s="4" t="s">
        <v>1536</v>
      </c>
      <c r="H20" s="43" t="s">
        <v>1537</v>
      </c>
      <c r="I20" s="4"/>
      <c r="J20" s="26" t="s">
        <v>16</v>
      </c>
      <c r="K20" s="27" t="s">
        <v>13</v>
      </c>
      <c r="L20" s="2" t="s">
        <v>1538</v>
      </c>
      <c r="M20" s="24"/>
      <c r="N20" s="4" t="s">
        <v>121</v>
      </c>
    </row>
    <row r="21" spans="1:14" ht="100.2" customHeight="1" thickTop="1" thickBot="1">
      <c r="A21" s="31">
        <v>19</v>
      </c>
      <c r="B21" s="2">
        <v>45965.320283796202</v>
      </c>
      <c r="C21" s="3" t="s">
        <v>26</v>
      </c>
      <c r="D21" s="3" t="s">
        <v>1539</v>
      </c>
      <c r="E21" s="4" t="s">
        <v>21</v>
      </c>
      <c r="F21" s="43" t="s">
        <v>31</v>
      </c>
      <c r="G21" s="4" t="s">
        <v>32</v>
      </c>
      <c r="H21" s="43" t="s">
        <v>1540</v>
      </c>
      <c r="I21" s="4" t="s">
        <v>1541</v>
      </c>
      <c r="J21" s="26" t="s">
        <v>16</v>
      </c>
      <c r="K21" s="27" t="s">
        <v>13</v>
      </c>
      <c r="L21" s="2" t="s">
        <v>1542</v>
      </c>
      <c r="M21" s="24" t="s">
        <v>1543</v>
      </c>
      <c r="N21" s="4" t="s">
        <v>121</v>
      </c>
    </row>
    <row r="22" spans="1:14" ht="100.2" customHeight="1" thickTop="1" thickBot="1">
      <c r="A22" s="4">
        <v>20</v>
      </c>
      <c r="B22" s="2">
        <v>45966.376091770799</v>
      </c>
      <c r="C22" s="3" t="s">
        <v>26</v>
      </c>
      <c r="D22" s="3" t="s">
        <v>1544</v>
      </c>
      <c r="E22" s="4" t="s">
        <v>21</v>
      </c>
      <c r="F22" s="43" t="s">
        <v>28</v>
      </c>
      <c r="G22" s="4" t="s">
        <v>38</v>
      </c>
      <c r="H22" s="43" t="s">
        <v>1545</v>
      </c>
      <c r="I22" s="4" t="s">
        <v>1546</v>
      </c>
      <c r="J22" s="26" t="s">
        <v>16</v>
      </c>
      <c r="K22" s="27" t="s">
        <v>13</v>
      </c>
      <c r="L22" s="2" t="s">
        <v>1547</v>
      </c>
      <c r="M22" s="24" t="s">
        <v>1548</v>
      </c>
      <c r="N22" s="4" t="s">
        <v>121</v>
      </c>
    </row>
    <row r="23" spans="1:14" ht="100.2" customHeight="1" thickTop="1" thickBot="1">
      <c r="A23" s="31">
        <v>21</v>
      </c>
      <c r="B23" s="2">
        <v>45966.4552798726</v>
      </c>
      <c r="C23" s="3" t="s">
        <v>26</v>
      </c>
      <c r="D23" s="3" t="s">
        <v>1549</v>
      </c>
      <c r="E23" s="4" t="s">
        <v>21</v>
      </c>
      <c r="F23" s="43" t="s">
        <v>39</v>
      </c>
      <c r="G23" s="4" t="s">
        <v>1550</v>
      </c>
      <c r="H23" s="43" t="s">
        <v>1551</v>
      </c>
      <c r="I23" s="4" t="s">
        <v>1552</v>
      </c>
      <c r="J23" s="26" t="s">
        <v>16</v>
      </c>
      <c r="K23" s="27" t="s">
        <v>13</v>
      </c>
      <c r="L23" s="2" t="s">
        <v>1553</v>
      </c>
      <c r="M23" s="24"/>
      <c r="N23" s="4" t="s">
        <v>121</v>
      </c>
    </row>
    <row r="24" spans="1:14" ht="100.2" customHeight="1" thickTop="1" thickBot="1">
      <c r="A24" s="4">
        <v>22</v>
      </c>
      <c r="B24" s="2">
        <v>45966.486136967498</v>
      </c>
      <c r="C24" s="3" t="s">
        <v>26</v>
      </c>
      <c r="D24" s="3" t="s">
        <v>1554</v>
      </c>
      <c r="E24" s="4" t="s">
        <v>22</v>
      </c>
      <c r="F24" s="43" t="s">
        <v>1555</v>
      </c>
      <c r="G24" s="4" t="s">
        <v>1555</v>
      </c>
      <c r="H24" s="43" t="s">
        <v>1556</v>
      </c>
      <c r="I24" s="4"/>
      <c r="J24" s="26" t="s">
        <v>16</v>
      </c>
      <c r="K24" s="27" t="s">
        <v>13</v>
      </c>
      <c r="L24" s="2" t="s">
        <v>1557</v>
      </c>
      <c r="M24" s="24" t="s">
        <v>1558</v>
      </c>
      <c r="N24" s="4"/>
    </row>
    <row r="25" spans="1:14" ht="100.2" customHeight="1" thickTop="1" thickBot="1">
      <c r="A25" s="31">
        <v>23</v>
      </c>
      <c r="B25" s="2">
        <v>45966.493980208303</v>
      </c>
      <c r="C25" s="3" t="s">
        <v>26</v>
      </c>
      <c r="D25" s="3" t="s">
        <v>1521</v>
      </c>
      <c r="E25" s="4" t="s">
        <v>22</v>
      </c>
      <c r="F25" s="43" t="s">
        <v>31</v>
      </c>
      <c r="G25" s="4" t="s">
        <v>41</v>
      </c>
      <c r="H25" s="43" t="s">
        <v>1559</v>
      </c>
      <c r="I25" s="4"/>
      <c r="J25" s="26" t="s">
        <v>16</v>
      </c>
      <c r="K25" s="27" t="s">
        <v>13</v>
      </c>
      <c r="L25" s="2" t="s">
        <v>1560</v>
      </c>
      <c r="M25" s="24" t="s">
        <v>1561</v>
      </c>
      <c r="N25" s="4"/>
    </row>
    <row r="26" spans="1:14" ht="100.2" customHeight="1" thickTop="1" thickBot="1">
      <c r="A26" s="4">
        <v>24</v>
      </c>
      <c r="B26" s="2">
        <v>45966.496298078702</v>
      </c>
      <c r="C26" s="3" t="s">
        <v>26</v>
      </c>
      <c r="D26" s="3" t="s">
        <v>1521</v>
      </c>
      <c r="E26" s="4" t="s">
        <v>22</v>
      </c>
      <c r="F26" s="43" t="s">
        <v>42</v>
      </c>
      <c r="G26" s="4" t="s">
        <v>37</v>
      </c>
      <c r="H26" s="43" t="s">
        <v>1562</v>
      </c>
      <c r="I26" s="4"/>
      <c r="J26" s="26" t="s">
        <v>16</v>
      </c>
      <c r="K26" s="27" t="s">
        <v>13</v>
      </c>
      <c r="L26" s="2" t="s">
        <v>1563</v>
      </c>
      <c r="M26" s="24" t="s">
        <v>1561</v>
      </c>
      <c r="N26" s="4"/>
    </row>
    <row r="27" spans="1:14" ht="100.2" customHeight="1" thickTop="1" thickBot="1">
      <c r="A27" s="31">
        <v>25</v>
      </c>
      <c r="B27" s="2">
        <v>45966.5098269675</v>
      </c>
      <c r="C27" s="3" t="s">
        <v>26</v>
      </c>
      <c r="D27" s="3" t="s">
        <v>1564</v>
      </c>
      <c r="E27" s="4" t="s">
        <v>22</v>
      </c>
      <c r="F27" s="43" t="s">
        <v>28</v>
      </c>
      <c r="G27" s="4" t="s">
        <v>1565</v>
      </c>
      <c r="H27" s="43" t="s">
        <v>1566</v>
      </c>
      <c r="I27" s="4"/>
      <c r="J27" s="26" t="s">
        <v>16</v>
      </c>
      <c r="K27" s="27" t="s">
        <v>13</v>
      </c>
      <c r="L27" s="2" t="s">
        <v>1567</v>
      </c>
      <c r="M27" s="24" t="s">
        <v>1568</v>
      </c>
      <c r="N27" s="4"/>
    </row>
    <row r="28" spans="1:14" ht="100.2" customHeight="1" thickTop="1" thickBot="1">
      <c r="A28" s="4">
        <v>26</v>
      </c>
      <c r="B28" s="2">
        <v>45966.514960173598</v>
      </c>
      <c r="C28" s="3" t="s">
        <v>26</v>
      </c>
      <c r="D28" s="3" t="s">
        <v>1564</v>
      </c>
      <c r="E28" s="4" t="s">
        <v>22</v>
      </c>
      <c r="F28" s="43" t="s">
        <v>28</v>
      </c>
      <c r="G28" s="4" t="s">
        <v>43</v>
      </c>
      <c r="H28" s="43" t="s">
        <v>1569</v>
      </c>
      <c r="I28" s="4"/>
      <c r="J28" s="26" t="s">
        <v>16</v>
      </c>
      <c r="K28" s="27" t="s">
        <v>13</v>
      </c>
      <c r="L28" s="2" t="s">
        <v>1570</v>
      </c>
      <c r="M28" s="24" t="s">
        <v>1571</v>
      </c>
      <c r="N28" s="4"/>
    </row>
    <row r="29" spans="1:14" ht="100.2" customHeight="1" thickTop="1" thickBot="1">
      <c r="A29" s="31">
        <v>27</v>
      </c>
      <c r="B29" s="2">
        <v>45966.535173715201</v>
      </c>
      <c r="C29" s="3" t="s">
        <v>26</v>
      </c>
      <c r="D29" s="3" t="s">
        <v>1572</v>
      </c>
      <c r="E29" s="4" t="s">
        <v>22</v>
      </c>
      <c r="F29" s="43" t="s">
        <v>42</v>
      </c>
      <c r="G29" s="4" t="s">
        <v>36</v>
      </c>
      <c r="H29" s="43" t="s">
        <v>1573</v>
      </c>
      <c r="I29" s="4"/>
      <c r="J29" s="26" t="s">
        <v>16</v>
      </c>
      <c r="K29" s="27" t="s">
        <v>13</v>
      </c>
      <c r="L29" s="2" t="s">
        <v>1574</v>
      </c>
      <c r="M29" s="24" t="s">
        <v>1568</v>
      </c>
      <c r="N29" s="4"/>
    </row>
    <row r="30" spans="1:14" ht="100.2" customHeight="1" thickTop="1" thickBot="1">
      <c r="A30" s="4">
        <v>28</v>
      </c>
      <c r="B30" s="2">
        <v>45966.536263958304</v>
      </c>
      <c r="C30" s="3" t="s">
        <v>26</v>
      </c>
      <c r="D30" s="3" t="s">
        <v>1572</v>
      </c>
      <c r="E30" s="4" t="s">
        <v>22</v>
      </c>
      <c r="F30" s="43" t="s">
        <v>42</v>
      </c>
      <c r="G30" s="4" t="s">
        <v>47</v>
      </c>
      <c r="H30" s="43" t="s">
        <v>1575</v>
      </c>
      <c r="I30" s="4"/>
      <c r="J30" s="26" t="s">
        <v>16</v>
      </c>
      <c r="K30" s="27" t="s">
        <v>13</v>
      </c>
      <c r="L30" s="2" t="s">
        <v>1574</v>
      </c>
      <c r="M30" s="24" t="s">
        <v>1568</v>
      </c>
      <c r="N30" s="4"/>
    </row>
    <row r="31" spans="1:14" ht="100.2" customHeight="1" thickTop="1" thickBot="1">
      <c r="A31" s="31">
        <v>29</v>
      </c>
      <c r="B31" s="2">
        <v>45966.537104953699</v>
      </c>
      <c r="C31" s="3" t="s">
        <v>26</v>
      </c>
      <c r="D31" s="3" t="s">
        <v>1572</v>
      </c>
      <c r="E31" s="4" t="s">
        <v>22</v>
      </c>
      <c r="F31" s="43" t="s">
        <v>42</v>
      </c>
      <c r="G31" s="4" t="s">
        <v>37</v>
      </c>
      <c r="H31" s="43" t="s">
        <v>1576</v>
      </c>
      <c r="I31" s="4"/>
      <c r="J31" s="26" t="s">
        <v>16</v>
      </c>
      <c r="K31" s="27" t="s">
        <v>13</v>
      </c>
      <c r="L31" s="2" t="s">
        <v>1574</v>
      </c>
      <c r="M31" s="24" t="s">
        <v>1577</v>
      </c>
      <c r="N31" s="4"/>
    </row>
    <row r="32" spans="1:14" ht="100.2" customHeight="1" thickTop="1" thickBot="1">
      <c r="A32" s="4">
        <v>30</v>
      </c>
      <c r="B32" s="2">
        <v>45966.538858946697</v>
      </c>
      <c r="C32" s="3" t="s">
        <v>26</v>
      </c>
      <c r="D32" s="3" t="s">
        <v>1572</v>
      </c>
      <c r="E32" s="4" t="s">
        <v>22</v>
      </c>
      <c r="F32" s="43" t="s">
        <v>31</v>
      </c>
      <c r="G32" s="4" t="s">
        <v>48</v>
      </c>
      <c r="H32" s="43" t="s">
        <v>1578</v>
      </c>
      <c r="I32" s="4"/>
      <c r="J32" s="26" t="s">
        <v>16</v>
      </c>
      <c r="K32" s="27" t="s">
        <v>13</v>
      </c>
      <c r="L32" s="2" t="s">
        <v>1574</v>
      </c>
      <c r="M32" s="24" t="s">
        <v>1561</v>
      </c>
      <c r="N32" s="4"/>
    </row>
    <row r="33" spans="1:14" ht="100.2" customHeight="1" thickTop="1" thickBot="1">
      <c r="A33" s="31">
        <v>31</v>
      </c>
      <c r="B33" s="2">
        <v>45966.542160682802</v>
      </c>
      <c r="C33" s="3" t="s">
        <v>26</v>
      </c>
      <c r="D33" s="3" t="s">
        <v>49</v>
      </c>
      <c r="E33" s="4" t="s">
        <v>22</v>
      </c>
      <c r="F33" s="43" t="s">
        <v>39</v>
      </c>
      <c r="G33" s="4" t="s">
        <v>1579</v>
      </c>
      <c r="H33" s="43" t="s">
        <v>1580</v>
      </c>
      <c r="I33" s="4"/>
      <c r="J33" s="26" t="s">
        <v>16</v>
      </c>
      <c r="K33" s="27" t="s">
        <v>13</v>
      </c>
      <c r="L33" s="2" t="s">
        <v>1574</v>
      </c>
      <c r="M33" s="24"/>
      <c r="N33" s="4"/>
    </row>
    <row r="34" spans="1:14" ht="100.2" customHeight="1" thickTop="1" thickBot="1">
      <c r="A34" s="4">
        <v>32</v>
      </c>
      <c r="B34" s="2">
        <v>45966.543008726803</v>
      </c>
      <c r="C34" s="3" t="s">
        <v>26</v>
      </c>
      <c r="D34" s="3" t="s">
        <v>49</v>
      </c>
      <c r="E34" s="4" t="s">
        <v>22</v>
      </c>
      <c r="F34" s="43" t="s">
        <v>28</v>
      </c>
      <c r="G34" s="4" t="s">
        <v>38</v>
      </c>
      <c r="H34" s="43" t="s">
        <v>1581</v>
      </c>
      <c r="I34" s="4"/>
      <c r="J34" s="26" t="s">
        <v>16</v>
      </c>
      <c r="K34" s="27" t="s">
        <v>13</v>
      </c>
      <c r="L34" s="2" t="s">
        <v>1574</v>
      </c>
      <c r="M34" s="24"/>
      <c r="N34" s="4"/>
    </row>
    <row r="35" spans="1:14" ht="100.2" customHeight="1" thickTop="1" thickBot="1">
      <c r="A35" s="31">
        <v>33</v>
      </c>
      <c r="B35" s="2">
        <v>45966.544533414301</v>
      </c>
      <c r="C35" s="3" t="s">
        <v>26</v>
      </c>
      <c r="D35" s="3" t="s">
        <v>49</v>
      </c>
      <c r="E35" s="4" t="s">
        <v>22</v>
      </c>
      <c r="F35" s="43" t="s">
        <v>39</v>
      </c>
      <c r="G35" s="4" t="s">
        <v>25</v>
      </c>
      <c r="H35" s="43" t="s">
        <v>1582</v>
      </c>
      <c r="I35" s="4"/>
      <c r="J35" s="26" t="s">
        <v>16</v>
      </c>
      <c r="K35" s="27" t="s">
        <v>13</v>
      </c>
      <c r="L35" s="2" t="s">
        <v>1574</v>
      </c>
      <c r="M35" s="24"/>
      <c r="N35" s="4"/>
    </row>
    <row r="36" spans="1:14" ht="100.2" customHeight="1" thickTop="1" thickBot="1">
      <c r="A36" s="4">
        <v>34</v>
      </c>
      <c r="B36" s="2">
        <v>45966.545634884198</v>
      </c>
      <c r="C36" s="3" t="s">
        <v>26</v>
      </c>
      <c r="D36" s="3" t="s">
        <v>49</v>
      </c>
      <c r="E36" s="4" t="s">
        <v>22</v>
      </c>
      <c r="F36" s="43" t="s">
        <v>39</v>
      </c>
      <c r="G36" s="4" t="s">
        <v>25</v>
      </c>
      <c r="H36" s="43" t="s">
        <v>1583</v>
      </c>
      <c r="I36" s="4"/>
      <c r="J36" s="26" t="s">
        <v>16</v>
      </c>
      <c r="K36" s="27" t="s">
        <v>13</v>
      </c>
      <c r="L36" s="2" t="s">
        <v>1574</v>
      </c>
      <c r="M36" s="24"/>
      <c r="N36" s="4"/>
    </row>
    <row r="37" spans="1:14" ht="100.2" customHeight="1" thickTop="1" thickBot="1">
      <c r="A37" s="31">
        <v>35</v>
      </c>
      <c r="B37" s="2">
        <v>45967.411683148101</v>
      </c>
      <c r="C37" s="3" t="s">
        <v>26</v>
      </c>
      <c r="D37" s="3" t="s">
        <v>1584</v>
      </c>
      <c r="E37" s="4" t="s">
        <v>21</v>
      </c>
      <c r="F37" s="43" t="s">
        <v>31</v>
      </c>
      <c r="G37" s="4" t="s">
        <v>1585</v>
      </c>
      <c r="H37" s="43" t="s">
        <v>1586</v>
      </c>
      <c r="I37" s="4" t="s">
        <v>1587</v>
      </c>
      <c r="J37" s="26" t="s">
        <v>16</v>
      </c>
      <c r="K37" s="27" t="s">
        <v>13</v>
      </c>
      <c r="L37" s="2" t="s">
        <v>1588</v>
      </c>
      <c r="M37" s="24" t="s">
        <v>1589</v>
      </c>
      <c r="N37" s="4"/>
    </row>
    <row r="38" spans="1:14" ht="100.2" customHeight="1" thickTop="1" thickBot="1">
      <c r="A38" s="4">
        <v>36</v>
      </c>
      <c r="B38" s="2">
        <v>45969.339706203697</v>
      </c>
      <c r="C38" s="3" t="s">
        <v>26</v>
      </c>
      <c r="D38" s="3" t="s">
        <v>1494</v>
      </c>
      <c r="E38" s="4" t="s">
        <v>22</v>
      </c>
      <c r="F38" s="43" t="s">
        <v>28</v>
      </c>
      <c r="G38" s="4" t="s">
        <v>37</v>
      </c>
      <c r="H38" s="43" t="s">
        <v>1590</v>
      </c>
      <c r="I38" s="4" t="s">
        <v>1591</v>
      </c>
      <c r="J38" s="26" t="s">
        <v>16</v>
      </c>
      <c r="K38" s="27" t="s">
        <v>13</v>
      </c>
      <c r="L38" s="2" t="s">
        <v>1592</v>
      </c>
      <c r="M38" s="24"/>
      <c r="N38" s="4"/>
    </row>
    <row r="39" spans="1:14" ht="100.2" customHeight="1" thickTop="1" thickBot="1">
      <c r="A39" s="31">
        <v>37</v>
      </c>
      <c r="B39" s="2">
        <v>45969.353387800897</v>
      </c>
      <c r="C39" s="3" t="s">
        <v>26</v>
      </c>
      <c r="D39" s="3" t="s">
        <v>1593</v>
      </c>
      <c r="E39" s="4" t="s">
        <v>21</v>
      </c>
      <c r="F39" s="43" t="s">
        <v>28</v>
      </c>
      <c r="G39" s="4" t="s">
        <v>25</v>
      </c>
      <c r="H39" s="43" t="s">
        <v>1594</v>
      </c>
      <c r="I39" s="4" t="s">
        <v>1595</v>
      </c>
      <c r="J39" s="26" t="s">
        <v>16</v>
      </c>
      <c r="K39" s="27" t="s">
        <v>13</v>
      </c>
      <c r="L39" s="2" t="s">
        <v>1596</v>
      </c>
      <c r="M39" s="24"/>
      <c r="N39" s="4"/>
    </row>
    <row r="40" spans="1:14" ht="100.2" customHeight="1" thickTop="1" thickBot="1">
      <c r="A40" s="4">
        <v>38</v>
      </c>
      <c r="B40" s="2">
        <v>45970.4067140509</v>
      </c>
      <c r="C40" s="3" t="s">
        <v>26</v>
      </c>
      <c r="D40" s="3" t="s">
        <v>1597</v>
      </c>
      <c r="E40" s="4" t="s">
        <v>21</v>
      </c>
      <c r="F40" s="43" t="s">
        <v>42</v>
      </c>
      <c r="G40" s="4" t="s">
        <v>25</v>
      </c>
      <c r="H40" s="43" t="s">
        <v>1598</v>
      </c>
      <c r="I40" s="4" t="s">
        <v>1599</v>
      </c>
      <c r="J40" s="26" t="s">
        <v>16</v>
      </c>
      <c r="K40" s="27" t="s">
        <v>13</v>
      </c>
      <c r="L40" s="2" t="s">
        <v>1600</v>
      </c>
      <c r="M40" s="24"/>
      <c r="N40" s="4"/>
    </row>
    <row r="41" spans="1:14" ht="100.2" customHeight="1" thickTop="1" thickBot="1">
      <c r="A41" s="31">
        <v>39</v>
      </c>
      <c r="B41" s="2">
        <v>45970.535907638798</v>
      </c>
      <c r="C41" s="3" t="s">
        <v>26</v>
      </c>
      <c r="D41" s="3" t="s">
        <v>27</v>
      </c>
      <c r="E41" s="4" t="s">
        <v>21</v>
      </c>
      <c r="F41" s="43" t="s">
        <v>28</v>
      </c>
      <c r="G41" s="4" t="s">
        <v>36</v>
      </c>
      <c r="H41" s="43" t="s">
        <v>1601</v>
      </c>
      <c r="I41" s="4" t="s">
        <v>1602</v>
      </c>
      <c r="J41" s="26" t="s">
        <v>16</v>
      </c>
      <c r="K41" s="27" t="s">
        <v>13</v>
      </c>
      <c r="L41" s="2" t="s">
        <v>1603</v>
      </c>
      <c r="M41" s="24" t="s">
        <v>1604</v>
      </c>
      <c r="N41" s="4"/>
    </row>
    <row r="42" spans="1:14" ht="100.2" customHeight="1" thickTop="1" thickBot="1">
      <c r="A42" s="4">
        <v>40</v>
      </c>
      <c r="B42" s="2">
        <v>45971.362637870297</v>
      </c>
      <c r="C42" s="3" t="s">
        <v>26</v>
      </c>
      <c r="D42" s="3" t="s">
        <v>1605</v>
      </c>
      <c r="E42" s="4" t="s">
        <v>21</v>
      </c>
      <c r="F42" s="43" t="s">
        <v>42</v>
      </c>
      <c r="G42" s="4" t="s">
        <v>25</v>
      </c>
      <c r="H42" s="43" t="s">
        <v>1606</v>
      </c>
      <c r="I42" s="4" t="s">
        <v>1607</v>
      </c>
      <c r="J42" s="26" t="s">
        <v>16</v>
      </c>
      <c r="K42" s="27" t="s">
        <v>13</v>
      </c>
      <c r="L42" s="2" t="s">
        <v>1608</v>
      </c>
      <c r="M42" s="24"/>
      <c r="N42" s="4"/>
    </row>
    <row r="43" spans="1:14" ht="100.2" customHeight="1" thickTop="1" thickBot="1">
      <c r="A43" s="31">
        <v>41</v>
      </c>
      <c r="B43" s="2">
        <v>45977.364210520798</v>
      </c>
      <c r="C43" s="3" t="s">
        <v>26</v>
      </c>
      <c r="D43" s="3" t="s">
        <v>51</v>
      </c>
      <c r="E43" s="4" t="s">
        <v>21</v>
      </c>
      <c r="F43" s="43" t="s">
        <v>31</v>
      </c>
      <c r="G43" s="4" t="s">
        <v>37</v>
      </c>
      <c r="H43" s="43" t="s">
        <v>1609</v>
      </c>
      <c r="I43" s="4" t="s">
        <v>1610</v>
      </c>
      <c r="J43" s="26" t="s">
        <v>16</v>
      </c>
      <c r="K43" s="27" t="s">
        <v>13</v>
      </c>
      <c r="L43" s="2"/>
      <c r="M43" s="24"/>
      <c r="N43" s="4"/>
    </row>
    <row r="44" spans="1:14" ht="100.2" customHeight="1" thickTop="1" thickBot="1">
      <c r="A44" s="4">
        <v>42</v>
      </c>
      <c r="B44" s="2">
        <v>45977.372638379602</v>
      </c>
      <c r="C44" s="3" t="s">
        <v>26</v>
      </c>
      <c r="D44" s="3" t="s">
        <v>29</v>
      </c>
      <c r="E44" s="4" t="s">
        <v>21</v>
      </c>
      <c r="F44" s="43" t="s">
        <v>52</v>
      </c>
      <c r="G44" s="4" t="s">
        <v>46</v>
      </c>
      <c r="H44" s="43" t="s">
        <v>1611</v>
      </c>
      <c r="I44" s="4" t="s">
        <v>1612</v>
      </c>
      <c r="J44" s="26" t="s">
        <v>16</v>
      </c>
      <c r="K44" s="27" t="s">
        <v>13</v>
      </c>
      <c r="L44" s="2"/>
      <c r="M44" s="24"/>
      <c r="N44" s="4"/>
    </row>
    <row r="45" spans="1:14" ht="100.2" customHeight="1" thickTop="1" thickBot="1">
      <c r="A45" s="31">
        <v>43</v>
      </c>
      <c r="B45" s="2">
        <v>45977.454489224503</v>
      </c>
      <c r="C45" s="3" t="s">
        <v>26</v>
      </c>
      <c r="D45" s="3" t="s">
        <v>29</v>
      </c>
      <c r="E45" s="4" t="s">
        <v>21</v>
      </c>
      <c r="F45" s="43" t="s">
        <v>1613</v>
      </c>
      <c r="G45" s="4" t="s">
        <v>1614</v>
      </c>
      <c r="H45" s="43" t="s">
        <v>1615</v>
      </c>
      <c r="I45" s="4" t="s">
        <v>1616</v>
      </c>
      <c r="J45" s="26" t="s">
        <v>16</v>
      </c>
      <c r="K45" s="27" t="s">
        <v>13</v>
      </c>
      <c r="L45" s="2">
        <v>45978.507432395832</v>
      </c>
      <c r="M45" s="24"/>
      <c r="N45" s="4"/>
    </row>
    <row r="46" spans="1:14" ht="100.2" customHeight="1" thickTop="1" thickBot="1">
      <c r="A46" s="4">
        <v>44</v>
      </c>
      <c r="B46" s="2">
        <v>45979.378396365697</v>
      </c>
      <c r="C46" s="3" t="s">
        <v>26</v>
      </c>
      <c r="D46" s="3" t="s">
        <v>55</v>
      </c>
      <c r="E46" s="4" t="s">
        <v>21</v>
      </c>
      <c r="F46" s="43" t="s">
        <v>31</v>
      </c>
      <c r="G46" s="4" t="s">
        <v>25</v>
      </c>
      <c r="H46" s="43" t="s">
        <v>1617</v>
      </c>
      <c r="I46" s="4"/>
      <c r="J46" s="26" t="s">
        <v>16</v>
      </c>
      <c r="K46" s="27" t="s">
        <v>13</v>
      </c>
      <c r="L46" s="2">
        <v>45980.435375439818</v>
      </c>
      <c r="M46" s="24"/>
      <c r="N46" s="4"/>
    </row>
    <row r="47" spans="1:14" ht="100.2" customHeight="1" thickTop="1" thickBot="1">
      <c r="A47" s="31">
        <v>45</v>
      </c>
      <c r="B47" s="2">
        <v>45979.417739039302</v>
      </c>
      <c r="C47" s="3" t="s">
        <v>26</v>
      </c>
      <c r="D47" s="3" t="s">
        <v>55</v>
      </c>
      <c r="E47" s="4" t="s">
        <v>21</v>
      </c>
      <c r="F47" s="43" t="s">
        <v>28</v>
      </c>
      <c r="G47" s="4" t="s">
        <v>37</v>
      </c>
      <c r="H47" s="43" t="s">
        <v>1618</v>
      </c>
      <c r="I47" s="4"/>
      <c r="J47" s="26" t="s">
        <v>16</v>
      </c>
      <c r="K47" s="27" t="s">
        <v>750</v>
      </c>
      <c r="L47" s="2">
        <v>45979.435010069443</v>
      </c>
      <c r="M47" s="24" t="s">
        <v>1619</v>
      </c>
      <c r="N47" s="4"/>
    </row>
    <row r="48" spans="1:14" ht="100.2" customHeight="1" thickTop="1" thickBot="1">
      <c r="A48" s="4">
        <v>46</v>
      </c>
      <c r="B48" s="2">
        <v>45979.438193159702</v>
      </c>
      <c r="C48" s="3" t="s">
        <v>26</v>
      </c>
      <c r="D48" s="3" t="s">
        <v>1620</v>
      </c>
      <c r="E48" s="4" t="s">
        <v>22</v>
      </c>
      <c r="F48" s="43" t="s">
        <v>31</v>
      </c>
      <c r="G48" s="4" t="s">
        <v>38</v>
      </c>
      <c r="H48" s="43" t="s">
        <v>1621</v>
      </c>
      <c r="I48" s="4"/>
      <c r="J48" s="26" t="s">
        <v>16</v>
      </c>
      <c r="K48" s="27" t="s">
        <v>13</v>
      </c>
      <c r="L48" s="2">
        <v>45979.438397337959</v>
      </c>
      <c r="M48" s="24"/>
      <c r="N48" s="4"/>
    </row>
    <row r="49" spans="1:14" ht="100.2" customHeight="1" thickTop="1" thickBot="1">
      <c r="A49" s="31">
        <v>47</v>
      </c>
      <c r="B49" s="2">
        <v>45979.440192511502</v>
      </c>
      <c r="C49" s="3" t="s">
        <v>26</v>
      </c>
      <c r="D49" s="3" t="s">
        <v>1620</v>
      </c>
      <c r="E49" s="4" t="s">
        <v>22</v>
      </c>
      <c r="F49" s="43" t="s">
        <v>31</v>
      </c>
      <c r="G49" s="4" t="s">
        <v>47</v>
      </c>
      <c r="H49" s="43" t="s">
        <v>1622</v>
      </c>
      <c r="I49" s="4"/>
      <c r="J49" s="26" t="s">
        <v>16</v>
      </c>
      <c r="K49" s="27" t="s">
        <v>13</v>
      </c>
      <c r="L49" s="2">
        <v>45979.440412094904</v>
      </c>
      <c r="M49" s="24"/>
      <c r="N49" s="4"/>
    </row>
    <row r="50" spans="1:14" ht="100.2" customHeight="1" thickTop="1" thickBot="1">
      <c r="A50" s="4">
        <v>48</v>
      </c>
      <c r="B50" s="2">
        <v>45979.543644907397</v>
      </c>
      <c r="C50" s="3" t="s">
        <v>26</v>
      </c>
      <c r="D50" s="3" t="s">
        <v>50</v>
      </c>
      <c r="E50" s="4" t="s">
        <v>21</v>
      </c>
      <c r="F50" s="43" t="s">
        <v>28</v>
      </c>
      <c r="G50" s="4" t="s">
        <v>1535</v>
      </c>
      <c r="H50" s="43" t="s">
        <v>1623</v>
      </c>
      <c r="I50" s="4"/>
      <c r="J50" s="26" t="s">
        <v>16</v>
      </c>
      <c r="K50" s="27" t="s">
        <v>13</v>
      </c>
      <c r="L50" s="2">
        <v>45980.314362129633</v>
      </c>
      <c r="M50" s="24"/>
      <c r="N50" s="4"/>
    </row>
    <row r="51" spans="1:14" ht="100.2" customHeight="1" thickTop="1" thickBot="1">
      <c r="A51" s="31">
        <v>49</v>
      </c>
      <c r="B51" s="2">
        <v>45979.547306076303</v>
      </c>
      <c r="C51" s="3" t="s">
        <v>26</v>
      </c>
      <c r="D51" s="3" t="s">
        <v>1624</v>
      </c>
      <c r="E51" s="4" t="s">
        <v>21</v>
      </c>
      <c r="F51" s="43" t="s">
        <v>28</v>
      </c>
      <c r="G51" s="4" t="s">
        <v>1535</v>
      </c>
      <c r="H51" s="43" t="s">
        <v>1625</v>
      </c>
      <c r="I51" s="4"/>
      <c r="J51" s="26" t="s">
        <v>16</v>
      </c>
      <c r="K51" s="27" t="s">
        <v>13</v>
      </c>
      <c r="L51" s="2">
        <v>45981.309390740746</v>
      </c>
      <c r="M51" s="24"/>
      <c r="N51" s="4"/>
    </row>
    <row r="52" spans="1:14" ht="100.2" customHeight="1" thickTop="1" thickBot="1">
      <c r="A52" s="4">
        <v>50</v>
      </c>
      <c r="B52" s="2">
        <v>45980.388655474497</v>
      </c>
      <c r="C52" s="3" t="s">
        <v>26</v>
      </c>
      <c r="D52" s="3" t="s">
        <v>1626</v>
      </c>
      <c r="E52" s="4" t="s">
        <v>21</v>
      </c>
      <c r="F52" s="43" t="s">
        <v>1535</v>
      </c>
      <c r="G52" s="4" t="s">
        <v>56</v>
      </c>
      <c r="H52" s="43" t="s">
        <v>1627</v>
      </c>
      <c r="I52" s="4" t="s">
        <v>1628</v>
      </c>
      <c r="J52" s="26" t="s">
        <v>16</v>
      </c>
      <c r="K52" s="27" t="s">
        <v>13</v>
      </c>
      <c r="L52" s="2">
        <v>45980.435120497685</v>
      </c>
      <c r="M52" s="24"/>
      <c r="N52" s="4"/>
    </row>
    <row r="53" spans="1:14" ht="100.2" customHeight="1" thickTop="1" thickBot="1">
      <c r="A53" s="31">
        <v>51</v>
      </c>
      <c r="B53" s="2">
        <v>45981.516043807802</v>
      </c>
      <c r="C53" s="3" t="s">
        <v>26</v>
      </c>
      <c r="D53" s="3" t="s">
        <v>57</v>
      </c>
      <c r="E53" s="4" t="s">
        <v>21</v>
      </c>
      <c r="F53" s="43" t="s">
        <v>42</v>
      </c>
      <c r="G53" s="4" t="s">
        <v>36</v>
      </c>
      <c r="H53" s="43" t="s">
        <v>1629</v>
      </c>
      <c r="I53" s="4"/>
      <c r="J53" s="26" t="s">
        <v>16</v>
      </c>
      <c r="K53" s="27" t="s">
        <v>13</v>
      </c>
      <c r="L53" s="2">
        <v>45983.310877442127</v>
      </c>
      <c r="M53" s="24"/>
      <c r="N53" s="4" t="s">
        <v>121</v>
      </c>
    </row>
    <row r="54" spans="1:14" ht="100.2" customHeight="1" thickTop="1" thickBot="1">
      <c r="A54" s="4">
        <v>52</v>
      </c>
      <c r="B54" s="2">
        <v>45984.427039467402</v>
      </c>
      <c r="C54" s="3" t="s">
        <v>26</v>
      </c>
      <c r="D54" s="3" t="s">
        <v>57</v>
      </c>
      <c r="E54" s="4" t="s">
        <v>21</v>
      </c>
      <c r="F54" s="43" t="s">
        <v>42</v>
      </c>
      <c r="G54" s="4" t="s">
        <v>25</v>
      </c>
      <c r="H54" s="43" t="s">
        <v>1630</v>
      </c>
      <c r="I54" s="4"/>
      <c r="J54" s="26" t="s">
        <v>16</v>
      </c>
      <c r="K54" s="27" t="s">
        <v>13</v>
      </c>
      <c r="L54" s="2">
        <v>45984.429103715273</v>
      </c>
      <c r="M54" s="24"/>
      <c r="N54" s="4" t="s">
        <v>121</v>
      </c>
    </row>
    <row r="55" spans="1:14" ht="100.2" customHeight="1" thickTop="1" thickBot="1">
      <c r="A55" s="31">
        <v>53</v>
      </c>
      <c r="B55" s="2">
        <v>45984.470955358804</v>
      </c>
      <c r="C55" s="3" t="s">
        <v>26</v>
      </c>
      <c r="D55" s="3" t="s">
        <v>57</v>
      </c>
      <c r="E55" s="4" t="s">
        <v>21</v>
      </c>
      <c r="F55" s="43" t="s">
        <v>1535</v>
      </c>
      <c r="G55" s="4" t="s">
        <v>58</v>
      </c>
      <c r="H55" s="43" t="s">
        <v>1631</v>
      </c>
      <c r="I55" s="4"/>
      <c r="J55" s="26" t="s">
        <v>16</v>
      </c>
      <c r="K55" s="27" t="s">
        <v>13</v>
      </c>
      <c r="L55" s="2">
        <v>45986.361650208331</v>
      </c>
      <c r="M55" s="24"/>
      <c r="N55" s="4" t="s">
        <v>121</v>
      </c>
    </row>
    <row r="56" spans="1:14" ht="100.2" customHeight="1" thickTop="1" thickBot="1">
      <c r="A56" s="4">
        <v>54</v>
      </c>
      <c r="B56" s="2">
        <v>45985.407687580999</v>
      </c>
      <c r="C56" s="3" t="s">
        <v>26</v>
      </c>
      <c r="D56" s="3" t="s">
        <v>1632</v>
      </c>
      <c r="E56" s="4" t="s">
        <v>21</v>
      </c>
      <c r="F56" s="43" t="s">
        <v>31</v>
      </c>
      <c r="G56" s="4" t="s">
        <v>25</v>
      </c>
      <c r="H56" s="43" t="s">
        <v>1633</v>
      </c>
      <c r="I56" s="4" t="s">
        <v>1634</v>
      </c>
      <c r="J56" s="26" t="s">
        <v>16</v>
      </c>
      <c r="K56" s="27" t="s">
        <v>13</v>
      </c>
      <c r="L56" s="2">
        <v>45986.361903634257</v>
      </c>
      <c r="M56" s="24"/>
      <c r="N56" s="4" t="s">
        <v>121</v>
      </c>
    </row>
    <row r="57" spans="1:14" ht="100.2" customHeight="1" thickTop="1" thickBot="1">
      <c r="A57" s="31">
        <v>55</v>
      </c>
      <c r="B57" s="2">
        <v>45985.408799525401</v>
      </c>
      <c r="C57" s="3" t="s">
        <v>26</v>
      </c>
      <c r="D57" s="3" t="s">
        <v>1635</v>
      </c>
      <c r="E57" s="4" t="s">
        <v>21</v>
      </c>
      <c r="F57" s="43" t="s">
        <v>42</v>
      </c>
      <c r="G57" s="4" t="s">
        <v>25</v>
      </c>
      <c r="H57" s="43" t="s">
        <v>1636</v>
      </c>
      <c r="I57" s="4" t="s">
        <v>1637</v>
      </c>
      <c r="J57" s="26" t="s">
        <v>16</v>
      </c>
      <c r="K57" s="27" t="s">
        <v>13</v>
      </c>
      <c r="L57" s="2">
        <v>45986.526844837965</v>
      </c>
      <c r="M57" s="24"/>
      <c r="N57" s="4" t="s">
        <v>121</v>
      </c>
    </row>
    <row r="58" spans="1:14" ht="100.2" customHeight="1" thickTop="1" thickBot="1">
      <c r="A58" s="4">
        <v>56</v>
      </c>
      <c r="B58" s="2">
        <v>45985.456495856401</v>
      </c>
      <c r="C58" s="3" t="s">
        <v>26</v>
      </c>
      <c r="D58" s="3" t="s">
        <v>57</v>
      </c>
      <c r="E58" s="4" t="s">
        <v>21</v>
      </c>
      <c r="F58" s="43" t="s">
        <v>42</v>
      </c>
      <c r="G58" s="4" t="s">
        <v>36</v>
      </c>
      <c r="H58" s="43" t="s">
        <v>1638</v>
      </c>
      <c r="I58" s="4" t="s">
        <v>1639</v>
      </c>
      <c r="J58" s="26" t="s">
        <v>16</v>
      </c>
      <c r="K58" s="27" t="s">
        <v>13</v>
      </c>
      <c r="L58" s="2"/>
      <c r="M58" s="24"/>
      <c r="N58" s="4" t="s">
        <v>121</v>
      </c>
    </row>
    <row r="59" spans="1:14" ht="100.2" customHeight="1" thickTop="1" thickBot="1">
      <c r="A59" s="31">
        <v>57</v>
      </c>
      <c r="B59" s="2">
        <v>45986.307042800901</v>
      </c>
      <c r="C59" s="3" t="s">
        <v>26</v>
      </c>
      <c r="D59" s="3" t="s">
        <v>1640</v>
      </c>
      <c r="E59" s="4" t="s">
        <v>21</v>
      </c>
      <c r="F59" s="43" t="s">
        <v>28</v>
      </c>
      <c r="G59" s="4" t="s">
        <v>25</v>
      </c>
      <c r="H59" s="43" t="s">
        <v>1641</v>
      </c>
      <c r="I59" s="4" t="s">
        <v>1642</v>
      </c>
      <c r="J59" s="26" t="s">
        <v>16</v>
      </c>
      <c r="K59" s="27" t="s">
        <v>13</v>
      </c>
      <c r="L59" s="2"/>
      <c r="M59" s="24"/>
      <c r="N59" s="4" t="s">
        <v>121</v>
      </c>
    </row>
    <row r="60" spans="1:14" ht="100.2" customHeight="1" thickTop="1" thickBot="1">
      <c r="A60" s="4">
        <v>58</v>
      </c>
      <c r="B60" s="2">
        <v>45986.337082951301</v>
      </c>
      <c r="C60" s="3" t="s">
        <v>26</v>
      </c>
      <c r="D60" s="3" t="s">
        <v>57</v>
      </c>
      <c r="E60" s="4" t="s">
        <v>21</v>
      </c>
      <c r="F60" s="43" t="s">
        <v>42</v>
      </c>
      <c r="G60" s="4" t="s">
        <v>25</v>
      </c>
      <c r="H60" s="43" t="s">
        <v>1643</v>
      </c>
      <c r="I60" s="4"/>
      <c r="J60" s="26" t="s">
        <v>16</v>
      </c>
      <c r="K60" s="27" t="s">
        <v>13</v>
      </c>
      <c r="L60" s="2"/>
      <c r="M60" s="24"/>
      <c r="N60" s="4" t="s">
        <v>121</v>
      </c>
    </row>
    <row r="61" spans="1:14" ht="100.2" customHeight="1" thickTop="1" thickBot="1">
      <c r="A61" s="31">
        <v>59</v>
      </c>
      <c r="B61" s="2">
        <v>45986.482305775302</v>
      </c>
      <c r="C61" s="3" t="s">
        <v>26</v>
      </c>
      <c r="D61" s="3" t="s">
        <v>1644</v>
      </c>
      <c r="E61" s="4" t="s">
        <v>21</v>
      </c>
      <c r="F61" s="43" t="s">
        <v>28</v>
      </c>
      <c r="G61" s="4" t="s">
        <v>41</v>
      </c>
      <c r="H61" s="43" t="s">
        <v>1645</v>
      </c>
      <c r="I61" s="4" t="s">
        <v>1646</v>
      </c>
      <c r="J61" s="26" t="s">
        <v>16</v>
      </c>
      <c r="K61" s="27" t="s">
        <v>13</v>
      </c>
      <c r="L61" s="2">
        <v>45986.572780914357</v>
      </c>
      <c r="M61" s="24" t="s">
        <v>1647</v>
      </c>
      <c r="N61" s="4" t="s">
        <v>121</v>
      </c>
    </row>
    <row r="62" spans="1:14" ht="100.2" customHeight="1" thickTop="1" thickBot="1">
      <c r="A62" s="4">
        <v>60</v>
      </c>
      <c r="B62" s="2">
        <v>45986.5934197569</v>
      </c>
      <c r="C62" s="3" t="s">
        <v>26</v>
      </c>
      <c r="D62" s="3" t="s">
        <v>1635</v>
      </c>
      <c r="E62" s="4" t="s">
        <v>21</v>
      </c>
      <c r="F62" s="43" t="s">
        <v>31</v>
      </c>
      <c r="G62" s="4" t="s">
        <v>36</v>
      </c>
      <c r="H62" s="43" t="s">
        <v>1648</v>
      </c>
      <c r="I62" s="4"/>
      <c r="J62" s="26" t="s">
        <v>16</v>
      </c>
      <c r="K62" s="27" t="s">
        <v>13</v>
      </c>
      <c r="L62" s="2">
        <v>45986.685130821759</v>
      </c>
      <c r="M62" s="24" t="s">
        <v>1649</v>
      </c>
      <c r="N62" s="4" t="s">
        <v>121</v>
      </c>
    </row>
    <row r="63" spans="1:14" ht="100.2" customHeight="1" thickTop="1" thickBot="1">
      <c r="A63" s="31">
        <v>61</v>
      </c>
      <c r="B63" s="2">
        <v>45986.594987002303</v>
      </c>
      <c r="C63" s="3" t="s">
        <v>26</v>
      </c>
      <c r="D63" s="3" t="s">
        <v>57</v>
      </c>
      <c r="E63" s="4" t="s">
        <v>21</v>
      </c>
      <c r="F63" s="43" t="s">
        <v>42</v>
      </c>
      <c r="G63" s="4" t="s">
        <v>36</v>
      </c>
      <c r="H63" s="43" t="s">
        <v>1650</v>
      </c>
      <c r="I63" s="4"/>
      <c r="J63" s="26" t="s">
        <v>16</v>
      </c>
      <c r="K63" s="27" t="s">
        <v>13</v>
      </c>
      <c r="L63" s="2">
        <v>45986.695225659721</v>
      </c>
      <c r="M63" s="24"/>
      <c r="N63" s="4" t="s">
        <v>121</v>
      </c>
    </row>
    <row r="64" spans="1:14" ht="100.2" customHeight="1" thickTop="1" thickBot="1">
      <c r="A64" s="4">
        <v>62</v>
      </c>
      <c r="B64" s="2">
        <v>45986.655464536998</v>
      </c>
      <c r="C64" s="3" t="s">
        <v>26</v>
      </c>
      <c r="D64" s="3" t="s">
        <v>49</v>
      </c>
      <c r="E64" s="4" t="s">
        <v>22</v>
      </c>
      <c r="F64" s="43" t="s">
        <v>28</v>
      </c>
      <c r="G64" s="4" t="s">
        <v>25</v>
      </c>
      <c r="H64" s="43" t="s">
        <v>1651</v>
      </c>
      <c r="I64" s="4" t="s">
        <v>1652</v>
      </c>
      <c r="J64" s="26" t="s">
        <v>16</v>
      </c>
      <c r="K64" s="27" t="s">
        <v>13</v>
      </c>
      <c r="L64" s="2">
        <v>45986.655914918985</v>
      </c>
      <c r="M64" s="24" t="s">
        <v>1647</v>
      </c>
      <c r="N64" s="4" t="s">
        <v>121</v>
      </c>
    </row>
    <row r="65" spans="1:14" ht="100.2" customHeight="1" thickTop="1" thickBot="1">
      <c r="A65" s="31">
        <v>63</v>
      </c>
      <c r="B65" s="2">
        <v>45987.426151539301</v>
      </c>
      <c r="C65" s="3" t="s">
        <v>26</v>
      </c>
      <c r="D65" s="3" t="s">
        <v>50</v>
      </c>
      <c r="E65" s="4" t="s">
        <v>21</v>
      </c>
      <c r="F65" s="43" t="s">
        <v>28</v>
      </c>
      <c r="G65" s="4" t="s">
        <v>1653</v>
      </c>
      <c r="H65" s="43" t="s">
        <v>1654</v>
      </c>
      <c r="I65" s="4" t="s">
        <v>1655</v>
      </c>
      <c r="J65" s="26" t="s">
        <v>16</v>
      </c>
      <c r="K65" s="27" t="s">
        <v>13</v>
      </c>
      <c r="L65" s="2">
        <v>45987.480448483795</v>
      </c>
      <c r="M65" s="24"/>
      <c r="N65" s="4" t="s">
        <v>121</v>
      </c>
    </row>
    <row r="66" spans="1:14" ht="100.2" customHeight="1" thickTop="1" thickBot="1">
      <c r="A66" s="4">
        <v>64</v>
      </c>
      <c r="B66" s="2">
        <v>45987.6177412615</v>
      </c>
      <c r="C66" s="3" t="s">
        <v>26</v>
      </c>
      <c r="D66" s="3" t="s">
        <v>1494</v>
      </c>
      <c r="E66" s="4" t="s">
        <v>1656</v>
      </c>
      <c r="F66" s="43" t="s">
        <v>28</v>
      </c>
      <c r="G66" s="4" t="s">
        <v>1657</v>
      </c>
      <c r="H66" s="43" t="s">
        <v>1658</v>
      </c>
      <c r="I66" s="4"/>
      <c r="J66" s="26" t="s">
        <v>16</v>
      </c>
      <c r="K66" s="27" t="s">
        <v>13</v>
      </c>
      <c r="L66" s="2">
        <v>45987.618132372685</v>
      </c>
      <c r="M66" s="24" t="s">
        <v>1649</v>
      </c>
      <c r="N66" s="4" t="s">
        <v>121</v>
      </c>
    </row>
    <row r="67" spans="1:14" ht="100.2" customHeight="1" thickTop="1" thickBot="1">
      <c r="A67" s="31">
        <v>65</v>
      </c>
      <c r="B67" s="2">
        <v>45988.400800486103</v>
      </c>
      <c r="C67" s="3" t="s">
        <v>26</v>
      </c>
      <c r="D67" s="3" t="s">
        <v>57</v>
      </c>
      <c r="E67" s="4" t="s">
        <v>21</v>
      </c>
      <c r="F67" s="43" t="s">
        <v>31</v>
      </c>
      <c r="G67" s="4" t="s">
        <v>25</v>
      </c>
      <c r="H67" s="43" t="s">
        <v>1659</v>
      </c>
      <c r="I67" s="4"/>
      <c r="J67" s="26" t="s">
        <v>16</v>
      </c>
      <c r="K67" s="27" t="s">
        <v>13</v>
      </c>
      <c r="L67" s="2">
        <v>45988.454456712963</v>
      </c>
      <c r="M67" s="24"/>
      <c r="N67" s="4" t="s">
        <v>121</v>
      </c>
    </row>
    <row r="68" spans="1:14" ht="100.2" customHeight="1" thickTop="1" thickBot="1">
      <c r="A68" s="4">
        <v>66</v>
      </c>
      <c r="B68" s="2">
        <v>45988.452785948997</v>
      </c>
      <c r="C68" s="3" t="s">
        <v>26</v>
      </c>
      <c r="D68" s="3" t="s">
        <v>1660</v>
      </c>
      <c r="E68" s="4" t="s">
        <v>21</v>
      </c>
      <c r="F68" s="43" t="s">
        <v>31</v>
      </c>
      <c r="G68" s="4" t="s">
        <v>1661</v>
      </c>
      <c r="H68" s="43" t="s">
        <v>1662</v>
      </c>
      <c r="I68" s="4"/>
      <c r="J68" s="26" t="s">
        <v>16</v>
      </c>
      <c r="K68" s="27" t="s">
        <v>13</v>
      </c>
      <c r="L68" s="2">
        <v>45988.475509664349</v>
      </c>
      <c r="M68" s="24"/>
      <c r="N68" s="4" t="s">
        <v>121</v>
      </c>
    </row>
    <row r="69" spans="1:14" ht="100.2" customHeight="1" thickTop="1" thickBot="1">
      <c r="A69" s="31">
        <v>67</v>
      </c>
      <c r="B69" s="2">
        <v>45988.481502222203</v>
      </c>
      <c r="C69" s="3" t="s">
        <v>26</v>
      </c>
      <c r="D69" s="3" t="s">
        <v>50</v>
      </c>
      <c r="E69" s="4" t="s">
        <v>21</v>
      </c>
      <c r="F69" s="43" t="s">
        <v>28</v>
      </c>
      <c r="G69" s="4" t="s">
        <v>25</v>
      </c>
      <c r="H69" s="43" t="s">
        <v>1663</v>
      </c>
      <c r="I69" s="4" t="s">
        <v>1664</v>
      </c>
      <c r="J69" s="26" t="s">
        <v>16</v>
      </c>
      <c r="K69" s="27" t="s">
        <v>13</v>
      </c>
      <c r="L69" s="2">
        <v>45988.563797256946</v>
      </c>
      <c r="M69" s="24"/>
      <c r="N69" s="4" t="s">
        <v>121</v>
      </c>
    </row>
    <row r="70" spans="1:14" ht="100.2" customHeight="1" thickTop="1" thickBot="1">
      <c r="A70" s="4">
        <v>68</v>
      </c>
      <c r="B70" s="2">
        <v>45988.636132662003</v>
      </c>
      <c r="C70" s="3" t="s">
        <v>26</v>
      </c>
      <c r="D70" s="3" t="s">
        <v>1665</v>
      </c>
      <c r="E70" s="4" t="s">
        <v>21</v>
      </c>
      <c r="F70" s="43" t="s">
        <v>39</v>
      </c>
      <c r="G70" s="4" t="s">
        <v>25</v>
      </c>
      <c r="H70" s="43" t="s">
        <v>1666</v>
      </c>
      <c r="I70" s="4"/>
      <c r="J70" s="26" t="s">
        <v>16</v>
      </c>
      <c r="K70" s="27" t="s">
        <v>750</v>
      </c>
      <c r="L70" s="2">
        <v>45988.685790462958</v>
      </c>
      <c r="M70" s="24" t="s">
        <v>1667</v>
      </c>
      <c r="N70" s="4" t="s">
        <v>121</v>
      </c>
    </row>
    <row r="71" spans="1:14" ht="100.2" customHeight="1" thickTop="1" thickBot="1">
      <c r="A71" s="31">
        <v>69</v>
      </c>
      <c r="B71" s="2">
        <v>45990.406147743</v>
      </c>
      <c r="C71" s="3" t="s">
        <v>26</v>
      </c>
      <c r="D71" s="3" t="s">
        <v>1665</v>
      </c>
      <c r="E71" s="4" t="s">
        <v>21</v>
      </c>
      <c r="F71" s="43" t="s">
        <v>39</v>
      </c>
      <c r="G71" s="4" t="s">
        <v>1668</v>
      </c>
      <c r="H71" s="43" t="s">
        <v>1669</v>
      </c>
      <c r="I71" s="4" t="s">
        <v>1670</v>
      </c>
      <c r="J71" s="26" t="s">
        <v>16</v>
      </c>
      <c r="K71" s="27" t="s">
        <v>13</v>
      </c>
      <c r="L71" s="2">
        <v>45990.574322060187</v>
      </c>
      <c r="M71" s="24"/>
      <c r="N71" s="4" t="s">
        <v>121</v>
      </c>
    </row>
    <row r="72" spans="1:14" ht="100.2" customHeight="1" thickTop="1" thickBot="1">
      <c r="A72" s="4">
        <v>70</v>
      </c>
      <c r="B72" s="2">
        <v>45990.413519583301</v>
      </c>
      <c r="C72" s="3" t="s">
        <v>26</v>
      </c>
      <c r="D72" s="3" t="s">
        <v>27</v>
      </c>
      <c r="E72" s="4" t="s">
        <v>21</v>
      </c>
      <c r="F72" s="43" t="s">
        <v>28</v>
      </c>
      <c r="G72" s="4" t="s">
        <v>47</v>
      </c>
      <c r="H72" s="43" t="s">
        <v>1671</v>
      </c>
      <c r="I72" s="4"/>
      <c r="J72" s="26" t="s">
        <v>16</v>
      </c>
      <c r="K72" s="27" t="s">
        <v>13</v>
      </c>
      <c r="L72" s="2">
        <v>45990.564327835644</v>
      </c>
      <c r="M72" s="24"/>
      <c r="N72" s="4" t="s">
        <v>121</v>
      </c>
    </row>
    <row r="73" spans="1:14" ht="100.2" customHeight="1" thickTop="1" thickBot="1">
      <c r="A73" s="31">
        <v>71</v>
      </c>
      <c r="B73" s="2">
        <v>45990.413996805502</v>
      </c>
      <c r="C73" s="3" t="s">
        <v>26</v>
      </c>
      <c r="D73" s="3" t="s">
        <v>50</v>
      </c>
      <c r="E73" s="4" t="s">
        <v>21</v>
      </c>
      <c r="F73" s="43" t="s">
        <v>28</v>
      </c>
      <c r="G73" s="4" t="s">
        <v>47</v>
      </c>
      <c r="H73" s="43" t="s">
        <v>1672</v>
      </c>
      <c r="I73" s="4"/>
      <c r="J73" s="26" t="s">
        <v>16</v>
      </c>
      <c r="K73" s="27" t="s">
        <v>13</v>
      </c>
      <c r="L73" s="2">
        <v>45990.563548356484</v>
      </c>
      <c r="M73" s="24"/>
      <c r="N73" s="4" t="s">
        <v>121</v>
      </c>
    </row>
    <row r="74" spans="1:14" ht="100.2" customHeight="1" thickTop="1" thickBot="1">
      <c r="A74" s="4">
        <v>72</v>
      </c>
      <c r="B74" s="2">
        <v>45991.380432662001</v>
      </c>
      <c r="C74" s="3" t="s">
        <v>26</v>
      </c>
      <c r="D74" s="3" t="s">
        <v>57</v>
      </c>
      <c r="E74" s="4" t="s">
        <v>21</v>
      </c>
      <c r="F74" s="43" t="s">
        <v>39</v>
      </c>
      <c r="G74" s="4" t="s">
        <v>58</v>
      </c>
      <c r="H74" s="43" t="s">
        <v>1673</v>
      </c>
      <c r="I74" s="4"/>
      <c r="J74" s="26" t="s">
        <v>16</v>
      </c>
      <c r="K74" s="27" t="s">
        <v>13</v>
      </c>
      <c r="L74" s="2">
        <v>45991.427271967594</v>
      </c>
      <c r="M74" s="24"/>
      <c r="N74" s="4" t="s">
        <v>121</v>
      </c>
    </row>
    <row r="75" spans="1:14" ht="100.2" customHeight="1" thickTop="1" thickBot="1">
      <c r="A75" s="31">
        <v>73</v>
      </c>
      <c r="B75" s="2">
        <v>45991.381848946701</v>
      </c>
      <c r="C75" s="3" t="s">
        <v>26</v>
      </c>
      <c r="D75" s="3" t="s">
        <v>57</v>
      </c>
      <c r="E75" s="4" t="s">
        <v>21</v>
      </c>
      <c r="F75" s="43" t="s">
        <v>39</v>
      </c>
      <c r="G75" s="4" t="s">
        <v>58</v>
      </c>
      <c r="H75" s="43" t="s">
        <v>1674</v>
      </c>
      <c r="I75" s="4"/>
      <c r="J75" s="26" t="s">
        <v>16</v>
      </c>
      <c r="K75" s="27" t="s">
        <v>13</v>
      </c>
      <c r="L75" s="2">
        <v>45991.420671840278</v>
      </c>
      <c r="M75" s="24"/>
      <c r="N75" s="4" t="s">
        <v>121</v>
      </c>
    </row>
    <row r="76" spans="1:14" ht="100.2" customHeight="1" thickTop="1" thickBot="1">
      <c r="A76" s="4">
        <v>74</v>
      </c>
      <c r="B76" s="2">
        <v>45966.447187835598</v>
      </c>
      <c r="C76" s="3" t="s">
        <v>26</v>
      </c>
      <c r="D76" s="3" t="s">
        <v>27</v>
      </c>
      <c r="E76" s="4" t="s">
        <v>21</v>
      </c>
      <c r="F76" s="43" t="s">
        <v>28</v>
      </c>
      <c r="G76" s="4" t="s">
        <v>25</v>
      </c>
      <c r="H76" s="43" t="s">
        <v>1675</v>
      </c>
      <c r="I76" s="4" t="s">
        <v>1676</v>
      </c>
      <c r="J76" s="26" t="s">
        <v>1419</v>
      </c>
      <c r="K76" s="27" t="s">
        <v>13</v>
      </c>
      <c r="L76" s="2" t="s">
        <v>1677</v>
      </c>
      <c r="M76" s="24"/>
      <c r="N76" s="4" t="s">
        <v>121</v>
      </c>
    </row>
    <row r="77" spans="1:14" ht="100.2" customHeight="1" thickTop="1" thickBot="1">
      <c r="A77" s="31">
        <v>75</v>
      </c>
      <c r="B77" s="2">
        <v>45963.526266793902</v>
      </c>
      <c r="C77" s="3" t="s">
        <v>26</v>
      </c>
      <c r="D77" s="3" t="s">
        <v>27</v>
      </c>
      <c r="E77" s="4" t="s">
        <v>21</v>
      </c>
      <c r="F77" s="43" t="s">
        <v>28</v>
      </c>
      <c r="G77" s="4" t="s">
        <v>25</v>
      </c>
      <c r="H77" s="43" t="s">
        <v>1678</v>
      </c>
      <c r="I77" s="4"/>
      <c r="J77" s="26" t="s">
        <v>14</v>
      </c>
      <c r="K77" s="27" t="s">
        <v>13</v>
      </c>
      <c r="L77" s="2" t="s">
        <v>1679</v>
      </c>
      <c r="M77" s="24"/>
      <c r="N77" s="4" t="s">
        <v>121</v>
      </c>
    </row>
    <row r="78" spans="1:14" ht="100.2" customHeight="1" thickTop="1" thickBot="1">
      <c r="A78" s="4">
        <v>76</v>
      </c>
      <c r="B78" s="2">
        <v>45965.318722893498</v>
      </c>
      <c r="C78" s="3" t="s">
        <v>26</v>
      </c>
      <c r="D78" s="3" t="s">
        <v>1539</v>
      </c>
      <c r="E78" s="4" t="s">
        <v>21</v>
      </c>
      <c r="F78" s="43" t="s">
        <v>31</v>
      </c>
      <c r="G78" s="4" t="s">
        <v>25</v>
      </c>
      <c r="H78" s="43" t="s">
        <v>1680</v>
      </c>
      <c r="I78" s="4"/>
      <c r="J78" s="26" t="s">
        <v>14</v>
      </c>
      <c r="K78" s="27" t="s">
        <v>13</v>
      </c>
      <c r="L78" s="2" t="s">
        <v>1681</v>
      </c>
      <c r="M78" s="24"/>
      <c r="N78" s="4" t="s">
        <v>121</v>
      </c>
    </row>
    <row r="79" spans="1:14" ht="100.2" customHeight="1" thickTop="1" thickBot="1">
      <c r="A79" s="31">
        <v>77</v>
      </c>
      <c r="B79" s="2">
        <v>45966.469914918896</v>
      </c>
      <c r="C79" s="3" t="s">
        <v>26</v>
      </c>
      <c r="D79" s="3" t="s">
        <v>1682</v>
      </c>
      <c r="E79" s="4" t="s">
        <v>22</v>
      </c>
      <c r="F79" s="43" t="s">
        <v>28</v>
      </c>
      <c r="G79" s="4" t="s">
        <v>40</v>
      </c>
      <c r="H79" s="43" t="s">
        <v>1683</v>
      </c>
      <c r="I79" s="4"/>
      <c r="J79" s="26" t="s">
        <v>14</v>
      </c>
      <c r="K79" s="27" t="s">
        <v>13</v>
      </c>
      <c r="L79" s="2" t="s">
        <v>1684</v>
      </c>
      <c r="M79" s="24" t="s">
        <v>1685</v>
      </c>
      <c r="N79" s="4" t="s">
        <v>121</v>
      </c>
    </row>
    <row r="80" spans="1:14" ht="100.2" customHeight="1" thickTop="1" thickBot="1">
      <c r="A80" s="4">
        <v>78</v>
      </c>
      <c r="B80" s="2">
        <v>45966.501013333298</v>
      </c>
      <c r="C80" s="3" t="s">
        <v>26</v>
      </c>
      <c r="D80" s="3" t="s">
        <v>1686</v>
      </c>
      <c r="E80" s="4" t="s">
        <v>22</v>
      </c>
      <c r="F80" s="43" t="s">
        <v>28</v>
      </c>
      <c r="G80" s="4" t="s">
        <v>25</v>
      </c>
      <c r="H80" s="43" t="s">
        <v>1687</v>
      </c>
      <c r="I80" s="4"/>
      <c r="J80" s="26" t="s">
        <v>14</v>
      </c>
      <c r="K80" s="27" t="s">
        <v>13</v>
      </c>
      <c r="L80" s="2" t="s">
        <v>1688</v>
      </c>
      <c r="M80" s="24" t="s">
        <v>1568</v>
      </c>
      <c r="N80" s="4" t="s">
        <v>121</v>
      </c>
    </row>
    <row r="81" spans="1:14" ht="100.2" customHeight="1" thickTop="1" thickBot="1">
      <c r="A81" s="31">
        <v>79</v>
      </c>
      <c r="B81" s="2">
        <v>45966.502166874998</v>
      </c>
      <c r="C81" s="3" t="s">
        <v>26</v>
      </c>
      <c r="D81" s="3" t="s">
        <v>1686</v>
      </c>
      <c r="E81" s="4" t="s">
        <v>22</v>
      </c>
      <c r="F81" s="43" t="s">
        <v>42</v>
      </c>
      <c r="G81" s="4" t="s">
        <v>25</v>
      </c>
      <c r="H81" s="43" t="s">
        <v>1689</v>
      </c>
      <c r="I81" s="4"/>
      <c r="J81" s="26" t="s">
        <v>14</v>
      </c>
      <c r="K81" s="27" t="s">
        <v>13</v>
      </c>
      <c r="L81" s="2" t="s">
        <v>1690</v>
      </c>
      <c r="M81" s="24" t="s">
        <v>1571</v>
      </c>
      <c r="N81" s="4" t="s">
        <v>121</v>
      </c>
    </row>
    <row r="82" spans="1:14" ht="100.2" customHeight="1" thickTop="1" thickBot="1">
      <c r="A82" s="4">
        <v>80</v>
      </c>
      <c r="B82" s="2">
        <v>45966.502967442102</v>
      </c>
      <c r="C82" s="3" t="s">
        <v>26</v>
      </c>
      <c r="D82" s="3" t="s">
        <v>1686</v>
      </c>
      <c r="E82" s="4" t="s">
        <v>22</v>
      </c>
      <c r="F82" s="43" t="s">
        <v>42</v>
      </c>
      <c r="G82" s="4" t="s">
        <v>43</v>
      </c>
      <c r="H82" s="43" t="s">
        <v>1691</v>
      </c>
      <c r="I82" s="4"/>
      <c r="J82" s="26" t="s">
        <v>14</v>
      </c>
      <c r="K82" s="27" t="s">
        <v>13</v>
      </c>
      <c r="L82" s="2" t="s">
        <v>1690</v>
      </c>
      <c r="M82" s="24" t="s">
        <v>1577</v>
      </c>
      <c r="N82" s="4" t="s">
        <v>121</v>
      </c>
    </row>
    <row r="83" spans="1:14" ht="100.2" customHeight="1" thickTop="1" thickBot="1">
      <c r="A83" s="31">
        <v>81</v>
      </c>
      <c r="B83" s="2">
        <v>45966.503553865703</v>
      </c>
      <c r="C83" s="3" t="s">
        <v>26</v>
      </c>
      <c r="D83" s="3" t="s">
        <v>1686</v>
      </c>
      <c r="E83" s="4" t="s">
        <v>22</v>
      </c>
      <c r="F83" s="43" t="s">
        <v>28</v>
      </c>
      <c r="G83" s="4" t="s">
        <v>1396</v>
      </c>
      <c r="H83" s="43" t="s">
        <v>1692</v>
      </c>
      <c r="I83" s="4"/>
      <c r="J83" s="26" t="s">
        <v>14</v>
      </c>
      <c r="K83" s="27" t="s">
        <v>13</v>
      </c>
      <c r="L83" s="2" t="s">
        <v>1690</v>
      </c>
      <c r="M83" s="24" t="s">
        <v>1577</v>
      </c>
      <c r="N83" s="4" t="s">
        <v>121</v>
      </c>
    </row>
    <row r="84" spans="1:14" ht="100.2" customHeight="1" thickTop="1" thickBot="1">
      <c r="A84" s="4">
        <v>82</v>
      </c>
      <c r="B84" s="2">
        <v>45966.505693773099</v>
      </c>
      <c r="C84" s="3" t="s">
        <v>26</v>
      </c>
      <c r="D84" s="3" t="s">
        <v>1686</v>
      </c>
      <c r="E84" s="4" t="s">
        <v>22</v>
      </c>
      <c r="F84" s="43" t="s">
        <v>31</v>
      </c>
      <c r="G84" s="4" t="s">
        <v>44</v>
      </c>
      <c r="H84" s="43" t="s">
        <v>1693</v>
      </c>
      <c r="I84" s="4"/>
      <c r="J84" s="26" t="s">
        <v>14</v>
      </c>
      <c r="K84" s="27" t="s">
        <v>13</v>
      </c>
      <c r="L84" s="2" t="s">
        <v>1690</v>
      </c>
      <c r="M84" s="24" t="s">
        <v>1577</v>
      </c>
      <c r="N84" s="4" t="s">
        <v>121</v>
      </c>
    </row>
    <row r="85" spans="1:14" ht="100.2" customHeight="1" thickTop="1" thickBot="1">
      <c r="A85" s="31">
        <v>83</v>
      </c>
      <c r="B85" s="2">
        <v>45966.5075042592</v>
      </c>
      <c r="C85" s="3" t="s">
        <v>26</v>
      </c>
      <c r="D85" s="3" t="s">
        <v>1694</v>
      </c>
      <c r="E85" s="4" t="s">
        <v>22</v>
      </c>
      <c r="F85" s="43" t="s">
        <v>28</v>
      </c>
      <c r="G85" s="4" t="s">
        <v>45</v>
      </c>
      <c r="H85" s="43" t="s">
        <v>1695</v>
      </c>
      <c r="I85" s="4"/>
      <c r="J85" s="26" t="s">
        <v>14</v>
      </c>
      <c r="K85" s="27" t="s">
        <v>13</v>
      </c>
      <c r="L85" s="2" t="s">
        <v>1690</v>
      </c>
      <c r="M85" s="24" t="s">
        <v>1561</v>
      </c>
      <c r="N85" s="4" t="s">
        <v>121</v>
      </c>
    </row>
    <row r="86" spans="1:14" ht="100.2" customHeight="1" thickTop="1" thickBot="1">
      <c r="A86" s="4">
        <v>84</v>
      </c>
      <c r="B86" s="2">
        <v>45966.508612523103</v>
      </c>
      <c r="C86" s="3" t="s">
        <v>26</v>
      </c>
      <c r="D86" s="3" t="s">
        <v>1686</v>
      </c>
      <c r="E86" s="4" t="s">
        <v>22</v>
      </c>
      <c r="F86" s="43" t="s">
        <v>31</v>
      </c>
      <c r="G86" s="4" t="s">
        <v>41</v>
      </c>
      <c r="H86" s="43" t="s">
        <v>1696</v>
      </c>
      <c r="I86" s="4"/>
      <c r="J86" s="26" t="s">
        <v>14</v>
      </c>
      <c r="K86" s="27" t="s">
        <v>13</v>
      </c>
      <c r="L86" s="2" t="s">
        <v>1690</v>
      </c>
      <c r="M86" s="24" t="s">
        <v>1561</v>
      </c>
      <c r="N86" s="4" t="s">
        <v>121</v>
      </c>
    </row>
    <row r="87" spans="1:14" ht="100.2" customHeight="1" thickTop="1" thickBot="1">
      <c r="A87" s="31">
        <v>85</v>
      </c>
      <c r="B87" s="2">
        <v>45966.509586412001</v>
      </c>
      <c r="C87" s="3" t="s">
        <v>26</v>
      </c>
      <c r="D87" s="3" t="s">
        <v>1686</v>
      </c>
      <c r="E87" s="4" t="s">
        <v>22</v>
      </c>
      <c r="F87" s="43" t="s">
        <v>42</v>
      </c>
      <c r="G87" s="4" t="s">
        <v>46</v>
      </c>
      <c r="H87" s="43" t="s">
        <v>1697</v>
      </c>
      <c r="I87" s="4"/>
      <c r="J87" s="26" t="s">
        <v>14</v>
      </c>
      <c r="K87" s="27" t="s">
        <v>13</v>
      </c>
      <c r="L87" s="2" t="s">
        <v>1690</v>
      </c>
      <c r="M87" s="24" t="s">
        <v>1561</v>
      </c>
      <c r="N87" s="4" t="s">
        <v>121</v>
      </c>
    </row>
    <row r="88" spans="1:14" ht="100.2" customHeight="1" thickTop="1" thickBot="1">
      <c r="A88" s="4">
        <v>86</v>
      </c>
      <c r="B88" s="2">
        <v>45966.5113958449</v>
      </c>
      <c r="C88" s="3" t="s">
        <v>26</v>
      </c>
      <c r="D88" s="3" t="s">
        <v>1686</v>
      </c>
      <c r="E88" s="4" t="s">
        <v>22</v>
      </c>
      <c r="F88" s="43" t="s">
        <v>39</v>
      </c>
      <c r="G88" s="4" t="s">
        <v>40</v>
      </c>
      <c r="H88" s="43" t="s">
        <v>1698</v>
      </c>
      <c r="I88" s="4"/>
      <c r="J88" s="26" t="s">
        <v>14</v>
      </c>
      <c r="K88" s="27" t="s">
        <v>13</v>
      </c>
      <c r="L88" s="2" t="s">
        <v>1699</v>
      </c>
      <c r="M88" s="24" t="s">
        <v>1700</v>
      </c>
      <c r="N88" s="4" t="s">
        <v>121</v>
      </c>
    </row>
    <row r="89" spans="1:14" ht="100.2" customHeight="1" thickTop="1" thickBot="1">
      <c r="A89" s="31">
        <v>87</v>
      </c>
      <c r="B89" s="2">
        <v>45966.512183761501</v>
      </c>
      <c r="C89" s="3" t="s">
        <v>26</v>
      </c>
      <c r="D89" s="3" t="s">
        <v>1694</v>
      </c>
      <c r="E89" s="4" t="s">
        <v>22</v>
      </c>
      <c r="F89" s="43" t="s">
        <v>28</v>
      </c>
      <c r="G89" s="4" t="s">
        <v>40</v>
      </c>
      <c r="H89" s="43" t="s">
        <v>1701</v>
      </c>
      <c r="I89" s="4"/>
      <c r="J89" s="26" t="s">
        <v>14</v>
      </c>
      <c r="K89" s="27" t="s">
        <v>13</v>
      </c>
      <c r="L89" s="2" t="s">
        <v>1699</v>
      </c>
      <c r="M89" s="24" t="s">
        <v>1700</v>
      </c>
      <c r="N89" s="4" t="s">
        <v>121</v>
      </c>
    </row>
    <row r="90" spans="1:14" ht="100.2" customHeight="1" thickTop="1" thickBot="1">
      <c r="A90" s="4">
        <v>88</v>
      </c>
      <c r="B90" s="2">
        <v>45967.330130995302</v>
      </c>
      <c r="C90" s="3" t="s">
        <v>26</v>
      </c>
      <c r="D90" s="3" t="s">
        <v>1509</v>
      </c>
      <c r="E90" s="4" t="s">
        <v>21</v>
      </c>
      <c r="F90" s="43" t="s">
        <v>28</v>
      </c>
      <c r="G90" s="4" t="s">
        <v>37</v>
      </c>
      <c r="H90" s="43" t="s">
        <v>1702</v>
      </c>
      <c r="I90" s="4" t="s">
        <v>1703</v>
      </c>
      <c r="J90" s="26" t="s">
        <v>14</v>
      </c>
      <c r="K90" s="27" t="s">
        <v>13</v>
      </c>
      <c r="L90" s="2" t="s">
        <v>1704</v>
      </c>
      <c r="M90" s="24"/>
      <c r="N90" s="4" t="s">
        <v>121</v>
      </c>
    </row>
    <row r="91" spans="1:14" ht="100.2" customHeight="1" thickTop="1" thickBot="1">
      <c r="A91" s="31">
        <v>89</v>
      </c>
      <c r="B91" s="2">
        <v>45967.479403877303</v>
      </c>
      <c r="C91" s="3" t="s">
        <v>26</v>
      </c>
      <c r="D91" s="3" t="s">
        <v>1686</v>
      </c>
      <c r="E91" s="4" t="s">
        <v>22</v>
      </c>
      <c r="F91" s="43" t="s">
        <v>39</v>
      </c>
      <c r="G91" s="4" t="s">
        <v>25</v>
      </c>
      <c r="H91" s="43" t="s">
        <v>1705</v>
      </c>
      <c r="I91" s="4" t="s">
        <v>1706</v>
      </c>
      <c r="J91" s="26" t="s">
        <v>14</v>
      </c>
      <c r="K91" s="27" t="s">
        <v>13</v>
      </c>
      <c r="L91" s="2" t="s">
        <v>1707</v>
      </c>
      <c r="M91" s="24"/>
      <c r="N91" s="4" t="s">
        <v>121</v>
      </c>
    </row>
    <row r="92" spans="1:14" ht="100.2" customHeight="1" thickTop="1" thickBot="1">
      <c r="A92" s="4">
        <v>90</v>
      </c>
      <c r="B92" s="2">
        <v>45977.441385705999</v>
      </c>
      <c r="C92" s="3" t="s">
        <v>26</v>
      </c>
      <c r="D92" s="3" t="s">
        <v>1708</v>
      </c>
      <c r="E92" s="4" t="s">
        <v>22</v>
      </c>
      <c r="F92" s="43" t="s">
        <v>31</v>
      </c>
      <c r="G92" s="4" t="s">
        <v>37</v>
      </c>
      <c r="H92" s="43" t="s">
        <v>1709</v>
      </c>
      <c r="I92" s="4"/>
      <c r="J92" s="26" t="s">
        <v>14</v>
      </c>
      <c r="K92" s="27" t="s">
        <v>13</v>
      </c>
      <c r="L92" s="2"/>
      <c r="M92" s="24" t="s">
        <v>1501</v>
      </c>
      <c r="N92" s="4" t="s">
        <v>121</v>
      </c>
    </row>
    <row r="93" spans="1:14" ht="100.2" customHeight="1" thickTop="1" thickBot="1">
      <c r="A93" s="31">
        <v>91</v>
      </c>
      <c r="B93" s="2">
        <v>45977.442208611101</v>
      </c>
      <c r="C93" s="3" t="s">
        <v>26</v>
      </c>
      <c r="D93" s="3" t="s">
        <v>1710</v>
      </c>
      <c r="E93" s="4" t="s">
        <v>22</v>
      </c>
      <c r="F93" s="43" t="s">
        <v>42</v>
      </c>
      <c r="G93" s="4" t="s">
        <v>1711</v>
      </c>
      <c r="H93" s="43" t="s">
        <v>1712</v>
      </c>
      <c r="I93" s="4"/>
      <c r="J93" s="26" t="s">
        <v>14</v>
      </c>
      <c r="K93" s="27" t="s">
        <v>13</v>
      </c>
      <c r="L93" s="2"/>
      <c r="M93" s="24" t="s">
        <v>1501</v>
      </c>
      <c r="N93" s="4" t="s">
        <v>121</v>
      </c>
    </row>
    <row r="94" spans="1:14" ht="100.2" customHeight="1" thickTop="1" thickBot="1">
      <c r="A94" s="4">
        <v>92</v>
      </c>
      <c r="B94" s="2">
        <v>45977.4426729513</v>
      </c>
      <c r="C94" s="3" t="s">
        <v>26</v>
      </c>
      <c r="D94" s="3" t="s">
        <v>1710</v>
      </c>
      <c r="E94" s="4" t="s">
        <v>22</v>
      </c>
      <c r="F94" s="43" t="s">
        <v>28</v>
      </c>
      <c r="G94" s="4" t="s">
        <v>25</v>
      </c>
      <c r="H94" s="43" t="s">
        <v>1713</v>
      </c>
      <c r="I94" s="4"/>
      <c r="J94" s="26" t="s">
        <v>14</v>
      </c>
      <c r="K94" s="27" t="s">
        <v>13</v>
      </c>
      <c r="L94" s="2"/>
      <c r="M94" s="24" t="s">
        <v>1501</v>
      </c>
      <c r="N94" s="4" t="s">
        <v>121</v>
      </c>
    </row>
    <row r="95" spans="1:14" ht="100.2" customHeight="1" thickTop="1" thickBot="1">
      <c r="A95" s="31">
        <v>93</v>
      </c>
      <c r="B95" s="2">
        <v>45977.443602766201</v>
      </c>
      <c r="C95" s="3" t="s">
        <v>26</v>
      </c>
      <c r="D95" s="3" t="s">
        <v>1710</v>
      </c>
      <c r="E95" s="4" t="s">
        <v>22</v>
      </c>
      <c r="F95" s="43" t="s">
        <v>28</v>
      </c>
      <c r="G95" s="4" t="s">
        <v>25</v>
      </c>
      <c r="H95" s="43" t="s">
        <v>1714</v>
      </c>
      <c r="I95" s="4"/>
      <c r="J95" s="26" t="s">
        <v>14</v>
      </c>
      <c r="K95" s="27" t="s">
        <v>13</v>
      </c>
      <c r="L95" s="2"/>
      <c r="M95" s="24" t="s">
        <v>1501</v>
      </c>
      <c r="N95" s="4" t="s">
        <v>121</v>
      </c>
    </row>
    <row r="96" spans="1:14" ht="100.2" customHeight="1" thickTop="1" thickBot="1">
      <c r="A96" s="4">
        <v>94</v>
      </c>
      <c r="B96" s="2">
        <v>45979.312546863403</v>
      </c>
      <c r="C96" s="3" t="s">
        <v>26</v>
      </c>
      <c r="D96" s="3" t="s">
        <v>1708</v>
      </c>
      <c r="E96" s="4" t="s">
        <v>22</v>
      </c>
      <c r="F96" s="43" t="s">
        <v>54</v>
      </c>
      <c r="G96" s="4" t="s">
        <v>40</v>
      </c>
      <c r="H96" s="43" t="s">
        <v>1715</v>
      </c>
      <c r="I96" s="4"/>
      <c r="J96" s="26" t="s">
        <v>14</v>
      </c>
      <c r="K96" s="27" t="s">
        <v>13</v>
      </c>
      <c r="L96" s="2">
        <v>45979.320338854166</v>
      </c>
      <c r="M96" s="24" t="s">
        <v>1716</v>
      </c>
      <c r="N96" s="4" t="s">
        <v>121</v>
      </c>
    </row>
    <row r="97" spans="1:14" ht="100.2" customHeight="1" thickTop="1" thickBot="1">
      <c r="A97" s="31">
        <v>95</v>
      </c>
      <c r="B97" s="2">
        <v>45979.315410416602</v>
      </c>
      <c r="C97" s="3" t="s">
        <v>26</v>
      </c>
      <c r="D97" s="3" t="s">
        <v>1710</v>
      </c>
      <c r="E97" s="4" t="s">
        <v>22</v>
      </c>
      <c r="F97" s="43" t="s">
        <v>31</v>
      </c>
      <c r="G97" s="4" t="s">
        <v>40</v>
      </c>
      <c r="H97" s="43" t="s">
        <v>1717</v>
      </c>
      <c r="I97" s="4"/>
      <c r="J97" s="26" t="s">
        <v>14</v>
      </c>
      <c r="K97" s="27" t="s">
        <v>13</v>
      </c>
      <c r="L97" s="2">
        <v>45979.320361134261</v>
      </c>
      <c r="M97" s="24" t="s">
        <v>1716</v>
      </c>
      <c r="N97" s="4" t="s">
        <v>121</v>
      </c>
    </row>
    <row r="98" spans="1:14" ht="100.2" customHeight="1" thickTop="1" thickBot="1">
      <c r="A98" s="4">
        <v>96</v>
      </c>
      <c r="B98" s="2">
        <v>45979.316798981403</v>
      </c>
      <c r="C98" s="3" t="s">
        <v>26</v>
      </c>
      <c r="D98" s="3" t="s">
        <v>1710</v>
      </c>
      <c r="E98" s="4" t="s">
        <v>22</v>
      </c>
      <c r="F98" s="43" t="s">
        <v>31</v>
      </c>
      <c r="G98" s="4" t="s">
        <v>40</v>
      </c>
      <c r="H98" s="43" t="s">
        <v>1718</v>
      </c>
      <c r="I98" s="4"/>
      <c r="J98" s="26" t="s">
        <v>14</v>
      </c>
      <c r="K98" s="27" t="s">
        <v>13</v>
      </c>
      <c r="L98" s="2">
        <v>45979.320723518518</v>
      </c>
      <c r="M98" s="24" t="s">
        <v>1716</v>
      </c>
      <c r="N98" s="4" t="s">
        <v>121</v>
      </c>
    </row>
    <row r="99" spans="1:14" ht="100.2" customHeight="1" thickTop="1" thickBot="1">
      <c r="A99" s="31">
        <v>97</v>
      </c>
      <c r="B99" s="2">
        <v>45979.318013483797</v>
      </c>
      <c r="C99" s="3" t="s">
        <v>26</v>
      </c>
      <c r="D99" s="3" t="s">
        <v>1708</v>
      </c>
      <c r="E99" s="4" t="s">
        <v>22</v>
      </c>
      <c r="F99" s="43" t="s">
        <v>42</v>
      </c>
      <c r="G99" s="4" t="s">
        <v>1719</v>
      </c>
      <c r="H99" s="43" t="s">
        <v>1720</v>
      </c>
      <c r="I99" s="4"/>
      <c r="J99" s="26" t="s">
        <v>14</v>
      </c>
      <c r="K99" s="27" t="s">
        <v>13</v>
      </c>
      <c r="L99" s="2">
        <v>45979.320759780094</v>
      </c>
      <c r="M99" s="24" t="s">
        <v>1716</v>
      </c>
      <c r="N99" s="4" t="s">
        <v>121</v>
      </c>
    </row>
    <row r="100" spans="1:14" ht="100.2" customHeight="1" thickTop="1" thickBot="1">
      <c r="A100" s="4">
        <v>98</v>
      </c>
      <c r="B100" s="2">
        <v>45979.354703009201</v>
      </c>
      <c r="C100" s="3" t="s">
        <v>26</v>
      </c>
      <c r="D100" s="3" t="s">
        <v>1721</v>
      </c>
      <c r="E100" s="4" t="s">
        <v>21</v>
      </c>
      <c r="F100" s="43" t="s">
        <v>28</v>
      </c>
      <c r="G100" s="4" t="s">
        <v>1722</v>
      </c>
      <c r="H100" s="43" t="s">
        <v>1723</v>
      </c>
      <c r="I100" s="4" t="s">
        <v>1724</v>
      </c>
      <c r="J100" s="26" t="s">
        <v>14</v>
      </c>
      <c r="K100" s="27" t="s">
        <v>13</v>
      </c>
      <c r="L100" s="2">
        <v>45979.456016215277</v>
      </c>
      <c r="M100" s="24"/>
      <c r="N100" s="4" t="s">
        <v>121</v>
      </c>
    </row>
    <row r="101" spans="1:14" ht="100.2" customHeight="1" thickTop="1" thickBot="1">
      <c r="A101" s="31">
        <v>99</v>
      </c>
      <c r="B101" s="2">
        <v>45980.681430844903</v>
      </c>
      <c r="C101" s="3" t="s">
        <v>26</v>
      </c>
      <c r="D101" s="3" t="s">
        <v>1725</v>
      </c>
      <c r="E101" s="4" t="s">
        <v>21</v>
      </c>
      <c r="F101" s="43" t="s">
        <v>28</v>
      </c>
      <c r="G101" s="4" t="s">
        <v>1726</v>
      </c>
      <c r="H101" s="43" t="s">
        <v>1727</v>
      </c>
      <c r="I101" s="4"/>
      <c r="J101" s="26" t="s">
        <v>14</v>
      </c>
      <c r="K101" s="27" t="s">
        <v>13</v>
      </c>
      <c r="L101" s="2">
        <v>45980.834110219905</v>
      </c>
      <c r="M101" s="24"/>
      <c r="N101" s="4" t="s">
        <v>121</v>
      </c>
    </row>
    <row r="102" spans="1:14" ht="100.2" customHeight="1" thickTop="1" thickBot="1">
      <c r="A102" s="4">
        <v>100</v>
      </c>
      <c r="B102" s="2">
        <v>45981.419182337901</v>
      </c>
      <c r="C102" s="3" t="s">
        <v>26</v>
      </c>
      <c r="D102" s="3" t="s">
        <v>1624</v>
      </c>
      <c r="E102" s="4" t="s">
        <v>21</v>
      </c>
      <c r="F102" s="43" t="s">
        <v>31</v>
      </c>
      <c r="G102" s="4" t="s">
        <v>25</v>
      </c>
      <c r="H102" s="43" t="s">
        <v>1728</v>
      </c>
      <c r="I102" s="4" t="s">
        <v>1729</v>
      </c>
      <c r="J102" s="26" t="s">
        <v>14</v>
      </c>
      <c r="K102" s="27" t="s">
        <v>13</v>
      </c>
      <c r="L102" s="2">
        <v>45981.43343020833</v>
      </c>
      <c r="M102" s="24"/>
      <c r="N102" s="4" t="s">
        <v>121</v>
      </c>
    </row>
    <row r="103" spans="1:14" ht="100.2" customHeight="1" thickTop="1" thickBot="1">
      <c r="A103" s="31">
        <v>101</v>
      </c>
      <c r="B103" s="2">
        <v>45983.350485775401</v>
      </c>
      <c r="C103" s="3" t="s">
        <v>26</v>
      </c>
      <c r="D103" s="3" t="s">
        <v>57</v>
      </c>
      <c r="E103" s="4" t="s">
        <v>21</v>
      </c>
      <c r="F103" s="43" t="s">
        <v>42</v>
      </c>
      <c r="G103" s="4" t="s">
        <v>36</v>
      </c>
      <c r="H103" s="43" t="s">
        <v>1730</v>
      </c>
      <c r="I103" s="4" t="s">
        <v>1731</v>
      </c>
      <c r="J103" s="26" t="s">
        <v>14</v>
      </c>
      <c r="K103" s="27" t="s">
        <v>13</v>
      </c>
      <c r="L103" s="2">
        <v>45984.36912072917</v>
      </c>
      <c r="M103" s="24"/>
      <c r="N103" s="4" t="s">
        <v>121</v>
      </c>
    </row>
    <row r="104" spans="1:14" ht="100.2" customHeight="1" thickTop="1" thickBot="1">
      <c r="A104" s="4">
        <v>102</v>
      </c>
      <c r="B104" s="2">
        <v>45984.396530208302</v>
      </c>
      <c r="C104" s="3" t="s">
        <v>26</v>
      </c>
      <c r="D104" s="3" t="s">
        <v>1732</v>
      </c>
      <c r="E104" s="4" t="s">
        <v>21</v>
      </c>
      <c r="F104" s="43" t="s">
        <v>28</v>
      </c>
      <c r="G104" s="4" t="s">
        <v>1733</v>
      </c>
      <c r="H104" s="43" t="s">
        <v>1734</v>
      </c>
      <c r="I104" s="4"/>
      <c r="J104" s="26" t="s">
        <v>14</v>
      </c>
      <c r="K104" s="27" t="s">
        <v>13</v>
      </c>
      <c r="L104" s="2">
        <v>45984.409449444443</v>
      </c>
      <c r="M104" s="24"/>
      <c r="N104" s="4" t="s">
        <v>121</v>
      </c>
    </row>
    <row r="105" spans="1:14" ht="100.2" customHeight="1" thickTop="1" thickBot="1">
      <c r="A105" s="31">
        <v>103</v>
      </c>
      <c r="B105" s="2">
        <v>45985.431127858799</v>
      </c>
      <c r="C105" s="3" t="s">
        <v>26</v>
      </c>
      <c r="D105" s="3" t="s">
        <v>1735</v>
      </c>
      <c r="E105" s="4" t="s">
        <v>21</v>
      </c>
      <c r="F105" s="43" t="s">
        <v>31</v>
      </c>
      <c r="G105" s="4" t="s">
        <v>25</v>
      </c>
      <c r="H105" s="43" t="s">
        <v>1736</v>
      </c>
      <c r="I105" s="4"/>
      <c r="J105" s="26" t="s">
        <v>14</v>
      </c>
      <c r="K105" s="27" t="s">
        <v>13</v>
      </c>
      <c r="L105" s="2">
        <v>45986.373092349539</v>
      </c>
      <c r="M105" s="24"/>
      <c r="N105" s="4" t="s">
        <v>121</v>
      </c>
    </row>
    <row r="106" spans="1:14" ht="100.2" customHeight="1" thickTop="1" thickBot="1">
      <c r="A106" s="4">
        <v>104</v>
      </c>
      <c r="B106" s="2">
        <v>45986.3645989004</v>
      </c>
      <c r="C106" s="3" t="s">
        <v>26</v>
      </c>
      <c r="D106" s="3" t="s">
        <v>1737</v>
      </c>
      <c r="E106" s="4" t="s">
        <v>21</v>
      </c>
      <c r="F106" s="43" t="s">
        <v>28</v>
      </c>
      <c r="G106" s="4" t="s">
        <v>1738</v>
      </c>
      <c r="H106" s="43" t="s">
        <v>1739</v>
      </c>
      <c r="I106" s="4"/>
      <c r="J106" s="26" t="s">
        <v>14</v>
      </c>
      <c r="K106" s="27" t="s">
        <v>13</v>
      </c>
      <c r="L106" s="2"/>
      <c r="M106" s="24"/>
      <c r="N106" s="4" t="s">
        <v>121</v>
      </c>
    </row>
    <row r="107" spans="1:14" ht="100.2" customHeight="1" thickTop="1" thickBot="1">
      <c r="A107" s="31">
        <v>105</v>
      </c>
      <c r="B107" s="2">
        <v>45986.387845833298</v>
      </c>
      <c r="C107" s="3" t="s">
        <v>26</v>
      </c>
      <c r="D107" s="3" t="s">
        <v>1740</v>
      </c>
      <c r="E107" s="4" t="s">
        <v>21</v>
      </c>
      <c r="F107" s="43" t="s">
        <v>31</v>
      </c>
      <c r="G107" s="4" t="s">
        <v>37</v>
      </c>
      <c r="H107" s="43" t="s">
        <v>1741</v>
      </c>
      <c r="I107" s="4"/>
      <c r="J107" s="26" t="s">
        <v>14</v>
      </c>
      <c r="K107" s="27" t="s">
        <v>13</v>
      </c>
      <c r="L107" s="2">
        <v>45987.311720972226</v>
      </c>
      <c r="M107" s="24" t="s">
        <v>1742</v>
      </c>
      <c r="N107" s="4" t="s">
        <v>121</v>
      </c>
    </row>
    <row r="108" spans="1:14" ht="100.2" customHeight="1" thickTop="1" thickBot="1">
      <c r="A108" s="4">
        <v>106</v>
      </c>
      <c r="B108" s="2">
        <v>45986.388516307801</v>
      </c>
      <c r="C108" s="3" t="s">
        <v>26</v>
      </c>
      <c r="D108" s="3" t="s">
        <v>1740</v>
      </c>
      <c r="E108" s="4" t="s">
        <v>21</v>
      </c>
      <c r="F108" s="43" t="s">
        <v>31</v>
      </c>
      <c r="G108" s="4" t="s">
        <v>38</v>
      </c>
      <c r="H108" s="43" t="s">
        <v>1743</v>
      </c>
      <c r="I108" s="4"/>
      <c r="J108" s="26" t="s">
        <v>14</v>
      </c>
      <c r="K108" s="27" t="s">
        <v>13</v>
      </c>
      <c r="L108" s="2">
        <v>45987.311750243054</v>
      </c>
      <c r="M108" s="24" t="s">
        <v>1742</v>
      </c>
      <c r="N108" s="4" t="s">
        <v>121</v>
      </c>
    </row>
    <row r="109" spans="1:14" ht="100.2" customHeight="1" thickTop="1" thickBot="1">
      <c r="A109" s="31">
        <v>107</v>
      </c>
      <c r="B109" s="2">
        <v>45987.312612916598</v>
      </c>
      <c r="C109" s="3" t="s">
        <v>26</v>
      </c>
      <c r="D109" s="3" t="s">
        <v>1539</v>
      </c>
      <c r="E109" s="4" t="s">
        <v>21</v>
      </c>
      <c r="F109" s="43" t="s">
        <v>31</v>
      </c>
      <c r="G109" s="4" t="s">
        <v>25</v>
      </c>
      <c r="H109" s="43" t="s">
        <v>1744</v>
      </c>
      <c r="I109" s="4"/>
      <c r="J109" s="26" t="s">
        <v>14</v>
      </c>
      <c r="K109" s="27" t="s">
        <v>13</v>
      </c>
      <c r="L109" s="2">
        <v>45987.357354131949</v>
      </c>
      <c r="M109" s="24"/>
      <c r="N109" s="4" t="s">
        <v>121</v>
      </c>
    </row>
    <row r="110" spans="1:14" ht="100.2" customHeight="1" thickTop="1" thickBot="1">
      <c r="A110" s="4">
        <v>108</v>
      </c>
      <c r="B110" s="2">
        <v>45987.383060983797</v>
      </c>
      <c r="C110" s="3" t="s">
        <v>26</v>
      </c>
      <c r="D110" s="3" t="s">
        <v>57</v>
      </c>
      <c r="E110" s="4" t="s">
        <v>21</v>
      </c>
      <c r="F110" s="43" t="s">
        <v>42</v>
      </c>
      <c r="G110" s="4" t="s">
        <v>47</v>
      </c>
      <c r="H110" s="43" t="s">
        <v>1745</v>
      </c>
      <c r="I110" s="4"/>
      <c r="J110" s="26" t="s">
        <v>14</v>
      </c>
      <c r="K110" s="27" t="s">
        <v>13</v>
      </c>
      <c r="L110" s="2">
        <v>45987.396764872683</v>
      </c>
      <c r="M110" s="24"/>
      <c r="N110" s="4" t="s">
        <v>121</v>
      </c>
    </row>
    <row r="111" spans="1:14" ht="100.2" customHeight="1" thickTop="1" thickBot="1">
      <c r="A111" s="31">
        <v>109</v>
      </c>
      <c r="B111" s="2">
        <v>45990.405270404997</v>
      </c>
      <c r="C111" s="3" t="s">
        <v>26</v>
      </c>
      <c r="D111" s="3" t="s">
        <v>57</v>
      </c>
      <c r="E111" s="4" t="s">
        <v>21</v>
      </c>
      <c r="F111" s="43" t="s">
        <v>31</v>
      </c>
      <c r="G111" s="4" t="s">
        <v>43</v>
      </c>
      <c r="H111" s="43" t="s">
        <v>1746</v>
      </c>
      <c r="I111" s="4"/>
      <c r="J111" s="26" t="s">
        <v>14</v>
      </c>
      <c r="K111" s="27" t="s">
        <v>750</v>
      </c>
      <c r="L111" s="2">
        <v>45990.51145424768</v>
      </c>
      <c r="M111" s="24" t="s">
        <v>1667</v>
      </c>
      <c r="N111" s="4" t="s">
        <v>121</v>
      </c>
    </row>
    <row r="112" spans="1:14" ht="100.2" customHeight="1" thickTop="1" thickBot="1">
      <c r="A112" s="4">
        <v>110</v>
      </c>
      <c r="B112" s="52">
        <v>45990.407553124998</v>
      </c>
      <c r="C112" s="3" t="s">
        <v>26</v>
      </c>
      <c r="D112" s="3" t="s">
        <v>57</v>
      </c>
      <c r="E112" s="4" t="s">
        <v>21</v>
      </c>
      <c r="F112" s="43" t="s">
        <v>31</v>
      </c>
      <c r="G112" s="4" t="s">
        <v>36</v>
      </c>
      <c r="H112" s="43" t="s">
        <v>1747</v>
      </c>
      <c r="I112" s="4"/>
      <c r="J112" s="26" t="s">
        <v>14</v>
      </c>
      <c r="K112" s="27" t="s">
        <v>13</v>
      </c>
      <c r="L112" s="2">
        <v>45990.538353807875</v>
      </c>
      <c r="M112" s="24"/>
      <c r="N112" s="4" t="s">
        <v>121</v>
      </c>
    </row>
    <row r="113" spans="1:14" ht="100.2" customHeight="1" thickTop="1" thickBot="1">
      <c r="A113" s="31">
        <v>111</v>
      </c>
      <c r="B113" s="52" t="s">
        <v>2650</v>
      </c>
      <c r="C113" s="3" t="s">
        <v>26</v>
      </c>
      <c r="D113" s="3" t="s">
        <v>2651</v>
      </c>
      <c r="E113" s="4" t="s">
        <v>21</v>
      </c>
      <c r="F113" s="43" t="s">
        <v>2652</v>
      </c>
      <c r="G113" s="4" t="s">
        <v>2250</v>
      </c>
      <c r="H113" s="43" t="s">
        <v>2653</v>
      </c>
      <c r="I113" s="4"/>
      <c r="J113" s="26" t="s">
        <v>12</v>
      </c>
      <c r="K113" s="27" t="s">
        <v>13</v>
      </c>
      <c r="L113" s="2" t="s">
        <v>2654</v>
      </c>
      <c r="M113" s="24"/>
      <c r="N113" s="4" t="s">
        <v>121</v>
      </c>
    </row>
    <row r="114" spans="1:14" ht="100.2" customHeight="1" thickTop="1" thickBot="1">
      <c r="A114" s="4">
        <v>112</v>
      </c>
      <c r="B114" s="52" t="s">
        <v>2655</v>
      </c>
      <c r="C114" s="3" t="s">
        <v>26</v>
      </c>
      <c r="D114" s="3" t="s">
        <v>2656</v>
      </c>
      <c r="E114" s="4" t="s">
        <v>21</v>
      </c>
      <c r="F114" s="43" t="s">
        <v>2652</v>
      </c>
      <c r="G114" s="4" t="s">
        <v>1821</v>
      </c>
      <c r="H114" s="43" t="s">
        <v>2657</v>
      </c>
      <c r="I114" s="4"/>
      <c r="J114" s="26" t="s">
        <v>12</v>
      </c>
      <c r="K114" s="27" t="s">
        <v>13</v>
      </c>
      <c r="L114" s="2" t="s">
        <v>2658</v>
      </c>
      <c r="M114" s="24" t="s">
        <v>2659</v>
      </c>
      <c r="N114" s="4" t="s">
        <v>121</v>
      </c>
    </row>
    <row r="115" spans="1:14" ht="100.2" customHeight="1" thickTop="1" thickBot="1">
      <c r="A115" s="31">
        <v>113</v>
      </c>
      <c r="B115" s="52" t="s">
        <v>2660</v>
      </c>
      <c r="C115" s="3" t="s">
        <v>26</v>
      </c>
      <c r="D115" s="3" t="s">
        <v>1626</v>
      </c>
      <c r="E115" s="4" t="s">
        <v>21</v>
      </c>
      <c r="F115" s="43" t="s">
        <v>2661</v>
      </c>
      <c r="G115" s="4" t="s">
        <v>1761</v>
      </c>
      <c r="H115" s="43" t="s">
        <v>2662</v>
      </c>
      <c r="I115" s="4"/>
      <c r="J115" s="26" t="s">
        <v>12</v>
      </c>
      <c r="K115" s="27" t="s">
        <v>13</v>
      </c>
      <c r="L115" s="2" t="s">
        <v>2663</v>
      </c>
      <c r="M115" s="24" t="s">
        <v>2664</v>
      </c>
      <c r="N115" s="4" t="s">
        <v>121</v>
      </c>
    </row>
    <row r="116" spans="1:14" ht="100.2" customHeight="1" thickTop="1" thickBot="1">
      <c r="A116" s="4">
        <v>114</v>
      </c>
      <c r="B116" s="52" t="s">
        <v>2665</v>
      </c>
      <c r="C116" s="3" t="s">
        <v>26</v>
      </c>
      <c r="D116" s="3" t="s">
        <v>1626</v>
      </c>
      <c r="E116" s="4" t="s">
        <v>21</v>
      </c>
      <c r="F116" s="43" t="s">
        <v>2666</v>
      </c>
      <c r="G116" s="4" t="s">
        <v>1761</v>
      </c>
      <c r="H116" s="43" t="s">
        <v>2667</v>
      </c>
      <c r="I116" s="4"/>
      <c r="J116" s="26" t="s">
        <v>12</v>
      </c>
      <c r="K116" s="27" t="s">
        <v>13</v>
      </c>
      <c r="L116" s="2" t="s">
        <v>2668</v>
      </c>
      <c r="M116" s="24"/>
      <c r="N116" s="4" t="s">
        <v>121</v>
      </c>
    </row>
    <row r="117" spans="1:14" ht="100.2" customHeight="1" thickTop="1" thickBot="1">
      <c r="A117" s="31">
        <v>115</v>
      </c>
      <c r="B117" s="52" t="s">
        <v>2669</v>
      </c>
      <c r="C117" s="3" t="s">
        <v>26</v>
      </c>
      <c r="D117" s="3" t="s">
        <v>2670</v>
      </c>
      <c r="E117" s="4" t="s">
        <v>21</v>
      </c>
      <c r="F117" s="43" t="s">
        <v>2652</v>
      </c>
      <c r="G117" s="4" t="s">
        <v>2671</v>
      </c>
      <c r="H117" s="43" t="s">
        <v>2672</v>
      </c>
      <c r="I117" s="4"/>
      <c r="J117" s="26" t="s">
        <v>12</v>
      </c>
      <c r="K117" s="27" t="s">
        <v>13</v>
      </c>
      <c r="L117" s="2" t="s">
        <v>2673</v>
      </c>
      <c r="M117" s="24"/>
      <c r="N117" s="4" t="s">
        <v>121</v>
      </c>
    </row>
    <row r="118" spans="1:14" ht="100.2" customHeight="1" thickTop="1" thickBot="1">
      <c r="A118" s="4">
        <v>116</v>
      </c>
      <c r="B118" s="52" t="s">
        <v>2674</v>
      </c>
      <c r="C118" s="3" t="s">
        <v>26</v>
      </c>
      <c r="D118" s="3" t="s">
        <v>2651</v>
      </c>
      <c r="E118" s="4" t="s">
        <v>21</v>
      </c>
      <c r="F118" s="43" t="s">
        <v>2652</v>
      </c>
      <c r="G118" s="4" t="s">
        <v>1221</v>
      </c>
      <c r="H118" s="43" t="s">
        <v>2675</v>
      </c>
      <c r="I118" s="4"/>
      <c r="J118" s="26" t="s">
        <v>12</v>
      </c>
      <c r="K118" s="27" t="s">
        <v>13</v>
      </c>
      <c r="L118" s="2" t="s">
        <v>2676</v>
      </c>
      <c r="M118" s="24"/>
      <c r="N118" s="4" t="s">
        <v>121</v>
      </c>
    </row>
    <row r="119" spans="1:14" ht="100.2" customHeight="1" thickTop="1" thickBot="1">
      <c r="A119" s="31">
        <v>117</v>
      </c>
      <c r="B119" s="52" t="s">
        <v>2677</v>
      </c>
      <c r="C119" s="3" t="s">
        <v>26</v>
      </c>
      <c r="D119" s="3" t="s">
        <v>2678</v>
      </c>
      <c r="E119" s="4" t="s">
        <v>22</v>
      </c>
      <c r="F119" s="43" t="s">
        <v>2679</v>
      </c>
      <c r="G119" s="4" t="s">
        <v>2680</v>
      </c>
      <c r="H119" s="43" t="s">
        <v>2681</v>
      </c>
      <c r="I119" s="4" t="s">
        <v>2682</v>
      </c>
      <c r="J119" s="26" t="s">
        <v>12</v>
      </c>
      <c r="K119" s="27" t="s">
        <v>13</v>
      </c>
      <c r="L119" s="2" t="s">
        <v>2677</v>
      </c>
      <c r="M119" s="24" t="s">
        <v>2683</v>
      </c>
      <c r="N119" s="4" t="s">
        <v>121</v>
      </c>
    </row>
    <row r="120" spans="1:14" ht="100.2" customHeight="1" thickTop="1" thickBot="1">
      <c r="A120" s="4">
        <v>118</v>
      </c>
      <c r="B120" s="52" t="s">
        <v>2684</v>
      </c>
      <c r="C120" s="3" t="s">
        <v>26</v>
      </c>
      <c r="D120" s="3" t="s">
        <v>2678</v>
      </c>
      <c r="E120" s="4" t="s">
        <v>22</v>
      </c>
      <c r="F120" s="43" t="s">
        <v>2661</v>
      </c>
      <c r="G120" s="4" t="s">
        <v>1761</v>
      </c>
      <c r="H120" s="43" t="s">
        <v>2685</v>
      </c>
      <c r="I120" s="4" t="s">
        <v>2686</v>
      </c>
      <c r="J120" s="26" t="s">
        <v>12</v>
      </c>
      <c r="K120" s="27" t="s">
        <v>13</v>
      </c>
      <c r="L120" s="2" t="s">
        <v>2687</v>
      </c>
      <c r="M120" s="24" t="s">
        <v>2686</v>
      </c>
      <c r="N120" s="4" t="s">
        <v>121</v>
      </c>
    </row>
    <row r="121" spans="1:14" ht="100.2" customHeight="1" thickTop="1" thickBot="1">
      <c r="A121" s="31">
        <v>119</v>
      </c>
      <c r="B121" s="52" t="s">
        <v>2688</v>
      </c>
      <c r="C121" s="3" t="s">
        <v>26</v>
      </c>
      <c r="D121" s="3" t="s">
        <v>2689</v>
      </c>
      <c r="E121" s="4" t="s">
        <v>22</v>
      </c>
      <c r="F121" s="43" t="s">
        <v>2652</v>
      </c>
      <c r="G121" s="4" t="s">
        <v>1221</v>
      </c>
      <c r="H121" s="43" t="s">
        <v>2690</v>
      </c>
      <c r="I121" s="4"/>
      <c r="J121" s="26" t="s">
        <v>12</v>
      </c>
      <c r="K121" s="27" t="s">
        <v>13</v>
      </c>
      <c r="L121" s="2" t="s">
        <v>2691</v>
      </c>
      <c r="M121" s="24" t="s">
        <v>2692</v>
      </c>
      <c r="N121" s="4" t="s">
        <v>121</v>
      </c>
    </row>
    <row r="122" spans="1:14" ht="100.2" customHeight="1" thickTop="1" thickBot="1">
      <c r="A122" s="4">
        <v>120</v>
      </c>
      <c r="B122" s="52" t="s">
        <v>2693</v>
      </c>
      <c r="C122" s="3" t="s">
        <v>26</v>
      </c>
      <c r="D122" s="3" t="s">
        <v>2689</v>
      </c>
      <c r="E122" s="4" t="s">
        <v>22</v>
      </c>
      <c r="F122" s="43" t="s">
        <v>2661</v>
      </c>
      <c r="G122" s="4" t="s">
        <v>1761</v>
      </c>
      <c r="H122" s="43" t="s">
        <v>2694</v>
      </c>
      <c r="I122" s="4"/>
      <c r="J122" s="26" t="s">
        <v>12</v>
      </c>
      <c r="K122" s="27" t="s">
        <v>13</v>
      </c>
      <c r="L122" s="2" t="s">
        <v>2695</v>
      </c>
      <c r="M122" s="24" t="s">
        <v>2696</v>
      </c>
      <c r="N122" s="4" t="s">
        <v>121</v>
      </c>
    </row>
    <row r="123" spans="1:14" ht="100.2" customHeight="1" thickTop="1" thickBot="1">
      <c r="A123" s="31">
        <v>121</v>
      </c>
      <c r="B123" s="52" t="s">
        <v>2697</v>
      </c>
      <c r="C123" s="3" t="s">
        <v>26</v>
      </c>
      <c r="D123" s="3" t="s">
        <v>2698</v>
      </c>
      <c r="E123" s="4" t="s">
        <v>21</v>
      </c>
      <c r="F123" s="43" t="s">
        <v>2666</v>
      </c>
      <c r="G123" s="4" t="s">
        <v>1816</v>
      </c>
      <c r="H123" s="43" t="s">
        <v>2699</v>
      </c>
      <c r="I123" s="4"/>
      <c r="J123" s="26" t="s">
        <v>12</v>
      </c>
      <c r="K123" s="27" t="s">
        <v>13</v>
      </c>
      <c r="L123" s="2" t="s">
        <v>2700</v>
      </c>
      <c r="M123" s="24" t="s">
        <v>2686</v>
      </c>
      <c r="N123" s="4" t="s">
        <v>121</v>
      </c>
    </row>
    <row r="124" spans="1:14" ht="100.2" customHeight="1" thickTop="1" thickBot="1">
      <c r="A124" s="4">
        <v>122</v>
      </c>
      <c r="B124" s="52" t="s">
        <v>2697</v>
      </c>
      <c r="C124" s="3" t="s">
        <v>26</v>
      </c>
      <c r="D124" s="3" t="s">
        <v>1635</v>
      </c>
      <c r="E124" s="4" t="s">
        <v>21</v>
      </c>
      <c r="F124" s="43" t="s">
        <v>2661</v>
      </c>
      <c r="G124" s="4" t="s">
        <v>1221</v>
      </c>
      <c r="H124" s="43" t="s">
        <v>2701</v>
      </c>
      <c r="I124" s="4"/>
      <c r="J124" s="26" t="s">
        <v>12</v>
      </c>
      <c r="K124" s="27" t="s">
        <v>13</v>
      </c>
      <c r="L124" s="2" t="s">
        <v>2702</v>
      </c>
      <c r="M124" s="24"/>
      <c r="N124" s="4" t="s">
        <v>121</v>
      </c>
    </row>
    <row r="125" spans="1:14" ht="100.2" customHeight="1" thickTop="1" thickBot="1">
      <c r="A125" s="31">
        <v>123</v>
      </c>
      <c r="B125" s="52" t="s">
        <v>2703</v>
      </c>
      <c r="C125" s="3" t="s">
        <v>26</v>
      </c>
      <c r="D125" s="3" t="s">
        <v>2704</v>
      </c>
      <c r="E125" s="4" t="s">
        <v>22</v>
      </c>
      <c r="F125" s="43" t="s">
        <v>2661</v>
      </c>
      <c r="G125" s="4" t="s">
        <v>1761</v>
      </c>
      <c r="H125" s="43" t="s">
        <v>2705</v>
      </c>
      <c r="I125" s="4"/>
      <c r="J125" s="26" t="s">
        <v>12</v>
      </c>
      <c r="K125" s="27" t="s">
        <v>13</v>
      </c>
      <c r="L125" s="2" t="s">
        <v>2706</v>
      </c>
      <c r="M125" s="24"/>
      <c r="N125" s="4" t="s">
        <v>121</v>
      </c>
    </row>
    <row r="126" spans="1:14" ht="100.2" customHeight="1" thickTop="1" thickBot="1">
      <c r="A126" s="4">
        <v>124</v>
      </c>
      <c r="B126" s="52" t="s">
        <v>2707</v>
      </c>
      <c r="C126" s="3" t="s">
        <v>26</v>
      </c>
      <c r="D126" s="3" t="s">
        <v>2678</v>
      </c>
      <c r="E126" s="4" t="s">
        <v>22</v>
      </c>
      <c r="F126" s="43" t="s">
        <v>2708</v>
      </c>
      <c r="G126" s="4" t="s">
        <v>213</v>
      </c>
      <c r="H126" s="43" t="s">
        <v>2709</v>
      </c>
      <c r="I126" s="4"/>
      <c r="J126" s="26" t="s">
        <v>12</v>
      </c>
      <c r="K126" s="27" t="s">
        <v>13</v>
      </c>
      <c r="L126" s="2" t="s">
        <v>2710</v>
      </c>
      <c r="M126" s="24" t="s">
        <v>2711</v>
      </c>
      <c r="N126" s="4" t="s">
        <v>121</v>
      </c>
    </row>
    <row r="127" spans="1:14" ht="100.2" customHeight="1" thickTop="1" thickBot="1">
      <c r="A127" s="31">
        <v>125</v>
      </c>
      <c r="B127" s="52" t="s">
        <v>2712</v>
      </c>
      <c r="C127" s="3" t="s">
        <v>26</v>
      </c>
      <c r="D127" s="3" t="s">
        <v>1521</v>
      </c>
      <c r="E127" s="4" t="s">
        <v>22</v>
      </c>
      <c r="F127" s="43" t="s">
        <v>2713</v>
      </c>
      <c r="G127" s="4" t="s">
        <v>213</v>
      </c>
      <c r="H127" s="43" t="s">
        <v>2714</v>
      </c>
      <c r="I127" s="4"/>
      <c r="J127" s="26" t="s">
        <v>12</v>
      </c>
      <c r="K127" s="27" t="s">
        <v>13</v>
      </c>
      <c r="L127" s="2" t="s">
        <v>2715</v>
      </c>
      <c r="M127" s="24" t="s">
        <v>2716</v>
      </c>
      <c r="N127" s="4" t="s">
        <v>121</v>
      </c>
    </row>
    <row r="128" spans="1:14" ht="100.2" customHeight="1" thickTop="1" thickBot="1">
      <c r="A128" s="4">
        <v>126</v>
      </c>
      <c r="B128" s="52" t="s">
        <v>2717</v>
      </c>
      <c r="C128" s="3" t="s">
        <v>26</v>
      </c>
      <c r="D128" s="3" t="s">
        <v>2689</v>
      </c>
      <c r="E128" s="4" t="s">
        <v>22</v>
      </c>
      <c r="F128" s="43" t="s">
        <v>2652</v>
      </c>
      <c r="G128" s="4" t="s">
        <v>1761</v>
      </c>
      <c r="H128" s="43" t="s">
        <v>2694</v>
      </c>
      <c r="I128" s="4"/>
      <c r="J128" s="26" t="s">
        <v>12</v>
      </c>
      <c r="K128" s="27" t="s">
        <v>13</v>
      </c>
      <c r="L128" s="2" t="s">
        <v>2718</v>
      </c>
      <c r="M128" s="24"/>
      <c r="N128" s="4" t="s">
        <v>121</v>
      </c>
    </row>
    <row r="129" spans="1:14" ht="100.2" customHeight="1" thickTop="1" thickBot="1">
      <c r="A129" s="31">
        <v>127</v>
      </c>
      <c r="B129" s="52" t="s">
        <v>2719</v>
      </c>
      <c r="C129" s="3" t="s">
        <v>26</v>
      </c>
      <c r="D129" s="3" t="s">
        <v>2704</v>
      </c>
      <c r="E129" s="4" t="s">
        <v>22</v>
      </c>
      <c r="F129" s="43" t="s">
        <v>2666</v>
      </c>
      <c r="G129" s="4" t="s">
        <v>1761</v>
      </c>
      <c r="H129" s="43" t="s">
        <v>2720</v>
      </c>
      <c r="I129" s="4"/>
      <c r="J129" s="26" t="s">
        <v>12</v>
      </c>
      <c r="K129" s="27" t="s">
        <v>13</v>
      </c>
      <c r="L129" s="2"/>
      <c r="M129" s="24"/>
      <c r="N129" s="4" t="s">
        <v>121</v>
      </c>
    </row>
    <row r="130" spans="1:14" ht="100.2" customHeight="1" thickTop="1" thickBot="1">
      <c r="A130" s="4">
        <v>128</v>
      </c>
      <c r="B130" s="52" t="s">
        <v>2721</v>
      </c>
      <c r="C130" s="3" t="s">
        <v>26</v>
      </c>
      <c r="D130" s="3" t="s">
        <v>2704</v>
      </c>
      <c r="E130" s="4" t="s">
        <v>22</v>
      </c>
      <c r="F130" s="43" t="s">
        <v>2666</v>
      </c>
      <c r="G130" s="4" t="s">
        <v>1816</v>
      </c>
      <c r="H130" s="43" t="s">
        <v>2722</v>
      </c>
      <c r="I130" s="4"/>
      <c r="J130" s="26" t="s">
        <v>12</v>
      </c>
      <c r="K130" s="27" t="s">
        <v>13</v>
      </c>
      <c r="L130" s="2"/>
      <c r="M130" s="24"/>
      <c r="N130" s="4" t="s">
        <v>121</v>
      </c>
    </row>
    <row r="131" spans="1:14" ht="100.2" customHeight="1" thickTop="1" thickBot="1">
      <c r="A131" s="31">
        <v>129</v>
      </c>
      <c r="B131" s="52" t="s">
        <v>2723</v>
      </c>
      <c r="C131" s="3" t="s">
        <v>26</v>
      </c>
      <c r="D131" s="3" t="s">
        <v>2704</v>
      </c>
      <c r="E131" s="4" t="s">
        <v>22</v>
      </c>
      <c r="F131" s="43" t="s">
        <v>2724</v>
      </c>
      <c r="G131" s="4" t="s">
        <v>2725</v>
      </c>
      <c r="H131" s="43" t="s">
        <v>2726</v>
      </c>
      <c r="I131" s="4"/>
      <c r="J131" s="26" t="s">
        <v>12</v>
      </c>
      <c r="K131" s="27" t="s">
        <v>13</v>
      </c>
      <c r="L131" s="2" t="s">
        <v>2723</v>
      </c>
      <c r="M131" s="24"/>
      <c r="N131" s="4" t="s">
        <v>121</v>
      </c>
    </row>
    <row r="132" spans="1:14" ht="100.2" customHeight="1" thickTop="1" thickBot="1">
      <c r="A132" s="4">
        <v>130</v>
      </c>
      <c r="B132" s="52" t="s">
        <v>2727</v>
      </c>
      <c r="C132" s="3" t="s">
        <v>26</v>
      </c>
      <c r="D132" s="3" t="s">
        <v>2728</v>
      </c>
      <c r="E132" s="4" t="s">
        <v>22</v>
      </c>
      <c r="F132" s="43" t="s">
        <v>2652</v>
      </c>
      <c r="G132" s="4" t="s">
        <v>1761</v>
      </c>
      <c r="H132" s="43" t="s">
        <v>2729</v>
      </c>
      <c r="I132" s="4"/>
      <c r="J132" s="26" t="s">
        <v>12</v>
      </c>
      <c r="K132" s="27" t="s">
        <v>13</v>
      </c>
      <c r="L132" s="2" t="s">
        <v>2727</v>
      </c>
      <c r="M132" s="24"/>
      <c r="N132" s="4" t="s">
        <v>121</v>
      </c>
    </row>
    <row r="133" spans="1:14" ht="100.2" customHeight="1" thickTop="1" thickBot="1">
      <c r="A133" s="31">
        <v>131</v>
      </c>
      <c r="B133" s="52" t="s">
        <v>2730</v>
      </c>
      <c r="C133" s="3" t="s">
        <v>26</v>
      </c>
      <c r="D133" s="3" t="s">
        <v>55</v>
      </c>
      <c r="E133" s="4" t="s">
        <v>21</v>
      </c>
      <c r="F133" s="43" t="s">
        <v>2661</v>
      </c>
      <c r="G133" s="4" t="s">
        <v>1761</v>
      </c>
      <c r="H133" s="43" t="s">
        <v>2731</v>
      </c>
      <c r="I133" s="4"/>
      <c r="J133" s="26" t="s">
        <v>12</v>
      </c>
      <c r="K133" s="27" t="s">
        <v>13</v>
      </c>
      <c r="L133" s="2" t="s">
        <v>2732</v>
      </c>
      <c r="M133" s="24"/>
      <c r="N133" s="4" t="s">
        <v>121</v>
      </c>
    </row>
    <row r="134" spans="1:14" ht="100.2" customHeight="1" thickTop="1" thickBot="1">
      <c r="A134" s="4">
        <v>132</v>
      </c>
      <c r="B134" s="52" t="s">
        <v>2733</v>
      </c>
      <c r="C134" s="3" t="s">
        <v>26</v>
      </c>
      <c r="D134" s="3" t="s">
        <v>2704</v>
      </c>
      <c r="E134" s="4" t="s">
        <v>22</v>
      </c>
      <c r="F134" s="43" t="s">
        <v>2734</v>
      </c>
      <c r="G134" s="4" t="s">
        <v>2735</v>
      </c>
      <c r="H134" s="43" t="s">
        <v>2736</v>
      </c>
      <c r="I134" s="4"/>
      <c r="J134" s="26" t="s">
        <v>12</v>
      </c>
      <c r="K134" s="27" t="s">
        <v>13</v>
      </c>
      <c r="L134" s="2" t="s">
        <v>2737</v>
      </c>
      <c r="M134" s="24"/>
      <c r="N134" s="4" t="s">
        <v>121</v>
      </c>
    </row>
    <row r="135" spans="1:14" ht="100.2" customHeight="1" thickTop="1" thickBot="1">
      <c r="A135" s="31">
        <v>133</v>
      </c>
      <c r="B135" s="52" t="s">
        <v>2738</v>
      </c>
      <c r="C135" s="3" t="s">
        <v>26</v>
      </c>
      <c r="D135" s="3" t="s">
        <v>2704</v>
      </c>
      <c r="E135" s="4" t="s">
        <v>22</v>
      </c>
      <c r="F135" s="43" t="s">
        <v>2661</v>
      </c>
      <c r="G135" s="4" t="s">
        <v>1826</v>
      </c>
      <c r="H135" s="43" t="s">
        <v>2739</v>
      </c>
      <c r="I135" s="4"/>
      <c r="J135" s="26" t="s">
        <v>12</v>
      </c>
      <c r="K135" s="27" t="s">
        <v>13</v>
      </c>
      <c r="L135" s="2" t="s">
        <v>2740</v>
      </c>
      <c r="M135" s="24"/>
      <c r="N135" s="4" t="s">
        <v>121</v>
      </c>
    </row>
    <row r="136" spans="1:14" ht="100.2" customHeight="1" thickTop="1" thickBot="1">
      <c r="A136" s="4">
        <v>134</v>
      </c>
      <c r="B136" s="52" t="s">
        <v>2741</v>
      </c>
      <c r="C136" s="3" t="s">
        <v>26</v>
      </c>
      <c r="D136" s="3" t="s">
        <v>2704</v>
      </c>
      <c r="E136" s="4" t="s">
        <v>22</v>
      </c>
      <c r="F136" s="43" t="s">
        <v>2666</v>
      </c>
      <c r="G136" s="4" t="s">
        <v>1826</v>
      </c>
      <c r="H136" s="43" t="s">
        <v>2742</v>
      </c>
      <c r="I136" s="4"/>
      <c r="J136" s="26" t="s">
        <v>12</v>
      </c>
      <c r="K136" s="27" t="s">
        <v>13</v>
      </c>
      <c r="L136" s="2" t="s">
        <v>2740</v>
      </c>
      <c r="M136" s="24"/>
      <c r="N136" s="4" t="s">
        <v>121</v>
      </c>
    </row>
    <row r="137" spans="1:14" ht="100.2" customHeight="1" thickTop="1" thickBot="1">
      <c r="A137" s="31">
        <v>135</v>
      </c>
      <c r="B137" s="52" t="s">
        <v>2743</v>
      </c>
      <c r="C137" s="3" t="s">
        <v>26</v>
      </c>
      <c r="D137" s="3" t="s">
        <v>2704</v>
      </c>
      <c r="E137" s="4" t="s">
        <v>22</v>
      </c>
      <c r="F137" s="43" t="s">
        <v>2744</v>
      </c>
      <c r="G137" s="4" t="s">
        <v>213</v>
      </c>
      <c r="H137" s="43" t="s">
        <v>2745</v>
      </c>
      <c r="I137" s="4"/>
      <c r="J137" s="26" t="s">
        <v>12</v>
      </c>
      <c r="K137" s="27" t="s">
        <v>13</v>
      </c>
      <c r="L137" s="2" t="s">
        <v>2740</v>
      </c>
      <c r="M137" s="24"/>
      <c r="N137" s="4" t="s">
        <v>121</v>
      </c>
    </row>
    <row r="138" spans="1:14" ht="100.2" customHeight="1" thickTop="1" thickBot="1">
      <c r="A138" s="4">
        <v>136</v>
      </c>
      <c r="B138" s="52" t="s">
        <v>2746</v>
      </c>
      <c r="C138" s="3" t="s">
        <v>26</v>
      </c>
      <c r="D138" s="3" t="s">
        <v>2704</v>
      </c>
      <c r="E138" s="4" t="s">
        <v>22</v>
      </c>
      <c r="F138" s="43" t="s">
        <v>2747</v>
      </c>
      <c r="G138" s="4" t="s">
        <v>1826</v>
      </c>
      <c r="H138" s="43" t="s">
        <v>2748</v>
      </c>
      <c r="I138" s="4"/>
      <c r="J138" s="26" t="s">
        <v>12</v>
      </c>
      <c r="K138" s="27" t="s">
        <v>13</v>
      </c>
      <c r="L138" s="2" t="s">
        <v>2740</v>
      </c>
      <c r="M138" s="24"/>
      <c r="N138" s="4" t="s">
        <v>121</v>
      </c>
    </row>
    <row r="139" spans="1:14" ht="100.2" customHeight="1" thickTop="1" thickBot="1">
      <c r="A139" s="31">
        <v>137</v>
      </c>
      <c r="B139" s="52" t="s">
        <v>2749</v>
      </c>
      <c r="C139" s="3" t="s">
        <v>26</v>
      </c>
      <c r="D139" s="3" t="s">
        <v>2704</v>
      </c>
      <c r="E139" s="4" t="s">
        <v>22</v>
      </c>
      <c r="F139" s="43" t="s">
        <v>2652</v>
      </c>
      <c r="G139" s="4" t="s">
        <v>1816</v>
      </c>
      <c r="H139" s="43" t="s">
        <v>2750</v>
      </c>
      <c r="I139" s="4"/>
      <c r="J139" s="26" t="s">
        <v>12</v>
      </c>
      <c r="K139" s="27" t="s">
        <v>13</v>
      </c>
      <c r="L139" s="2" t="s">
        <v>2740</v>
      </c>
      <c r="M139" s="24"/>
      <c r="N139" s="4" t="s">
        <v>121</v>
      </c>
    </row>
    <row r="140" spans="1:14" ht="100.2" customHeight="1" thickTop="1" thickBot="1">
      <c r="A140" s="4">
        <v>138</v>
      </c>
      <c r="B140" s="52" t="s">
        <v>2751</v>
      </c>
      <c r="C140" s="3" t="s">
        <v>26</v>
      </c>
      <c r="D140" s="3" t="s">
        <v>2728</v>
      </c>
      <c r="E140" s="4" t="s">
        <v>22</v>
      </c>
      <c r="F140" s="43" t="s">
        <v>2652</v>
      </c>
      <c r="G140" s="4" t="s">
        <v>1826</v>
      </c>
      <c r="H140" s="43" t="s">
        <v>2752</v>
      </c>
      <c r="I140" s="4"/>
      <c r="J140" s="26" t="s">
        <v>12</v>
      </c>
      <c r="K140" s="27" t="s">
        <v>13</v>
      </c>
      <c r="L140" s="2" t="s">
        <v>2753</v>
      </c>
      <c r="M140" s="24"/>
      <c r="N140" s="4" t="s">
        <v>121</v>
      </c>
    </row>
    <row r="141" spans="1:14" ht="100.2" customHeight="1" thickTop="1" thickBot="1">
      <c r="A141" s="31">
        <v>139</v>
      </c>
      <c r="B141" s="52" t="s">
        <v>2754</v>
      </c>
      <c r="C141" s="3" t="s">
        <v>26</v>
      </c>
      <c r="D141" s="3" t="s">
        <v>2728</v>
      </c>
      <c r="E141" s="4" t="s">
        <v>22</v>
      </c>
      <c r="F141" s="43" t="s">
        <v>2666</v>
      </c>
      <c r="G141" s="4" t="s">
        <v>1826</v>
      </c>
      <c r="H141" s="43" t="s">
        <v>2755</v>
      </c>
      <c r="I141" s="4"/>
      <c r="J141" s="26" t="s">
        <v>12</v>
      </c>
      <c r="K141" s="27" t="s">
        <v>13</v>
      </c>
      <c r="L141" s="2" t="s">
        <v>2754</v>
      </c>
      <c r="M141" s="24"/>
      <c r="N141" s="4" t="s">
        <v>121</v>
      </c>
    </row>
    <row r="142" spans="1:14" ht="100.2" customHeight="1" thickTop="1" thickBot="1">
      <c r="A142" s="4">
        <v>140</v>
      </c>
      <c r="B142" s="52" t="s">
        <v>2756</v>
      </c>
      <c r="C142" s="3" t="s">
        <v>26</v>
      </c>
      <c r="D142" s="3" t="s">
        <v>2728</v>
      </c>
      <c r="E142" s="4" t="s">
        <v>22</v>
      </c>
      <c r="F142" s="43" t="s">
        <v>2747</v>
      </c>
      <c r="G142" s="4" t="s">
        <v>2757</v>
      </c>
      <c r="H142" s="43" t="s">
        <v>2758</v>
      </c>
      <c r="I142" s="4"/>
      <c r="J142" s="26" t="s">
        <v>12</v>
      </c>
      <c r="K142" s="27" t="s">
        <v>13</v>
      </c>
      <c r="L142" s="2" t="s">
        <v>2362</v>
      </c>
      <c r="M142" s="24"/>
      <c r="N142" s="4" t="s">
        <v>121</v>
      </c>
    </row>
    <row r="143" spans="1:14" ht="100.2" customHeight="1" thickTop="1" thickBot="1">
      <c r="A143" s="31">
        <v>141</v>
      </c>
      <c r="B143" s="52" t="s">
        <v>2759</v>
      </c>
      <c r="C143" s="3" t="s">
        <v>26</v>
      </c>
      <c r="D143" s="3" t="s">
        <v>2728</v>
      </c>
      <c r="E143" s="4" t="s">
        <v>22</v>
      </c>
      <c r="F143" s="43" t="s">
        <v>2679</v>
      </c>
      <c r="G143" s="4" t="s">
        <v>1826</v>
      </c>
      <c r="H143" s="43" t="s">
        <v>2760</v>
      </c>
      <c r="I143" s="4"/>
      <c r="J143" s="26" t="s">
        <v>12</v>
      </c>
      <c r="K143" s="27" t="s">
        <v>13</v>
      </c>
      <c r="L143" s="2" t="s">
        <v>2761</v>
      </c>
      <c r="M143" s="24"/>
      <c r="N143" s="4" t="s">
        <v>121</v>
      </c>
    </row>
    <row r="144" spans="1:14" ht="100.2" customHeight="1" thickTop="1" thickBot="1">
      <c r="A144" s="4">
        <v>142</v>
      </c>
      <c r="B144" s="52" t="s">
        <v>2762</v>
      </c>
      <c r="C144" s="3" t="s">
        <v>26</v>
      </c>
      <c r="D144" s="3" t="s">
        <v>2728</v>
      </c>
      <c r="E144" s="4" t="s">
        <v>22</v>
      </c>
      <c r="F144" s="43" t="s">
        <v>2679</v>
      </c>
      <c r="G144" s="4" t="s">
        <v>1826</v>
      </c>
      <c r="H144" s="43" t="s">
        <v>2763</v>
      </c>
      <c r="I144" s="4"/>
      <c r="J144" s="26" t="s">
        <v>12</v>
      </c>
      <c r="K144" s="27" t="s">
        <v>13</v>
      </c>
      <c r="L144" s="2" t="s">
        <v>2761</v>
      </c>
      <c r="M144" s="24"/>
      <c r="N144" s="4" t="s">
        <v>121</v>
      </c>
    </row>
    <row r="145" spans="1:14" ht="100.2" customHeight="1" thickTop="1" thickBot="1">
      <c r="A145" s="31">
        <v>143</v>
      </c>
      <c r="B145" s="52" t="s">
        <v>2411</v>
      </c>
      <c r="C145" s="3" t="s">
        <v>26</v>
      </c>
      <c r="D145" s="3" t="s">
        <v>2728</v>
      </c>
      <c r="E145" s="4" t="s">
        <v>22</v>
      </c>
      <c r="F145" s="43" t="s">
        <v>2666</v>
      </c>
      <c r="G145" s="4" t="s">
        <v>2201</v>
      </c>
      <c r="H145" s="43" t="s">
        <v>2764</v>
      </c>
      <c r="I145" s="4"/>
      <c r="J145" s="26" t="s">
        <v>12</v>
      </c>
      <c r="K145" s="27" t="s">
        <v>13</v>
      </c>
      <c r="L145" s="2" t="s">
        <v>2765</v>
      </c>
      <c r="M145" s="24"/>
      <c r="N145" s="4" t="s">
        <v>121</v>
      </c>
    </row>
    <row r="146" spans="1:14" ht="100.2" customHeight="1" thickTop="1" thickBot="1">
      <c r="A146" s="4">
        <v>144</v>
      </c>
      <c r="B146" s="52" t="s">
        <v>2766</v>
      </c>
      <c r="C146" s="3" t="s">
        <v>26</v>
      </c>
      <c r="D146" s="3" t="s">
        <v>2728</v>
      </c>
      <c r="E146" s="4" t="s">
        <v>22</v>
      </c>
      <c r="F146" s="43" t="s">
        <v>2666</v>
      </c>
      <c r="G146" s="4" t="s">
        <v>1826</v>
      </c>
      <c r="H146" s="43" t="s">
        <v>2767</v>
      </c>
      <c r="I146" s="4"/>
      <c r="J146" s="26" t="s">
        <v>12</v>
      </c>
      <c r="K146" s="27" t="s">
        <v>13</v>
      </c>
      <c r="L146" s="2" t="s">
        <v>2768</v>
      </c>
      <c r="M146" s="24"/>
      <c r="N146" s="4" t="s">
        <v>122</v>
      </c>
    </row>
    <row r="147" spans="1:14" ht="100.2" customHeight="1" thickTop="1" thickBot="1">
      <c r="A147" s="31">
        <v>145</v>
      </c>
      <c r="B147" s="52" t="s">
        <v>2769</v>
      </c>
      <c r="C147" s="3" t="s">
        <v>26</v>
      </c>
      <c r="D147" s="3" t="s">
        <v>2728</v>
      </c>
      <c r="E147" s="4" t="s">
        <v>22</v>
      </c>
      <c r="F147" s="43" t="s">
        <v>2652</v>
      </c>
      <c r="G147" s="4" t="s">
        <v>1761</v>
      </c>
      <c r="H147" s="43" t="s">
        <v>2770</v>
      </c>
      <c r="I147" s="4"/>
      <c r="J147" s="26" t="s">
        <v>12</v>
      </c>
      <c r="K147" s="27" t="s">
        <v>13</v>
      </c>
      <c r="L147" s="2" t="s">
        <v>2768</v>
      </c>
      <c r="M147" s="24"/>
      <c r="N147" s="4" t="s">
        <v>121</v>
      </c>
    </row>
    <row r="148" spans="1:14" ht="100.2" customHeight="1" thickTop="1" thickBot="1">
      <c r="A148" s="4">
        <v>146</v>
      </c>
      <c r="B148" s="52" t="s">
        <v>2771</v>
      </c>
      <c r="C148" s="3" t="s">
        <v>26</v>
      </c>
      <c r="D148" s="3" t="s">
        <v>1635</v>
      </c>
      <c r="E148" s="4" t="s">
        <v>21</v>
      </c>
      <c r="F148" s="43" t="s">
        <v>2661</v>
      </c>
      <c r="G148" s="4" t="s">
        <v>1761</v>
      </c>
      <c r="H148" s="43" t="s">
        <v>2772</v>
      </c>
      <c r="I148" s="4"/>
      <c r="J148" s="26" t="s">
        <v>12</v>
      </c>
      <c r="K148" s="27" t="s">
        <v>13</v>
      </c>
      <c r="L148" s="2" t="s">
        <v>2773</v>
      </c>
      <c r="M148" s="24"/>
      <c r="N148" s="4" t="s">
        <v>121</v>
      </c>
    </row>
    <row r="149" spans="1:14" ht="100.2" customHeight="1" thickTop="1" thickBot="1">
      <c r="A149" s="31">
        <v>147</v>
      </c>
      <c r="B149" s="52" t="s">
        <v>2774</v>
      </c>
      <c r="C149" s="3" t="s">
        <v>26</v>
      </c>
      <c r="D149" s="3" t="s">
        <v>2728</v>
      </c>
      <c r="E149" s="4" t="s">
        <v>22</v>
      </c>
      <c r="F149" s="43" t="s">
        <v>2661</v>
      </c>
      <c r="G149" s="4" t="s">
        <v>1761</v>
      </c>
      <c r="H149" s="43" t="s">
        <v>2775</v>
      </c>
      <c r="I149" s="4"/>
      <c r="J149" s="26" t="s">
        <v>12</v>
      </c>
      <c r="K149" s="27" t="s">
        <v>13</v>
      </c>
      <c r="L149" s="2" t="s">
        <v>2774</v>
      </c>
      <c r="M149" s="24"/>
      <c r="N149" s="4" t="s">
        <v>121</v>
      </c>
    </row>
    <row r="150" spans="1:14" ht="100.2" customHeight="1" thickTop="1" thickBot="1">
      <c r="A150" s="4">
        <v>148</v>
      </c>
      <c r="B150" s="52" t="s">
        <v>2776</v>
      </c>
      <c r="C150" s="3" t="s">
        <v>26</v>
      </c>
      <c r="D150" s="3" t="s">
        <v>2728</v>
      </c>
      <c r="E150" s="4" t="s">
        <v>22</v>
      </c>
      <c r="F150" s="43" t="s">
        <v>2777</v>
      </c>
      <c r="G150" s="4" t="s">
        <v>1761</v>
      </c>
      <c r="H150" s="43" t="s">
        <v>2778</v>
      </c>
      <c r="I150" s="4"/>
      <c r="J150" s="26" t="s">
        <v>12</v>
      </c>
      <c r="K150" s="27" t="s">
        <v>13</v>
      </c>
      <c r="L150" s="2" t="s">
        <v>2776</v>
      </c>
      <c r="M150" s="24"/>
      <c r="N150" s="4" t="s">
        <v>121</v>
      </c>
    </row>
    <row r="151" spans="1:14" ht="100.2" customHeight="1" thickTop="1" thickBot="1">
      <c r="A151" s="31">
        <v>149</v>
      </c>
      <c r="B151" s="52" t="s">
        <v>2779</v>
      </c>
      <c r="C151" s="3" t="s">
        <v>26</v>
      </c>
      <c r="D151" s="3" t="s">
        <v>2728</v>
      </c>
      <c r="E151" s="4" t="s">
        <v>22</v>
      </c>
      <c r="F151" s="43" t="s">
        <v>2666</v>
      </c>
      <c r="G151" s="4" t="s">
        <v>2201</v>
      </c>
      <c r="H151" s="43" t="s">
        <v>2780</v>
      </c>
      <c r="I151" s="4"/>
      <c r="J151" s="26" t="s">
        <v>12</v>
      </c>
      <c r="K151" s="27" t="s">
        <v>13</v>
      </c>
      <c r="L151" s="2" t="s">
        <v>2779</v>
      </c>
      <c r="M151" s="24"/>
      <c r="N151" s="4" t="s">
        <v>121</v>
      </c>
    </row>
    <row r="152" spans="1:14" ht="100.2" customHeight="1" thickTop="1" thickBot="1">
      <c r="A152" s="4">
        <v>150</v>
      </c>
      <c r="B152" s="52" t="s">
        <v>2781</v>
      </c>
      <c r="C152" s="3" t="s">
        <v>26</v>
      </c>
      <c r="D152" s="3" t="s">
        <v>2728</v>
      </c>
      <c r="E152" s="4" t="s">
        <v>22</v>
      </c>
      <c r="F152" s="43" t="s">
        <v>2666</v>
      </c>
      <c r="G152" s="4" t="s">
        <v>1761</v>
      </c>
      <c r="H152" s="43" t="s">
        <v>2782</v>
      </c>
      <c r="I152" s="4"/>
      <c r="J152" s="26" t="s">
        <v>12</v>
      </c>
      <c r="K152" s="27" t="s">
        <v>13</v>
      </c>
      <c r="L152" s="2" t="s">
        <v>2781</v>
      </c>
      <c r="M152" s="24"/>
      <c r="N152" s="4" t="s">
        <v>121</v>
      </c>
    </row>
    <row r="153" spans="1:14" ht="100.2" customHeight="1" thickTop="1" thickBot="1">
      <c r="A153" s="31">
        <v>151</v>
      </c>
      <c r="B153" s="52" t="s">
        <v>2783</v>
      </c>
      <c r="C153" s="3" t="s">
        <v>26</v>
      </c>
      <c r="D153" s="3" t="s">
        <v>2728</v>
      </c>
      <c r="E153" s="4" t="s">
        <v>22</v>
      </c>
      <c r="F153" s="43" t="s">
        <v>2666</v>
      </c>
      <c r="G153" s="4" t="s">
        <v>1761</v>
      </c>
      <c r="H153" s="43" t="s">
        <v>2784</v>
      </c>
      <c r="I153" s="4"/>
      <c r="J153" s="26" t="s">
        <v>12</v>
      </c>
      <c r="K153" s="27" t="s">
        <v>13</v>
      </c>
      <c r="L153" s="2" t="s">
        <v>2783</v>
      </c>
      <c r="M153" s="24"/>
      <c r="N153" s="4" t="s">
        <v>121</v>
      </c>
    </row>
    <row r="154" spans="1:14" ht="100.2" customHeight="1" thickTop="1" thickBot="1">
      <c r="A154" s="4">
        <v>152</v>
      </c>
      <c r="B154" s="52" t="s">
        <v>2785</v>
      </c>
      <c r="C154" s="3" t="s">
        <v>26</v>
      </c>
      <c r="D154" s="3" t="s">
        <v>2728</v>
      </c>
      <c r="E154" s="4" t="s">
        <v>22</v>
      </c>
      <c r="F154" s="43" t="s">
        <v>2661</v>
      </c>
      <c r="G154" s="4" t="s">
        <v>369</v>
      </c>
      <c r="H154" s="43" t="s">
        <v>2786</v>
      </c>
      <c r="I154" s="4"/>
      <c r="J154" s="26" t="s">
        <v>12</v>
      </c>
      <c r="K154" s="27" t="s">
        <v>13</v>
      </c>
      <c r="L154" s="2" t="s">
        <v>2785</v>
      </c>
      <c r="M154" s="24"/>
      <c r="N154" s="4"/>
    </row>
    <row r="155" spans="1:14" ht="100.2" customHeight="1" thickTop="1" thickBot="1">
      <c r="A155" s="31">
        <v>153</v>
      </c>
      <c r="B155" s="52" t="s">
        <v>2787</v>
      </c>
      <c r="C155" s="3" t="s">
        <v>26</v>
      </c>
      <c r="D155" s="3" t="s">
        <v>2728</v>
      </c>
      <c r="E155" s="4" t="s">
        <v>22</v>
      </c>
      <c r="F155" s="43" t="s">
        <v>2666</v>
      </c>
      <c r="G155" s="4" t="s">
        <v>1826</v>
      </c>
      <c r="H155" s="43" t="s">
        <v>2788</v>
      </c>
      <c r="I155" s="4"/>
      <c r="J155" s="26" t="s">
        <v>12</v>
      </c>
      <c r="K155" s="27" t="s">
        <v>13</v>
      </c>
      <c r="L155" s="2" t="s">
        <v>2787</v>
      </c>
      <c r="M155" s="24"/>
      <c r="N155" s="4"/>
    </row>
    <row r="156" spans="1:14" ht="100.2" customHeight="1" thickTop="1" thickBot="1">
      <c r="A156" s="4">
        <v>154</v>
      </c>
      <c r="B156" s="52" t="s">
        <v>2789</v>
      </c>
      <c r="C156" s="3" t="s">
        <v>26</v>
      </c>
      <c r="D156" s="3" t="s">
        <v>2728</v>
      </c>
      <c r="E156" s="4" t="s">
        <v>22</v>
      </c>
      <c r="F156" s="43" t="s">
        <v>2679</v>
      </c>
      <c r="G156" s="4" t="s">
        <v>1761</v>
      </c>
      <c r="H156" s="43" t="s">
        <v>2790</v>
      </c>
      <c r="I156" s="4"/>
      <c r="J156" s="26" t="s">
        <v>12</v>
      </c>
      <c r="K156" s="27" t="s">
        <v>13</v>
      </c>
      <c r="L156" s="2" t="s">
        <v>2789</v>
      </c>
      <c r="M156" s="24"/>
      <c r="N156" s="4"/>
    </row>
    <row r="157" spans="1:14" ht="100.2" customHeight="1" thickTop="1" thickBot="1">
      <c r="A157" s="31">
        <v>155</v>
      </c>
      <c r="B157" s="52" t="s">
        <v>2791</v>
      </c>
      <c r="C157" s="3" t="s">
        <v>26</v>
      </c>
      <c r="D157" s="3" t="s">
        <v>2728</v>
      </c>
      <c r="E157" s="4" t="s">
        <v>22</v>
      </c>
      <c r="F157" s="43" t="s">
        <v>2652</v>
      </c>
      <c r="G157" s="4" t="s">
        <v>1761</v>
      </c>
      <c r="H157" s="43" t="s">
        <v>2792</v>
      </c>
      <c r="I157" s="4"/>
      <c r="J157" s="26" t="s">
        <v>12</v>
      </c>
      <c r="K157" s="27" t="s">
        <v>13</v>
      </c>
      <c r="L157" s="2" t="s">
        <v>2793</v>
      </c>
      <c r="M157" s="24"/>
      <c r="N157" s="4"/>
    </row>
    <row r="158" spans="1:14" ht="100.2" customHeight="1" thickTop="1" thickBot="1">
      <c r="A158" s="4">
        <v>156</v>
      </c>
      <c r="B158" s="52" t="s">
        <v>2793</v>
      </c>
      <c r="C158" s="3" t="s">
        <v>26</v>
      </c>
      <c r="D158" s="3" t="s">
        <v>2728</v>
      </c>
      <c r="E158" s="4" t="s">
        <v>22</v>
      </c>
      <c r="F158" s="43" t="s">
        <v>2661</v>
      </c>
      <c r="G158" s="4" t="s">
        <v>2794</v>
      </c>
      <c r="H158" s="43" t="s">
        <v>2795</v>
      </c>
      <c r="I158" s="4"/>
      <c r="J158" s="26" t="s">
        <v>12</v>
      </c>
      <c r="K158" s="27" t="s">
        <v>13</v>
      </c>
      <c r="L158" s="2" t="s">
        <v>2796</v>
      </c>
      <c r="M158" s="24"/>
      <c r="N158" s="4"/>
    </row>
    <row r="159" spans="1:14" ht="100.2" customHeight="1" thickTop="1" thickBot="1">
      <c r="A159" s="31">
        <v>157</v>
      </c>
      <c r="B159" s="52" t="s">
        <v>2584</v>
      </c>
      <c r="C159" s="3" t="s">
        <v>26</v>
      </c>
      <c r="D159" s="3" t="s">
        <v>2728</v>
      </c>
      <c r="E159" s="4" t="s">
        <v>22</v>
      </c>
      <c r="F159" s="43" t="s">
        <v>2797</v>
      </c>
      <c r="G159" s="4" t="s">
        <v>1826</v>
      </c>
      <c r="H159" s="43" t="s">
        <v>2798</v>
      </c>
      <c r="I159" s="4"/>
      <c r="J159" s="26" t="s">
        <v>12</v>
      </c>
      <c r="K159" s="27" t="s">
        <v>13</v>
      </c>
      <c r="L159" s="2" t="s">
        <v>2584</v>
      </c>
      <c r="M159" s="24"/>
      <c r="N159" s="4"/>
    </row>
    <row r="160" spans="1:14" ht="100.2" customHeight="1" thickTop="1" thickBot="1">
      <c r="A160" s="4">
        <v>158</v>
      </c>
      <c r="B160" s="52" t="s">
        <v>2799</v>
      </c>
      <c r="C160" s="3" t="s">
        <v>26</v>
      </c>
      <c r="D160" s="3" t="s">
        <v>2728</v>
      </c>
      <c r="E160" s="4" t="s">
        <v>22</v>
      </c>
      <c r="F160" s="43" t="s">
        <v>2666</v>
      </c>
      <c r="G160" s="4" t="s">
        <v>2201</v>
      </c>
      <c r="H160" s="43" t="s">
        <v>2800</v>
      </c>
      <c r="I160" s="4"/>
      <c r="J160" s="26" t="s">
        <v>12</v>
      </c>
      <c r="K160" s="27" t="s">
        <v>13</v>
      </c>
      <c r="L160" s="2" t="s">
        <v>2801</v>
      </c>
      <c r="M160" s="24"/>
      <c r="N160" s="4"/>
    </row>
    <row r="161" spans="1:14" ht="100.2" customHeight="1" thickTop="1" thickBot="1">
      <c r="A161" s="31">
        <v>159</v>
      </c>
      <c r="B161" s="52" t="s">
        <v>2802</v>
      </c>
      <c r="C161" s="3" t="s">
        <v>26</v>
      </c>
      <c r="D161" s="3" t="s">
        <v>2728</v>
      </c>
      <c r="E161" s="4" t="s">
        <v>22</v>
      </c>
      <c r="F161" s="43" t="s">
        <v>2652</v>
      </c>
      <c r="G161" s="4" t="s">
        <v>2803</v>
      </c>
      <c r="H161" s="43" t="s">
        <v>2804</v>
      </c>
      <c r="I161" s="4"/>
      <c r="J161" s="26" t="s">
        <v>12</v>
      </c>
      <c r="K161" s="27" t="s">
        <v>13</v>
      </c>
      <c r="L161" s="2" t="s">
        <v>2805</v>
      </c>
      <c r="M161" s="24"/>
      <c r="N161" s="4"/>
    </row>
    <row r="162" spans="1:14" ht="100.2" customHeight="1" thickTop="1" thickBot="1">
      <c r="A162" s="4">
        <v>160</v>
      </c>
      <c r="B162" s="52" t="s">
        <v>2806</v>
      </c>
      <c r="C162" s="3" t="s">
        <v>26</v>
      </c>
      <c r="D162" s="3" t="s">
        <v>2728</v>
      </c>
      <c r="E162" s="4" t="s">
        <v>22</v>
      </c>
      <c r="F162" s="43" t="s">
        <v>2666</v>
      </c>
      <c r="G162" s="4" t="s">
        <v>1826</v>
      </c>
      <c r="H162" s="43" t="s">
        <v>2807</v>
      </c>
      <c r="I162" s="4"/>
      <c r="J162" s="26" t="s">
        <v>12</v>
      </c>
      <c r="K162" s="27" t="s">
        <v>13</v>
      </c>
      <c r="L162" s="2" t="s">
        <v>2808</v>
      </c>
      <c r="M162" s="24"/>
      <c r="N162" s="4"/>
    </row>
    <row r="163" spans="1:14" ht="100.2" customHeight="1" thickTop="1" thickBot="1">
      <c r="A163" s="31">
        <v>161</v>
      </c>
      <c r="B163" s="52" t="s">
        <v>2809</v>
      </c>
      <c r="C163" s="3" t="s">
        <v>26</v>
      </c>
      <c r="D163" s="3" t="s">
        <v>2728</v>
      </c>
      <c r="E163" s="4" t="s">
        <v>22</v>
      </c>
      <c r="F163" s="43" t="s">
        <v>2797</v>
      </c>
      <c r="G163" s="4" t="s">
        <v>1826</v>
      </c>
      <c r="H163" s="43" t="s">
        <v>2810</v>
      </c>
      <c r="I163" s="4"/>
      <c r="J163" s="26" t="s">
        <v>12</v>
      </c>
      <c r="K163" s="27" t="s">
        <v>13</v>
      </c>
      <c r="L163" s="2" t="s">
        <v>2809</v>
      </c>
      <c r="M163" s="24"/>
      <c r="N163" s="4"/>
    </row>
    <row r="164" spans="1:14" ht="100.2" customHeight="1" thickTop="1" thickBot="1">
      <c r="A164" s="4">
        <v>162</v>
      </c>
      <c r="B164" s="52" t="s">
        <v>2811</v>
      </c>
      <c r="C164" s="3" t="s">
        <v>26</v>
      </c>
      <c r="D164" s="3" t="s">
        <v>2728</v>
      </c>
      <c r="E164" s="4" t="s">
        <v>22</v>
      </c>
      <c r="F164" s="43" t="s">
        <v>2679</v>
      </c>
      <c r="G164" s="4" t="s">
        <v>1826</v>
      </c>
      <c r="H164" s="43" t="s">
        <v>2812</v>
      </c>
      <c r="I164" s="4"/>
      <c r="J164" s="26" t="s">
        <v>12</v>
      </c>
      <c r="K164" s="27" t="s">
        <v>13</v>
      </c>
      <c r="L164" s="2" t="s">
        <v>2811</v>
      </c>
      <c r="M164" s="24"/>
      <c r="N164" s="4"/>
    </row>
    <row r="165" spans="1:14" ht="100.2" customHeight="1" thickTop="1" thickBot="1">
      <c r="A165" s="31">
        <v>163</v>
      </c>
      <c r="B165" s="52" t="s">
        <v>2813</v>
      </c>
      <c r="C165" s="3" t="s">
        <v>26</v>
      </c>
      <c r="D165" s="3" t="s">
        <v>2728</v>
      </c>
      <c r="E165" s="4" t="s">
        <v>22</v>
      </c>
      <c r="F165" s="43" t="s">
        <v>2661</v>
      </c>
      <c r="G165" s="4" t="s">
        <v>2201</v>
      </c>
      <c r="H165" s="43" t="s">
        <v>2814</v>
      </c>
      <c r="I165" s="4"/>
      <c r="J165" s="26" t="s">
        <v>12</v>
      </c>
      <c r="K165" s="27" t="s">
        <v>13</v>
      </c>
      <c r="L165" s="2" t="s">
        <v>2815</v>
      </c>
      <c r="M165" s="24"/>
      <c r="N165" s="4"/>
    </row>
    <row r="166" spans="1:14" ht="100.2" customHeight="1" thickTop="1" thickBot="1">
      <c r="A166" s="4">
        <v>164</v>
      </c>
      <c r="B166" s="52" t="s">
        <v>2815</v>
      </c>
      <c r="C166" s="3" t="s">
        <v>26</v>
      </c>
      <c r="D166" s="3" t="s">
        <v>2728</v>
      </c>
      <c r="E166" s="4" t="s">
        <v>22</v>
      </c>
      <c r="F166" s="43" t="s">
        <v>2661</v>
      </c>
      <c r="G166" s="4" t="s">
        <v>1761</v>
      </c>
      <c r="H166" s="43" t="s">
        <v>2816</v>
      </c>
      <c r="I166" s="4"/>
      <c r="J166" s="26" t="s">
        <v>12</v>
      </c>
      <c r="K166" s="27" t="s">
        <v>13</v>
      </c>
      <c r="L166" s="2" t="s">
        <v>2815</v>
      </c>
      <c r="M166" s="24"/>
      <c r="N166" s="4"/>
    </row>
    <row r="167" spans="1:14" ht="100.2" customHeight="1" thickTop="1" thickBot="1">
      <c r="A167" s="31">
        <v>165</v>
      </c>
      <c r="B167" s="52" t="s">
        <v>2817</v>
      </c>
      <c r="C167" s="3" t="s">
        <v>26</v>
      </c>
      <c r="D167" s="3" t="s">
        <v>2728</v>
      </c>
      <c r="E167" s="4" t="s">
        <v>22</v>
      </c>
      <c r="F167" s="43" t="s">
        <v>2679</v>
      </c>
      <c r="G167" s="4" t="s">
        <v>2818</v>
      </c>
      <c r="H167" s="43" t="s">
        <v>2819</v>
      </c>
      <c r="I167" s="4"/>
      <c r="J167" s="26" t="s">
        <v>12</v>
      </c>
      <c r="K167" s="27" t="s">
        <v>13</v>
      </c>
      <c r="L167" s="2" t="s">
        <v>2817</v>
      </c>
      <c r="M167" s="24"/>
      <c r="N167" s="4"/>
    </row>
    <row r="168" spans="1:14" ht="100.2" customHeight="1" thickTop="1" thickBot="1">
      <c r="A168" s="4">
        <v>166</v>
      </c>
      <c r="B168" s="52" t="s">
        <v>2820</v>
      </c>
      <c r="C168" s="3" t="s">
        <v>26</v>
      </c>
      <c r="D168" s="3" t="s">
        <v>2728</v>
      </c>
      <c r="E168" s="4" t="s">
        <v>22</v>
      </c>
      <c r="F168" s="43" t="s">
        <v>2679</v>
      </c>
      <c r="G168" s="4" t="s">
        <v>1761</v>
      </c>
      <c r="H168" s="43" t="s">
        <v>2821</v>
      </c>
      <c r="I168" s="4"/>
      <c r="J168" s="26" t="s">
        <v>12</v>
      </c>
      <c r="K168" s="27" t="s">
        <v>13</v>
      </c>
      <c r="L168" s="2" t="s">
        <v>2820</v>
      </c>
      <c r="M168" s="24"/>
      <c r="N168" s="4"/>
    </row>
    <row r="169" spans="1:14" ht="100.2" customHeight="1" thickTop="1" thickBot="1">
      <c r="A169" s="31">
        <v>167</v>
      </c>
      <c r="B169" s="52" t="s">
        <v>2822</v>
      </c>
      <c r="C169" s="3" t="s">
        <v>26</v>
      </c>
      <c r="D169" s="3" t="s">
        <v>1635</v>
      </c>
      <c r="E169" s="4" t="s">
        <v>21</v>
      </c>
      <c r="F169" s="43" t="s">
        <v>2747</v>
      </c>
      <c r="G169" s="4" t="s">
        <v>1826</v>
      </c>
      <c r="H169" s="43" t="s">
        <v>2823</v>
      </c>
      <c r="I169" s="4"/>
      <c r="J169" s="26" t="s">
        <v>16</v>
      </c>
      <c r="K169" s="27" t="s">
        <v>13</v>
      </c>
      <c r="L169" s="2" t="s">
        <v>2824</v>
      </c>
      <c r="M169" s="24" t="s">
        <v>2825</v>
      </c>
      <c r="N169" s="4"/>
    </row>
    <row r="170" spans="1:14" ht="100.2" customHeight="1" thickTop="1" thickBot="1">
      <c r="A170" s="4">
        <v>168</v>
      </c>
      <c r="B170" s="52" t="s">
        <v>2826</v>
      </c>
      <c r="C170" s="3" t="s">
        <v>26</v>
      </c>
      <c r="D170" s="3" t="s">
        <v>2827</v>
      </c>
      <c r="E170" s="4" t="s">
        <v>21</v>
      </c>
      <c r="F170" s="43" t="s">
        <v>2652</v>
      </c>
      <c r="G170" s="4" t="s">
        <v>1761</v>
      </c>
      <c r="H170" s="43" t="s">
        <v>2828</v>
      </c>
      <c r="I170" s="4"/>
      <c r="J170" s="26" t="s">
        <v>16</v>
      </c>
      <c r="K170" s="27" t="s">
        <v>13</v>
      </c>
      <c r="L170" s="2" t="s">
        <v>2829</v>
      </c>
      <c r="M170" s="24" t="s">
        <v>2830</v>
      </c>
      <c r="N170" s="4"/>
    </row>
    <row r="171" spans="1:14" ht="100.2" customHeight="1" thickTop="1" thickBot="1">
      <c r="A171" s="31">
        <v>169</v>
      </c>
      <c r="B171" s="52" t="s">
        <v>2831</v>
      </c>
      <c r="C171" s="3" t="s">
        <v>26</v>
      </c>
      <c r="D171" s="3" t="s">
        <v>2832</v>
      </c>
      <c r="E171" s="4" t="s">
        <v>21</v>
      </c>
      <c r="F171" s="43" t="s">
        <v>2652</v>
      </c>
      <c r="G171" s="4" t="s">
        <v>2250</v>
      </c>
      <c r="H171" s="43" t="s">
        <v>2833</v>
      </c>
      <c r="I171" s="4"/>
      <c r="J171" s="26" t="s">
        <v>16</v>
      </c>
      <c r="K171" s="27" t="s">
        <v>13</v>
      </c>
      <c r="L171" s="2" t="s">
        <v>2834</v>
      </c>
      <c r="M171" s="24"/>
      <c r="N171" s="4"/>
    </row>
    <row r="172" spans="1:14" ht="100.2" customHeight="1" thickTop="1" thickBot="1">
      <c r="A172" s="4">
        <v>170</v>
      </c>
      <c r="B172" s="52" t="s">
        <v>2835</v>
      </c>
      <c r="C172" s="3" t="s">
        <v>26</v>
      </c>
      <c r="D172" s="3" t="s">
        <v>1710</v>
      </c>
      <c r="E172" s="4" t="s">
        <v>22</v>
      </c>
      <c r="F172" s="43" t="s">
        <v>2652</v>
      </c>
      <c r="G172" s="4" t="s">
        <v>1826</v>
      </c>
      <c r="H172" s="43" t="s">
        <v>2836</v>
      </c>
      <c r="I172" s="4"/>
      <c r="J172" s="26" t="s">
        <v>16</v>
      </c>
      <c r="K172" s="27" t="s">
        <v>13</v>
      </c>
      <c r="L172" s="2" t="s">
        <v>2837</v>
      </c>
      <c r="M172" s="24" t="s">
        <v>2659</v>
      </c>
      <c r="N172" s="4"/>
    </row>
    <row r="173" spans="1:14" ht="100.2" customHeight="1" thickTop="1" thickBot="1">
      <c r="A173" s="31">
        <v>171</v>
      </c>
      <c r="B173" s="52" t="s">
        <v>2838</v>
      </c>
      <c r="C173" s="3" t="s">
        <v>26</v>
      </c>
      <c r="D173" s="3" t="s">
        <v>2839</v>
      </c>
      <c r="E173" s="4" t="s">
        <v>21</v>
      </c>
      <c r="F173" s="43" t="s">
        <v>2666</v>
      </c>
      <c r="G173" s="4" t="s">
        <v>1821</v>
      </c>
      <c r="H173" s="43" t="s">
        <v>2840</v>
      </c>
      <c r="I173" s="4"/>
      <c r="J173" s="26" t="s">
        <v>16</v>
      </c>
      <c r="K173" s="27" t="s">
        <v>13</v>
      </c>
      <c r="L173" s="2" t="s">
        <v>2837</v>
      </c>
      <c r="M173" s="24" t="s">
        <v>2659</v>
      </c>
      <c r="N173" s="4"/>
    </row>
    <row r="174" spans="1:14" ht="100.2" customHeight="1" thickTop="1" thickBot="1">
      <c r="A174" s="4">
        <v>172</v>
      </c>
      <c r="B174" s="52" t="s">
        <v>2841</v>
      </c>
      <c r="C174" s="3" t="s">
        <v>26</v>
      </c>
      <c r="D174" s="3" t="s">
        <v>1626</v>
      </c>
      <c r="E174" s="4" t="s">
        <v>21</v>
      </c>
      <c r="F174" s="43" t="s">
        <v>2661</v>
      </c>
      <c r="G174" s="4" t="s">
        <v>1821</v>
      </c>
      <c r="H174" s="43" t="s">
        <v>2842</v>
      </c>
      <c r="I174" s="4"/>
      <c r="J174" s="26" t="s">
        <v>16</v>
      </c>
      <c r="K174" s="27" t="s">
        <v>13</v>
      </c>
      <c r="L174" s="2" t="s">
        <v>2843</v>
      </c>
      <c r="M174" s="24"/>
      <c r="N174" s="4"/>
    </row>
    <row r="175" spans="1:14" ht="100.2" customHeight="1" thickTop="1" thickBot="1">
      <c r="A175" s="31">
        <v>173</v>
      </c>
      <c r="B175" s="52" t="s">
        <v>2844</v>
      </c>
      <c r="C175" s="3" t="s">
        <v>26</v>
      </c>
      <c r="D175" s="3" t="s">
        <v>1521</v>
      </c>
      <c r="E175" s="4" t="s">
        <v>22</v>
      </c>
      <c r="F175" s="43" t="s">
        <v>2845</v>
      </c>
      <c r="G175" s="4" t="s">
        <v>2845</v>
      </c>
      <c r="H175" s="43" t="s">
        <v>2846</v>
      </c>
      <c r="I175" s="4"/>
      <c r="J175" s="26" t="s">
        <v>16</v>
      </c>
      <c r="K175" s="27" t="s">
        <v>13</v>
      </c>
      <c r="L175" s="2" t="s">
        <v>2847</v>
      </c>
      <c r="M175" s="24"/>
      <c r="N175" s="4"/>
    </row>
    <row r="176" spans="1:14" ht="100.2" customHeight="1" thickTop="1" thickBot="1">
      <c r="A176" s="4">
        <v>174</v>
      </c>
      <c r="B176" s="52" t="s">
        <v>2848</v>
      </c>
      <c r="C176" s="3" t="s">
        <v>26</v>
      </c>
      <c r="D176" s="3" t="s">
        <v>2849</v>
      </c>
      <c r="E176" s="4" t="s">
        <v>21</v>
      </c>
      <c r="F176" s="43" t="s">
        <v>2652</v>
      </c>
      <c r="G176" s="4" t="s">
        <v>2671</v>
      </c>
      <c r="H176" s="43" t="s">
        <v>2850</v>
      </c>
      <c r="I176" s="4"/>
      <c r="J176" s="26" t="s">
        <v>16</v>
      </c>
      <c r="K176" s="27" t="s">
        <v>13</v>
      </c>
      <c r="L176" s="2" t="s">
        <v>2851</v>
      </c>
      <c r="M176" s="24"/>
      <c r="N176" s="4"/>
    </row>
    <row r="177" spans="1:14" ht="100.2" customHeight="1" thickTop="1" thickBot="1">
      <c r="A177" s="31">
        <v>175</v>
      </c>
      <c r="B177" s="52" t="s">
        <v>2852</v>
      </c>
      <c r="C177" s="3" t="s">
        <v>26</v>
      </c>
      <c r="D177" s="3" t="s">
        <v>1626</v>
      </c>
      <c r="E177" s="4" t="s">
        <v>21</v>
      </c>
      <c r="F177" s="43" t="s">
        <v>2661</v>
      </c>
      <c r="G177" s="4" t="s">
        <v>2853</v>
      </c>
      <c r="H177" s="43" t="s">
        <v>2854</v>
      </c>
      <c r="I177" s="4"/>
      <c r="J177" s="26" t="s">
        <v>16</v>
      </c>
      <c r="K177" s="27" t="s">
        <v>13</v>
      </c>
      <c r="L177" s="2" t="s">
        <v>2855</v>
      </c>
      <c r="M177" s="24" t="s">
        <v>1742</v>
      </c>
      <c r="N177" s="4"/>
    </row>
    <row r="178" spans="1:14" ht="100.2" customHeight="1" thickTop="1" thickBot="1">
      <c r="A178" s="4">
        <v>176</v>
      </c>
      <c r="B178" s="52" t="s">
        <v>2856</v>
      </c>
      <c r="C178" s="3" t="s">
        <v>26</v>
      </c>
      <c r="D178" s="3" t="s">
        <v>2857</v>
      </c>
      <c r="E178" s="4" t="s">
        <v>21</v>
      </c>
      <c r="F178" s="43" t="s">
        <v>2666</v>
      </c>
      <c r="G178" s="4" t="s">
        <v>1821</v>
      </c>
      <c r="H178" s="43" t="s">
        <v>2858</v>
      </c>
      <c r="I178" s="4"/>
      <c r="J178" s="26" t="s">
        <v>16</v>
      </c>
      <c r="K178" s="27" t="s">
        <v>13</v>
      </c>
      <c r="L178" s="2" t="s">
        <v>2859</v>
      </c>
      <c r="M178" s="24"/>
      <c r="N178" s="4"/>
    </row>
    <row r="179" spans="1:14" ht="100.2" customHeight="1" thickTop="1" thickBot="1">
      <c r="A179" s="31">
        <v>177</v>
      </c>
      <c r="B179" s="52" t="s">
        <v>2860</v>
      </c>
      <c r="C179" s="3" t="s">
        <v>26</v>
      </c>
      <c r="D179" s="3" t="s">
        <v>2861</v>
      </c>
      <c r="E179" s="4" t="s">
        <v>21</v>
      </c>
      <c r="F179" s="43" t="s">
        <v>2666</v>
      </c>
      <c r="G179" s="4" t="s">
        <v>2671</v>
      </c>
      <c r="H179" s="43" t="s">
        <v>2862</v>
      </c>
      <c r="I179" s="4"/>
      <c r="J179" s="26" t="s">
        <v>16</v>
      </c>
      <c r="K179" s="27" t="s">
        <v>13</v>
      </c>
      <c r="L179" s="2" t="s">
        <v>2863</v>
      </c>
      <c r="M179" s="24"/>
      <c r="N179" s="4" t="s">
        <v>121</v>
      </c>
    </row>
    <row r="180" spans="1:14" ht="100.2" customHeight="1" thickTop="1" thickBot="1">
      <c r="A180" s="4">
        <v>178</v>
      </c>
      <c r="B180" s="52" t="s">
        <v>2864</v>
      </c>
      <c r="C180" s="3" t="s">
        <v>26</v>
      </c>
      <c r="D180" s="3" t="s">
        <v>2865</v>
      </c>
      <c r="E180" s="4" t="s">
        <v>21</v>
      </c>
      <c r="F180" s="43" t="s">
        <v>2652</v>
      </c>
      <c r="G180" s="4" t="s">
        <v>2866</v>
      </c>
      <c r="H180" s="43" t="s">
        <v>2867</v>
      </c>
      <c r="I180" s="4"/>
      <c r="J180" s="26" t="s">
        <v>16</v>
      </c>
      <c r="K180" s="27" t="s">
        <v>13</v>
      </c>
      <c r="L180" s="2" t="s">
        <v>2868</v>
      </c>
      <c r="M180" s="24"/>
      <c r="N180" s="4" t="s">
        <v>123</v>
      </c>
    </row>
    <row r="181" spans="1:14" ht="100.2" customHeight="1" thickTop="1" thickBot="1">
      <c r="A181" s="31">
        <v>179</v>
      </c>
      <c r="B181" s="52" t="s">
        <v>2869</v>
      </c>
      <c r="C181" s="3" t="s">
        <v>26</v>
      </c>
      <c r="D181" s="3" t="s">
        <v>2865</v>
      </c>
      <c r="E181" s="4" t="s">
        <v>21</v>
      </c>
      <c r="F181" s="43" t="s">
        <v>2666</v>
      </c>
      <c r="G181" s="4" t="s">
        <v>2870</v>
      </c>
      <c r="H181" s="43" t="s">
        <v>2871</v>
      </c>
      <c r="I181" s="4"/>
      <c r="J181" s="26" t="s">
        <v>16</v>
      </c>
      <c r="K181" s="27" t="s">
        <v>13</v>
      </c>
      <c r="L181" s="2" t="s">
        <v>2872</v>
      </c>
      <c r="M181" s="24"/>
      <c r="N181" s="4" t="s">
        <v>121</v>
      </c>
    </row>
    <row r="182" spans="1:14" ht="100.2" customHeight="1" thickTop="1" thickBot="1">
      <c r="A182" s="4">
        <v>180</v>
      </c>
      <c r="B182" s="52" t="s">
        <v>2873</v>
      </c>
      <c r="C182" s="3" t="s">
        <v>26</v>
      </c>
      <c r="D182" s="3" t="s">
        <v>1710</v>
      </c>
      <c r="E182" s="4" t="s">
        <v>22</v>
      </c>
      <c r="F182" s="43" t="s">
        <v>2666</v>
      </c>
      <c r="G182" s="4" t="s">
        <v>1826</v>
      </c>
      <c r="H182" s="43" t="s">
        <v>2874</v>
      </c>
      <c r="I182" s="4"/>
      <c r="J182" s="26" t="s">
        <v>16</v>
      </c>
      <c r="K182" s="27" t="s">
        <v>13</v>
      </c>
      <c r="L182" s="2" t="s">
        <v>2875</v>
      </c>
      <c r="M182" s="24"/>
      <c r="N182" s="4" t="s">
        <v>121</v>
      </c>
    </row>
    <row r="183" spans="1:14" ht="100.2" customHeight="1" thickTop="1" thickBot="1">
      <c r="A183" s="31">
        <v>181</v>
      </c>
      <c r="B183" s="52" t="s">
        <v>2876</v>
      </c>
      <c r="C183" s="3" t="s">
        <v>26</v>
      </c>
      <c r="D183" s="3" t="s">
        <v>2877</v>
      </c>
      <c r="E183" s="4" t="s">
        <v>21</v>
      </c>
      <c r="F183" s="43" t="s">
        <v>2679</v>
      </c>
      <c r="G183" s="4" t="s">
        <v>1761</v>
      </c>
      <c r="H183" s="43" t="s">
        <v>2878</v>
      </c>
      <c r="I183" s="4"/>
      <c r="J183" s="26" t="s">
        <v>16</v>
      </c>
      <c r="K183" s="27" t="s">
        <v>13</v>
      </c>
      <c r="L183" s="2" t="s">
        <v>2879</v>
      </c>
      <c r="M183" s="24"/>
      <c r="N183" s="4" t="s">
        <v>121</v>
      </c>
    </row>
    <row r="184" spans="1:14" ht="100.2" customHeight="1" thickTop="1" thickBot="1">
      <c r="A184" s="4">
        <v>182</v>
      </c>
      <c r="B184" s="52" t="s">
        <v>2880</v>
      </c>
      <c r="C184" s="3" t="s">
        <v>26</v>
      </c>
      <c r="D184" s="3" t="s">
        <v>2881</v>
      </c>
      <c r="E184" s="4" t="s">
        <v>21</v>
      </c>
      <c r="F184" s="43" t="s">
        <v>2661</v>
      </c>
      <c r="G184" s="4" t="s">
        <v>1821</v>
      </c>
      <c r="H184" s="43" t="s">
        <v>2882</v>
      </c>
      <c r="I184" s="4"/>
      <c r="J184" s="26" t="s">
        <v>16</v>
      </c>
      <c r="K184" s="27" t="s">
        <v>13</v>
      </c>
      <c r="L184" s="2" t="s">
        <v>2879</v>
      </c>
      <c r="M184" s="24"/>
      <c r="N184" s="4" t="s">
        <v>121</v>
      </c>
    </row>
    <row r="185" spans="1:14" ht="100.2" customHeight="1" thickTop="1" thickBot="1">
      <c r="A185" s="31">
        <v>183</v>
      </c>
      <c r="B185" s="52" t="s">
        <v>2883</v>
      </c>
      <c r="C185" s="3" t="s">
        <v>26</v>
      </c>
      <c r="D185" s="3" t="s">
        <v>2651</v>
      </c>
      <c r="E185" s="4" t="s">
        <v>21</v>
      </c>
      <c r="F185" s="43" t="s">
        <v>2652</v>
      </c>
      <c r="G185" s="4" t="s">
        <v>2239</v>
      </c>
      <c r="H185" s="43" t="s">
        <v>2884</v>
      </c>
      <c r="I185" s="4"/>
      <c r="J185" s="26" t="s">
        <v>16</v>
      </c>
      <c r="K185" s="27" t="s">
        <v>13</v>
      </c>
      <c r="L185" s="2" t="s">
        <v>2885</v>
      </c>
      <c r="M185" s="24"/>
      <c r="N185" s="4" t="s">
        <v>121</v>
      </c>
    </row>
    <row r="186" spans="1:14" ht="100.2" customHeight="1" thickTop="1" thickBot="1">
      <c r="A186" s="4">
        <v>184</v>
      </c>
      <c r="B186" s="52" t="s">
        <v>2886</v>
      </c>
      <c r="C186" s="3" t="s">
        <v>26</v>
      </c>
      <c r="D186" s="3" t="s">
        <v>2689</v>
      </c>
      <c r="E186" s="4" t="s">
        <v>22</v>
      </c>
      <c r="F186" s="43" t="s">
        <v>2747</v>
      </c>
      <c r="G186" s="4" t="s">
        <v>2887</v>
      </c>
      <c r="H186" s="43" t="s">
        <v>2888</v>
      </c>
      <c r="I186" s="4"/>
      <c r="J186" s="26" t="s">
        <v>16</v>
      </c>
      <c r="K186" s="27" t="s">
        <v>13</v>
      </c>
      <c r="L186" s="2" t="s">
        <v>2889</v>
      </c>
      <c r="M186" s="24"/>
      <c r="N186" s="4" t="s">
        <v>121</v>
      </c>
    </row>
    <row r="187" spans="1:14" ht="100.2" customHeight="1" thickTop="1" thickBot="1">
      <c r="A187" s="31">
        <v>185</v>
      </c>
      <c r="B187" s="52" t="s">
        <v>2890</v>
      </c>
      <c r="C187" s="3" t="s">
        <v>26</v>
      </c>
      <c r="D187" s="3" t="s">
        <v>2877</v>
      </c>
      <c r="E187" s="4" t="s">
        <v>21</v>
      </c>
      <c r="F187" s="43" t="s">
        <v>2679</v>
      </c>
      <c r="G187" s="4" t="s">
        <v>1761</v>
      </c>
      <c r="H187" s="43" t="s">
        <v>2891</v>
      </c>
      <c r="I187" s="4"/>
      <c r="J187" s="26" t="s">
        <v>16</v>
      </c>
      <c r="K187" s="27" t="s">
        <v>13</v>
      </c>
      <c r="L187" s="2" t="s">
        <v>2892</v>
      </c>
      <c r="M187" s="24"/>
      <c r="N187" s="4" t="s">
        <v>121</v>
      </c>
    </row>
    <row r="188" spans="1:14" ht="100.2" customHeight="1" thickTop="1" thickBot="1">
      <c r="A188" s="4">
        <v>186</v>
      </c>
      <c r="B188" s="52" t="s">
        <v>2893</v>
      </c>
      <c r="C188" s="3" t="s">
        <v>26</v>
      </c>
      <c r="D188" s="3" t="s">
        <v>2894</v>
      </c>
      <c r="E188" s="4" t="s">
        <v>21</v>
      </c>
      <c r="F188" s="43" t="s">
        <v>2666</v>
      </c>
      <c r="G188" s="4" t="s">
        <v>1761</v>
      </c>
      <c r="H188" s="43" t="s">
        <v>2895</v>
      </c>
      <c r="I188" s="4"/>
      <c r="J188" s="26" t="s">
        <v>16</v>
      </c>
      <c r="K188" s="27" t="s">
        <v>13</v>
      </c>
      <c r="L188" s="2" t="s">
        <v>2896</v>
      </c>
      <c r="M188" s="24"/>
      <c r="N188" s="4" t="s">
        <v>121</v>
      </c>
    </row>
    <row r="189" spans="1:14" ht="100.2" customHeight="1" thickTop="1" thickBot="1">
      <c r="A189" s="31">
        <v>187</v>
      </c>
      <c r="B189" s="52" t="s">
        <v>2897</v>
      </c>
      <c r="C189" s="3" t="s">
        <v>26</v>
      </c>
      <c r="D189" s="3" t="s">
        <v>1635</v>
      </c>
      <c r="E189" s="4" t="s">
        <v>21</v>
      </c>
      <c r="F189" s="43" t="s">
        <v>2661</v>
      </c>
      <c r="G189" s="4" t="s">
        <v>1821</v>
      </c>
      <c r="H189" s="43" t="s">
        <v>2898</v>
      </c>
      <c r="I189" s="4"/>
      <c r="J189" s="26" t="s">
        <v>16</v>
      </c>
      <c r="K189" s="27" t="s">
        <v>17</v>
      </c>
      <c r="L189" s="2" t="s">
        <v>2899</v>
      </c>
      <c r="M189" s="24" t="s">
        <v>2900</v>
      </c>
      <c r="N189" s="4" t="s">
        <v>124</v>
      </c>
    </row>
    <row r="190" spans="1:14" ht="100.2" customHeight="1" thickTop="1" thickBot="1">
      <c r="A190" s="4">
        <v>188</v>
      </c>
      <c r="B190" s="52" t="s">
        <v>2901</v>
      </c>
      <c r="C190" s="3" t="s">
        <v>26</v>
      </c>
      <c r="D190" s="3" t="s">
        <v>2894</v>
      </c>
      <c r="E190" s="4" t="s">
        <v>21</v>
      </c>
      <c r="F190" s="43" t="s">
        <v>2666</v>
      </c>
      <c r="G190" s="4" t="s">
        <v>1821</v>
      </c>
      <c r="H190" s="43" t="s">
        <v>2902</v>
      </c>
      <c r="I190" s="4"/>
      <c r="J190" s="26" t="s">
        <v>16</v>
      </c>
      <c r="K190" s="27" t="s">
        <v>17</v>
      </c>
      <c r="L190" s="2" t="s">
        <v>2903</v>
      </c>
      <c r="M190" s="24"/>
      <c r="N190" s="4" t="s">
        <v>121</v>
      </c>
    </row>
    <row r="191" spans="1:14" ht="100.2" customHeight="1" thickTop="1" thickBot="1">
      <c r="A191" s="31">
        <v>189</v>
      </c>
      <c r="B191" s="52" t="s">
        <v>2904</v>
      </c>
      <c r="C191" s="3" t="s">
        <v>26</v>
      </c>
      <c r="D191" s="3" t="s">
        <v>2728</v>
      </c>
      <c r="E191" s="4" t="s">
        <v>2905</v>
      </c>
      <c r="F191" s="43" t="s">
        <v>2661</v>
      </c>
      <c r="G191" s="4" t="s">
        <v>1761</v>
      </c>
      <c r="H191" s="43" t="s">
        <v>2906</v>
      </c>
      <c r="I191" s="4" t="s">
        <v>2907</v>
      </c>
      <c r="J191" s="26" t="s">
        <v>16</v>
      </c>
      <c r="K191" s="27" t="s">
        <v>13</v>
      </c>
      <c r="L191" s="2" t="s">
        <v>2904</v>
      </c>
      <c r="M191" s="24" t="s">
        <v>2908</v>
      </c>
      <c r="N191" s="4" t="s">
        <v>121</v>
      </c>
    </row>
    <row r="192" spans="1:14" ht="100.2" customHeight="1" thickTop="1" thickBot="1">
      <c r="A192" s="4">
        <v>190</v>
      </c>
      <c r="B192" s="52" t="s">
        <v>2909</v>
      </c>
      <c r="C192" s="3" t="s">
        <v>26</v>
      </c>
      <c r="D192" s="3" t="s">
        <v>2881</v>
      </c>
      <c r="E192" s="4" t="s">
        <v>21</v>
      </c>
      <c r="F192" s="43" t="s">
        <v>2661</v>
      </c>
      <c r="G192" s="4" t="s">
        <v>2250</v>
      </c>
      <c r="H192" s="43" t="s">
        <v>2910</v>
      </c>
      <c r="I192" s="4"/>
      <c r="J192" s="26" t="s">
        <v>16</v>
      </c>
      <c r="K192" s="27" t="s">
        <v>13</v>
      </c>
      <c r="L192" s="2" t="s">
        <v>2295</v>
      </c>
      <c r="M192" s="24" t="s">
        <v>2911</v>
      </c>
      <c r="N192" s="4" t="s">
        <v>121</v>
      </c>
    </row>
    <row r="193" spans="1:14" ht="100.2" customHeight="1" thickTop="1" thickBot="1">
      <c r="A193" s="31">
        <v>191</v>
      </c>
      <c r="B193" s="52" t="s">
        <v>2912</v>
      </c>
      <c r="C193" s="3" t="s">
        <v>26</v>
      </c>
      <c r="D193" s="3" t="s">
        <v>2678</v>
      </c>
      <c r="E193" s="4" t="s">
        <v>22</v>
      </c>
      <c r="F193" s="43" t="s">
        <v>2666</v>
      </c>
      <c r="G193" s="4" t="s">
        <v>1761</v>
      </c>
      <c r="H193" s="43" t="s">
        <v>2913</v>
      </c>
      <c r="I193" s="4"/>
      <c r="J193" s="26" t="s">
        <v>16</v>
      </c>
      <c r="K193" s="27" t="s">
        <v>13</v>
      </c>
      <c r="L193" s="2" t="s">
        <v>2912</v>
      </c>
      <c r="M193" s="24" t="s">
        <v>2908</v>
      </c>
      <c r="N193" s="4" t="s">
        <v>121</v>
      </c>
    </row>
    <row r="194" spans="1:14" ht="100.2" customHeight="1" thickTop="1" thickBot="1">
      <c r="A194" s="4">
        <v>192</v>
      </c>
      <c r="B194" s="52" t="s">
        <v>2914</v>
      </c>
      <c r="C194" s="3" t="s">
        <v>26</v>
      </c>
      <c r="D194" s="3" t="s">
        <v>2651</v>
      </c>
      <c r="E194" s="4" t="s">
        <v>21</v>
      </c>
      <c r="F194" s="43" t="s">
        <v>2652</v>
      </c>
      <c r="G194" s="4" t="s">
        <v>2239</v>
      </c>
      <c r="H194" s="43" t="s">
        <v>2915</v>
      </c>
      <c r="I194" s="4"/>
      <c r="J194" s="26" t="s">
        <v>16</v>
      </c>
      <c r="K194" s="27" t="s">
        <v>13</v>
      </c>
      <c r="L194" s="2" t="s">
        <v>2916</v>
      </c>
      <c r="M194" s="24"/>
      <c r="N194" s="4" t="s">
        <v>121</v>
      </c>
    </row>
    <row r="195" spans="1:14" ht="100.2" customHeight="1" thickTop="1" thickBot="1">
      <c r="A195" s="31">
        <v>193</v>
      </c>
      <c r="B195" s="52" t="s">
        <v>2917</v>
      </c>
      <c r="C195" s="3" t="s">
        <v>26</v>
      </c>
      <c r="D195" s="3" t="s">
        <v>2918</v>
      </c>
      <c r="E195" s="4" t="s">
        <v>21</v>
      </c>
      <c r="F195" s="43" t="s">
        <v>2679</v>
      </c>
      <c r="G195" s="4" t="s">
        <v>2919</v>
      </c>
      <c r="H195" s="43" t="s">
        <v>2920</v>
      </c>
      <c r="I195" s="4"/>
      <c r="J195" s="26" t="s">
        <v>16</v>
      </c>
      <c r="K195" s="27" t="s">
        <v>13</v>
      </c>
      <c r="L195" s="2" t="s">
        <v>2921</v>
      </c>
      <c r="M195" s="24"/>
      <c r="N195" s="4" t="s">
        <v>121</v>
      </c>
    </row>
    <row r="196" spans="1:14" ht="100.2" customHeight="1" thickTop="1" thickBot="1">
      <c r="A196" s="4">
        <v>194</v>
      </c>
      <c r="B196" s="52" t="s">
        <v>2922</v>
      </c>
      <c r="C196" s="3" t="s">
        <v>26</v>
      </c>
      <c r="D196" s="3" t="s">
        <v>2923</v>
      </c>
      <c r="E196" s="4" t="s">
        <v>21</v>
      </c>
      <c r="F196" s="43" t="s">
        <v>2666</v>
      </c>
      <c r="G196" s="4" t="s">
        <v>1761</v>
      </c>
      <c r="H196" s="43" t="s">
        <v>2924</v>
      </c>
      <c r="I196" s="4"/>
      <c r="J196" s="26" t="s">
        <v>16</v>
      </c>
      <c r="K196" s="27" t="s">
        <v>13</v>
      </c>
      <c r="L196" s="2" t="s">
        <v>2925</v>
      </c>
      <c r="M196" s="24"/>
      <c r="N196" s="4" t="s">
        <v>121</v>
      </c>
    </row>
    <row r="197" spans="1:14" ht="100.2" customHeight="1" thickTop="1" thickBot="1">
      <c r="A197" s="31">
        <v>195</v>
      </c>
      <c r="B197" s="52" t="s">
        <v>2926</v>
      </c>
      <c r="C197" s="3" t="s">
        <v>26</v>
      </c>
      <c r="D197" s="3" t="s">
        <v>2927</v>
      </c>
      <c r="E197" s="4" t="s">
        <v>21</v>
      </c>
      <c r="F197" s="43" t="s">
        <v>2661</v>
      </c>
      <c r="G197" s="4" t="s">
        <v>2928</v>
      </c>
      <c r="H197" s="43" t="s">
        <v>2929</v>
      </c>
      <c r="I197" s="4"/>
      <c r="J197" s="26" t="s">
        <v>16</v>
      </c>
      <c r="K197" s="27" t="s">
        <v>13</v>
      </c>
      <c r="L197" s="2" t="s">
        <v>2930</v>
      </c>
      <c r="M197" s="24"/>
      <c r="N197" s="4" t="s">
        <v>121</v>
      </c>
    </row>
    <row r="198" spans="1:14" ht="100.2" customHeight="1" thickTop="1" thickBot="1">
      <c r="A198" s="4">
        <v>196</v>
      </c>
      <c r="B198" s="52" t="s">
        <v>2931</v>
      </c>
      <c r="C198" s="3" t="s">
        <v>26</v>
      </c>
      <c r="D198" s="3" t="s">
        <v>2678</v>
      </c>
      <c r="E198" s="4" t="s">
        <v>22</v>
      </c>
      <c r="F198" s="43" t="s">
        <v>2661</v>
      </c>
      <c r="G198" s="4" t="s">
        <v>1761</v>
      </c>
      <c r="H198" s="43" t="s">
        <v>2932</v>
      </c>
      <c r="I198" s="4" t="s">
        <v>2933</v>
      </c>
      <c r="J198" s="26" t="s">
        <v>16</v>
      </c>
      <c r="K198" s="27" t="s">
        <v>13</v>
      </c>
      <c r="L198" s="2" t="s">
        <v>2931</v>
      </c>
      <c r="M198" s="24"/>
      <c r="N198" s="4" t="s">
        <v>121</v>
      </c>
    </row>
    <row r="199" spans="1:14" ht="100.2" customHeight="1" thickTop="1" thickBot="1">
      <c r="A199" s="31">
        <v>197</v>
      </c>
      <c r="B199" s="52" t="s">
        <v>2934</v>
      </c>
      <c r="C199" s="3" t="s">
        <v>26</v>
      </c>
      <c r="D199" s="3" t="s">
        <v>2678</v>
      </c>
      <c r="E199" s="4" t="s">
        <v>22</v>
      </c>
      <c r="F199" s="43" t="s">
        <v>2666</v>
      </c>
      <c r="G199" s="4" t="s">
        <v>213</v>
      </c>
      <c r="H199" s="43" t="s">
        <v>2935</v>
      </c>
      <c r="I199" s="4" t="s">
        <v>2907</v>
      </c>
      <c r="J199" s="26" t="s">
        <v>16</v>
      </c>
      <c r="K199" s="27" t="s">
        <v>13</v>
      </c>
      <c r="L199" s="2" t="s">
        <v>2936</v>
      </c>
      <c r="M199" s="24"/>
      <c r="N199" s="4" t="s">
        <v>121</v>
      </c>
    </row>
    <row r="200" spans="1:14" ht="100.2" customHeight="1" thickTop="1" thickBot="1">
      <c r="A200" s="4">
        <v>198</v>
      </c>
      <c r="B200" s="52" t="s">
        <v>2937</v>
      </c>
      <c r="C200" s="3" t="s">
        <v>26</v>
      </c>
      <c r="D200" s="3" t="s">
        <v>2877</v>
      </c>
      <c r="E200" s="4" t="s">
        <v>21</v>
      </c>
      <c r="F200" s="43" t="s">
        <v>2679</v>
      </c>
      <c r="G200" s="4" t="s">
        <v>2680</v>
      </c>
      <c r="H200" s="43" t="s">
        <v>2938</v>
      </c>
      <c r="I200" s="4"/>
      <c r="J200" s="26" t="s">
        <v>16</v>
      </c>
      <c r="K200" s="27" t="s">
        <v>13</v>
      </c>
      <c r="L200" s="2" t="s">
        <v>2939</v>
      </c>
      <c r="M200" s="24"/>
      <c r="N200" s="4" t="s">
        <v>121</v>
      </c>
    </row>
    <row r="201" spans="1:14" ht="100.2" customHeight="1" thickTop="1" thickBot="1">
      <c r="A201" s="31">
        <v>199</v>
      </c>
      <c r="B201" s="52" t="s">
        <v>2940</v>
      </c>
      <c r="C201" s="3" t="s">
        <v>26</v>
      </c>
      <c r="D201" s="3" t="s">
        <v>1626</v>
      </c>
      <c r="E201" s="4" t="s">
        <v>21</v>
      </c>
      <c r="F201" s="43" t="s">
        <v>2679</v>
      </c>
      <c r="G201" s="4" t="s">
        <v>2201</v>
      </c>
      <c r="H201" s="43" t="s">
        <v>2941</v>
      </c>
      <c r="I201" s="4"/>
      <c r="J201" s="26" t="s">
        <v>16</v>
      </c>
      <c r="K201" s="27" t="s">
        <v>13</v>
      </c>
      <c r="L201" s="2" t="s">
        <v>2942</v>
      </c>
      <c r="M201" s="24"/>
      <c r="N201" s="4" t="s">
        <v>121</v>
      </c>
    </row>
    <row r="202" spans="1:14" ht="100.2" customHeight="1" thickTop="1" thickBot="1">
      <c r="A202" s="4">
        <v>200</v>
      </c>
      <c r="B202" s="52" t="s">
        <v>2943</v>
      </c>
      <c r="C202" s="3" t="s">
        <v>26</v>
      </c>
      <c r="D202" s="3" t="s">
        <v>1626</v>
      </c>
      <c r="E202" s="4" t="s">
        <v>21</v>
      </c>
      <c r="F202" s="43" t="s">
        <v>2679</v>
      </c>
      <c r="G202" s="4" t="s">
        <v>2201</v>
      </c>
      <c r="H202" s="43" t="s">
        <v>2944</v>
      </c>
      <c r="I202" s="4"/>
      <c r="J202" s="26" t="s">
        <v>16</v>
      </c>
      <c r="K202" s="27" t="s">
        <v>13</v>
      </c>
      <c r="L202" s="2" t="s">
        <v>2945</v>
      </c>
      <c r="M202" s="24"/>
      <c r="N202" s="4" t="s">
        <v>125</v>
      </c>
    </row>
    <row r="203" spans="1:14" ht="100.2" customHeight="1" thickTop="1" thickBot="1">
      <c r="A203" s="31">
        <v>201</v>
      </c>
      <c r="B203" s="52" t="s">
        <v>2946</v>
      </c>
      <c r="C203" s="3" t="s">
        <v>26</v>
      </c>
      <c r="D203" s="3" t="s">
        <v>2670</v>
      </c>
      <c r="E203" s="4" t="s">
        <v>21</v>
      </c>
      <c r="F203" s="43" t="s">
        <v>2652</v>
      </c>
      <c r="G203" s="4" t="s">
        <v>2947</v>
      </c>
      <c r="H203" s="43" t="s">
        <v>2948</v>
      </c>
      <c r="I203" s="4"/>
      <c r="J203" s="26" t="s">
        <v>16</v>
      </c>
      <c r="K203" s="27" t="s">
        <v>13</v>
      </c>
      <c r="L203" s="2" t="s">
        <v>2949</v>
      </c>
      <c r="M203" s="24" t="s">
        <v>2950</v>
      </c>
      <c r="N203" s="4" t="s">
        <v>125</v>
      </c>
    </row>
    <row r="204" spans="1:14" ht="100.2" customHeight="1" thickTop="1" thickBot="1">
      <c r="A204" s="4">
        <v>202</v>
      </c>
      <c r="B204" s="52" t="s">
        <v>2951</v>
      </c>
      <c r="C204" s="3" t="s">
        <v>26</v>
      </c>
      <c r="D204" s="3" t="s">
        <v>2952</v>
      </c>
      <c r="E204" s="4" t="s">
        <v>21</v>
      </c>
      <c r="F204" s="43" t="s">
        <v>2652</v>
      </c>
      <c r="G204" s="4" t="s">
        <v>1761</v>
      </c>
      <c r="H204" s="43" t="s">
        <v>2953</v>
      </c>
      <c r="I204" s="4"/>
      <c r="J204" s="26" t="s">
        <v>16</v>
      </c>
      <c r="K204" s="27" t="s">
        <v>13</v>
      </c>
      <c r="L204" s="2" t="s">
        <v>2954</v>
      </c>
      <c r="M204" s="24"/>
      <c r="N204" s="4" t="s">
        <v>126</v>
      </c>
    </row>
    <row r="205" spans="1:14" ht="100.2" customHeight="1" thickTop="1" thickBot="1">
      <c r="A205" s="31">
        <v>203</v>
      </c>
      <c r="B205" s="52" t="s">
        <v>2955</v>
      </c>
      <c r="C205" s="3" t="s">
        <v>26</v>
      </c>
      <c r="D205" s="3" t="s">
        <v>2956</v>
      </c>
      <c r="E205" s="4" t="s">
        <v>21</v>
      </c>
      <c r="F205" s="43" t="s">
        <v>2666</v>
      </c>
      <c r="G205" s="4" t="s">
        <v>1761</v>
      </c>
      <c r="H205" s="43" t="s">
        <v>2957</v>
      </c>
      <c r="I205" s="4"/>
      <c r="J205" s="26" t="s">
        <v>16</v>
      </c>
      <c r="K205" s="27" t="s">
        <v>13</v>
      </c>
      <c r="L205" s="2" t="s">
        <v>2958</v>
      </c>
      <c r="M205" s="24"/>
      <c r="N205" s="4" t="s">
        <v>125</v>
      </c>
    </row>
    <row r="206" spans="1:14" ht="100.2" customHeight="1" thickTop="1" thickBot="1">
      <c r="A206" s="4">
        <v>204</v>
      </c>
      <c r="B206" s="52" t="s">
        <v>2959</v>
      </c>
      <c r="C206" s="3" t="s">
        <v>26</v>
      </c>
      <c r="D206" s="3" t="s">
        <v>2728</v>
      </c>
      <c r="E206" s="4" t="s">
        <v>22</v>
      </c>
      <c r="F206" s="43" t="s">
        <v>2666</v>
      </c>
      <c r="G206" s="4" t="s">
        <v>1826</v>
      </c>
      <c r="H206" s="43" t="s">
        <v>2960</v>
      </c>
      <c r="I206" s="4"/>
      <c r="J206" s="26" t="s">
        <v>16</v>
      </c>
      <c r="K206" s="27" t="s">
        <v>13</v>
      </c>
      <c r="L206" s="2" t="s">
        <v>2959</v>
      </c>
      <c r="M206" s="24"/>
      <c r="N206" s="4" t="s">
        <v>121</v>
      </c>
    </row>
    <row r="207" spans="1:14" ht="100.2" customHeight="1" thickTop="1" thickBot="1">
      <c r="A207" s="31">
        <v>205</v>
      </c>
      <c r="B207" s="52" t="s">
        <v>2730</v>
      </c>
      <c r="C207" s="3" t="s">
        <v>26</v>
      </c>
      <c r="D207" s="3" t="s">
        <v>2728</v>
      </c>
      <c r="E207" s="4" t="s">
        <v>22</v>
      </c>
      <c r="F207" s="43" t="s">
        <v>2661</v>
      </c>
      <c r="G207" s="4" t="s">
        <v>1821</v>
      </c>
      <c r="H207" s="43" t="s">
        <v>2961</v>
      </c>
      <c r="I207" s="4"/>
      <c r="J207" s="26" t="s">
        <v>16</v>
      </c>
      <c r="K207" s="27" t="s">
        <v>13</v>
      </c>
      <c r="L207" s="2" t="s">
        <v>2730</v>
      </c>
      <c r="M207" s="24"/>
      <c r="N207" s="4" t="s">
        <v>121</v>
      </c>
    </row>
    <row r="208" spans="1:14" ht="100.2" customHeight="1" thickTop="1" thickBot="1">
      <c r="A208" s="4">
        <v>206</v>
      </c>
      <c r="B208" s="52" t="s">
        <v>2962</v>
      </c>
      <c r="C208" s="3" t="s">
        <v>26</v>
      </c>
      <c r="D208" s="3" t="s">
        <v>2728</v>
      </c>
      <c r="E208" s="4" t="s">
        <v>22</v>
      </c>
      <c r="F208" s="43" t="s">
        <v>2652</v>
      </c>
      <c r="G208" s="4" t="s">
        <v>58</v>
      </c>
      <c r="H208" s="43" t="s">
        <v>2963</v>
      </c>
      <c r="I208" s="4"/>
      <c r="J208" s="26" t="s">
        <v>16</v>
      </c>
      <c r="K208" s="27" t="s">
        <v>13</v>
      </c>
      <c r="L208" s="2" t="s">
        <v>2964</v>
      </c>
      <c r="M208" s="24"/>
      <c r="N208" s="4" t="s">
        <v>121</v>
      </c>
    </row>
    <row r="209" spans="1:14" ht="100.2" customHeight="1" thickTop="1" thickBot="1">
      <c r="A209" s="31">
        <v>207</v>
      </c>
      <c r="B209" s="52" t="s">
        <v>2965</v>
      </c>
      <c r="C209" s="3" t="s">
        <v>26</v>
      </c>
      <c r="D209" s="3" t="s">
        <v>2728</v>
      </c>
      <c r="E209" s="4" t="s">
        <v>22</v>
      </c>
      <c r="F209" s="43" t="s">
        <v>2652</v>
      </c>
      <c r="G209" s="4" t="s">
        <v>2239</v>
      </c>
      <c r="H209" s="43" t="s">
        <v>2966</v>
      </c>
      <c r="I209" s="4"/>
      <c r="J209" s="26" t="s">
        <v>16</v>
      </c>
      <c r="K209" s="27" t="s">
        <v>13</v>
      </c>
      <c r="L209" s="2" t="s">
        <v>2965</v>
      </c>
      <c r="M209" s="24"/>
      <c r="N209" s="4" t="s">
        <v>121</v>
      </c>
    </row>
    <row r="210" spans="1:14" ht="100.2" customHeight="1" thickTop="1" thickBot="1">
      <c r="A210" s="4">
        <v>208</v>
      </c>
      <c r="B210" s="52" t="s">
        <v>2967</v>
      </c>
      <c r="C210" s="3" t="s">
        <v>26</v>
      </c>
      <c r="D210" s="3" t="s">
        <v>2968</v>
      </c>
      <c r="E210" s="4" t="s">
        <v>21</v>
      </c>
      <c r="F210" s="43" t="s">
        <v>2661</v>
      </c>
      <c r="G210" s="4" t="s">
        <v>1761</v>
      </c>
      <c r="H210" s="43" t="s">
        <v>2969</v>
      </c>
      <c r="I210" s="4"/>
      <c r="J210" s="26" t="s">
        <v>16</v>
      </c>
      <c r="K210" s="27" t="s">
        <v>13</v>
      </c>
      <c r="L210" s="2" t="s">
        <v>2970</v>
      </c>
      <c r="M210" s="24" t="s">
        <v>2971</v>
      </c>
      <c r="N210" s="4" t="s">
        <v>121</v>
      </c>
    </row>
    <row r="211" spans="1:14" ht="100.2" customHeight="1" thickTop="1" thickBot="1">
      <c r="A211" s="31">
        <v>209</v>
      </c>
      <c r="B211" s="52" t="s">
        <v>2972</v>
      </c>
      <c r="C211" s="3" t="s">
        <v>26</v>
      </c>
      <c r="D211" s="3" t="s">
        <v>1635</v>
      </c>
      <c r="E211" s="4" t="s">
        <v>21</v>
      </c>
      <c r="F211" s="43" t="s">
        <v>2679</v>
      </c>
      <c r="G211" s="4" t="s">
        <v>1826</v>
      </c>
      <c r="H211" s="43" t="s">
        <v>2973</v>
      </c>
      <c r="I211" s="4"/>
      <c r="J211" s="26" t="s">
        <v>16</v>
      </c>
      <c r="K211" s="27" t="s">
        <v>13</v>
      </c>
      <c r="L211" s="2" t="s">
        <v>2974</v>
      </c>
      <c r="M211" s="24"/>
      <c r="N211" s="4" t="s">
        <v>121</v>
      </c>
    </row>
    <row r="212" spans="1:14" ht="100.2" customHeight="1" thickTop="1" thickBot="1">
      <c r="A212" s="4">
        <v>210</v>
      </c>
      <c r="B212" s="52" t="s">
        <v>2975</v>
      </c>
      <c r="C212" s="3" t="s">
        <v>26</v>
      </c>
      <c r="D212" s="3" t="s">
        <v>2728</v>
      </c>
      <c r="E212" s="4" t="s">
        <v>22</v>
      </c>
      <c r="F212" s="43" t="s">
        <v>2661</v>
      </c>
      <c r="G212" s="4" t="s">
        <v>2757</v>
      </c>
      <c r="H212" s="43" t="s">
        <v>2976</v>
      </c>
      <c r="I212" s="4"/>
      <c r="J212" s="26" t="s">
        <v>16</v>
      </c>
      <c r="K212" s="27" t="s">
        <v>13</v>
      </c>
      <c r="L212" s="2" t="s">
        <v>2977</v>
      </c>
      <c r="M212" s="24"/>
      <c r="N212" s="4" t="s">
        <v>127</v>
      </c>
    </row>
    <row r="213" spans="1:14" ht="100.2" customHeight="1" thickTop="1" thickBot="1">
      <c r="A213" s="31">
        <v>211</v>
      </c>
      <c r="B213" s="52" t="s">
        <v>2978</v>
      </c>
      <c r="C213" s="3" t="s">
        <v>26</v>
      </c>
      <c r="D213" s="3" t="s">
        <v>2728</v>
      </c>
      <c r="E213" s="4" t="s">
        <v>22</v>
      </c>
      <c r="F213" s="43" t="s">
        <v>2661</v>
      </c>
      <c r="G213" s="4" t="s">
        <v>1761</v>
      </c>
      <c r="H213" s="43" t="s">
        <v>2979</v>
      </c>
      <c r="I213" s="4"/>
      <c r="J213" s="26" t="s">
        <v>16</v>
      </c>
      <c r="K213" s="27" t="s">
        <v>13</v>
      </c>
      <c r="L213" s="2" t="s">
        <v>2977</v>
      </c>
      <c r="M213" s="24"/>
      <c r="N213" s="4" t="s">
        <v>121</v>
      </c>
    </row>
    <row r="214" spans="1:14" ht="100.2" customHeight="1" thickTop="1" thickBot="1">
      <c r="A214" s="4">
        <v>212</v>
      </c>
      <c r="B214" s="52" t="s">
        <v>2980</v>
      </c>
      <c r="C214" s="3" t="s">
        <v>26</v>
      </c>
      <c r="D214" s="3" t="s">
        <v>2728</v>
      </c>
      <c r="E214" s="4" t="s">
        <v>22</v>
      </c>
      <c r="F214" s="43" t="s">
        <v>2652</v>
      </c>
      <c r="G214" s="4" t="s">
        <v>1816</v>
      </c>
      <c r="H214" s="43" t="s">
        <v>2981</v>
      </c>
      <c r="I214" s="4"/>
      <c r="J214" s="26" t="s">
        <v>16</v>
      </c>
      <c r="K214" s="27" t="s">
        <v>13</v>
      </c>
      <c r="L214" s="2" t="s">
        <v>2982</v>
      </c>
      <c r="M214" s="24"/>
      <c r="N214" s="4" t="s">
        <v>121</v>
      </c>
    </row>
    <row r="215" spans="1:14" ht="100.2" customHeight="1" thickTop="1" thickBot="1">
      <c r="A215" s="31">
        <v>213</v>
      </c>
      <c r="B215" s="52" t="s">
        <v>2982</v>
      </c>
      <c r="C215" s="3" t="s">
        <v>26</v>
      </c>
      <c r="D215" s="3" t="s">
        <v>2728</v>
      </c>
      <c r="E215" s="4" t="s">
        <v>22</v>
      </c>
      <c r="F215" s="43" t="s">
        <v>2652</v>
      </c>
      <c r="G215" s="4" t="s">
        <v>2983</v>
      </c>
      <c r="H215" s="43" t="s">
        <v>2984</v>
      </c>
      <c r="I215" s="4"/>
      <c r="J215" s="26" t="s">
        <v>16</v>
      </c>
      <c r="K215" s="27" t="s">
        <v>13</v>
      </c>
      <c r="L215" s="2" t="s">
        <v>2985</v>
      </c>
      <c r="M215" s="24"/>
      <c r="N215" s="4" t="s">
        <v>121</v>
      </c>
    </row>
    <row r="216" spans="1:14" ht="100.2" customHeight="1" thickTop="1" thickBot="1">
      <c r="A216" s="4">
        <v>214</v>
      </c>
      <c r="B216" s="52" t="s">
        <v>2986</v>
      </c>
      <c r="C216" s="3" t="s">
        <v>26</v>
      </c>
      <c r="D216" s="3" t="s">
        <v>1635</v>
      </c>
      <c r="E216" s="4" t="s">
        <v>21</v>
      </c>
      <c r="F216" s="43" t="s">
        <v>2661</v>
      </c>
      <c r="G216" s="4" t="s">
        <v>1821</v>
      </c>
      <c r="H216" s="43" t="s">
        <v>2987</v>
      </c>
      <c r="I216" s="4"/>
      <c r="J216" s="26" t="s">
        <v>16</v>
      </c>
      <c r="K216" s="27" t="s">
        <v>13</v>
      </c>
      <c r="L216" s="2" t="s">
        <v>2988</v>
      </c>
      <c r="M216" s="24"/>
      <c r="N216" s="4" t="s">
        <v>121</v>
      </c>
    </row>
    <row r="217" spans="1:14" ht="100.2" customHeight="1" thickTop="1" thickBot="1">
      <c r="A217" s="31">
        <v>215</v>
      </c>
      <c r="B217" s="52" t="s">
        <v>2989</v>
      </c>
      <c r="C217" s="3" t="s">
        <v>26</v>
      </c>
      <c r="D217" s="3" t="s">
        <v>1635</v>
      </c>
      <c r="E217" s="4" t="s">
        <v>21</v>
      </c>
      <c r="F217" s="43" t="s">
        <v>2661</v>
      </c>
      <c r="G217" s="4" t="s">
        <v>1761</v>
      </c>
      <c r="H217" s="43" t="s">
        <v>2990</v>
      </c>
      <c r="I217" s="4"/>
      <c r="J217" s="26" t="s">
        <v>16</v>
      </c>
      <c r="K217" s="27" t="s">
        <v>13</v>
      </c>
      <c r="L217" s="2" t="s">
        <v>2991</v>
      </c>
      <c r="M217" s="24"/>
      <c r="N217" s="4" t="s">
        <v>121</v>
      </c>
    </row>
    <row r="218" spans="1:14" ht="100.2" customHeight="1" thickTop="1" thickBot="1">
      <c r="A218" s="4">
        <v>216</v>
      </c>
      <c r="B218" s="52" t="s">
        <v>2992</v>
      </c>
      <c r="C218" s="3" t="s">
        <v>26</v>
      </c>
      <c r="D218" s="3" t="s">
        <v>1635</v>
      </c>
      <c r="E218" s="4" t="s">
        <v>21</v>
      </c>
      <c r="F218" s="43" t="s">
        <v>2679</v>
      </c>
      <c r="G218" s="4" t="s">
        <v>1761</v>
      </c>
      <c r="H218" s="43" t="s">
        <v>2993</v>
      </c>
      <c r="I218" s="4"/>
      <c r="J218" s="26" t="s">
        <v>16</v>
      </c>
      <c r="K218" s="27" t="s">
        <v>13</v>
      </c>
      <c r="L218" s="2" t="s">
        <v>2994</v>
      </c>
      <c r="M218" s="24"/>
      <c r="N218" s="4" t="s">
        <v>121</v>
      </c>
    </row>
    <row r="219" spans="1:14" ht="100.2" customHeight="1" thickTop="1" thickBot="1">
      <c r="A219" s="31">
        <v>217</v>
      </c>
      <c r="B219" s="52" t="s">
        <v>2995</v>
      </c>
      <c r="C219" s="3" t="s">
        <v>26</v>
      </c>
      <c r="D219" s="3" t="s">
        <v>1635</v>
      </c>
      <c r="E219" s="4" t="s">
        <v>21</v>
      </c>
      <c r="F219" s="43" t="s">
        <v>2666</v>
      </c>
      <c r="G219" s="4" t="s">
        <v>2201</v>
      </c>
      <c r="H219" s="43" t="s">
        <v>2996</v>
      </c>
      <c r="I219" s="4"/>
      <c r="J219" s="26" t="s">
        <v>16</v>
      </c>
      <c r="K219" s="27" t="s">
        <v>13</v>
      </c>
      <c r="L219" s="2" t="s">
        <v>2997</v>
      </c>
      <c r="M219" s="24"/>
      <c r="N219" s="4" t="s">
        <v>121</v>
      </c>
    </row>
    <row r="220" spans="1:14" ht="100.2" customHeight="1" thickTop="1" thickBot="1">
      <c r="A220" s="4">
        <v>218</v>
      </c>
      <c r="B220" s="52" t="s">
        <v>2998</v>
      </c>
      <c r="C220" s="3" t="s">
        <v>26</v>
      </c>
      <c r="D220" s="3" t="s">
        <v>2999</v>
      </c>
      <c r="E220" s="4" t="s">
        <v>21</v>
      </c>
      <c r="F220" s="43" t="s">
        <v>2652</v>
      </c>
      <c r="G220" s="4" t="s">
        <v>1821</v>
      </c>
      <c r="H220" s="43" t="s">
        <v>3000</v>
      </c>
      <c r="I220" s="4"/>
      <c r="J220" s="26" t="s">
        <v>16</v>
      </c>
      <c r="K220" s="27" t="s">
        <v>13</v>
      </c>
      <c r="L220" s="2" t="s">
        <v>3001</v>
      </c>
      <c r="M220" s="24"/>
      <c r="N220" s="4" t="s">
        <v>121</v>
      </c>
    </row>
    <row r="221" spans="1:14" ht="100.2" customHeight="1" thickTop="1" thickBot="1">
      <c r="A221" s="31">
        <v>219</v>
      </c>
      <c r="B221" s="52" t="s">
        <v>3002</v>
      </c>
      <c r="C221" s="3" t="s">
        <v>26</v>
      </c>
      <c r="D221" s="3" t="s">
        <v>2728</v>
      </c>
      <c r="E221" s="4" t="s">
        <v>22</v>
      </c>
      <c r="F221" s="43" t="s">
        <v>2679</v>
      </c>
      <c r="G221" s="4" t="s">
        <v>2680</v>
      </c>
      <c r="H221" s="43" t="s">
        <v>3003</v>
      </c>
      <c r="I221" s="4"/>
      <c r="J221" s="26" t="s">
        <v>16</v>
      </c>
      <c r="K221" s="27" t="s">
        <v>13</v>
      </c>
      <c r="L221" s="2" t="s">
        <v>2391</v>
      </c>
      <c r="M221" s="24"/>
      <c r="N221" s="4" t="s">
        <v>121</v>
      </c>
    </row>
    <row r="222" spans="1:14" ht="100.2" customHeight="1" thickTop="1" thickBot="1">
      <c r="A222" s="4">
        <v>220</v>
      </c>
      <c r="B222" s="52" t="s">
        <v>3004</v>
      </c>
      <c r="C222" s="3" t="s">
        <v>26</v>
      </c>
      <c r="D222" s="3" t="s">
        <v>2728</v>
      </c>
      <c r="E222" s="4" t="s">
        <v>22</v>
      </c>
      <c r="F222" s="43" t="s">
        <v>2652</v>
      </c>
      <c r="G222" s="4" t="s">
        <v>1761</v>
      </c>
      <c r="H222" s="43" t="s">
        <v>3005</v>
      </c>
      <c r="I222" s="4"/>
      <c r="J222" s="26" t="s">
        <v>16</v>
      </c>
      <c r="K222" s="27" t="s">
        <v>13</v>
      </c>
      <c r="L222" s="2" t="s">
        <v>3004</v>
      </c>
      <c r="M222" s="24"/>
      <c r="N222" s="4" t="s">
        <v>121</v>
      </c>
    </row>
    <row r="223" spans="1:14" ht="100.2" customHeight="1" thickTop="1" thickBot="1">
      <c r="A223" s="31">
        <v>221</v>
      </c>
      <c r="B223" s="52" t="s">
        <v>3006</v>
      </c>
      <c r="C223" s="3" t="s">
        <v>26</v>
      </c>
      <c r="D223" s="3" t="s">
        <v>2728</v>
      </c>
      <c r="E223" s="4" t="s">
        <v>22</v>
      </c>
      <c r="F223" s="43" t="s">
        <v>2666</v>
      </c>
      <c r="G223" s="4" t="s">
        <v>2201</v>
      </c>
      <c r="H223" s="43" t="s">
        <v>3007</v>
      </c>
      <c r="I223" s="4"/>
      <c r="J223" s="26" t="s">
        <v>16</v>
      </c>
      <c r="K223" s="27" t="s">
        <v>13</v>
      </c>
      <c r="L223" s="2" t="s">
        <v>3008</v>
      </c>
      <c r="M223" s="24"/>
      <c r="N223" s="4" t="s">
        <v>121</v>
      </c>
    </row>
    <row r="224" spans="1:14" ht="100.2" customHeight="1" thickTop="1" thickBot="1">
      <c r="A224" s="4">
        <v>222</v>
      </c>
      <c r="B224" s="52" t="s">
        <v>2022</v>
      </c>
      <c r="C224" s="3" t="s">
        <v>26</v>
      </c>
      <c r="D224" s="3" t="s">
        <v>1635</v>
      </c>
      <c r="E224" s="4" t="s">
        <v>21</v>
      </c>
      <c r="F224" s="43" t="s">
        <v>2679</v>
      </c>
      <c r="G224" s="4" t="s">
        <v>1761</v>
      </c>
      <c r="H224" s="43" t="s">
        <v>3009</v>
      </c>
      <c r="I224" s="4"/>
      <c r="J224" s="26" t="s">
        <v>16</v>
      </c>
      <c r="K224" s="27" t="s">
        <v>13</v>
      </c>
      <c r="L224" s="2" t="s">
        <v>3010</v>
      </c>
      <c r="M224" s="24"/>
      <c r="N224" s="4" t="s">
        <v>121</v>
      </c>
    </row>
    <row r="225" spans="1:14" ht="100.2" customHeight="1" thickTop="1" thickBot="1">
      <c r="A225" s="31">
        <v>223</v>
      </c>
      <c r="B225" s="52" t="s">
        <v>3011</v>
      </c>
      <c r="C225" s="3" t="s">
        <v>26</v>
      </c>
      <c r="D225" s="3" t="s">
        <v>1635</v>
      </c>
      <c r="E225" s="4" t="s">
        <v>21</v>
      </c>
      <c r="F225" s="43" t="s">
        <v>2679</v>
      </c>
      <c r="G225" s="4" t="s">
        <v>2680</v>
      </c>
      <c r="H225" s="43" t="s">
        <v>3012</v>
      </c>
      <c r="I225" s="4"/>
      <c r="J225" s="26" t="s">
        <v>16</v>
      </c>
      <c r="K225" s="27" t="s">
        <v>13</v>
      </c>
      <c r="L225" s="2" t="s">
        <v>3010</v>
      </c>
      <c r="M225" s="24"/>
      <c r="N225" s="4" t="s">
        <v>121</v>
      </c>
    </row>
    <row r="226" spans="1:14" ht="100.2" customHeight="1" thickTop="1" thickBot="1">
      <c r="A226" s="4">
        <v>224</v>
      </c>
      <c r="B226" s="52" t="s">
        <v>3013</v>
      </c>
      <c r="C226" s="3" t="s">
        <v>26</v>
      </c>
      <c r="D226" s="3" t="s">
        <v>1635</v>
      </c>
      <c r="E226" s="4" t="s">
        <v>21</v>
      </c>
      <c r="F226" s="43" t="s">
        <v>2652</v>
      </c>
      <c r="G226" s="4" t="s">
        <v>1816</v>
      </c>
      <c r="H226" s="43" t="s">
        <v>3014</v>
      </c>
      <c r="I226" s="4"/>
      <c r="J226" s="26" t="s">
        <v>16</v>
      </c>
      <c r="K226" s="27" t="s">
        <v>13</v>
      </c>
      <c r="L226" s="2" t="s">
        <v>3010</v>
      </c>
      <c r="M226" s="24"/>
      <c r="N226" s="4" t="s">
        <v>121</v>
      </c>
    </row>
    <row r="227" spans="1:14" ht="100.2" customHeight="1" thickTop="1" thickBot="1">
      <c r="A227" s="31">
        <v>225</v>
      </c>
      <c r="B227" s="52" t="s">
        <v>3015</v>
      </c>
      <c r="C227" s="3" t="s">
        <v>26</v>
      </c>
      <c r="D227" s="3" t="s">
        <v>2877</v>
      </c>
      <c r="E227" s="4" t="s">
        <v>21</v>
      </c>
      <c r="F227" s="43" t="s">
        <v>2679</v>
      </c>
      <c r="G227" s="4" t="s">
        <v>1761</v>
      </c>
      <c r="H227" s="43" t="s">
        <v>3016</v>
      </c>
      <c r="I227" s="4"/>
      <c r="J227" s="26" t="s">
        <v>16</v>
      </c>
      <c r="K227" s="27" t="s">
        <v>13</v>
      </c>
      <c r="L227" s="2" t="s">
        <v>3017</v>
      </c>
      <c r="M227" s="24"/>
      <c r="N227" s="4" t="s">
        <v>121</v>
      </c>
    </row>
    <row r="228" spans="1:14" ht="100.2" customHeight="1" thickTop="1" thickBot="1">
      <c r="A228" s="4">
        <v>226</v>
      </c>
      <c r="B228" s="52" t="s">
        <v>3018</v>
      </c>
      <c r="C228" s="3" t="s">
        <v>26</v>
      </c>
      <c r="D228" s="3" t="s">
        <v>1635</v>
      </c>
      <c r="E228" s="4" t="s">
        <v>21</v>
      </c>
      <c r="F228" s="43" t="s">
        <v>2661</v>
      </c>
      <c r="G228" s="4" t="s">
        <v>1821</v>
      </c>
      <c r="H228" s="43" t="s">
        <v>3019</v>
      </c>
      <c r="I228" s="4"/>
      <c r="J228" s="26" t="s">
        <v>16</v>
      </c>
      <c r="K228" s="27" t="s">
        <v>13</v>
      </c>
      <c r="L228" s="2" t="s">
        <v>3020</v>
      </c>
      <c r="M228" s="24"/>
      <c r="N228" s="4" t="s">
        <v>121</v>
      </c>
    </row>
    <row r="229" spans="1:14" ht="100.2" customHeight="1" thickTop="1" thickBot="1">
      <c r="A229" s="31">
        <v>227</v>
      </c>
      <c r="B229" s="52" t="s">
        <v>3021</v>
      </c>
      <c r="C229" s="3" t="s">
        <v>26</v>
      </c>
      <c r="D229" s="3" t="s">
        <v>2670</v>
      </c>
      <c r="E229" s="4" t="s">
        <v>21</v>
      </c>
      <c r="F229" s="43" t="s">
        <v>2661</v>
      </c>
      <c r="G229" s="4" t="s">
        <v>2250</v>
      </c>
      <c r="H229" s="43" t="s">
        <v>3022</v>
      </c>
      <c r="I229" s="4"/>
      <c r="J229" s="26" t="s">
        <v>16</v>
      </c>
      <c r="K229" s="27" t="s">
        <v>13</v>
      </c>
      <c r="L229" s="2" t="s">
        <v>3023</v>
      </c>
      <c r="M229" s="24"/>
      <c r="N229" s="4" t="s">
        <v>121</v>
      </c>
    </row>
    <row r="230" spans="1:14" ht="100.2" customHeight="1" thickTop="1" thickBot="1">
      <c r="A230" s="4">
        <v>228</v>
      </c>
      <c r="B230" s="52" t="s">
        <v>3024</v>
      </c>
      <c r="C230" s="3" t="s">
        <v>26</v>
      </c>
      <c r="D230" s="3" t="s">
        <v>2670</v>
      </c>
      <c r="E230" s="4" t="s">
        <v>21</v>
      </c>
      <c r="F230" s="43" t="s">
        <v>2777</v>
      </c>
      <c r="G230" s="4" t="s">
        <v>3025</v>
      </c>
      <c r="H230" s="43" t="s">
        <v>3026</v>
      </c>
      <c r="I230" s="4"/>
      <c r="J230" s="26" t="s">
        <v>16</v>
      </c>
      <c r="K230" s="27" t="s">
        <v>13</v>
      </c>
      <c r="L230" s="2" t="s">
        <v>3017</v>
      </c>
      <c r="M230" s="24"/>
      <c r="N230" s="4" t="s">
        <v>121</v>
      </c>
    </row>
    <row r="231" spans="1:14" ht="100.2" customHeight="1" thickTop="1" thickBot="1">
      <c r="A231" s="31">
        <v>229</v>
      </c>
      <c r="B231" s="52" t="s">
        <v>3027</v>
      </c>
      <c r="C231" s="3" t="s">
        <v>26</v>
      </c>
      <c r="D231" s="3" t="s">
        <v>2728</v>
      </c>
      <c r="E231" s="4" t="s">
        <v>22</v>
      </c>
      <c r="F231" s="43" t="s">
        <v>2652</v>
      </c>
      <c r="G231" s="4" t="s">
        <v>3028</v>
      </c>
      <c r="H231" s="43" t="s">
        <v>3029</v>
      </c>
      <c r="I231" s="4"/>
      <c r="J231" s="26" t="s">
        <v>16</v>
      </c>
      <c r="K231" s="27" t="s">
        <v>13</v>
      </c>
      <c r="L231" s="2" t="s">
        <v>3030</v>
      </c>
      <c r="M231" s="24"/>
      <c r="N231" s="4" t="s">
        <v>121</v>
      </c>
    </row>
    <row r="232" spans="1:14" ht="100.2" customHeight="1" thickTop="1" thickBot="1">
      <c r="A232" s="4">
        <v>230</v>
      </c>
      <c r="B232" s="52" t="s">
        <v>3031</v>
      </c>
      <c r="C232" s="3" t="s">
        <v>26</v>
      </c>
      <c r="D232" s="3" t="s">
        <v>2728</v>
      </c>
      <c r="E232" s="4" t="s">
        <v>22</v>
      </c>
      <c r="F232" s="43" t="s">
        <v>2661</v>
      </c>
      <c r="G232" s="4" t="s">
        <v>2250</v>
      </c>
      <c r="H232" s="43" t="s">
        <v>3032</v>
      </c>
      <c r="I232" s="4"/>
      <c r="J232" s="26" t="s">
        <v>16</v>
      </c>
      <c r="K232" s="27" t="s">
        <v>13</v>
      </c>
      <c r="L232" s="2" t="s">
        <v>3033</v>
      </c>
      <c r="M232" s="24"/>
      <c r="N232" s="4" t="s">
        <v>128</v>
      </c>
    </row>
    <row r="233" spans="1:14" ht="100.2" customHeight="1" thickTop="1" thickBot="1">
      <c r="A233" s="31">
        <v>231</v>
      </c>
      <c r="B233" s="52" t="s">
        <v>3033</v>
      </c>
      <c r="C233" s="3" t="s">
        <v>26</v>
      </c>
      <c r="D233" s="3" t="s">
        <v>2728</v>
      </c>
      <c r="E233" s="4" t="s">
        <v>22</v>
      </c>
      <c r="F233" s="43" t="s">
        <v>2661</v>
      </c>
      <c r="G233" s="4" t="s">
        <v>2250</v>
      </c>
      <c r="H233" s="43" t="s">
        <v>3034</v>
      </c>
      <c r="I233" s="4"/>
      <c r="J233" s="26" t="s">
        <v>16</v>
      </c>
      <c r="K233" s="27" t="s">
        <v>13</v>
      </c>
      <c r="L233" s="2" t="s">
        <v>3033</v>
      </c>
      <c r="M233" s="24"/>
      <c r="N233" s="4" t="s">
        <v>121</v>
      </c>
    </row>
    <row r="234" spans="1:14" ht="100.2" customHeight="1" thickTop="1" thickBot="1">
      <c r="A234" s="4">
        <v>232</v>
      </c>
      <c r="B234" s="52" t="s">
        <v>3035</v>
      </c>
      <c r="C234" s="3" t="s">
        <v>26</v>
      </c>
      <c r="D234" s="3" t="s">
        <v>2728</v>
      </c>
      <c r="E234" s="4" t="s">
        <v>22</v>
      </c>
      <c r="F234" s="43" t="s">
        <v>2652</v>
      </c>
      <c r="G234" s="4" t="s">
        <v>2947</v>
      </c>
      <c r="H234" s="43" t="s">
        <v>3036</v>
      </c>
      <c r="I234" s="4"/>
      <c r="J234" s="26" t="s">
        <v>16</v>
      </c>
      <c r="K234" s="27" t="s">
        <v>13</v>
      </c>
      <c r="L234" s="2" t="s">
        <v>3037</v>
      </c>
      <c r="M234" s="24"/>
      <c r="N234" s="4" t="s">
        <v>121</v>
      </c>
    </row>
    <row r="235" spans="1:14" ht="100.2" customHeight="1" thickTop="1" thickBot="1">
      <c r="A235" s="31">
        <v>233</v>
      </c>
      <c r="B235" s="52" t="s">
        <v>3038</v>
      </c>
      <c r="C235" s="3" t="s">
        <v>26</v>
      </c>
      <c r="D235" s="3" t="s">
        <v>2728</v>
      </c>
      <c r="E235" s="4" t="s">
        <v>22</v>
      </c>
      <c r="F235" s="43" t="s">
        <v>2661</v>
      </c>
      <c r="G235" s="4" t="s">
        <v>3039</v>
      </c>
      <c r="H235" s="43" t="s">
        <v>3040</v>
      </c>
      <c r="I235" s="4"/>
      <c r="J235" s="26" t="s">
        <v>16</v>
      </c>
      <c r="K235" s="27" t="s">
        <v>13</v>
      </c>
      <c r="L235" s="2" t="s">
        <v>3037</v>
      </c>
      <c r="M235" s="24"/>
      <c r="N235" s="4" t="s">
        <v>121</v>
      </c>
    </row>
    <row r="236" spans="1:14" ht="100.2" customHeight="1" thickTop="1" thickBot="1">
      <c r="A236" s="4">
        <v>234</v>
      </c>
      <c r="B236" s="52" t="s">
        <v>3041</v>
      </c>
      <c r="C236" s="3" t="s">
        <v>26</v>
      </c>
      <c r="D236" s="3" t="s">
        <v>1635</v>
      </c>
      <c r="E236" s="4" t="s">
        <v>21</v>
      </c>
      <c r="F236" s="43" t="s">
        <v>2652</v>
      </c>
      <c r="G236" s="4" t="s">
        <v>1816</v>
      </c>
      <c r="H236" s="43" t="s">
        <v>3042</v>
      </c>
      <c r="I236" s="4"/>
      <c r="J236" s="26" t="s">
        <v>16</v>
      </c>
      <c r="K236" s="27" t="s">
        <v>13</v>
      </c>
      <c r="L236" s="2" t="s">
        <v>3043</v>
      </c>
      <c r="M236" s="24"/>
      <c r="N236" s="4" t="s">
        <v>121</v>
      </c>
    </row>
    <row r="237" spans="1:14" ht="100.2" customHeight="1" thickTop="1" thickBot="1">
      <c r="A237" s="31">
        <v>235</v>
      </c>
      <c r="B237" s="52" t="s">
        <v>3044</v>
      </c>
      <c r="C237" s="3" t="s">
        <v>26</v>
      </c>
      <c r="D237" s="3" t="s">
        <v>2728</v>
      </c>
      <c r="E237" s="4" t="s">
        <v>22</v>
      </c>
      <c r="F237" s="43" t="s">
        <v>2661</v>
      </c>
      <c r="G237" s="4" t="s">
        <v>2201</v>
      </c>
      <c r="H237" s="43" t="s">
        <v>3045</v>
      </c>
      <c r="I237" s="4"/>
      <c r="J237" s="26" t="s">
        <v>16</v>
      </c>
      <c r="K237" s="27" t="s">
        <v>13</v>
      </c>
      <c r="L237" s="2" t="s">
        <v>3046</v>
      </c>
      <c r="M237" s="24"/>
      <c r="N237" s="4" t="s">
        <v>121</v>
      </c>
    </row>
    <row r="238" spans="1:14" ht="100.2" customHeight="1" thickTop="1" thickBot="1">
      <c r="A238" s="4">
        <v>236</v>
      </c>
      <c r="B238" s="52" t="s">
        <v>3047</v>
      </c>
      <c r="C238" s="3" t="s">
        <v>26</v>
      </c>
      <c r="D238" s="3" t="s">
        <v>2651</v>
      </c>
      <c r="E238" s="4" t="s">
        <v>21</v>
      </c>
      <c r="F238" s="43" t="s">
        <v>2652</v>
      </c>
      <c r="G238" s="4" t="s">
        <v>1761</v>
      </c>
      <c r="H238" s="43" t="s">
        <v>3048</v>
      </c>
      <c r="I238" s="4"/>
      <c r="J238" s="26" t="s">
        <v>16</v>
      </c>
      <c r="K238" s="27" t="s">
        <v>13</v>
      </c>
      <c r="L238" s="2"/>
      <c r="M238" s="24"/>
      <c r="N238" s="4" t="s">
        <v>121</v>
      </c>
    </row>
    <row r="239" spans="1:14" ht="100.2" customHeight="1" thickTop="1" thickBot="1">
      <c r="A239" s="31">
        <v>237</v>
      </c>
      <c r="B239" s="52" t="s">
        <v>3049</v>
      </c>
      <c r="C239" s="3" t="s">
        <v>26</v>
      </c>
      <c r="D239" s="3" t="s">
        <v>2877</v>
      </c>
      <c r="E239" s="4" t="s">
        <v>21</v>
      </c>
      <c r="F239" s="43" t="s">
        <v>2679</v>
      </c>
      <c r="G239" s="4" t="s">
        <v>1761</v>
      </c>
      <c r="H239" s="43" t="s">
        <v>3050</v>
      </c>
      <c r="I239" s="4"/>
      <c r="J239" s="26" t="s">
        <v>16</v>
      </c>
      <c r="K239" s="27" t="s">
        <v>13</v>
      </c>
      <c r="L239" s="2" t="s">
        <v>3051</v>
      </c>
      <c r="M239" s="24"/>
      <c r="N239" s="4" t="s">
        <v>121</v>
      </c>
    </row>
    <row r="240" spans="1:14" ht="100.2" customHeight="1" thickTop="1" thickBot="1">
      <c r="A240" s="4">
        <v>238</v>
      </c>
      <c r="B240" s="52" t="s">
        <v>3052</v>
      </c>
      <c r="C240" s="3" t="s">
        <v>26</v>
      </c>
      <c r="D240" s="3" t="s">
        <v>2881</v>
      </c>
      <c r="E240" s="4" t="s">
        <v>21</v>
      </c>
      <c r="F240" s="43" t="s">
        <v>2661</v>
      </c>
      <c r="G240" s="4" t="s">
        <v>1761</v>
      </c>
      <c r="H240" s="43" t="s">
        <v>3053</v>
      </c>
      <c r="I240" s="4"/>
      <c r="J240" s="26" t="s">
        <v>16</v>
      </c>
      <c r="K240" s="27" t="s">
        <v>13</v>
      </c>
      <c r="L240" s="2" t="s">
        <v>3054</v>
      </c>
      <c r="M240" s="24"/>
      <c r="N240" s="4" t="s">
        <v>121</v>
      </c>
    </row>
    <row r="241" spans="1:14" ht="100.2" customHeight="1" thickTop="1" thickBot="1">
      <c r="A241" s="31">
        <v>239</v>
      </c>
      <c r="B241" s="52" t="s">
        <v>3055</v>
      </c>
      <c r="C241" s="3" t="s">
        <v>26</v>
      </c>
      <c r="D241" s="3" t="s">
        <v>1635</v>
      </c>
      <c r="E241" s="4" t="s">
        <v>21</v>
      </c>
      <c r="F241" s="43" t="s">
        <v>2652</v>
      </c>
      <c r="G241" s="4" t="s">
        <v>1761</v>
      </c>
      <c r="H241" s="43" t="s">
        <v>3056</v>
      </c>
      <c r="I241" s="4"/>
      <c r="J241" s="26" t="s">
        <v>16</v>
      </c>
      <c r="K241" s="27" t="s">
        <v>750</v>
      </c>
      <c r="L241" s="2" t="s">
        <v>3057</v>
      </c>
      <c r="M241" s="24" t="s">
        <v>1667</v>
      </c>
      <c r="N241" s="4"/>
    </row>
    <row r="242" spans="1:14" ht="100.2" customHeight="1" thickTop="1" thickBot="1">
      <c r="A242" s="4">
        <v>240</v>
      </c>
      <c r="B242" s="52" t="s">
        <v>3058</v>
      </c>
      <c r="C242" s="3" t="s">
        <v>26</v>
      </c>
      <c r="D242" s="3" t="s">
        <v>2728</v>
      </c>
      <c r="E242" s="4" t="s">
        <v>22</v>
      </c>
      <c r="F242" s="43" t="s">
        <v>2661</v>
      </c>
      <c r="G242" s="4" t="s">
        <v>2201</v>
      </c>
      <c r="H242" s="43" t="s">
        <v>3059</v>
      </c>
      <c r="I242" s="4"/>
      <c r="J242" s="26" t="s">
        <v>16</v>
      </c>
      <c r="K242" s="27" t="s">
        <v>13</v>
      </c>
      <c r="L242" s="2" t="s">
        <v>3060</v>
      </c>
      <c r="M242" s="24"/>
      <c r="N242" s="4"/>
    </row>
    <row r="243" spans="1:14" ht="100.2" customHeight="1" thickTop="1" thickBot="1">
      <c r="A243" s="31">
        <v>241</v>
      </c>
      <c r="B243" s="52" t="s">
        <v>3061</v>
      </c>
      <c r="C243" s="3" t="s">
        <v>26</v>
      </c>
      <c r="D243" s="3" t="s">
        <v>2728</v>
      </c>
      <c r="E243" s="4" t="s">
        <v>22</v>
      </c>
      <c r="F243" s="43" t="s">
        <v>2652</v>
      </c>
      <c r="G243" s="4" t="s">
        <v>3062</v>
      </c>
      <c r="H243" s="43" t="s">
        <v>3063</v>
      </c>
      <c r="I243" s="4"/>
      <c r="J243" s="26" t="s">
        <v>16</v>
      </c>
      <c r="K243" s="27" t="s">
        <v>13</v>
      </c>
      <c r="L243" s="2" t="s">
        <v>3060</v>
      </c>
      <c r="M243" s="24"/>
      <c r="N243" s="4"/>
    </row>
    <row r="244" spans="1:14" ht="100.2" customHeight="1" thickTop="1" thickBot="1">
      <c r="A244" s="4">
        <v>242</v>
      </c>
      <c r="B244" s="52" t="s">
        <v>3064</v>
      </c>
      <c r="C244" s="3" t="s">
        <v>26</v>
      </c>
      <c r="D244" s="3" t="s">
        <v>2728</v>
      </c>
      <c r="E244" s="4" t="s">
        <v>22</v>
      </c>
      <c r="F244" s="43" t="s">
        <v>3065</v>
      </c>
      <c r="G244" s="4" t="s">
        <v>2201</v>
      </c>
      <c r="H244" s="43" t="s">
        <v>3066</v>
      </c>
      <c r="I244" s="4"/>
      <c r="J244" s="26" t="s">
        <v>16</v>
      </c>
      <c r="K244" s="27" t="s">
        <v>13</v>
      </c>
      <c r="L244" s="2" t="s">
        <v>3064</v>
      </c>
      <c r="M244" s="24"/>
      <c r="N244" s="4"/>
    </row>
    <row r="245" spans="1:14" ht="100.2" customHeight="1" thickTop="1" thickBot="1">
      <c r="A245" s="31">
        <v>243</v>
      </c>
      <c r="B245" s="52" t="s">
        <v>3067</v>
      </c>
      <c r="C245" s="3" t="s">
        <v>26</v>
      </c>
      <c r="D245" s="3" t="s">
        <v>1521</v>
      </c>
      <c r="E245" s="4" t="s">
        <v>22</v>
      </c>
      <c r="F245" s="43" t="s">
        <v>2652</v>
      </c>
      <c r="G245" s="4" t="s">
        <v>2239</v>
      </c>
      <c r="H245" s="43" t="s">
        <v>3068</v>
      </c>
      <c r="I245" s="4"/>
      <c r="J245" s="26" t="s">
        <v>16</v>
      </c>
      <c r="K245" s="27" t="s">
        <v>13</v>
      </c>
      <c r="L245" s="2" t="s">
        <v>3067</v>
      </c>
      <c r="M245" s="24"/>
      <c r="N245" s="4"/>
    </row>
    <row r="246" spans="1:14" ht="100.2" customHeight="1" thickTop="1" thickBot="1">
      <c r="A246" s="4">
        <v>244</v>
      </c>
      <c r="B246" s="52" t="s">
        <v>3069</v>
      </c>
      <c r="C246" s="3" t="s">
        <v>26</v>
      </c>
      <c r="D246" s="3" t="s">
        <v>1521</v>
      </c>
      <c r="E246" s="4" t="s">
        <v>22</v>
      </c>
      <c r="F246" s="43" t="s">
        <v>1502</v>
      </c>
      <c r="G246" s="4" t="s">
        <v>3070</v>
      </c>
      <c r="H246" s="43" t="s">
        <v>3071</v>
      </c>
      <c r="I246" s="4"/>
      <c r="J246" s="26" t="s">
        <v>74</v>
      </c>
      <c r="K246" s="27" t="s">
        <v>13</v>
      </c>
      <c r="L246" s="2" t="s">
        <v>2534</v>
      </c>
      <c r="M246" s="24" t="s">
        <v>3072</v>
      </c>
      <c r="N246" s="4"/>
    </row>
    <row r="247" spans="1:14" ht="100.2" customHeight="1" thickTop="1" thickBot="1">
      <c r="A247" s="31">
        <v>245</v>
      </c>
      <c r="B247" s="52" t="s">
        <v>3073</v>
      </c>
      <c r="C247" s="3" t="s">
        <v>26</v>
      </c>
      <c r="D247" s="3" t="s">
        <v>1626</v>
      </c>
      <c r="E247" s="4" t="s">
        <v>21</v>
      </c>
      <c r="F247" s="43" t="s">
        <v>2679</v>
      </c>
      <c r="G247" s="4" t="s">
        <v>3074</v>
      </c>
      <c r="H247" s="43" t="s">
        <v>3075</v>
      </c>
      <c r="I247" s="4"/>
      <c r="J247" s="26" t="s">
        <v>14</v>
      </c>
      <c r="K247" s="27" t="s">
        <v>13</v>
      </c>
      <c r="L247" s="2" t="s">
        <v>3076</v>
      </c>
      <c r="M247" s="24"/>
      <c r="N247" s="4"/>
    </row>
    <row r="248" spans="1:14" ht="100.2" customHeight="1" thickTop="1" thickBot="1">
      <c r="A248" s="4">
        <v>246</v>
      </c>
      <c r="B248" s="52" t="s">
        <v>3077</v>
      </c>
      <c r="C248" s="3" t="s">
        <v>26</v>
      </c>
      <c r="D248" s="3" t="s">
        <v>2651</v>
      </c>
      <c r="E248" s="4" t="s">
        <v>21</v>
      </c>
      <c r="F248" s="43" t="s">
        <v>2652</v>
      </c>
      <c r="G248" s="4" t="s">
        <v>1821</v>
      </c>
      <c r="H248" s="43" t="s">
        <v>3078</v>
      </c>
      <c r="I248" s="4"/>
      <c r="J248" s="26" t="s">
        <v>14</v>
      </c>
      <c r="K248" s="27" t="s">
        <v>13</v>
      </c>
      <c r="L248" s="2" t="s">
        <v>3079</v>
      </c>
      <c r="M248" s="24" t="s">
        <v>2659</v>
      </c>
      <c r="N248" s="4"/>
    </row>
    <row r="249" spans="1:14" ht="100.2" customHeight="1" thickTop="1" thickBot="1">
      <c r="A249" s="31">
        <v>247</v>
      </c>
      <c r="B249" s="52" t="s">
        <v>3080</v>
      </c>
      <c r="C249" s="3" t="s">
        <v>26</v>
      </c>
      <c r="D249" s="3" t="s">
        <v>1710</v>
      </c>
      <c r="E249" s="4" t="s">
        <v>22</v>
      </c>
      <c r="F249" s="43" t="s">
        <v>2666</v>
      </c>
      <c r="G249" s="4" t="s">
        <v>2201</v>
      </c>
      <c r="H249" s="43" t="s">
        <v>3081</v>
      </c>
      <c r="I249" s="4"/>
      <c r="J249" s="26" t="s">
        <v>14</v>
      </c>
      <c r="K249" s="27" t="s">
        <v>13</v>
      </c>
      <c r="L249" s="2" t="s">
        <v>3082</v>
      </c>
      <c r="M249" s="24"/>
      <c r="N249" s="4"/>
    </row>
    <row r="250" spans="1:14" ht="100.2" customHeight="1" thickTop="1" thickBot="1">
      <c r="A250" s="4">
        <v>248</v>
      </c>
      <c r="B250" s="52" t="s">
        <v>3083</v>
      </c>
      <c r="C250" s="3" t="s">
        <v>26</v>
      </c>
      <c r="D250" s="3" t="s">
        <v>3084</v>
      </c>
      <c r="E250" s="4" t="s">
        <v>21</v>
      </c>
      <c r="F250" s="43" t="s">
        <v>2661</v>
      </c>
      <c r="G250" s="4" t="s">
        <v>1816</v>
      </c>
      <c r="H250" s="43" t="s">
        <v>3085</v>
      </c>
      <c r="I250" s="4"/>
      <c r="J250" s="26" t="s">
        <v>14</v>
      </c>
      <c r="K250" s="27" t="s">
        <v>13</v>
      </c>
      <c r="L250" s="2" t="s">
        <v>2855</v>
      </c>
      <c r="M250" s="24" t="s">
        <v>1667</v>
      </c>
      <c r="N250" s="4"/>
    </row>
    <row r="251" spans="1:14" ht="100.2" customHeight="1" thickTop="1" thickBot="1">
      <c r="A251" s="31">
        <v>249</v>
      </c>
      <c r="B251" s="52" t="s">
        <v>1765</v>
      </c>
      <c r="C251" s="3" t="s">
        <v>26</v>
      </c>
      <c r="D251" s="3" t="s">
        <v>1626</v>
      </c>
      <c r="E251" s="4" t="s">
        <v>21</v>
      </c>
      <c r="F251" s="43" t="s">
        <v>2652</v>
      </c>
      <c r="G251" s="4" t="s">
        <v>2201</v>
      </c>
      <c r="H251" s="43" t="s">
        <v>3086</v>
      </c>
      <c r="I251" s="4"/>
      <c r="J251" s="26" t="s">
        <v>14</v>
      </c>
      <c r="K251" s="27" t="s">
        <v>13</v>
      </c>
      <c r="L251" s="2" t="s">
        <v>3087</v>
      </c>
      <c r="M251" s="24" t="s">
        <v>1742</v>
      </c>
      <c r="N251" s="4"/>
    </row>
    <row r="252" spans="1:14" ht="100.2" customHeight="1" thickTop="1" thickBot="1">
      <c r="A252" s="4">
        <v>250</v>
      </c>
      <c r="B252" s="52" t="s">
        <v>3088</v>
      </c>
      <c r="C252" s="3" t="s">
        <v>26</v>
      </c>
      <c r="D252" s="3" t="s">
        <v>2923</v>
      </c>
      <c r="E252" s="4" t="s">
        <v>21</v>
      </c>
      <c r="F252" s="43" t="s">
        <v>2666</v>
      </c>
      <c r="G252" s="4" t="s">
        <v>1761</v>
      </c>
      <c r="H252" s="43" t="s">
        <v>3089</v>
      </c>
      <c r="I252" s="4"/>
      <c r="J252" s="26" t="s">
        <v>14</v>
      </c>
      <c r="K252" s="27" t="s">
        <v>13</v>
      </c>
      <c r="L252" s="2" t="s">
        <v>3090</v>
      </c>
      <c r="M252" s="24"/>
      <c r="N252" s="4"/>
    </row>
    <row r="253" spans="1:14" ht="100.2" customHeight="1" thickTop="1" thickBot="1">
      <c r="A253" s="31">
        <v>251</v>
      </c>
      <c r="B253" s="52" t="s">
        <v>3091</v>
      </c>
      <c r="C253" s="3" t="s">
        <v>26</v>
      </c>
      <c r="D253" s="3" t="s">
        <v>2651</v>
      </c>
      <c r="E253" s="4" t="s">
        <v>21</v>
      </c>
      <c r="F253" s="43" t="s">
        <v>2652</v>
      </c>
      <c r="G253" s="4" t="s">
        <v>3092</v>
      </c>
      <c r="H253" s="43" t="s">
        <v>3093</v>
      </c>
      <c r="I253" s="4"/>
      <c r="J253" s="26" t="s">
        <v>14</v>
      </c>
      <c r="K253" s="27" t="s">
        <v>13</v>
      </c>
      <c r="L253" s="2" t="s">
        <v>3094</v>
      </c>
      <c r="M253" s="24"/>
      <c r="N253" s="4"/>
    </row>
    <row r="254" spans="1:14" ht="100.2" customHeight="1" thickTop="1" thickBot="1">
      <c r="A254" s="4">
        <v>252</v>
      </c>
      <c r="B254" s="52" t="s">
        <v>3095</v>
      </c>
      <c r="C254" s="3" t="s">
        <v>26</v>
      </c>
      <c r="D254" s="3" t="s">
        <v>2857</v>
      </c>
      <c r="E254" s="4" t="s">
        <v>21</v>
      </c>
      <c r="F254" s="43" t="s">
        <v>2666</v>
      </c>
      <c r="G254" s="4" t="s">
        <v>1821</v>
      </c>
      <c r="H254" s="43" t="s">
        <v>3096</v>
      </c>
      <c r="I254" s="4"/>
      <c r="J254" s="26" t="s">
        <v>14</v>
      </c>
      <c r="K254" s="27" t="s">
        <v>13</v>
      </c>
      <c r="L254" s="2" t="s">
        <v>3097</v>
      </c>
      <c r="M254" s="24"/>
      <c r="N254" s="4"/>
    </row>
    <row r="255" spans="1:14" ht="100.2" customHeight="1" thickTop="1" thickBot="1">
      <c r="A255" s="31">
        <v>253</v>
      </c>
      <c r="B255" s="52" t="s">
        <v>3098</v>
      </c>
      <c r="C255" s="3" t="s">
        <v>26</v>
      </c>
      <c r="D255" s="3" t="s">
        <v>169</v>
      </c>
      <c r="E255" s="4" t="s">
        <v>21</v>
      </c>
      <c r="F255" s="43" t="s">
        <v>2661</v>
      </c>
      <c r="G255" s="4" t="s">
        <v>1761</v>
      </c>
      <c r="H255" s="43" t="s">
        <v>3099</v>
      </c>
      <c r="I255" s="4"/>
      <c r="J255" s="26" t="s">
        <v>14</v>
      </c>
      <c r="K255" s="27" t="s">
        <v>13</v>
      </c>
      <c r="L255" s="2" t="s">
        <v>3097</v>
      </c>
      <c r="M255" s="24"/>
      <c r="N255" s="4" t="s">
        <v>129</v>
      </c>
    </row>
    <row r="256" spans="1:14" ht="100.2" customHeight="1" thickTop="1" thickBot="1">
      <c r="A256" s="4">
        <v>254</v>
      </c>
      <c r="B256" s="52" t="s">
        <v>3100</v>
      </c>
      <c r="C256" s="3" t="s">
        <v>26</v>
      </c>
      <c r="D256" s="3" t="s">
        <v>1626</v>
      </c>
      <c r="E256" s="4" t="s">
        <v>21</v>
      </c>
      <c r="F256" s="43" t="s">
        <v>2666</v>
      </c>
      <c r="G256" s="4" t="s">
        <v>1761</v>
      </c>
      <c r="H256" s="43" t="s">
        <v>3101</v>
      </c>
      <c r="I256" s="4"/>
      <c r="J256" s="26" t="s">
        <v>14</v>
      </c>
      <c r="K256" s="27" t="s">
        <v>13</v>
      </c>
      <c r="L256" s="2" t="s">
        <v>3102</v>
      </c>
      <c r="M256" s="24"/>
      <c r="N256" s="4" t="s">
        <v>129</v>
      </c>
    </row>
    <row r="257" spans="1:14" ht="100.2" customHeight="1" thickTop="1" thickBot="1">
      <c r="A257" s="31">
        <v>255</v>
      </c>
      <c r="B257" s="52" t="s">
        <v>3103</v>
      </c>
      <c r="C257" s="3" t="s">
        <v>26</v>
      </c>
      <c r="D257" s="3" t="s">
        <v>2877</v>
      </c>
      <c r="E257" s="4" t="s">
        <v>21</v>
      </c>
      <c r="F257" s="43" t="s">
        <v>2679</v>
      </c>
      <c r="G257" s="4" t="s">
        <v>1816</v>
      </c>
      <c r="H257" s="43" t="s">
        <v>3104</v>
      </c>
      <c r="I257" s="4"/>
      <c r="J257" s="26" t="s">
        <v>14</v>
      </c>
      <c r="K257" s="27" t="s">
        <v>13</v>
      </c>
      <c r="L257" s="2" t="s">
        <v>3105</v>
      </c>
      <c r="M257" s="24"/>
      <c r="N257" s="4" t="s">
        <v>121</v>
      </c>
    </row>
    <row r="258" spans="1:14" ht="100.2" customHeight="1" thickTop="1" thickBot="1">
      <c r="A258" s="4">
        <v>256</v>
      </c>
      <c r="B258" s="52" t="s">
        <v>3106</v>
      </c>
      <c r="C258" s="3" t="s">
        <v>26</v>
      </c>
      <c r="D258" s="3" t="s">
        <v>2689</v>
      </c>
      <c r="E258" s="4" t="s">
        <v>22</v>
      </c>
      <c r="F258" s="43" t="s">
        <v>2661</v>
      </c>
      <c r="G258" s="4" t="s">
        <v>2201</v>
      </c>
      <c r="H258" s="43" t="s">
        <v>3107</v>
      </c>
      <c r="I258" s="4"/>
      <c r="J258" s="26" t="s">
        <v>14</v>
      </c>
      <c r="K258" s="27" t="s">
        <v>13</v>
      </c>
      <c r="L258" s="2" t="s">
        <v>3108</v>
      </c>
      <c r="M258" s="24"/>
      <c r="N258" s="4" t="s">
        <v>121</v>
      </c>
    </row>
    <row r="259" spans="1:14" ht="100.2" customHeight="1" thickTop="1" thickBot="1">
      <c r="A259" s="31">
        <v>257</v>
      </c>
      <c r="B259" s="52" t="s">
        <v>3109</v>
      </c>
      <c r="C259" s="3" t="s">
        <v>26</v>
      </c>
      <c r="D259" s="3" t="s">
        <v>1694</v>
      </c>
      <c r="E259" s="4" t="s">
        <v>22</v>
      </c>
      <c r="F259" s="43" t="s">
        <v>2652</v>
      </c>
      <c r="G259" s="4" t="s">
        <v>1826</v>
      </c>
      <c r="H259" s="43" t="s">
        <v>3110</v>
      </c>
      <c r="I259" s="4"/>
      <c r="J259" s="26" t="s">
        <v>14</v>
      </c>
      <c r="K259" s="27" t="s">
        <v>13</v>
      </c>
      <c r="L259" s="2" t="s">
        <v>3111</v>
      </c>
      <c r="M259" s="24" t="s">
        <v>2908</v>
      </c>
      <c r="N259" s="4" t="s">
        <v>121</v>
      </c>
    </row>
    <row r="260" spans="1:14" ht="100.2" customHeight="1" thickTop="1" thickBot="1">
      <c r="A260" s="4">
        <v>258</v>
      </c>
      <c r="B260" s="52" t="s">
        <v>3112</v>
      </c>
      <c r="C260" s="3" t="s">
        <v>26</v>
      </c>
      <c r="D260" s="3" t="s">
        <v>1694</v>
      </c>
      <c r="E260" s="4" t="s">
        <v>22</v>
      </c>
      <c r="F260" s="43" t="s">
        <v>2652</v>
      </c>
      <c r="G260" s="4" t="s">
        <v>2174</v>
      </c>
      <c r="H260" s="43" t="s">
        <v>3113</v>
      </c>
      <c r="I260" s="4"/>
      <c r="J260" s="26" t="s">
        <v>14</v>
      </c>
      <c r="K260" s="27" t="s">
        <v>13</v>
      </c>
      <c r="L260" s="2" t="s">
        <v>3114</v>
      </c>
      <c r="M260" s="24" t="s">
        <v>2908</v>
      </c>
      <c r="N260" s="4" t="s">
        <v>121</v>
      </c>
    </row>
    <row r="261" spans="1:14" ht="100.2" customHeight="1" thickTop="1" thickBot="1">
      <c r="A261" s="31">
        <v>259</v>
      </c>
      <c r="B261" s="52" t="s">
        <v>3114</v>
      </c>
      <c r="C261" s="3" t="s">
        <v>26</v>
      </c>
      <c r="D261" s="3" t="s">
        <v>1694</v>
      </c>
      <c r="E261" s="4" t="s">
        <v>22</v>
      </c>
      <c r="F261" s="43" t="s">
        <v>2679</v>
      </c>
      <c r="G261" s="4" t="s">
        <v>1761</v>
      </c>
      <c r="H261" s="43" t="s">
        <v>3115</v>
      </c>
      <c r="I261" s="4"/>
      <c r="J261" s="26" t="s">
        <v>14</v>
      </c>
      <c r="K261" s="27" t="s">
        <v>13</v>
      </c>
      <c r="L261" s="2" t="s">
        <v>3116</v>
      </c>
      <c r="M261" s="24" t="s">
        <v>2908</v>
      </c>
      <c r="N261" s="4" t="s">
        <v>121</v>
      </c>
    </row>
    <row r="262" spans="1:14" ht="100.2" customHeight="1" thickTop="1" thickBot="1">
      <c r="A262" s="4">
        <v>260</v>
      </c>
      <c r="B262" s="52" t="s">
        <v>3117</v>
      </c>
      <c r="C262" s="3" t="s">
        <v>26</v>
      </c>
      <c r="D262" s="3" t="s">
        <v>1694</v>
      </c>
      <c r="E262" s="4" t="s">
        <v>22</v>
      </c>
      <c r="F262" s="43" t="s">
        <v>2652</v>
      </c>
      <c r="G262" s="4" t="s">
        <v>2887</v>
      </c>
      <c r="H262" s="43" t="s">
        <v>3118</v>
      </c>
      <c r="I262" s="4"/>
      <c r="J262" s="26" t="s">
        <v>14</v>
      </c>
      <c r="K262" s="27" t="s">
        <v>13</v>
      </c>
      <c r="L262" s="2" t="s">
        <v>3119</v>
      </c>
      <c r="M262" s="24" t="s">
        <v>2908</v>
      </c>
      <c r="N262" s="4" t="s">
        <v>121</v>
      </c>
    </row>
    <row r="263" spans="1:14" ht="100.2" customHeight="1" thickTop="1" thickBot="1">
      <c r="A263" s="31">
        <v>261</v>
      </c>
      <c r="B263" s="52" t="s">
        <v>3120</v>
      </c>
      <c r="C263" s="3" t="s">
        <v>26</v>
      </c>
      <c r="D263" s="3" t="s">
        <v>1694</v>
      </c>
      <c r="E263" s="4" t="s">
        <v>22</v>
      </c>
      <c r="F263" s="43" t="s">
        <v>3121</v>
      </c>
      <c r="G263" s="4" t="s">
        <v>3122</v>
      </c>
      <c r="H263" s="43" t="s">
        <v>3123</v>
      </c>
      <c r="I263" s="4"/>
      <c r="J263" s="26" t="s">
        <v>14</v>
      </c>
      <c r="K263" s="27" t="s">
        <v>13</v>
      </c>
      <c r="L263" s="2" t="s">
        <v>3119</v>
      </c>
      <c r="M263" s="24" t="s">
        <v>2908</v>
      </c>
      <c r="N263" s="4" t="s">
        <v>121</v>
      </c>
    </row>
    <row r="264" spans="1:14" ht="100.2" customHeight="1" thickTop="1" thickBot="1">
      <c r="A264" s="4">
        <v>262</v>
      </c>
      <c r="B264" s="52" t="s">
        <v>3124</v>
      </c>
      <c r="C264" s="3" t="s">
        <v>26</v>
      </c>
      <c r="D264" s="3" t="s">
        <v>2877</v>
      </c>
      <c r="E264" s="4" t="s">
        <v>21</v>
      </c>
      <c r="F264" s="43" t="s">
        <v>2679</v>
      </c>
      <c r="G264" s="4" t="s">
        <v>1761</v>
      </c>
      <c r="H264" s="43" t="s">
        <v>3125</v>
      </c>
      <c r="I264" s="4"/>
      <c r="J264" s="26" t="s">
        <v>14</v>
      </c>
      <c r="K264" s="27" t="s">
        <v>13</v>
      </c>
      <c r="L264" s="2" t="s">
        <v>3126</v>
      </c>
      <c r="M264" s="24"/>
      <c r="N264" s="4" t="s">
        <v>121</v>
      </c>
    </row>
    <row r="265" spans="1:14" ht="100.2" customHeight="1" thickTop="1" thickBot="1">
      <c r="A265" s="31">
        <v>263</v>
      </c>
      <c r="B265" s="52" t="s">
        <v>3127</v>
      </c>
      <c r="C265" s="3" t="s">
        <v>26</v>
      </c>
      <c r="D265" s="3" t="s">
        <v>2651</v>
      </c>
      <c r="E265" s="4" t="s">
        <v>21</v>
      </c>
      <c r="F265" s="43" t="s">
        <v>2652</v>
      </c>
      <c r="G265" s="4" t="s">
        <v>1761</v>
      </c>
      <c r="H265" s="43" t="s">
        <v>3128</v>
      </c>
      <c r="I265" s="4"/>
      <c r="J265" s="26" t="s">
        <v>14</v>
      </c>
      <c r="K265" s="27" t="s">
        <v>13</v>
      </c>
      <c r="L265" s="2" t="s">
        <v>3129</v>
      </c>
      <c r="M265" s="24"/>
      <c r="N265" s="4" t="s">
        <v>121</v>
      </c>
    </row>
    <row r="266" spans="1:14" ht="100.2" customHeight="1" thickTop="1" thickBot="1">
      <c r="A266" s="4">
        <v>264</v>
      </c>
      <c r="B266" s="52" t="s">
        <v>2706</v>
      </c>
      <c r="C266" s="3" t="s">
        <v>26</v>
      </c>
      <c r="D266" s="3" t="s">
        <v>1694</v>
      </c>
      <c r="E266" s="4" t="s">
        <v>22</v>
      </c>
      <c r="F266" s="43" t="s">
        <v>2661</v>
      </c>
      <c r="G266" s="4" t="s">
        <v>1761</v>
      </c>
      <c r="H266" s="43" t="s">
        <v>3130</v>
      </c>
      <c r="I266" s="4"/>
      <c r="J266" s="26" t="s">
        <v>14</v>
      </c>
      <c r="K266" s="27" t="s">
        <v>13</v>
      </c>
      <c r="L266" s="2" t="s">
        <v>3131</v>
      </c>
      <c r="M266" s="24"/>
      <c r="N266" s="4" t="s">
        <v>121</v>
      </c>
    </row>
    <row r="267" spans="1:14" ht="100.2" customHeight="1" thickTop="1" thickBot="1">
      <c r="A267" s="31">
        <v>265</v>
      </c>
      <c r="B267" s="52" t="s">
        <v>3132</v>
      </c>
      <c r="C267" s="3" t="s">
        <v>26</v>
      </c>
      <c r="D267" s="3" t="s">
        <v>1694</v>
      </c>
      <c r="E267" s="4" t="s">
        <v>22</v>
      </c>
      <c r="F267" s="43" t="s">
        <v>2661</v>
      </c>
      <c r="G267" s="4" t="s">
        <v>2887</v>
      </c>
      <c r="H267" s="43" t="s">
        <v>3133</v>
      </c>
      <c r="I267" s="4"/>
      <c r="J267" s="26" t="s">
        <v>14</v>
      </c>
      <c r="K267" s="27" t="s">
        <v>13</v>
      </c>
      <c r="L267" s="2" t="s">
        <v>3134</v>
      </c>
      <c r="M267" s="24"/>
      <c r="N267" s="4" t="s">
        <v>121</v>
      </c>
    </row>
    <row r="268" spans="1:14" ht="100.2" customHeight="1" thickTop="1" thickBot="1">
      <c r="A268" s="4">
        <v>266</v>
      </c>
      <c r="B268" s="52" t="s">
        <v>3135</v>
      </c>
      <c r="C268" s="3" t="s">
        <v>26</v>
      </c>
      <c r="D268" s="3" t="s">
        <v>1694</v>
      </c>
      <c r="E268" s="4" t="s">
        <v>22</v>
      </c>
      <c r="F268" s="43" t="s">
        <v>2679</v>
      </c>
      <c r="G268" s="4" t="s">
        <v>1761</v>
      </c>
      <c r="H268" s="43" t="s">
        <v>3136</v>
      </c>
      <c r="I268" s="4"/>
      <c r="J268" s="26" t="s">
        <v>14</v>
      </c>
      <c r="K268" s="27" t="s">
        <v>13</v>
      </c>
      <c r="L268" s="2" t="s">
        <v>3134</v>
      </c>
      <c r="M268" s="24"/>
      <c r="N268" s="4" t="s">
        <v>121</v>
      </c>
    </row>
    <row r="269" spans="1:14" ht="100.2" customHeight="1" thickTop="1" thickBot="1">
      <c r="A269" s="31">
        <v>267</v>
      </c>
      <c r="B269" s="52" t="s">
        <v>3135</v>
      </c>
      <c r="C269" s="3" t="s">
        <v>26</v>
      </c>
      <c r="D269" s="3" t="s">
        <v>1694</v>
      </c>
      <c r="E269" s="4" t="s">
        <v>22</v>
      </c>
      <c r="F269" s="43" t="s">
        <v>2652</v>
      </c>
      <c r="G269" s="4" t="s">
        <v>1826</v>
      </c>
      <c r="H269" s="43" t="s">
        <v>3137</v>
      </c>
      <c r="I269" s="4"/>
      <c r="J269" s="26" t="s">
        <v>14</v>
      </c>
      <c r="K269" s="27" t="s">
        <v>13</v>
      </c>
      <c r="L269" s="2" t="s">
        <v>3134</v>
      </c>
      <c r="M269" s="24"/>
      <c r="N269" s="4" t="s">
        <v>121</v>
      </c>
    </row>
    <row r="270" spans="1:14" ht="100.2" customHeight="1" thickTop="1" thickBot="1">
      <c r="A270" s="4">
        <v>268</v>
      </c>
      <c r="B270" s="52" t="s">
        <v>3138</v>
      </c>
      <c r="C270" s="3" t="s">
        <v>26</v>
      </c>
      <c r="D270" s="3" t="s">
        <v>1694</v>
      </c>
      <c r="E270" s="4" t="s">
        <v>22</v>
      </c>
      <c r="F270" s="43" t="s">
        <v>2679</v>
      </c>
      <c r="G270" s="4" t="s">
        <v>3139</v>
      </c>
      <c r="H270" s="43" t="s">
        <v>3140</v>
      </c>
      <c r="I270" s="4"/>
      <c r="J270" s="26" t="s">
        <v>14</v>
      </c>
      <c r="K270" s="27" t="s">
        <v>13</v>
      </c>
      <c r="L270" s="2" t="s">
        <v>3141</v>
      </c>
      <c r="M270" s="24"/>
      <c r="N270" s="4" t="s">
        <v>124</v>
      </c>
    </row>
    <row r="271" spans="1:14" ht="100.2" customHeight="1" thickTop="1" thickBot="1">
      <c r="A271" s="31">
        <v>269</v>
      </c>
      <c r="B271" s="52" t="s">
        <v>3142</v>
      </c>
      <c r="C271" s="3" t="s">
        <v>26</v>
      </c>
      <c r="D271" s="3" t="s">
        <v>2678</v>
      </c>
      <c r="E271" s="4" t="s">
        <v>22</v>
      </c>
      <c r="F271" s="43" t="s">
        <v>2652</v>
      </c>
      <c r="G271" s="4" t="s">
        <v>2201</v>
      </c>
      <c r="H271" s="43" t="s">
        <v>3143</v>
      </c>
      <c r="I271" s="4"/>
      <c r="J271" s="26" t="s">
        <v>14</v>
      </c>
      <c r="K271" s="27" t="s">
        <v>13</v>
      </c>
      <c r="L271" s="2" t="s">
        <v>3144</v>
      </c>
      <c r="M271" s="24" t="s">
        <v>2711</v>
      </c>
      <c r="N271" s="4" t="s">
        <v>121</v>
      </c>
    </row>
    <row r="272" spans="1:14" ht="100.2" customHeight="1" thickTop="1" thickBot="1">
      <c r="A272" s="4">
        <v>270</v>
      </c>
      <c r="B272" s="52" t="s">
        <v>3145</v>
      </c>
      <c r="C272" s="3" t="s">
        <v>26</v>
      </c>
      <c r="D272" s="3" t="s">
        <v>2678</v>
      </c>
      <c r="E272" s="4" t="s">
        <v>22</v>
      </c>
      <c r="F272" s="43" t="s">
        <v>2652</v>
      </c>
      <c r="G272" s="4" t="s">
        <v>3146</v>
      </c>
      <c r="H272" s="43" t="s">
        <v>3147</v>
      </c>
      <c r="I272" s="4"/>
      <c r="J272" s="26" t="s">
        <v>14</v>
      </c>
      <c r="K272" s="27" t="s">
        <v>13</v>
      </c>
      <c r="L272" s="2" t="s">
        <v>3148</v>
      </c>
      <c r="M272" s="24" t="s">
        <v>2711</v>
      </c>
      <c r="N272" s="4" t="s">
        <v>121</v>
      </c>
    </row>
    <row r="273" spans="1:14" ht="100.2" customHeight="1" thickTop="1" thickBot="1">
      <c r="A273" s="31">
        <v>271</v>
      </c>
      <c r="B273" s="52" t="s">
        <v>3149</v>
      </c>
      <c r="C273" s="3" t="s">
        <v>26</v>
      </c>
      <c r="D273" s="3" t="s">
        <v>2728</v>
      </c>
      <c r="E273" s="4" t="s">
        <v>22</v>
      </c>
      <c r="F273" s="43" t="s">
        <v>2652</v>
      </c>
      <c r="G273" s="4" t="s">
        <v>1761</v>
      </c>
      <c r="H273" s="43" t="s">
        <v>3150</v>
      </c>
      <c r="I273" s="4"/>
      <c r="J273" s="26" t="s">
        <v>14</v>
      </c>
      <c r="K273" s="27" t="s">
        <v>13</v>
      </c>
      <c r="L273" s="2" t="s">
        <v>3151</v>
      </c>
      <c r="M273" s="24" t="s">
        <v>3152</v>
      </c>
      <c r="N273" s="4" t="s">
        <v>121</v>
      </c>
    </row>
    <row r="274" spans="1:14" ht="100.2" customHeight="1" thickTop="1" thickBot="1">
      <c r="A274" s="4">
        <v>272</v>
      </c>
      <c r="B274" s="52" t="s">
        <v>3151</v>
      </c>
      <c r="C274" s="3" t="s">
        <v>26</v>
      </c>
      <c r="D274" s="3" t="s">
        <v>2728</v>
      </c>
      <c r="E274" s="4" t="s">
        <v>22</v>
      </c>
      <c r="F274" s="43" t="s">
        <v>3153</v>
      </c>
      <c r="G274" s="4" t="s">
        <v>2201</v>
      </c>
      <c r="H274" s="43" t="s">
        <v>3154</v>
      </c>
      <c r="I274" s="4"/>
      <c r="J274" s="26" t="s">
        <v>14</v>
      </c>
      <c r="K274" s="27" t="s">
        <v>13</v>
      </c>
      <c r="L274" s="2" t="s">
        <v>3151</v>
      </c>
      <c r="M274" s="24" t="s">
        <v>3152</v>
      </c>
      <c r="N274" s="4" t="s">
        <v>121</v>
      </c>
    </row>
    <row r="275" spans="1:14" ht="100.2" customHeight="1" thickTop="1" thickBot="1">
      <c r="A275" s="31">
        <v>273</v>
      </c>
      <c r="B275" s="52" t="s">
        <v>3155</v>
      </c>
      <c r="C275" s="3" t="s">
        <v>26</v>
      </c>
      <c r="D275" s="3" t="s">
        <v>1626</v>
      </c>
      <c r="E275" s="4" t="s">
        <v>21</v>
      </c>
      <c r="F275" s="43" t="s">
        <v>2661</v>
      </c>
      <c r="G275" s="4" t="s">
        <v>1821</v>
      </c>
      <c r="H275" s="43" t="s">
        <v>3156</v>
      </c>
      <c r="I275" s="4"/>
      <c r="J275" s="26" t="s">
        <v>14</v>
      </c>
      <c r="K275" s="27" t="s">
        <v>13</v>
      </c>
      <c r="L275" s="2" t="s">
        <v>3157</v>
      </c>
      <c r="M275" s="24"/>
      <c r="N275" s="4" t="s">
        <v>121</v>
      </c>
    </row>
    <row r="276" spans="1:14" ht="100.2" customHeight="1" thickTop="1" thickBot="1">
      <c r="A276" s="4">
        <v>274</v>
      </c>
      <c r="B276" s="52" t="s">
        <v>3158</v>
      </c>
      <c r="C276" s="3" t="s">
        <v>26</v>
      </c>
      <c r="D276" s="3" t="s">
        <v>2728</v>
      </c>
      <c r="E276" s="4" t="s">
        <v>22</v>
      </c>
      <c r="F276" s="43" t="s">
        <v>2679</v>
      </c>
      <c r="G276" s="4" t="s">
        <v>2680</v>
      </c>
      <c r="H276" s="43" t="s">
        <v>3159</v>
      </c>
      <c r="I276" s="4"/>
      <c r="J276" s="26" t="s">
        <v>14</v>
      </c>
      <c r="K276" s="27" t="s">
        <v>13</v>
      </c>
      <c r="L276" s="2" t="s">
        <v>3160</v>
      </c>
      <c r="M276" s="24"/>
      <c r="N276" s="4" t="s">
        <v>121</v>
      </c>
    </row>
    <row r="277" spans="1:14" ht="100.2" customHeight="1" thickTop="1" thickBot="1">
      <c r="A277" s="31">
        <v>275</v>
      </c>
      <c r="B277" s="52" t="s">
        <v>3161</v>
      </c>
      <c r="C277" s="3" t="s">
        <v>26</v>
      </c>
      <c r="D277" s="3" t="s">
        <v>2728</v>
      </c>
      <c r="E277" s="4" t="s">
        <v>22</v>
      </c>
      <c r="F277" s="43" t="s">
        <v>2652</v>
      </c>
      <c r="G277" s="4" t="s">
        <v>1761</v>
      </c>
      <c r="H277" s="43" t="s">
        <v>3162</v>
      </c>
      <c r="I277" s="4"/>
      <c r="J277" s="26" t="s">
        <v>14</v>
      </c>
      <c r="K277" s="27" t="s">
        <v>13</v>
      </c>
      <c r="L277" s="2" t="s">
        <v>3160</v>
      </c>
      <c r="M277" s="24"/>
      <c r="N277" s="4" t="s">
        <v>121</v>
      </c>
    </row>
    <row r="278" spans="1:14" ht="100.2" customHeight="1" thickTop="1" thickBot="1">
      <c r="A278" s="4">
        <v>276</v>
      </c>
      <c r="B278" s="52" t="s">
        <v>3163</v>
      </c>
      <c r="C278" s="3" t="s">
        <v>26</v>
      </c>
      <c r="D278" s="3" t="s">
        <v>2728</v>
      </c>
      <c r="E278" s="4" t="s">
        <v>22</v>
      </c>
      <c r="F278" s="43" t="s">
        <v>2661</v>
      </c>
      <c r="G278" s="4" t="s">
        <v>2201</v>
      </c>
      <c r="H278" s="43" t="s">
        <v>3164</v>
      </c>
      <c r="I278" s="4"/>
      <c r="J278" s="26" t="s">
        <v>14</v>
      </c>
      <c r="K278" s="27" t="s">
        <v>13</v>
      </c>
      <c r="L278" s="2" t="s">
        <v>3160</v>
      </c>
      <c r="M278" s="24"/>
      <c r="N278" s="4" t="s">
        <v>121</v>
      </c>
    </row>
    <row r="279" spans="1:14" ht="100.2" customHeight="1" thickTop="1" thickBot="1">
      <c r="A279" s="31">
        <v>277</v>
      </c>
      <c r="B279" s="52" t="s">
        <v>3165</v>
      </c>
      <c r="C279" s="3" t="s">
        <v>26</v>
      </c>
      <c r="D279" s="3" t="s">
        <v>2728</v>
      </c>
      <c r="E279" s="4" t="s">
        <v>22</v>
      </c>
      <c r="F279" s="43" t="s">
        <v>2661</v>
      </c>
      <c r="G279" s="4" t="s">
        <v>1761</v>
      </c>
      <c r="H279" s="43" t="s">
        <v>3166</v>
      </c>
      <c r="I279" s="4"/>
      <c r="J279" s="26" t="s">
        <v>14</v>
      </c>
      <c r="K279" s="27" t="s">
        <v>13</v>
      </c>
      <c r="L279" s="2" t="s">
        <v>3160</v>
      </c>
      <c r="M279" s="24"/>
      <c r="N279" s="4" t="s">
        <v>121</v>
      </c>
    </row>
    <row r="280" spans="1:14" ht="100.2" customHeight="1" thickTop="1" thickBot="1">
      <c r="A280" s="4">
        <v>278</v>
      </c>
      <c r="B280" s="52" t="s">
        <v>3167</v>
      </c>
      <c r="C280" s="3" t="s">
        <v>26</v>
      </c>
      <c r="D280" s="3" t="s">
        <v>2728</v>
      </c>
      <c r="E280" s="4" t="s">
        <v>22</v>
      </c>
      <c r="F280" s="43" t="s">
        <v>2666</v>
      </c>
      <c r="G280" s="4" t="s">
        <v>1821</v>
      </c>
      <c r="H280" s="43" t="s">
        <v>3168</v>
      </c>
      <c r="I280" s="4"/>
      <c r="J280" s="26" t="s">
        <v>14</v>
      </c>
      <c r="K280" s="27" t="s">
        <v>13</v>
      </c>
      <c r="L280" s="2" t="s">
        <v>3169</v>
      </c>
      <c r="M280" s="24"/>
      <c r="N280" s="4" t="s">
        <v>121</v>
      </c>
    </row>
    <row r="281" spans="1:14" ht="100.2" customHeight="1" thickTop="1" thickBot="1">
      <c r="A281" s="31">
        <v>279</v>
      </c>
      <c r="B281" s="52" t="s">
        <v>3169</v>
      </c>
      <c r="C281" s="3" t="s">
        <v>26</v>
      </c>
      <c r="D281" s="3" t="s">
        <v>2728</v>
      </c>
      <c r="E281" s="4" t="s">
        <v>22</v>
      </c>
      <c r="F281" s="43" t="s">
        <v>2666</v>
      </c>
      <c r="G281" s="4" t="s">
        <v>1821</v>
      </c>
      <c r="H281" s="43" t="s">
        <v>3170</v>
      </c>
      <c r="I281" s="4"/>
      <c r="J281" s="26" t="s">
        <v>14</v>
      </c>
      <c r="K281" s="27" t="s">
        <v>13</v>
      </c>
      <c r="L281" s="2" t="s">
        <v>3171</v>
      </c>
      <c r="M281" s="24"/>
      <c r="N281" s="4" t="s">
        <v>121</v>
      </c>
    </row>
    <row r="282" spans="1:14" ht="100.2" customHeight="1" thickTop="1" thickBot="1">
      <c r="A282" s="4">
        <v>280</v>
      </c>
      <c r="B282" s="52" t="s">
        <v>3172</v>
      </c>
      <c r="C282" s="3" t="s">
        <v>26</v>
      </c>
      <c r="D282" s="3" t="s">
        <v>2728</v>
      </c>
      <c r="E282" s="4" t="s">
        <v>22</v>
      </c>
      <c r="F282" s="43" t="s">
        <v>2652</v>
      </c>
      <c r="G282" s="4" t="s">
        <v>3173</v>
      </c>
      <c r="H282" s="43" t="s">
        <v>3174</v>
      </c>
      <c r="I282" s="4"/>
      <c r="J282" s="26" t="s">
        <v>14</v>
      </c>
      <c r="K282" s="27" t="s">
        <v>13</v>
      </c>
      <c r="L282" s="2" t="s">
        <v>3172</v>
      </c>
      <c r="M282" s="24"/>
      <c r="N282" s="4" t="s">
        <v>121</v>
      </c>
    </row>
    <row r="283" spans="1:14" ht="100.2" customHeight="1" thickTop="1" thickBot="1">
      <c r="A283" s="31">
        <v>281</v>
      </c>
      <c r="B283" s="52" t="s">
        <v>3175</v>
      </c>
      <c r="C283" s="3" t="s">
        <v>26</v>
      </c>
      <c r="D283" s="3" t="s">
        <v>2728</v>
      </c>
      <c r="E283" s="4" t="s">
        <v>22</v>
      </c>
      <c r="F283" s="43" t="s">
        <v>2679</v>
      </c>
      <c r="G283" s="4" t="s">
        <v>2680</v>
      </c>
      <c r="H283" s="43" t="s">
        <v>3176</v>
      </c>
      <c r="I283" s="4"/>
      <c r="J283" s="26" t="s">
        <v>14</v>
      </c>
      <c r="K283" s="27" t="s">
        <v>13</v>
      </c>
      <c r="L283" s="2" t="s">
        <v>3177</v>
      </c>
      <c r="M283" s="24"/>
      <c r="N283" s="4" t="s">
        <v>121</v>
      </c>
    </row>
    <row r="284" spans="1:14" ht="150" customHeight="1" thickTop="1" thickBot="1">
      <c r="A284" s="4">
        <v>282</v>
      </c>
      <c r="B284" s="52" t="s">
        <v>3177</v>
      </c>
      <c r="C284" s="3" t="s">
        <v>26</v>
      </c>
      <c r="D284" s="3" t="s">
        <v>2728</v>
      </c>
      <c r="E284" s="4" t="s">
        <v>22</v>
      </c>
      <c r="F284" s="43" t="s">
        <v>2652</v>
      </c>
      <c r="G284" s="4" t="s">
        <v>2201</v>
      </c>
      <c r="H284" s="43" t="s">
        <v>3178</v>
      </c>
      <c r="I284" s="4"/>
      <c r="J284" s="26" t="s">
        <v>14</v>
      </c>
      <c r="K284" s="27" t="s">
        <v>13</v>
      </c>
      <c r="L284" s="2" t="s">
        <v>3177</v>
      </c>
      <c r="M284" s="24"/>
      <c r="N284" s="4" t="s">
        <v>121</v>
      </c>
    </row>
    <row r="285" spans="1:14" ht="100.2" customHeight="1" thickTop="1" thickBot="1">
      <c r="A285" s="31">
        <v>283</v>
      </c>
      <c r="B285" s="52" t="s">
        <v>3179</v>
      </c>
      <c r="C285" s="3" t="s">
        <v>26</v>
      </c>
      <c r="D285" s="3" t="s">
        <v>1635</v>
      </c>
      <c r="E285" s="4" t="s">
        <v>21</v>
      </c>
      <c r="F285" s="43" t="s">
        <v>3180</v>
      </c>
      <c r="G285" s="4" t="s">
        <v>213</v>
      </c>
      <c r="H285" s="43" t="s">
        <v>3181</v>
      </c>
      <c r="I285" s="4"/>
      <c r="J285" s="26" t="s">
        <v>14</v>
      </c>
      <c r="K285" s="27" t="s">
        <v>13</v>
      </c>
      <c r="L285" s="2" t="s">
        <v>3182</v>
      </c>
      <c r="M285" s="24"/>
      <c r="N285" s="4" t="s">
        <v>121</v>
      </c>
    </row>
    <row r="286" spans="1:14" ht="100.2" customHeight="1" thickTop="1" thickBot="1">
      <c r="A286" s="4">
        <v>284</v>
      </c>
      <c r="B286" s="52" t="s">
        <v>3183</v>
      </c>
      <c r="C286" s="3" t="s">
        <v>26</v>
      </c>
      <c r="D286" s="3" t="s">
        <v>2728</v>
      </c>
      <c r="E286" s="4" t="s">
        <v>22</v>
      </c>
      <c r="F286" s="43" t="s">
        <v>2652</v>
      </c>
      <c r="G286" s="4" t="s">
        <v>1826</v>
      </c>
      <c r="H286" s="43" t="s">
        <v>3184</v>
      </c>
      <c r="I286" s="4"/>
      <c r="J286" s="26" t="s">
        <v>14</v>
      </c>
      <c r="K286" s="27" t="s">
        <v>13</v>
      </c>
      <c r="L286" s="2" t="s">
        <v>3185</v>
      </c>
      <c r="M286" s="24"/>
      <c r="N286" s="4" t="s">
        <v>121</v>
      </c>
    </row>
    <row r="287" spans="1:14" ht="100.2" customHeight="1" thickTop="1" thickBot="1">
      <c r="A287" s="31">
        <v>285</v>
      </c>
      <c r="B287" s="52" t="s">
        <v>3186</v>
      </c>
      <c r="C287" s="3" t="s">
        <v>26</v>
      </c>
      <c r="D287" s="3" t="s">
        <v>2728</v>
      </c>
      <c r="E287" s="4" t="s">
        <v>22</v>
      </c>
      <c r="F287" s="43" t="s">
        <v>2652</v>
      </c>
      <c r="G287" s="4" t="s">
        <v>2757</v>
      </c>
      <c r="H287" s="43" t="s">
        <v>3187</v>
      </c>
      <c r="I287" s="4"/>
      <c r="J287" s="26" t="s">
        <v>14</v>
      </c>
      <c r="K287" s="27" t="s">
        <v>13</v>
      </c>
      <c r="L287" s="2" t="s">
        <v>3188</v>
      </c>
      <c r="M287" s="24"/>
      <c r="N287" s="4" t="s">
        <v>121</v>
      </c>
    </row>
    <row r="288" spans="1:14" ht="100.2" customHeight="1" thickTop="1" thickBot="1">
      <c r="A288" s="4">
        <v>286</v>
      </c>
      <c r="B288" s="52" t="s">
        <v>3189</v>
      </c>
      <c r="C288" s="3" t="s">
        <v>26</v>
      </c>
      <c r="D288" s="3" t="s">
        <v>2728</v>
      </c>
      <c r="E288" s="4" t="s">
        <v>22</v>
      </c>
      <c r="F288" s="43" t="s">
        <v>2679</v>
      </c>
      <c r="G288" s="4" t="s">
        <v>1826</v>
      </c>
      <c r="H288" s="43" t="s">
        <v>3190</v>
      </c>
      <c r="I288" s="4"/>
      <c r="J288" s="26" t="s">
        <v>14</v>
      </c>
      <c r="K288" s="27" t="s">
        <v>13</v>
      </c>
      <c r="L288" s="2" t="s">
        <v>3189</v>
      </c>
      <c r="M288" s="24" t="s">
        <v>3191</v>
      </c>
      <c r="N288" s="4" t="s">
        <v>130</v>
      </c>
    </row>
    <row r="289" spans="1:14" ht="100.2" customHeight="1" thickTop="1" thickBot="1">
      <c r="A289" s="31">
        <v>287</v>
      </c>
      <c r="B289" s="52" t="s">
        <v>3192</v>
      </c>
      <c r="C289" s="3" t="s">
        <v>26</v>
      </c>
      <c r="D289" s="3" t="s">
        <v>2728</v>
      </c>
      <c r="E289" s="4" t="s">
        <v>22</v>
      </c>
      <c r="F289" s="43" t="s">
        <v>2652</v>
      </c>
      <c r="G289" s="4" t="s">
        <v>3193</v>
      </c>
      <c r="H289" s="43" t="s">
        <v>3194</v>
      </c>
      <c r="I289" s="4"/>
      <c r="J289" s="26" t="s">
        <v>14</v>
      </c>
      <c r="K289" s="27" t="s">
        <v>13</v>
      </c>
      <c r="L289" s="2" t="s">
        <v>3195</v>
      </c>
      <c r="M289" s="24" t="s">
        <v>3196</v>
      </c>
      <c r="N289" s="4" t="s">
        <v>130</v>
      </c>
    </row>
    <row r="290" spans="1:14" ht="100.2" customHeight="1" thickTop="1" thickBot="1">
      <c r="A290" s="4">
        <v>288</v>
      </c>
      <c r="B290" s="52" t="s">
        <v>3197</v>
      </c>
      <c r="C290" s="3" t="s">
        <v>26</v>
      </c>
      <c r="D290" s="3" t="s">
        <v>2728</v>
      </c>
      <c r="E290" s="4" t="s">
        <v>22</v>
      </c>
      <c r="F290" s="43" t="s">
        <v>2666</v>
      </c>
      <c r="G290" s="4" t="s">
        <v>1821</v>
      </c>
      <c r="H290" s="43" t="s">
        <v>3198</v>
      </c>
      <c r="I290" s="4"/>
      <c r="J290" s="26" t="s">
        <v>14</v>
      </c>
      <c r="K290" s="27" t="s">
        <v>13</v>
      </c>
      <c r="L290" s="2" t="s">
        <v>3199</v>
      </c>
      <c r="M290" s="24"/>
      <c r="N290" s="4" t="s">
        <v>121</v>
      </c>
    </row>
    <row r="291" spans="1:14" ht="100.2" customHeight="1" thickTop="1" thickBot="1">
      <c r="A291" s="31">
        <v>289</v>
      </c>
      <c r="B291" s="52" t="s">
        <v>2753</v>
      </c>
      <c r="C291" s="3" t="s">
        <v>26</v>
      </c>
      <c r="D291" s="3" t="s">
        <v>2728</v>
      </c>
      <c r="E291" s="4" t="s">
        <v>22</v>
      </c>
      <c r="F291" s="43" t="s">
        <v>2666</v>
      </c>
      <c r="G291" s="4" t="s">
        <v>1826</v>
      </c>
      <c r="H291" s="43" t="s">
        <v>3200</v>
      </c>
      <c r="I291" s="4"/>
      <c r="J291" s="26" t="s">
        <v>14</v>
      </c>
      <c r="K291" s="27" t="s">
        <v>13</v>
      </c>
      <c r="L291" s="2" t="s">
        <v>2753</v>
      </c>
      <c r="M291" s="24"/>
      <c r="N291" s="4" t="s">
        <v>121</v>
      </c>
    </row>
    <row r="292" spans="1:14" ht="100.2" customHeight="1" thickTop="1" thickBot="1">
      <c r="A292" s="4">
        <v>290</v>
      </c>
      <c r="B292" s="52" t="s">
        <v>3201</v>
      </c>
      <c r="C292" s="3" t="s">
        <v>26</v>
      </c>
      <c r="D292" s="3" t="s">
        <v>2728</v>
      </c>
      <c r="E292" s="4" t="s">
        <v>22</v>
      </c>
      <c r="F292" s="43" t="s">
        <v>2652</v>
      </c>
      <c r="G292" s="4" t="s">
        <v>2947</v>
      </c>
      <c r="H292" s="43" t="s">
        <v>3202</v>
      </c>
      <c r="I292" s="4"/>
      <c r="J292" s="26" t="s">
        <v>14</v>
      </c>
      <c r="K292" s="27" t="s">
        <v>13</v>
      </c>
      <c r="L292" s="2" t="s">
        <v>3203</v>
      </c>
      <c r="M292" s="24"/>
      <c r="N292" s="4" t="s">
        <v>121</v>
      </c>
    </row>
    <row r="293" spans="1:14" ht="100.2" customHeight="1" thickTop="1" thickBot="1">
      <c r="A293" s="31">
        <v>291</v>
      </c>
      <c r="B293" s="52" t="s">
        <v>3203</v>
      </c>
      <c r="C293" s="3" t="s">
        <v>26</v>
      </c>
      <c r="D293" s="3" t="s">
        <v>2728</v>
      </c>
      <c r="E293" s="4" t="s">
        <v>22</v>
      </c>
      <c r="F293" s="43" t="s">
        <v>2652</v>
      </c>
      <c r="G293" s="4" t="s">
        <v>1826</v>
      </c>
      <c r="H293" s="43" t="s">
        <v>3204</v>
      </c>
      <c r="I293" s="4"/>
      <c r="J293" s="26" t="s">
        <v>14</v>
      </c>
      <c r="K293" s="27" t="s">
        <v>13</v>
      </c>
      <c r="L293" s="2" t="s">
        <v>3205</v>
      </c>
      <c r="M293" s="24"/>
      <c r="N293" s="4" t="s">
        <v>121</v>
      </c>
    </row>
    <row r="294" spans="1:14" ht="100.2" customHeight="1" thickTop="1" thickBot="1">
      <c r="A294" s="4">
        <v>292</v>
      </c>
      <c r="B294" s="52" t="s">
        <v>3206</v>
      </c>
      <c r="C294" s="3" t="s">
        <v>26</v>
      </c>
      <c r="D294" s="3" t="s">
        <v>2728</v>
      </c>
      <c r="E294" s="4" t="s">
        <v>22</v>
      </c>
      <c r="F294" s="43" t="s">
        <v>2661</v>
      </c>
      <c r="G294" s="4" t="s">
        <v>3173</v>
      </c>
      <c r="H294" s="43" t="s">
        <v>3207</v>
      </c>
      <c r="I294" s="4"/>
      <c r="J294" s="26" t="s">
        <v>14</v>
      </c>
      <c r="K294" s="27" t="s">
        <v>13</v>
      </c>
      <c r="L294" s="2" t="s">
        <v>3208</v>
      </c>
      <c r="M294" s="24"/>
      <c r="N294" s="4" t="s">
        <v>121</v>
      </c>
    </row>
    <row r="295" spans="1:14" ht="100.2" customHeight="1" thickTop="1" thickBot="1">
      <c r="A295" s="31">
        <v>293</v>
      </c>
      <c r="B295" s="52" t="s">
        <v>3209</v>
      </c>
      <c r="C295" s="3" t="s">
        <v>26</v>
      </c>
      <c r="D295" s="3" t="s">
        <v>3210</v>
      </c>
      <c r="E295" s="4" t="s">
        <v>21</v>
      </c>
      <c r="F295" s="43" t="s">
        <v>2666</v>
      </c>
      <c r="G295" s="4" t="s">
        <v>1761</v>
      </c>
      <c r="H295" s="43" t="s">
        <v>3211</v>
      </c>
      <c r="I295" s="4"/>
      <c r="J295" s="26" t="s">
        <v>14</v>
      </c>
      <c r="K295" s="27" t="s">
        <v>13</v>
      </c>
      <c r="L295" s="2" t="s">
        <v>3212</v>
      </c>
      <c r="M295" s="24"/>
      <c r="N295" s="4" t="s">
        <v>121</v>
      </c>
    </row>
    <row r="296" spans="1:14" ht="100.2" customHeight="1" thickTop="1" thickBot="1">
      <c r="A296" s="4">
        <v>294</v>
      </c>
      <c r="B296" s="52" t="s">
        <v>3213</v>
      </c>
      <c r="C296" s="3" t="s">
        <v>26</v>
      </c>
      <c r="D296" s="3" t="s">
        <v>2651</v>
      </c>
      <c r="E296" s="4" t="s">
        <v>21</v>
      </c>
      <c r="F296" s="43" t="s">
        <v>2652</v>
      </c>
      <c r="G296" s="4" t="s">
        <v>2201</v>
      </c>
      <c r="H296" s="43" t="s">
        <v>3214</v>
      </c>
      <c r="I296" s="4"/>
      <c r="J296" s="26" t="s">
        <v>14</v>
      </c>
      <c r="K296" s="27" t="s">
        <v>13</v>
      </c>
      <c r="L296" s="2" t="s">
        <v>3212</v>
      </c>
      <c r="M296" s="24"/>
      <c r="N296" s="4" t="s">
        <v>121</v>
      </c>
    </row>
    <row r="297" spans="1:14" ht="100.2" customHeight="1" thickTop="1" thickBot="1">
      <c r="A297" s="31">
        <v>295</v>
      </c>
      <c r="B297" s="52" t="s">
        <v>3215</v>
      </c>
      <c r="C297" s="3" t="s">
        <v>26</v>
      </c>
      <c r="D297" s="3" t="s">
        <v>2877</v>
      </c>
      <c r="E297" s="4" t="s">
        <v>21</v>
      </c>
      <c r="F297" s="43" t="s">
        <v>2679</v>
      </c>
      <c r="G297" s="4" t="s">
        <v>1761</v>
      </c>
      <c r="H297" s="43" t="s">
        <v>3216</v>
      </c>
      <c r="I297" s="4"/>
      <c r="J297" s="26" t="s">
        <v>14</v>
      </c>
      <c r="K297" s="27" t="s">
        <v>13</v>
      </c>
      <c r="L297" s="2" t="s">
        <v>3217</v>
      </c>
      <c r="M297" s="24" t="s">
        <v>2686</v>
      </c>
      <c r="N297" s="4" t="s">
        <v>121</v>
      </c>
    </row>
    <row r="298" spans="1:14" ht="100.2" customHeight="1" thickTop="1" thickBot="1">
      <c r="A298" s="4">
        <v>296</v>
      </c>
      <c r="B298" s="52" t="s">
        <v>3218</v>
      </c>
      <c r="C298" s="3" t="s">
        <v>26</v>
      </c>
      <c r="D298" s="3" t="s">
        <v>2728</v>
      </c>
      <c r="E298" s="4" t="s">
        <v>22</v>
      </c>
      <c r="F298" s="43" t="s">
        <v>2661</v>
      </c>
      <c r="G298" s="4" t="s">
        <v>2757</v>
      </c>
      <c r="H298" s="43" t="s">
        <v>3219</v>
      </c>
      <c r="I298" s="4"/>
      <c r="J298" s="26" t="s">
        <v>14</v>
      </c>
      <c r="K298" s="27" t="s">
        <v>13</v>
      </c>
      <c r="L298" s="2" t="s">
        <v>3218</v>
      </c>
      <c r="M298" s="24"/>
      <c r="N298" s="4" t="s">
        <v>121</v>
      </c>
    </row>
    <row r="299" spans="1:14" ht="100.2" customHeight="1" thickTop="1" thickBot="1">
      <c r="A299" s="31">
        <v>297</v>
      </c>
      <c r="B299" s="52" t="s">
        <v>3220</v>
      </c>
      <c r="C299" s="3" t="s">
        <v>26</v>
      </c>
      <c r="D299" s="3" t="s">
        <v>2728</v>
      </c>
      <c r="E299" s="4" t="s">
        <v>22</v>
      </c>
      <c r="F299" s="43" t="s">
        <v>2661</v>
      </c>
      <c r="G299" s="4" t="s">
        <v>2757</v>
      </c>
      <c r="H299" s="43" t="s">
        <v>3221</v>
      </c>
      <c r="I299" s="4"/>
      <c r="J299" s="26" t="s">
        <v>14</v>
      </c>
      <c r="K299" s="27" t="s">
        <v>13</v>
      </c>
      <c r="L299" s="2" t="s">
        <v>3220</v>
      </c>
      <c r="M299" s="24"/>
      <c r="N299" s="4" t="s">
        <v>121</v>
      </c>
    </row>
    <row r="300" spans="1:14" ht="100.2" customHeight="1" thickTop="1" thickBot="1">
      <c r="A300" s="4">
        <v>298</v>
      </c>
      <c r="B300" s="52" t="s">
        <v>3222</v>
      </c>
      <c r="C300" s="3" t="s">
        <v>26</v>
      </c>
      <c r="D300" s="3" t="s">
        <v>2728</v>
      </c>
      <c r="E300" s="4" t="s">
        <v>22</v>
      </c>
      <c r="F300" s="43" t="s">
        <v>2777</v>
      </c>
      <c r="G300" s="4" t="s">
        <v>1826</v>
      </c>
      <c r="H300" s="43" t="s">
        <v>3223</v>
      </c>
      <c r="I300" s="4"/>
      <c r="J300" s="26" t="s">
        <v>14</v>
      </c>
      <c r="K300" s="27" t="s">
        <v>13</v>
      </c>
      <c r="L300" s="2" t="s">
        <v>3222</v>
      </c>
      <c r="M300" s="24"/>
      <c r="N300" s="4" t="s">
        <v>121</v>
      </c>
    </row>
    <row r="301" spans="1:14" ht="100.2" customHeight="1" thickTop="1" thickBot="1">
      <c r="A301" s="31">
        <v>299</v>
      </c>
      <c r="B301" s="52" t="s">
        <v>3224</v>
      </c>
      <c r="C301" s="3" t="s">
        <v>26</v>
      </c>
      <c r="D301" s="3" t="s">
        <v>2728</v>
      </c>
      <c r="E301" s="4" t="s">
        <v>22</v>
      </c>
      <c r="F301" s="43" t="s">
        <v>2666</v>
      </c>
      <c r="G301" s="4" t="s">
        <v>213</v>
      </c>
      <c r="H301" s="43" t="s">
        <v>3225</v>
      </c>
      <c r="I301" s="4"/>
      <c r="J301" s="26" t="s">
        <v>14</v>
      </c>
      <c r="K301" s="27" t="s">
        <v>13</v>
      </c>
      <c r="L301" s="2" t="s">
        <v>3226</v>
      </c>
      <c r="M301" s="24"/>
      <c r="N301" s="4" t="s">
        <v>121</v>
      </c>
    </row>
    <row r="302" spans="1:14" ht="100.2" customHeight="1" thickTop="1" thickBot="1">
      <c r="A302" s="4">
        <v>300</v>
      </c>
      <c r="B302" s="52" t="s">
        <v>3226</v>
      </c>
      <c r="C302" s="3" t="s">
        <v>26</v>
      </c>
      <c r="D302" s="3" t="s">
        <v>2728</v>
      </c>
      <c r="E302" s="4" t="s">
        <v>22</v>
      </c>
      <c r="F302" s="43" t="s">
        <v>2666</v>
      </c>
      <c r="G302" s="4" t="s">
        <v>2201</v>
      </c>
      <c r="H302" s="43" t="s">
        <v>3227</v>
      </c>
      <c r="I302" s="4"/>
      <c r="J302" s="26" t="s">
        <v>14</v>
      </c>
      <c r="K302" s="27" t="s">
        <v>13</v>
      </c>
      <c r="L302" s="2" t="s">
        <v>3226</v>
      </c>
      <c r="M302" s="24"/>
      <c r="N302" s="4" t="s">
        <v>121</v>
      </c>
    </row>
    <row r="303" spans="1:14" ht="100.2" customHeight="1" thickTop="1" thickBot="1">
      <c r="A303" s="31">
        <v>301</v>
      </c>
      <c r="B303" s="52" t="s">
        <v>3228</v>
      </c>
      <c r="C303" s="3" t="s">
        <v>26</v>
      </c>
      <c r="D303" s="3" t="s">
        <v>1635</v>
      </c>
      <c r="E303" s="4" t="s">
        <v>21</v>
      </c>
      <c r="F303" s="43" t="s">
        <v>2652</v>
      </c>
      <c r="G303" s="4" t="s">
        <v>2757</v>
      </c>
      <c r="H303" s="43" t="s">
        <v>3229</v>
      </c>
      <c r="I303" s="4"/>
      <c r="J303" s="26" t="s">
        <v>14</v>
      </c>
      <c r="K303" s="27" t="s">
        <v>13</v>
      </c>
      <c r="L303" s="2" t="s">
        <v>3230</v>
      </c>
      <c r="M303" s="24"/>
      <c r="N303" s="4" t="s">
        <v>121</v>
      </c>
    </row>
    <row r="304" spans="1:14" ht="100.2" customHeight="1" thickTop="1" thickBot="1">
      <c r="A304" s="4">
        <v>302</v>
      </c>
      <c r="B304" s="52" t="s">
        <v>1997</v>
      </c>
      <c r="C304" s="3" t="s">
        <v>26</v>
      </c>
      <c r="D304" s="3" t="s">
        <v>1694</v>
      </c>
      <c r="E304" s="4" t="s">
        <v>22</v>
      </c>
      <c r="F304" s="43" t="s">
        <v>2666</v>
      </c>
      <c r="G304" s="4" t="s">
        <v>3231</v>
      </c>
      <c r="H304" s="43" t="s">
        <v>3232</v>
      </c>
      <c r="I304" s="4"/>
      <c r="J304" s="26" t="s">
        <v>14</v>
      </c>
      <c r="K304" s="27" t="s">
        <v>13</v>
      </c>
      <c r="L304" s="2" t="s">
        <v>2015</v>
      </c>
      <c r="M304" s="24" t="s">
        <v>3233</v>
      </c>
      <c r="N304" s="4" t="s">
        <v>121</v>
      </c>
    </row>
    <row r="305" spans="1:14" ht="100.2" customHeight="1" thickTop="1" thickBot="1">
      <c r="A305" s="31">
        <v>303</v>
      </c>
      <c r="B305" s="52" t="s">
        <v>1999</v>
      </c>
      <c r="C305" s="3" t="s">
        <v>26</v>
      </c>
      <c r="D305" s="3" t="s">
        <v>1694</v>
      </c>
      <c r="E305" s="4" t="s">
        <v>22</v>
      </c>
      <c r="F305" s="43" t="s">
        <v>2652</v>
      </c>
      <c r="G305" s="4" t="s">
        <v>1826</v>
      </c>
      <c r="H305" s="43" t="s">
        <v>3234</v>
      </c>
      <c r="I305" s="4"/>
      <c r="J305" s="26" t="s">
        <v>14</v>
      </c>
      <c r="K305" s="27" t="s">
        <v>13</v>
      </c>
      <c r="L305" s="2"/>
      <c r="M305" s="24" t="s">
        <v>3233</v>
      </c>
      <c r="N305" s="4" t="s">
        <v>121</v>
      </c>
    </row>
    <row r="306" spans="1:14" ht="100.2" customHeight="1" thickTop="1" thickBot="1">
      <c r="A306" s="4">
        <v>304</v>
      </c>
      <c r="B306" s="52" t="s">
        <v>2004</v>
      </c>
      <c r="C306" s="3" t="s">
        <v>26</v>
      </c>
      <c r="D306" s="3" t="s">
        <v>1694</v>
      </c>
      <c r="E306" s="4" t="s">
        <v>22</v>
      </c>
      <c r="F306" s="43" t="s">
        <v>2652</v>
      </c>
      <c r="G306" s="4" t="s">
        <v>2201</v>
      </c>
      <c r="H306" s="43" t="s">
        <v>3235</v>
      </c>
      <c r="I306" s="4"/>
      <c r="J306" s="26" t="s">
        <v>14</v>
      </c>
      <c r="K306" s="27" t="s">
        <v>13</v>
      </c>
      <c r="L306" s="2"/>
      <c r="M306" s="24" t="s">
        <v>3233</v>
      </c>
      <c r="N306" s="4" t="s">
        <v>121</v>
      </c>
    </row>
    <row r="307" spans="1:14" ht="100.2" customHeight="1" thickTop="1" thickBot="1">
      <c r="A307" s="31">
        <v>305</v>
      </c>
      <c r="B307" s="52" t="s">
        <v>2009</v>
      </c>
      <c r="C307" s="3" t="s">
        <v>26</v>
      </c>
      <c r="D307" s="3" t="s">
        <v>1694</v>
      </c>
      <c r="E307" s="4" t="s">
        <v>22</v>
      </c>
      <c r="F307" s="43" t="s">
        <v>2797</v>
      </c>
      <c r="G307" s="4" t="s">
        <v>1826</v>
      </c>
      <c r="H307" s="43" t="s">
        <v>3236</v>
      </c>
      <c r="I307" s="4"/>
      <c r="J307" s="26" t="s">
        <v>14</v>
      </c>
      <c r="K307" s="27" t="s">
        <v>13</v>
      </c>
      <c r="L307" s="2"/>
      <c r="M307" s="24" t="s">
        <v>3233</v>
      </c>
      <c r="N307" s="4" t="s">
        <v>121</v>
      </c>
    </row>
    <row r="308" spans="1:14" ht="100.2" customHeight="1" thickTop="1" thickBot="1">
      <c r="A308" s="4">
        <v>306</v>
      </c>
      <c r="B308" s="52" t="s">
        <v>2012</v>
      </c>
      <c r="C308" s="3" t="s">
        <v>26</v>
      </c>
      <c r="D308" s="3" t="s">
        <v>1694</v>
      </c>
      <c r="E308" s="4" t="s">
        <v>22</v>
      </c>
      <c r="F308" s="43" t="s">
        <v>2652</v>
      </c>
      <c r="G308" s="4" t="s">
        <v>1826</v>
      </c>
      <c r="H308" s="43" t="s">
        <v>3237</v>
      </c>
      <c r="I308" s="4"/>
      <c r="J308" s="26" t="s">
        <v>14</v>
      </c>
      <c r="K308" s="27" t="s">
        <v>13</v>
      </c>
      <c r="L308" s="2"/>
      <c r="M308" s="24" t="s">
        <v>3233</v>
      </c>
      <c r="N308" s="4" t="s">
        <v>121</v>
      </c>
    </row>
    <row r="309" spans="1:14" ht="100.2" customHeight="1" thickTop="1" thickBot="1">
      <c r="A309" s="31">
        <v>307</v>
      </c>
      <c r="B309" s="52" t="s">
        <v>3238</v>
      </c>
      <c r="C309" s="3" t="s">
        <v>26</v>
      </c>
      <c r="D309" s="3" t="s">
        <v>2728</v>
      </c>
      <c r="E309" s="4" t="s">
        <v>22</v>
      </c>
      <c r="F309" s="43" t="s">
        <v>2652</v>
      </c>
      <c r="G309" s="4" t="s">
        <v>2250</v>
      </c>
      <c r="H309" s="43" t="s">
        <v>3239</v>
      </c>
      <c r="I309" s="4"/>
      <c r="J309" s="26" t="s">
        <v>14</v>
      </c>
      <c r="K309" s="27" t="s">
        <v>13</v>
      </c>
      <c r="L309" s="2" t="s">
        <v>3240</v>
      </c>
      <c r="M309" s="24"/>
      <c r="N309" s="4" t="s">
        <v>121</v>
      </c>
    </row>
    <row r="310" spans="1:14" ht="100.2" customHeight="1" thickTop="1" thickBot="1">
      <c r="A310" s="4">
        <v>308</v>
      </c>
      <c r="B310" s="52" t="s">
        <v>3241</v>
      </c>
      <c r="C310" s="3" t="s">
        <v>26</v>
      </c>
      <c r="D310" s="3" t="s">
        <v>2728</v>
      </c>
      <c r="E310" s="4" t="s">
        <v>22</v>
      </c>
      <c r="F310" s="43" t="s">
        <v>2666</v>
      </c>
      <c r="G310" s="4" t="s">
        <v>1761</v>
      </c>
      <c r="H310" s="43" t="s">
        <v>3242</v>
      </c>
      <c r="I310" s="4"/>
      <c r="J310" s="26" t="s">
        <v>14</v>
      </c>
      <c r="K310" s="27" t="s">
        <v>13</v>
      </c>
      <c r="L310" s="2" t="s">
        <v>3240</v>
      </c>
      <c r="M310" s="24"/>
      <c r="N310" s="4" t="s">
        <v>121</v>
      </c>
    </row>
    <row r="311" spans="1:14" ht="100.2" customHeight="1" thickTop="1" thickBot="1">
      <c r="A311" s="31">
        <v>309</v>
      </c>
      <c r="B311" s="52" t="s">
        <v>3243</v>
      </c>
      <c r="C311" s="3" t="s">
        <v>26</v>
      </c>
      <c r="D311" s="3" t="s">
        <v>2728</v>
      </c>
      <c r="E311" s="4" t="s">
        <v>22</v>
      </c>
      <c r="F311" s="43" t="s">
        <v>2679</v>
      </c>
      <c r="G311" s="4" t="s">
        <v>1761</v>
      </c>
      <c r="H311" s="43" t="s">
        <v>3244</v>
      </c>
      <c r="I311" s="4"/>
      <c r="J311" s="26" t="s">
        <v>14</v>
      </c>
      <c r="K311" s="27" t="s">
        <v>13</v>
      </c>
      <c r="L311" s="2" t="s">
        <v>3240</v>
      </c>
      <c r="M311" s="24"/>
      <c r="N311" s="4" t="s">
        <v>121</v>
      </c>
    </row>
    <row r="312" spans="1:14" ht="100.2" customHeight="1" thickTop="1" thickBot="1">
      <c r="A312" s="4">
        <v>310</v>
      </c>
      <c r="B312" s="52" t="s">
        <v>3245</v>
      </c>
      <c r="C312" s="3" t="s">
        <v>26</v>
      </c>
      <c r="D312" s="3" t="s">
        <v>2728</v>
      </c>
      <c r="E312" s="4" t="s">
        <v>22</v>
      </c>
      <c r="F312" s="43" t="s">
        <v>2679</v>
      </c>
      <c r="G312" s="4" t="s">
        <v>1826</v>
      </c>
      <c r="H312" s="43" t="s">
        <v>3246</v>
      </c>
      <c r="I312" s="4"/>
      <c r="J312" s="26" t="s">
        <v>14</v>
      </c>
      <c r="K312" s="27" t="s">
        <v>13</v>
      </c>
      <c r="L312" s="2" t="s">
        <v>3240</v>
      </c>
      <c r="M312" s="24"/>
      <c r="N312" s="4" t="s">
        <v>121</v>
      </c>
    </row>
    <row r="313" spans="1:14" ht="100.2" customHeight="1" thickTop="1" thickBot="1">
      <c r="A313" s="31">
        <v>311</v>
      </c>
      <c r="B313" s="52" t="s">
        <v>3247</v>
      </c>
      <c r="C313" s="3" t="s">
        <v>26</v>
      </c>
      <c r="D313" s="3" t="s">
        <v>2728</v>
      </c>
      <c r="E313" s="4" t="s">
        <v>22</v>
      </c>
      <c r="F313" s="43" t="s">
        <v>3248</v>
      </c>
      <c r="G313" s="4" t="s">
        <v>213</v>
      </c>
      <c r="H313" s="43" t="s">
        <v>3249</v>
      </c>
      <c r="I313" s="4"/>
      <c r="J313" s="26" t="s">
        <v>14</v>
      </c>
      <c r="K313" s="27" t="s">
        <v>13</v>
      </c>
      <c r="L313" s="2" t="s">
        <v>3250</v>
      </c>
      <c r="M313" s="24"/>
      <c r="N313" s="4" t="s">
        <v>121</v>
      </c>
    </row>
    <row r="314" spans="1:14" ht="100.2" customHeight="1" thickTop="1" thickBot="1">
      <c r="A314" s="4">
        <v>312</v>
      </c>
      <c r="B314" s="52" t="s">
        <v>3251</v>
      </c>
      <c r="C314" s="3" t="s">
        <v>26</v>
      </c>
      <c r="D314" s="3" t="s">
        <v>2728</v>
      </c>
      <c r="E314" s="4" t="s">
        <v>22</v>
      </c>
      <c r="F314" s="43" t="s">
        <v>2679</v>
      </c>
      <c r="G314" s="4" t="s">
        <v>1826</v>
      </c>
      <c r="H314" s="43" t="s">
        <v>3252</v>
      </c>
      <c r="I314" s="4"/>
      <c r="J314" s="26" t="s">
        <v>14</v>
      </c>
      <c r="K314" s="27" t="s">
        <v>13</v>
      </c>
      <c r="L314" s="2" t="s">
        <v>3253</v>
      </c>
      <c r="M314" s="24"/>
      <c r="N314" s="4" t="s">
        <v>121</v>
      </c>
    </row>
    <row r="315" spans="1:14" ht="100.2" customHeight="1" thickTop="1" thickBot="1">
      <c r="A315" s="31">
        <v>313</v>
      </c>
      <c r="B315" s="52" t="s">
        <v>3254</v>
      </c>
      <c r="C315" s="3" t="s">
        <v>26</v>
      </c>
      <c r="D315" s="3" t="s">
        <v>2728</v>
      </c>
      <c r="E315" s="4" t="s">
        <v>22</v>
      </c>
      <c r="F315" s="43" t="s">
        <v>2652</v>
      </c>
      <c r="G315" s="4" t="s">
        <v>1826</v>
      </c>
      <c r="H315" s="43" t="s">
        <v>3255</v>
      </c>
      <c r="I315" s="4"/>
      <c r="J315" s="26" t="s">
        <v>14</v>
      </c>
      <c r="K315" s="27" t="s">
        <v>13</v>
      </c>
      <c r="L315" s="2" t="s">
        <v>3256</v>
      </c>
      <c r="M315" s="24"/>
      <c r="N315" s="4" t="s">
        <v>121</v>
      </c>
    </row>
    <row r="316" spans="1:14" ht="100.2" customHeight="1" thickTop="1" thickBot="1">
      <c r="A316" s="4">
        <v>314</v>
      </c>
      <c r="B316" s="52" t="s">
        <v>3257</v>
      </c>
      <c r="C316" s="3" t="s">
        <v>26</v>
      </c>
      <c r="D316" s="3" t="s">
        <v>2728</v>
      </c>
      <c r="E316" s="4" t="s">
        <v>22</v>
      </c>
      <c r="F316" s="43" t="s">
        <v>2679</v>
      </c>
      <c r="G316" s="4" t="s">
        <v>1761</v>
      </c>
      <c r="H316" s="43" t="s">
        <v>3258</v>
      </c>
      <c r="I316" s="4"/>
      <c r="J316" s="26" t="s">
        <v>14</v>
      </c>
      <c r="K316" s="27" t="s">
        <v>13</v>
      </c>
      <c r="L316" s="2" t="s">
        <v>3259</v>
      </c>
      <c r="M316" s="24"/>
      <c r="N316" s="4" t="s">
        <v>121</v>
      </c>
    </row>
    <row r="317" spans="1:14" ht="100.2" customHeight="1" thickTop="1" thickBot="1">
      <c r="A317" s="31">
        <v>315</v>
      </c>
      <c r="B317" s="52" t="s">
        <v>3259</v>
      </c>
      <c r="C317" s="3" t="s">
        <v>26</v>
      </c>
      <c r="D317" s="3" t="s">
        <v>2728</v>
      </c>
      <c r="E317" s="4" t="s">
        <v>22</v>
      </c>
      <c r="F317" s="43" t="s">
        <v>2652</v>
      </c>
      <c r="G317" s="4" t="s">
        <v>1826</v>
      </c>
      <c r="H317" s="43" t="s">
        <v>3260</v>
      </c>
      <c r="I317" s="4"/>
      <c r="J317" s="26" t="s">
        <v>14</v>
      </c>
      <c r="K317" s="27" t="s">
        <v>13</v>
      </c>
      <c r="L317" s="2" t="s">
        <v>3261</v>
      </c>
      <c r="M317" s="24"/>
      <c r="N317" s="4" t="s">
        <v>121</v>
      </c>
    </row>
    <row r="318" spans="1:14" ht="100.2" customHeight="1" thickTop="1" thickBot="1">
      <c r="A318" s="4">
        <v>316</v>
      </c>
      <c r="B318" s="52" t="s">
        <v>3262</v>
      </c>
      <c r="C318" s="3" t="s">
        <v>26</v>
      </c>
      <c r="D318" s="3" t="s">
        <v>1635</v>
      </c>
      <c r="E318" s="4" t="s">
        <v>21</v>
      </c>
      <c r="F318" s="43" t="s">
        <v>2661</v>
      </c>
      <c r="G318" s="4" t="s">
        <v>3173</v>
      </c>
      <c r="H318" s="43" t="s">
        <v>3263</v>
      </c>
      <c r="I318" s="4"/>
      <c r="J318" s="26" t="s">
        <v>14</v>
      </c>
      <c r="K318" s="27" t="s">
        <v>13</v>
      </c>
      <c r="L318" s="2" t="s">
        <v>3264</v>
      </c>
      <c r="M318" s="24"/>
      <c r="N318" s="4" t="s">
        <v>121</v>
      </c>
    </row>
    <row r="319" spans="1:14" ht="100.2" customHeight="1" thickTop="1" thickBot="1">
      <c r="A319" s="31">
        <v>317</v>
      </c>
      <c r="B319" s="52" t="s">
        <v>3265</v>
      </c>
      <c r="C319" s="3" t="s">
        <v>26</v>
      </c>
      <c r="D319" s="3" t="s">
        <v>1635</v>
      </c>
      <c r="E319" s="4" t="s">
        <v>21</v>
      </c>
      <c r="F319" s="43" t="s">
        <v>2661</v>
      </c>
      <c r="G319" s="4" t="s">
        <v>1761</v>
      </c>
      <c r="H319" s="43" t="s">
        <v>3266</v>
      </c>
      <c r="I319" s="4"/>
      <c r="J319" s="26" t="s">
        <v>14</v>
      </c>
      <c r="K319" s="27" t="s">
        <v>13</v>
      </c>
      <c r="L319" s="2" t="s">
        <v>3267</v>
      </c>
      <c r="M319" s="24"/>
      <c r="N319" s="4" t="s">
        <v>121</v>
      </c>
    </row>
    <row r="320" spans="1:14" ht="100.2" customHeight="1" thickTop="1" thickBot="1">
      <c r="A320" s="4">
        <v>318</v>
      </c>
      <c r="B320" s="52" t="s">
        <v>3268</v>
      </c>
      <c r="C320" s="3" t="s">
        <v>26</v>
      </c>
      <c r="D320" s="3" t="s">
        <v>2728</v>
      </c>
      <c r="E320" s="4" t="s">
        <v>22</v>
      </c>
      <c r="F320" s="43" t="s">
        <v>2652</v>
      </c>
      <c r="G320" s="4" t="s">
        <v>1821</v>
      </c>
      <c r="H320" s="43" t="s">
        <v>3269</v>
      </c>
      <c r="I320" s="4"/>
      <c r="J320" s="26" t="s">
        <v>14</v>
      </c>
      <c r="K320" s="27" t="s">
        <v>13</v>
      </c>
      <c r="L320" s="2" t="s">
        <v>3268</v>
      </c>
      <c r="M320" s="24"/>
      <c r="N320" s="4" t="s">
        <v>121</v>
      </c>
    </row>
    <row r="321" spans="1:14" ht="100.2" customHeight="1" thickTop="1" thickBot="1">
      <c r="A321" s="31">
        <v>319</v>
      </c>
      <c r="B321" s="52" t="s">
        <v>3270</v>
      </c>
      <c r="C321" s="3" t="s">
        <v>26</v>
      </c>
      <c r="D321" s="3" t="s">
        <v>2728</v>
      </c>
      <c r="E321" s="4" t="s">
        <v>22</v>
      </c>
      <c r="F321" s="43" t="s">
        <v>2661</v>
      </c>
      <c r="G321" s="4" t="s">
        <v>2201</v>
      </c>
      <c r="H321" s="43" t="s">
        <v>3271</v>
      </c>
      <c r="I321" s="4"/>
      <c r="J321" s="26" t="s">
        <v>14</v>
      </c>
      <c r="K321" s="27" t="s">
        <v>13</v>
      </c>
      <c r="L321" s="2" t="s">
        <v>3272</v>
      </c>
      <c r="M321" s="24"/>
      <c r="N321" s="4" t="s">
        <v>121</v>
      </c>
    </row>
    <row r="322" spans="1:14" s="25" customFormat="1" ht="100.2" customHeight="1" thickTop="1" thickBot="1">
      <c r="A322" s="4">
        <v>320</v>
      </c>
      <c r="B322" s="52" t="s">
        <v>3272</v>
      </c>
      <c r="C322" s="3" t="s">
        <v>26</v>
      </c>
      <c r="D322" s="3" t="s">
        <v>2728</v>
      </c>
      <c r="E322" s="4" t="s">
        <v>22</v>
      </c>
      <c r="F322" s="43" t="s">
        <v>2652</v>
      </c>
      <c r="G322" s="4" t="s">
        <v>1821</v>
      </c>
      <c r="H322" s="43" t="s">
        <v>3273</v>
      </c>
      <c r="I322" s="4"/>
      <c r="J322" s="26" t="s">
        <v>14</v>
      </c>
      <c r="K322" s="27" t="s">
        <v>13</v>
      </c>
      <c r="L322" s="2" t="s">
        <v>3274</v>
      </c>
      <c r="M322" s="24"/>
      <c r="N322" s="4"/>
    </row>
    <row r="323" spans="1:14" ht="100.2" customHeight="1" thickTop="1" thickBot="1">
      <c r="A323" s="31">
        <v>321</v>
      </c>
      <c r="B323" s="52" t="s">
        <v>3275</v>
      </c>
      <c r="C323" s="3" t="s">
        <v>26</v>
      </c>
      <c r="D323" s="3" t="s">
        <v>2881</v>
      </c>
      <c r="E323" s="4" t="s">
        <v>21</v>
      </c>
      <c r="F323" s="43" t="s">
        <v>2661</v>
      </c>
      <c r="G323" s="4" t="s">
        <v>1821</v>
      </c>
      <c r="H323" s="43" t="s">
        <v>3276</v>
      </c>
      <c r="I323" s="4"/>
      <c r="J323" s="26" t="s">
        <v>14</v>
      </c>
      <c r="K323" s="27" t="s">
        <v>13</v>
      </c>
      <c r="L323" s="2" t="s">
        <v>3277</v>
      </c>
      <c r="M323" s="24"/>
      <c r="N323" s="29"/>
    </row>
    <row r="324" spans="1:14" ht="100.2" customHeight="1" thickTop="1" thickBot="1">
      <c r="A324" s="4">
        <v>322</v>
      </c>
      <c r="B324" s="52" t="s">
        <v>3278</v>
      </c>
      <c r="C324" s="3" t="s">
        <v>26</v>
      </c>
      <c r="D324" s="3" t="s">
        <v>2728</v>
      </c>
      <c r="E324" s="4" t="s">
        <v>22</v>
      </c>
      <c r="F324" s="43" t="s">
        <v>2661</v>
      </c>
      <c r="G324" s="4" t="s">
        <v>1821</v>
      </c>
      <c r="H324" s="43" t="s">
        <v>3279</v>
      </c>
      <c r="I324" s="4"/>
      <c r="J324" s="26" t="s">
        <v>14</v>
      </c>
      <c r="K324" s="27" t="s">
        <v>13</v>
      </c>
      <c r="L324" s="2" t="s">
        <v>3280</v>
      </c>
      <c r="M324" s="24"/>
      <c r="N324" s="29"/>
    </row>
    <row r="325" spans="1:14" ht="100.2" customHeight="1" thickTop="1" thickBot="1">
      <c r="A325" s="31">
        <v>323</v>
      </c>
      <c r="B325" s="52" t="s">
        <v>3281</v>
      </c>
      <c r="C325" s="3" t="s">
        <v>26</v>
      </c>
      <c r="D325" s="3" t="s">
        <v>2728</v>
      </c>
      <c r="E325" s="4" t="s">
        <v>22</v>
      </c>
      <c r="F325" s="43" t="s">
        <v>2679</v>
      </c>
      <c r="G325" s="4" t="s">
        <v>1761</v>
      </c>
      <c r="H325" s="43" t="s">
        <v>3282</v>
      </c>
      <c r="I325" s="4"/>
      <c r="J325" s="26" t="s">
        <v>14</v>
      </c>
      <c r="K325" s="27" t="s">
        <v>13</v>
      </c>
      <c r="L325" s="2" t="s">
        <v>3281</v>
      </c>
      <c r="M325" s="24"/>
      <c r="N325" s="29"/>
    </row>
    <row r="326" spans="1:14" ht="100.2" customHeight="1" thickTop="1" thickBot="1">
      <c r="A326" s="4">
        <v>324</v>
      </c>
      <c r="B326" s="52" t="s">
        <v>3283</v>
      </c>
      <c r="C326" s="3" t="s">
        <v>26</v>
      </c>
      <c r="D326" s="3" t="s">
        <v>2728</v>
      </c>
      <c r="E326" s="4" t="s">
        <v>22</v>
      </c>
      <c r="F326" s="43" t="s">
        <v>3284</v>
      </c>
      <c r="G326" s="4" t="s">
        <v>3285</v>
      </c>
      <c r="H326" s="43" t="s">
        <v>3286</v>
      </c>
      <c r="I326" s="4"/>
      <c r="J326" s="26" t="s">
        <v>14</v>
      </c>
      <c r="K326" s="27" t="s">
        <v>13</v>
      </c>
      <c r="L326" s="2" t="s">
        <v>3287</v>
      </c>
      <c r="M326" s="24"/>
      <c r="N326" s="29"/>
    </row>
    <row r="327" spans="1:14" ht="100.2" customHeight="1" thickTop="1" thickBot="1">
      <c r="A327" s="31">
        <v>325</v>
      </c>
      <c r="B327" s="52" t="s">
        <v>3288</v>
      </c>
      <c r="C327" s="3" t="s">
        <v>26</v>
      </c>
      <c r="D327" s="3" t="s">
        <v>2728</v>
      </c>
      <c r="E327" s="4" t="s">
        <v>22</v>
      </c>
      <c r="F327" s="43" t="s">
        <v>2679</v>
      </c>
      <c r="G327" s="4" t="s">
        <v>1816</v>
      </c>
      <c r="H327" s="43" t="s">
        <v>3289</v>
      </c>
      <c r="I327" s="4"/>
      <c r="J327" s="26" t="s">
        <v>14</v>
      </c>
      <c r="K327" s="27" t="s">
        <v>13</v>
      </c>
      <c r="L327" s="2" t="s">
        <v>3287</v>
      </c>
      <c r="M327" s="24"/>
      <c r="N327" s="29"/>
    </row>
    <row r="328" spans="1:14" ht="100.2" customHeight="1" thickTop="1" thickBot="1">
      <c r="A328" s="4">
        <v>326</v>
      </c>
      <c r="B328" s="52" t="s">
        <v>3290</v>
      </c>
      <c r="C328" s="3" t="s">
        <v>26</v>
      </c>
      <c r="D328" s="3" t="s">
        <v>2728</v>
      </c>
      <c r="E328" s="4" t="s">
        <v>22</v>
      </c>
      <c r="F328" s="43" t="s">
        <v>2666</v>
      </c>
      <c r="G328" s="4" t="s">
        <v>3291</v>
      </c>
      <c r="H328" s="43" t="s">
        <v>3292</v>
      </c>
      <c r="I328" s="4"/>
      <c r="J328" s="26" t="s">
        <v>14</v>
      </c>
      <c r="K328" s="27" t="s">
        <v>13</v>
      </c>
      <c r="L328" s="2" t="s">
        <v>3293</v>
      </c>
      <c r="M328" s="24"/>
      <c r="N328" s="29"/>
    </row>
    <row r="329" spans="1:14" ht="100.2" customHeight="1" thickTop="1" thickBot="1">
      <c r="A329" s="31">
        <v>327</v>
      </c>
      <c r="B329" s="52" t="s">
        <v>3043</v>
      </c>
      <c r="C329" s="3" t="s">
        <v>26</v>
      </c>
      <c r="D329" s="3" t="s">
        <v>1635</v>
      </c>
      <c r="E329" s="4" t="s">
        <v>21</v>
      </c>
      <c r="F329" s="43" t="s">
        <v>2652</v>
      </c>
      <c r="G329" s="4" t="s">
        <v>1761</v>
      </c>
      <c r="H329" s="43" t="s">
        <v>3294</v>
      </c>
      <c r="I329" s="4"/>
      <c r="J329" s="26" t="s">
        <v>14</v>
      </c>
      <c r="K329" s="27" t="s">
        <v>13</v>
      </c>
      <c r="L329" s="2" t="s">
        <v>3295</v>
      </c>
      <c r="M329" s="24"/>
      <c r="N329" s="29"/>
    </row>
    <row r="330" spans="1:14" ht="100.2" customHeight="1" thickTop="1" thickBot="1">
      <c r="A330" s="4">
        <v>328</v>
      </c>
      <c r="B330" s="52" t="s">
        <v>3296</v>
      </c>
      <c r="C330" s="3" t="s">
        <v>26</v>
      </c>
      <c r="D330" s="3" t="s">
        <v>2728</v>
      </c>
      <c r="E330" s="4" t="s">
        <v>22</v>
      </c>
      <c r="F330" s="43" t="s">
        <v>3297</v>
      </c>
      <c r="G330" s="4" t="s">
        <v>3298</v>
      </c>
      <c r="H330" s="43" t="s">
        <v>3299</v>
      </c>
      <c r="I330" s="4"/>
      <c r="J330" s="26" t="s">
        <v>14</v>
      </c>
      <c r="K330" s="27" t="s">
        <v>13</v>
      </c>
      <c r="L330" s="2" t="s">
        <v>3296</v>
      </c>
      <c r="M330" s="24"/>
      <c r="N330" s="29"/>
    </row>
    <row r="331" spans="1:14" ht="100.2" customHeight="1" thickTop="1" thickBot="1">
      <c r="A331" s="31">
        <v>329</v>
      </c>
      <c r="B331" s="52" t="s">
        <v>3300</v>
      </c>
      <c r="C331" s="3" t="s">
        <v>26</v>
      </c>
      <c r="D331" s="3" t="s">
        <v>2728</v>
      </c>
      <c r="E331" s="4" t="s">
        <v>22</v>
      </c>
      <c r="F331" s="43" t="s">
        <v>2666</v>
      </c>
      <c r="G331" s="4" t="s">
        <v>1826</v>
      </c>
      <c r="H331" s="43" t="s">
        <v>3301</v>
      </c>
      <c r="I331" s="4"/>
      <c r="J331" s="26" t="s">
        <v>14</v>
      </c>
      <c r="K331" s="27" t="s">
        <v>13</v>
      </c>
      <c r="L331" s="2" t="s">
        <v>3302</v>
      </c>
      <c r="M331" s="24"/>
      <c r="N331" s="29"/>
    </row>
    <row r="332" spans="1:14" ht="100.2" customHeight="1" thickTop="1" thickBot="1">
      <c r="A332" s="4">
        <v>330</v>
      </c>
      <c r="B332" s="52" t="s">
        <v>3303</v>
      </c>
      <c r="C332" s="3" t="s">
        <v>26</v>
      </c>
      <c r="D332" s="3" t="s">
        <v>169</v>
      </c>
      <c r="E332" s="4" t="s">
        <v>21</v>
      </c>
      <c r="F332" s="43" t="s">
        <v>2661</v>
      </c>
      <c r="G332" s="4" t="s">
        <v>1821</v>
      </c>
      <c r="H332" s="43" t="s">
        <v>3304</v>
      </c>
      <c r="I332" s="4"/>
      <c r="J332" s="26" t="s">
        <v>14</v>
      </c>
      <c r="K332" s="27" t="s">
        <v>750</v>
      </c>
      <c r="L332" s="2" t="s">
        <v>2599</v>
      </c>
      <c r="M332" s="24" t="s">
        <v>1667</v>
      </c>
      <c r="N332" s="29"/>
    </row>
    <row r="333" spans="1:14" ht="100.2" customHeight="1" thickTop="1" thickBot="1">
      <c r="A333" s="31">
        <v>331</v>
      </c>
      <c r="B333" s="52" t="s">
        <v>3305</v>
      </c>
      <c r="C333" s="3" t="s">
        <v>26</v>
      </c>
      <c r="D333" s="3" t="s">
        <v>2728</v>
      </c>
      <c r="E333" s="4" t="s">
        <v>22</v>
      </c>
      <c r="F333" s="43" t="s">
        <v>2666</v>
      </c>
      <c r="G333" s="4" t="s">
        <v>2239</v>
      </c>
      <c r="H333" s="43" t="s">
        <v>3306</v>
      </c>
      <c r="I333" s="4"/>
      <c r="J333" s="26" t="s">
        <v>14</v>
      </c>
      <c r="K333" s="27" t="s">
        <v>13</v>
      </c>
      <c r="L333" s="2" t="s">
        <v>3305</v>
      </c>
      <c r="M333" s="24"/>
      <c r="N333" s="29"/>
    </row>
    <row r="334" spans="1:14" ht="100.2" customHeight="1" thickTop="1" thickBot="1">
      <c r="A334" s="4">
        <v>332</v>
      </c>
      <c r="B334" s="52" t="s">
        <v>3307</v>
      </c>
      <c r="C334" s="3" t="s">
        <v>26</v>
      </c>
      <c r="D334" s="3" t="s">
        <v>2728</v>
      </c>
      <c r="E334" s="4" t="s">
        <v>22</v>
      </c>
      <c r="F334" s="43" t="s">
        <v>2666</v>
      </c>
      <c r="G334" s="4" t="s">
        <v>2947</v>
      </c>
      <c r="H334" s="43" t="s">
        <v>3308</v>
      </c>
      <c r="I334" s="4"/>
      <c r="J334" s="26" t="s">
        <v>14</v>
      </c>
      <c r="K334" s="27" t="s">
        <v>13</v>
      </c>
      <c r="L334" s="2" t="s">
        <v>3307</v>
      </c>
      <c r="M334" s="24"/>
      <c r="N334" s="29"/>
    </row>
    <row r="335" spans="1:14" ht="100.2" customHeight="1" thickTop="1" thickBot="1">
      <c r="A335" s="31">
        <v>333</v>
      </c>
      <c r="B335" s="52" t="s">
        <v>3309</v>
      </c>
      <c r="C335" s="3" t="s">
        <v>26</v>
      </c>
      <c r="D335" s="3" t="s">
        <v>2728</v>
      </c>
      <c r="E335" s="4" t="s">
        <v>22</v>
      </c>
      <c r="F335" s="43" t="s">
        <v>2652</v>
      </c>
      <c r="G335" s="4" t="s">
        <v>1761</v>
      </c>
      <c r="H335" s="43" t="s">
        <v>3310</v>
      </c>
      <c r="I335" s="4"/>
      <c r="J335" s="26" t="s">
        <v>14</v>
      </c>
      <c r="K335" s="27" t="s">
        <v>13</v>
      </c>
      <c r="L335" s="2" t="s">
        <v>3309</v>
      </c>
      <c r="M335" s="24"/>
      <c r="N335" s="29"/>
    </row>
    <row r="336" spans="1:14" ht="100.2" customHeight="1" thickTop="1" thickBot="1">
      <c r="A336" s="4">
        <v>334</v>
      </c>
      <c r="B336" s="52" t="s">
        <v>3311</v>
      </c>
      <c r="C336" s="3" t="s">
        <v>26</v>
      </c>
      <c r="D336" s="3" t="s">
        <v>2728</v>
      </c>
      <c r="E336" s="4" t="s">
        <v>22</v>
      </c>
      <c r="F336" s="43" t="s">
        <v>2679</v>
      </c>
      <c r="G336" s="4" t="s">
        <v>1816</v>
      </c>
      <c r="H336" s="43" t="s">
        <v>3312</v>
      </c>
      <c r="I336" s="4"/>
      <c r="J336" s="26" t="s">
        <v>14</v>
      </c>
      <c r="K336" s="27" t="s">
        <v>13</v>
      </c>
      <c r="L336" s="2" t="s">
        <v>3311</v>
      </c>
      <c r="M336" s="24"/>
      <c r="N336" s="29"/>
    </row>
    <row r="337" spans="1:14" ht="100.2" customHeight="1" thickTop="1" thickBot="1">
      <c r="A337" s="31">
        <v>335</v>
      </c>
      <c r="B337" s="52" t="s">
        <v>3313</v>
      </c>
      <c r="C337" s="3" t="s">
        <v>26</v>
      </c>
      <c r="D337" s="3" t="s">
        <v>3314</v>
      </c>
      <c r="E337" s="4" t="s">
        <v>21</v>
      </c>
      <c r="F337" s="43" t="s">
        <v>2661</v>
      </c>
      <c r="G337" s="4" t="s">
        <v>1821</v>
      </c>
      <c r="H337" s="43" t="s">
        <v>3315</v>
      </c>
      <c r="I337" s="4"/>
      <c r="J337" s="26" t="s">
        <v>14</v>
      </c>
      <c r="K337" s="27" t="s">
        <v>750</v>
      </c>
      <c r="L337" s="2" t="s">
        <v>3316</v>
      </c>
      <c r="M337" s="24" t="s">
        <v>1667</v>
      </c>
      <c r="N337" s="29"/>
    </row>
    <row r="338" spans="1:14" ht="100.2" customHeight="1" thickTop="1" thickBot="1">
      <c r="A338" s="4">
        <v>336</v>
      </c>
      <c r="B338" s="52" t="s">
        <v>3317</v>
      </c>
      <c r="C338" s="3" t="s">
        <v>26</v>
      </c>
      <c r="D338" s="3" t="s">
        <v>2728</v>
      </c>
      <c r="E338" s="4" t="s">
        <v>22</v>
      </c>
      <c r="F338" s="43" t="s">
        <v>2652</v>
      </c>
      <c r="G338" s="4" t="s">
        <v>1761</v>
      </c>
      <c r="H338" s="43" t="s">
        <v>3318</v>
      </c>
      <c r="I338" s="4"/>
      <c r="J338" s="26" t="s">
        <v>14</v>
      </c>
      <c r="K338" s="27" t="s">
        <v>13</v>
      </c>
      <c r="L338" s="2" t="s">
        <v>3317</v>
      </c>
      <c r="M338" s="24"/>
      <c r="N338" s="29"/>
    </row>
    <row r="339" spans="1:14" ht="100.2" customHeight="1" thickTop="1" thickBot="1">
      <c r="A339" s="31">
        <v>337</v>
      </c>
      <c r="B339" s="52" t="s">
        <v>3319</v>
      </c>
      <c r="C339" s="3" t="s">
        <v>26</v>
      </c>
      <c r="D339" s="3" t="s">
        <v>2651</v>
      </c>
      <c r="E339" s="4" t="s">
        <v>21</v>
      </c>
      <c r="F339" s="43" t="s">
        <v>2652</v>
      </c>
      <c r="G339" s="4" t="s">
        <v>2201</v>
      </c>
      <c r="H339" s="43" t="s">
        <v>3320</v>
      </c>
      <c r="I339" s="4"/>
      <c r="J339" s="26" t="s">
        <v>14</v>
      </c>
      <c r="K339" s="27" t="s">
        <v>13</v>
      </c>
      <c r="L339" s="2" t="s">
        <v>3321</v>
      </c>
      <c r="M339" s="24" t="s">
        <v>3322</v>
      </c>
      <c r="N339" s="29"/>
    </row>
    <row r="340" spans="1:14" ht="100.2" customHeight="1" thickTop="1" thickBot="1">
      <c r="A340" s="4">
        <v>338</v>
      </c>
      <c r="B340" s="52" t="s">
        <v>3323</v>
      </c>
      <c r="C340" s="3" t="s">
        <v>26</v>
      </c>
      <c r="D340" s="3" t="s">
        <v>2651</v>
      </c>
      <c r="E340" s="4" t="s">
        <v>21</v>
      </c>
      <c r="F340" s="43" t="s">
        <v>2652</v>
      </c>
      <c r="G340" s="4" t="s">
        <v>1821</v>
      </c>
      <c r="H340" s="43" t="s">
        <v>3324</v>
      </c>
      <c r="I340" s="4"/>
      <c r="J340" s="26" t="s">
        <v>14</v>
      </c>
      <c r="K340" s="27" t="s">
        <v>13</v>
      </c>
      <c r="L340" s="2" t="s">
        <v>3325</v>
      </c>
      <c r="M340" s="24" t="s">
        <v>3326</v>
      </c>
      <c r="N340" s="29"/>
    </row>
    <row r="341" spans="1:14" ht="100.2" customHeight="1" thickTop="1" thickBot="1">
      <c r="A341" s="31">
        <v>339</v>
      </c>
      <c r="B341" s="52" t="s">
        <v>3327</v>
      </c>
      <c r="C341" s="3" t="s">
        <v>26</v>
      </c>
      <c r="D341" s="3" t="s">
        <v>2877</v>
      </c>
      <c r="E341" s="4" t="s">
        <v>21</v>
      </c>
      <c r="F341" s="43" t="s">
        <v>2679</v>
      </c>
      <c r="G341" s="4" t="s">
        <v>1761</v>
      </c>
      <c r="H341" s="43" t="s">
        <v>3328</v>
      </c>
      <c r="I341" s="4"/>
      <c r="J341" s="26" t="s">
        <v>14</v>
      </c>
      <c r="K341" s="27" t="s">
        <v>13</v>
      </c>
      <c r="L341" s="2" t="s">
        <v>3061</v>
      </c>
      <c r="M341" s="24"/>
      <c r="N341" s="29"/>
    </row>
    <row r="342" spans="1:14" ht="100.2" customHeight="1" thickTop="1" thickBot="1">
      <c r="A342" s="4">
        <v>340</v>
      </c>
      <c r="B342" s="52" t="s">
        <v>3329</v>
      </c>
      <c r="C342" s="3" t="s">
        <v>26</v>
      </c>
      <c r="D342" s="3" t="s">
        <v>1521</v>
      </c>
      <c r="E342" s="4" t="s">
        <v>22</v>
      </c>
      <c r="F342" s="43" t="s">
        <v>2652</v>
      </c>
      <c r="G342" s="4" t="s">
        <v>2757</v>
      </c>
      <c r="H342" s="43" t="s">
        <v>3330</v>
      </c>
      <c r="I342" s="4"/>
      <c r="J342" s="26" t="s">
        <v>14</v>
      </c>
      <c r="K342" s="27" t="s">
        <v>13</v>
      </c>
      <c r="L342" s="2" t="s">
        <v>3067</v>
      </c>
      <c r="M342" s="24"/>
      <c r="N342" s="29"/>
    </row>
    <row r="343" spans="1:14" ht="100.2" customHeight="1" thickTop="1" thickBot="1">
      <c r="A343" s="31">
        <v>341</v>
      </c>
      <c r="B343" s="52" t="s">
        <v>3331</v>
      </c>
      <c r="C343" s="3" t="s">
        <v>26</v>
      </c>
      <c r="D343" s="3" t="s">
        <v>2728</v>
      </c>
      <c r="E343" s="4" t="s">
        <v>22</v>
      </c>
      <c r="F343" s="43" t="s">
        <v>2652</v>
      </c>
      <c r="G343" s="4" t="s">
        <v>2250</v>
      </c>
      <c r="H343" s="43" t="s">
        <v>3332</v>
      </c>
      <c r="I343" s="4"/>
      <c r="J343" s="26"/>
      <c r="K343" s="27" t="s">
        <v>13</v>
      </c>
      <c r="L343" s="2" t="s">
        <v>3333</v>
      </c>
      <c r="M343" s="24"/>
      <c r="N343" s="29"/>
    </row>
    <row r="344" spans="1:14" ht="100.2" customHeight="1" thickTop="1" thickBot="1">
      <c r="A344" s="4">
        <v>342</v>
      </c>
      <c r="B344" s="52" t="s">
        <v>3334</v>
      </c>
      <c r="C344" s="3" t="s">
        <v>26</v>
      </c>
      <c r="D344" s="3" t="s">
        <v>2728</v>
      </c>
      <c r="E344" s="4" t="s">
        <v>22</v>
      </c>
      <c r="F344" s="43" t="s">
        <v>2679</v>
      </c>
      <c r="G344" s="4" t="s">
        <v>2201</v>
      </c>
      <c r="H344" s="43" t="s">
        <v>3335</v>
      </c>
      <c r="I344" s="4"/>
      <c r="J344" s="26"/>
      <c r="K344" s="27" t="s">
        <v>13</v>
      </c>
      <c r="L344" s="2" t="s">
        <v>3333</v>
      </c>
      <c r="M344" s="24"/>
      <c r="N344" s="29"/>
    </row>
    <row r="345" spans="1:14" ht="100.2" customHeight="1" thickTop="1" thickBot="1">
      <c r="A345" s="31">
        <v>343</v>
      </c>
      <c r="B345" s="2"/>
      <c r="C345" s="3"/>
      <c r="D345" s="3"/>
      <c r="E345" s="4"/>
      <c r="F345" s="43"/>
      <c r="G345" s="4"/>
      <c r="H345" s="43"/>
      <c r="I345" s="4"/>
      <c r="J345" s="26"/>
      <c r="K345" s="27"/>
      <c r="L345" s="2"/>
      <c r="M345" s="24"/>
      <c r="N345" s="29"/>
    </row>
    <row r="346" spans="1:14" ht="100.2" customHeight="1" thickTop="1" thickBot="1">
      <c r="A346" s="4">
        <v>344</v>
      </c>
      <c r="B346" s="2"/>
      <c r="C346" s="3"/>
      <c r="D346" s="3"/>
      <c r="E346" s="4"/>
      <c r="F346" s="43"/>
      <c r="G346" s="4"/>
      <c r="H346" s="43"/>
      <c r="I346" s="4"/>
      <c r="J346" s="26"/>
      <c r="K346" s="27"/>
      <c r="L346" s="2"/>
      <c r="M346" s="24"/>
      <c r="N346" s="29"/>
    </row>
    <row r="347" spans="1:14" ht="100.2" customHeight="1" thickTop="1" thickBot="1">
      <c r="A347" s="31">
        <v>345</v>
      </c>
      <c r="B347" s="2"/>
      <c r="C347" s="3"/>
      <c r="D347" s="3"/>
      <c r="E347" s="4"/>
      <c r="F347" s="43"/>
      <c r="G347" s="4"/>
      <c r="H347" s="43"/>
      <c r="I347" s="4"/>
      <c r="J347" s="26"/>
      <c r="K347" s="27"/>
      <c r="L347" s="2"/>
      <c r="M347" s="24"/>
      <c r="N347" s="29"/>
    </row>
    <row r="348" spans="1:14" ht="100.2" customHeight="1" thickTop="1" thickBot="1">
      <c r="A348" s="4">
        <v>346</v>
      </c>
      <c r="B348" s="2"/>
      <c r="C348" s="3"/>
      <c r="D348" s="3"/>
      <c r="E348" s="4"/>
      <c r="F348" s="43"/>
      <c r="G348" s="4"/>
      <c r="H348" s="43"/>
      <c r="I348" s="4"/>
      <c r="J348" s="26"/>
      <c r="K348" s="27"/>
      <c r="L348" s="2"/>
      <c r="M348" s="24"/>
      <c r="N348" s="29"/>
    </row>
    <row r="349" spans="1:14" ht="100.2" customHeight="1" thickTop="1" thickBot="1">
      <c r="A349" s="31">
        <v>347</v>
      </c>
      <c r="B349" s="2"/>
      <c r="C349" s="3"/>
      <c r="D349" s="3"/>
      <c r="E349" s="4"/>
      <c r="F349" s="43"/>
      <c r="G349" s="4"/>
      <c r="H349" s="43"/>
      <c r="I349" s="4"/>
      <c r="J349" s="26"/>
      <c r="K349" s="27"/>
      <c r="L349" s="2"/>
      <c r="M349" s="24"/>
      <c r="N349" s="29"/>
    </row>
    <row r="350" spans="1:14" ht="100.2" customHeight="1" thickTop="1" thickBot="1">
      <c r="A350" s="4">
        <v>348</v>
      </c>
      <c r="B350" s="2"/>
      <c r="C350" s="3"/>
      <c r="D350" s="3"/>
      <c r="E350" s="4"/>
      <c r="F350" s="43"/>
      <c r="G350" s="4"/>
      <c r="H350" s="43"/>
      <c r="I350" s="4"/>
      <c r="J350" s="26"/>
      <c r="K350" s="27"/>
      <c r="L350" s="2"/>
      <c r="M350" s="24"/>
      <c r="N350" s="29"/>
    </row>
    <row r="351" spans="1:14" ht="100.2" customHeight="1" thickTop="1" thickBot="1">
      <c r="A351" s="31">
        <v>349</v>
      </c>
      <c r="B351" s="2"/>
      <c r="C351" s="3"/>
      <c r="D351" s="3"/>
      <c r="E351" s="4"/>
      <c r="F351" s="43"/>
      <c r="G351" s="4"/>
      <c r="H351" s="43"/>
      <c r="I351" s="4"/>
      <c r="J351" s="26"/>
      <c r="K351" s="27"/>
      <c r="L351" s="2"/>
      <c r="M351" s="24"/>
      <c r="N351" s="29"/>
    </row>
    <row r="352" spans="1:14" ht="100.2" customHeight="1" thickTop="1" thickBot="1">
      <c r="A352" s="4">
        <v>350</v>
      </c>
      <c r="B352" s="2"/>
      <c r="C352" s="3"/>
      <c r="D352" s="3"/>
      <c r="E352" s="4"/>
      <c r="F352" s="43"/>
      <c r="G352" s="4"/>
      <c r="H352" s="43"/>
      <c r="I352" s="4"/>
      <c r="J352" s="26"/>
      <c r="K352" s="27"/>
      <c r="L352" s="2"/>
      <c r="M352" s="24"/>
      <c r="N352" s="29"/>
    </row>
    <row r="353" spans="1:14" ht="100.2" customHeight="1" thickTop="1" thickBot="1">
      <c r="A353" s="31">
        <v>351</v>
      </c>
      <c r="B353" s="2"/>
      <c r="C353" s="3"/>
      <c r="D353" s="3"/>
      <c r="E353" s="4"/>
      <c r="F353" s="43"/>
      <c r="G353" s="4"/>
      <c r="H353" s="43"/>
      <c r="I353" s="4"/>
      <c r="J353" s="26"/>
      <c r="K353" s="27"/>
      <c r="L353" s="2"/>
      <c r="M353" s="24"/>
      <c r="N353" s="29"/>
    </row>
    <row r="354" spans="1:14" ht="100.2" customHeight="1" thickTop="1" thickBot="1">
      <c r="A354" s="4">
        <v>352</v>
      </c>
      <c r="B354" s="2"/>
      <c r="C354" s="3"/>
      <c r="D354" s="3"/>
      <c r="E354" s="4"/>
      <c r="F354" s="43"/>
      <c r="G354" s="4"/>
      <c r="H354" s="43"/>
      <c r="I354" s="4"/>
      <c r="J354" s="26"/>
      <c r="K354" s="27"/>
      <c r="L354" s="2"/>
      <c r="M354" s="24"/>
      <c r="N354" s="29"/>
    </row>
    <row r="355" spans="1:14" ht="100.2" customHeight="1" thickTop="1" thickBot="1">
      <c r="A355" s="31">
        <v>353</v>
      </c>
      <c r="B355" s="2"/>
      <c r="C355" s="3"/>
      <c r="D355" s="3"/>
      <c r="E355" s="4"/>
      <c r="F355" s="43"/>
      <c r="G355" s="4"/>
      <c r="H355" s="43"/>
      <c r="I355" s="4"/>
      <c r="J355" s="26"/>
      <c r="K355" s="27"/>
      <c r="L355" s="2"/>
      <c r="M355" s="24"/>
      <c r="N355" s="29"/>
    </row>
    <row r="356" spans="1:14" ht="100.2" customHeight="1" thickTop="1" thickBot="1">
      <c r="A356" s="4">
        <v>354</v>
      </c>
      <c r="B356" s="2"/>
      <c r="C356" s="3"/>
      <c r="D356" s="3"/>
      <c r="E356" s="4"/>
      <c r="F356" s="43"/>
      <c r="G356" s="4"/>
      <c r="H356" s="43"/>
      <c r="I356" s="4"/>
      <c r="J356" s="26"/>
      <c r="K356" s="27"/>
      <c r="L356" s="2"/>
      <c r="M356" s="24"/>
      <c r="N356" s="29"/>
    </row>
    <row r="357" spans="1:14" ht="100.2" customHeight="1" thickTop="1" thickBot="1">
      <c r="A357" s="31">
        <v>355</v>
      </c>
      <c r="B357" s="2"/>
      <c r="C357" s="3"/>
      <c r="D357" s="3"/>
      <c r="E357" s="4"/>
      <c r="F357" s="43"/>
      <c r="G357" s="4"/>
      <c r="H357" s="43"/>
      <c r="I357" s="4"/>
      <c r="J357" s="26"/>
      <c r="K357" s="27"/>
      <c r="L357" s="2"/>
      <c r="M357" s="24"/>
      <c r="N357" s="29"/>
    </row>
    <row r="358" spans="1:14" ht="100.2" customHeight="1" thickTop="1" thickBot="1">
      <c r="A358" s="4">
        <v>356</v>
      </c>
      <c r="B358" s="2"/>
      <c r="C358" s="3"/>
      <c r="D358" s="3"/>
      <c r="E358" s="4"/>
      <c r="F358" s="43"/>
      <c r="G358" s="4"/>
      <c r="H358" s="43"/>
      <c r="I358" s="4"/>
      <c r="J358" s="26"/>
      <c r="K358" s="27"/>
      <c r="L358" s="2"/>
      <c r="M358" s="24"/>
      <c r="N358" s="29"/>
    </row>
    <row r="359" spans="1:14" ht="100.2" customHeight="1" thickTop="1" thickBot="1">
      <c r="A359" s="31">
        <v>357</v>
      </c>
      <c r="B359" s="2"/>
      <c r="C359" s="3"/>
      <c r="D359" s="3"/>
      <c r="E359" s="4"/>
      <c r="F359" s="43"/>
      <c r="G359" s="4"/>
      <c r="H359" s="43"/>
      <c r="I359" s="4"/>
      <c r="J359" s="26"/>
      <c r="K359" s="27"/>
      <c r="L359" s="2"/>
      <c r="M359" s="24"/>
    </row>
    <row r="360" spans="1:14" ht="100.2" customHeight="1" thickTop="1" thickBot="1">
      <c r="A360" s="4">
        <v>358</v>
      </c>
      <c r="B360" s="2"/>
      <c r="C360" s="3"/>
      <c r="D360" s="3"/>
      <c r="E360" s="4"/>
      <c r="F360" s="43"/>
      <c r="G360" s="4"/>
      <c r="H360" s="43"/>
      <c r="I360" s="4"/>
      <c r="J360" s="26"/>
      <c r="K360" s="27"/>
      <c r="L360" s="2"/>
      <c r="M360" s="24"/>
    </row>
    <row r="361" spans="1:14" ht="100.2" customHeight="1" thickTop="1" thickBot="1">
      <c r="A361" s="31">
        <v>359</v>
      </c>
      <c r="B361" s="2"/>
      <c r="C361" s="3"/>
      <c r="D361" s="3"/>
      <c r="E361" s="4"/>
      <c r="F361" s="43"/>
      <c r="G361" s="4"/>
      <c r="H361" s="43"/>
      <c r="I361" s="4"/>
      <c r="J361" s="26"/>
      <c r="K361" s="27"/>
      <c r="L361" s="2"/>
      <c r="M361" s="24"/>
    </row>
    <row r="362" spans="1:14" ht="100.2" customHeight="1" thickTop="1" thickBot="1">
      <c r="A362" s="4">
        <v>360</v>
      </c>
      <c r="B362" s="2"/>
      <c r="C362" s="3"/>
      <c r="D362" s="3"/>
      <c r="E362" s="4"/>
      <c r="F362" s="43"/>
      <c r="G362" s="4"/>
      <c r="H362" s="43"/>
      <c r="I362" s="4"/>
      <c r="J362" s="26"/>
      <c r="K362" s="27"/>
      <c r="L362" s="2"/>
      <c r="M362" s="24"/>
    </row>
    <row r="363" spans="1:14" ht="100.2" customHeight="1" thickTop="1" thickBot="1">
      <c r="A363" s="31">
        <v>361</v>
      </c>
      <c r="B363" s="2"/>
      <c r="C363" s="3"/>
      <c r="D363" s="3"/>
      <c r="E363" s="4"/>
      <c r="F363" s="43"/>
      <c r="G363" s="4"/>
      <c r="H363" s="43"/>
      <c r="I363" s="4"/>
      <c r="J363" s="26"/>
      <c r="K363" s="27"/>
      <c r="L363" s="2"/>
      <c r="M363" s="24"/>
    </row>
    <row r="364" spans="1:14" ht="100.2" customHeight="1" thickTop="1" thickBot="1">
      <c r="A364" s="4">
        <v>362</v>
      </c>
      <c r="B364" s="2"/>
      <c r="C364" s="3"/>
      <c r="D364" s="3"/>
      <c r="E364" s="4"/>
      <c r="F364" s="43"/>
      <c r="G364" s="4"/>
      <c r="H364" s="43"/>
      <c r="I364" s="4"/>
      <c r="J364" s="26"/>
      <c r="K364" s="27"/>
      <c r="L364" s="2"/>
      <c r="M364" s="24"/>
    </row>
    <row r="365" spans="1:14" ht="100.2" customHeight="1" thickTop="1" thickBot="1">
      <c r="A365" s="31">
        <v>363</v>
      </c>
      <c r="B365" s="2"/>
      <c r="C365" s="3"/>
      <c r="D365" s="3"/>
      <c r="E365" s="4"/>
      <c r="F365" s="43"/>
      <c r="G365" s="4"/>
      <c r="H365" s="43"/>
      <c r="I365" s="4"/>
      <c r="J365" s="26"/>
      <c r="K365" s="27"/>
      <c r="L365" s="2"/>
      <c r="M365" s="24"/>
    </row>
    <row r="366" spans="1:14" ht="100.2" customHeight="1" thickTop="1" thickBot="1">
      <c r="A366" s="4">
        <v>364</v>
      </c>
      <c r="B366" s="2"/>
      <c r="C366" s="3"/>
      <c r="D366" s="3"/>
      <c r="E366" s="4"/>
      <c r="F366" s="43"/>
      <c r="G366" s="4"/>
      <c r="H366" s="43"/>
      <c r="I366" s="4"/>
      <c r="J366" s="26"/>
      <c r="K366" s="27"/>
      <c r="L366" s="2"/>
      <c r="M366" s="24"/>
    </row>
    <row r="367" spans="1:14" ht="100.2" customHeight="1" thickTop="1" thickBot="1">
      <c r="A367" s="31">
        <v>365</v>
      </c>
      <c r="B367" s="2"/>
      <c r="C367" s="3"/>
      <c r="D367" s="3"/>
      <c r="E367" s="4"/>
      <c r="F367" s="43"/>
      <c r="G367" s="4"/>
      <c r="H367" s="43"/>
      <c r="I367" s="4"/>
      <c r="J367" s="26"/>
      <c r="K367" s="27"/>
      <c r="L367" s="2"/>
      <c r="M367" s="24"/>
    </row>
    <row r="368" spans="1:14" ht="100.2" customHeight="1" thickTop="1" thickBot="1">
      <c r="A368" s="4">
        <v>366</v>
      </c>
      <c r="B368" s="2"/>
      <c r="C368" s="3"/>
      <c r="D368" s="3"/>
      <c r="E368" s="4"/>
      <c r="F368" s="43"/>
      <c r="G368" s="4"/>
      <c r="H368" s="43"/>
      <c r="I368" s="4"/>
      <c r="J368" s="26"/>
      <c r="K368" s="27"/>
      <c r="L368" s="2"/>
      <c r="M368" s="24"/>
    </row>
    <row r="369" spans="1:13" ht="100.2" customHeight="1" thickTop="1" thickBot="1">
      <c r="A369" s="31">
        <v>367</v>
      </c>
      <c r="B369" s="2"/>
      <c r="C369" s="3"/>
      <c r="D369" s="3"/>
      <c r="E369" s="4"/>
      <c r="F369" s="43"/>
      <c r="G369" s="4"/>
      <c r="H369" s="43"/>
      <c r="I369" s="4"/>
      <c r="J369" s="26"/>
      <c r="K369" s="27"/>
      <c r="L369" s="2"/>
      <c r="M369" s="24"/>
    </row>
    <row r="370" spans="1:13" ht="100.2" customHeight="1" thickTop="1" thickBot="1">
      <c r="A370" s="4">
        <v>368</v>
      </c>
      <c r="B370" s="2"/>
      <c r="C370" s="3"/>
      <c r="D370" s="3"/>
      <c r="E370" s="4"/>
      <c r="F370" s="43"/>
      <c r="G370" s="4"/>
      <c r="H370" s="43"/>
      <c r="I370" s="4"/>
      <c r="J370" s="26"/>
      <c r="K370" s="27"/>
      <c r="L370" s="2"/>
      <c r="M370" s="24"/>
    </row>
    <row r="371" spans="1:13" ht="100.2" customHeight="1" thickTop="1" thickBot="1">
      <c r="A371" s="31">
        <v>369</v>
      </c>
      <c r="B371" s="2"/>
      <c r="C371" s="3"/>
      <c r="D371" s="3"/>
      <c r="E371" s="4"/>
      <c r="F371" s="43"/>
      <c r="G371" s="4"/>
      <c r="H371" s="43"/>
      <c r="I371" s="4"/>
      <c r="J371" s="26"/>
      <c r="K371" s="27"/>
      <c r="L371" s="2"/>
      <c r="M371" s="24"/>
    </row>
    <row r="372" spans="1:13" ht="100.2" customHeight="1" thickTop="1" thickBot="1">
      <c r="A372" s="4">
        <v>370</v>
      </c>
      <c r="B372" s="2"/>
      <c r="C372" s="3"/>
      <c r="D372" s="3"/>
      <c r="E372" s="4"/>
      <c r="F372" s="43"/>
      <c r="G372" s="4"/>
      <c r="H372" s="43"/>
      <c r="I372" s="4"/>
      <c r="J372" s="26"/>
      <c r="K372" s="27"/>
      <c r="L372" s="2"/>
      <c r="M372" s="24"/>
    </row>
    <row r="373" spans="1:13" ht="100.2" customHeight="1" thickTop="1" thickBot="1">
      <c r="A373" s="31">
        <v>371</v>
      </c>
      <c r="B373" s="2"/>
      <c r="C373" s="3"/>
      <c r="D373" s="3"/>
      <c r="E373" s="4"/>
      <c r="F373" s="43"/>
      <c r="G373" s="4"/>
      <c r="H373" s="43"/>
      <c r="I373" s="4"/>
      <c r="J373" s="26"/>
      <c r="K373" s="27"/>
      <c r="L373" s="2"/>
      <c r="M373" s="24"/>
    </row>
    <row r="374" spans="1:13" ht="100.2" customHeight="1" thickTop="1" thickBot="1">
      <c r="A374" s="4">
        <v>372</v>
      </c>
      <c r="B374" s="2"/>
      <c r="C374" s="3"/>
      <c r="D374" s="3"/>
      <c r="E374" s="4"/>
      <c r="F374" s="43"/>
      <c r="G374" s="4"/>
      <c r="H374" s="43"/>
      <c r="I374" s="4"/>
      <c r="J374" s="26"/>
      <c r="K374" s="27"/>
      <c r="L374" s="2"/>
      <c r="M374" s="24"/>
    </row>
    <row r="375" spans="1:13" ht="100.2" customHeight="1" thickTop="1" thickBot="1">
      <c r="A375" s="31">
        <v>373</v>
      </c>
      <c r="B375" s="2"/>
      <c r="C375" s="3"/>
      <c r="D375" s="3"/>
      <c r="E375" s="4"/>
      <c r="F375" s="43"/>
      <c r="G375" s="4"/>
      <c r="H375" s="43"/>
      <c r="I375" s="4"/>
      <c r="J375" s="26"/>
      <c r="K375" s="27"/>
      <c r="L375" s="2"/>
      <c r="M375" s="24"/>
    </row>
    <row r="376" spans="1:13" ht="100.2" customHeight="1" thickTop="1" thickBot="1">
      <c r="A376" s="4">
        <v>374</v>
      </c>
      <c r="B376" s="2"/>
      <c r="C376" s="3"/>
      <c r="D376" s="3"/>
      <c r="E376" s="4"/>
      <c r="F376" s="43"/>
      <c r="G376" s="4"/>
      <c r="H376" s="43"/>
      <c r="I376" s="4"/>
      <c r="J376" s="26"/>
      <c r="K376" s="27"/>
      <c r="L376" s="2"/>
      <c r="M376" s="24"/>
    </row>
    <row r="377" spans="1:13" ht="100.2" customHeight="1" thickTop="1" thickBot="1">
      <c r="A377" s="31">
        <v>375</v>
      </c>
      <c r="B377" s="2"/>
      <c r="C377" s="3"/>
      <c r="D377" s="3"/>
      <c r="E377" s="4"/>
      <c r="F377" s="43"/>
      <c r="G377" s="4"/>
      <c r="H377" s="43"/>
      <c r="I377" s="4"/>
      <c r="J377" s="26"/>
      <c r="K377" s="27"/>
      <c r="L377" s="2"/>
      <c r="M377" s="24"/>
    </row>
    <row r="378" spans="1:13" ht="100.2" customHeight="1" thickTop="1" thickBot="1">
      <c r="A378" s="4">
        <v>376</v>
      </c>
      <c r="B378" s="2"/>
      <c r="C378" s="3"/>
      <c r="D378" s="3"/>
      <c r="E378" s="4"/>
      <c r="F378" s="43"/>
      <c r="G378" s="4"/>
      <c r="H378" s="43"/>
      <c r="I378" s="4"/>
      <c r="J378" s="26"/>
      <c r="K378" s="27"/>
      <c r="L378" s="2"/>
      <c r="M378" s="24"/>
    </row>
    <row r="379" spans="1:13" ht="100.2" customHeight="1" thickTop="1" thickBot="1">
      <c r="A379" s="31">
        <v>377</v>
      </c>
      <c r="B379" s="2"/>
      <c r="C379" s="3"/>
      <c r="D379" s="3"/>
      <c r="E379" s="4"/>
      <c r="F379" s="43"/>
      <c r="G379" s="4"/>
      <c r="H379" s="43"/>
      <c r="I379" s="4"/>
      <c r="J379" s="26"/>
      <c r="K379" s="27"/>
      <c r="L379" s="2"/>
      <c r="M379" s="24"/>
    </row>
    <row r="380" spans="1:13" ht="100.2" customHeight="1" thickTop="1" thickBot="1">
      <c r="A380" s="4">
        <v>378</v>
      </c>
      <c r="B380" s="2"/>
      <c r="C380" s="3"/>
      <c r="D380" s="3"/>
      <c r="E380" s="4"/>
      <c r="F380" s="43"/>
      <c r="G380" s="4"/>
      <c r="H380" s="43"/>
      <c r="I380" s="4"/>
      <c r="J380" s="26"/>
      <c r="K380" s="27"/>
      <c r="L380" s="2"/>
      <c r="M380" s="24"/>
    </row>
    <row r="381" spans="1:13" ht="100.2" customHeight="1" thickTop="1" thickBot="1">
      <c r="A381" s="31">
        <v>379</v>
      </c>
      <c r="B381" s="2"/>
      <c r="C381" s="3"/>
      <c r="D381" s="3"/>
      <c r="E381" s="4"/>
      <c r="F381" s="43"/>
      <c r="G381" s="4"/>
      <c r="H381" s="43"/>
      <c r="I381" s="4"/>
      <c r="J381" s="26"/>
      <c r="K381" s="27"/>
      <c r="L381" s="2"/>
      <c r="M381" s="24"/>
    </row>
    <row r="382" spans="1:13" ht="100.2" customHeight="1" thickTop="1" thickBot="1">
      <c r="A382" s="4">
        <v>380</v>
      </c>
      <c r="B382" s="2"/>
      <c r="C382" s="3"/>
      <c r="D382" s="3"/>
      <c r="E382" s="4"/>
      <c r="F382" s="43"/>
      <c r="G382" s="4"/>
      <c r="H382" s="43"/>
      <c r="I382" s="4"/>
      <c r="J382" s="26"/>
      <c r="K382" s="27"/>
      <c r="L382" s="2"/>
      <c r="M382" s="24"/>
    </row>
    <row r="383" spans="1:13" ht="100.2" customHeight="1" thickTop="1" thickBot="1">
      <c r="A383" s="31">
        <v>381</v>
      </c>
      <c r="B383" s="2"/>
      <c r="C383" s="3"/>
      <c r="D383" s="3"/>
      <c r="E383" s="4"/>
      <c r="F383" s="43"/>
      <c r="G383" s="4"/>
      <c r="H383" s="43"/>
      <c r="I383" s="4"/>
      <c r="J383" s="26"/>
      <c r="K383" s="27"/>
      <c r="L383" s="2"/>
      <c r="M383" s="24"/>
    </row>
    <row r="384" spans="1:13" ht="100.2" customHeight="1" thickTop="1" thickBot="1">
      <c r="A384" s="4">
        <v>382</v>
      </c>
      <c r="B384" s="2"/>
      <c r="C384" s="3"/>
      <c r="D384" s="3"/>
      <c r="E384" s="4"/>
      <c r="F384" s="43"/>
      <c r="G384" s="4"/>
      <c r="H384" s="43"/>
      <c r="I384" s="4"/>
      <c r="J384" s="26"/>
      <c r="K384" s="27"/>
      <c r="L384" s="2"/>
      <c r="M384" s="24"/>
    </row>
    <row r="385" spans="1:13" ht="100.2" customHeight="1" thickTop="1" thickBot="1">
      <c r="A385" s="31">
        <v>383</v>
      </c>
      <c r="B385" s="2"/>
      <c r="C385" s="3"/>
      <c r="D385" s="3"/>
      <c r="E385" s="4"/>
      <c r="F385" s="43"/>
      <c r="G385" s="4"/>
      <c r="H385" s="43"/>
      <c r="I385" s="4"/>
      <c r="J385" s="26"/>
      <c r="K385" s="27"/>
      <c r="L385" s="2"/>
      <c r="M385" s="24"/>
    </row>
    <row r="386" spans="1:13" ht="100.2" customHeight="1" thickTop="1" thickBot="1">
      <c r="A386" s="4">
        <v>384</v>
      </c>
      <c r="B386" s="2"/>
      <c r="C386" s="3"/>
      <c r="D386" s="3"/>
      <c r="E386" s="4"/>
      <c r="F386" s="43"/>
      <c r="G386" s="4"/>
      <c r="H386" s="43"/>
      <c r="I386" s="4"/>
      <c r="J386" s="26"/>
      <c r="K386" s="27"/>
      <c r="L386" s="2"/>
      <c r="M386" s="24"/>
    </row>
    <row r="387" spans="1:13" ht="100.2" customHeight="1" thickTop="1" thickBot="1">
      <c r="A387" s="31">
        <v>385</v>
      </c>
      <c r="B387" s="2"/>
      <c r="C387" s="3"/>
      <c r="D387" s="3"/>
      <c r="E387" s="4"/>
      <c r="F387" s="43"/>
      <c r="G387" s="4"/>
      <c r="H387" s="43"/>
      <c r="I387" s="4"/>
      <c r="J387" s="26"/>
      <c r="K387" s="27"/>
      <c r="L387" s="2"/>
      <c r="M387" s="24"/>
    </row>
    <row r="388" spans="1:13" ht="100.2" customHeight="1" thickTop="1" thickBot="1">
      <c r="A388" s="4">
        <v>386</v>
      </c>
      <c r="B388" s="2"/>
      <c r="C388" s="3"/>
      <c r="D388" s="3"/>
      <c r="E388" s="4"/>
      <c r="F388" s="43"/>
      <c r="G388" s="4"/>
      <c r="H388" s="43"/>
      <c r="I388" s="4"/>
      <c r="J388" s="26"/>
      <c r="K388" s="27"/>
      <c r="L388" s="2"/>
      <c r="M388" s="24"/>
    </row>
    <row r="389" spans="1:13" ht="100.2" customHeight="1" thickTop="1" thickBot="1">
      <c r="A389" s="31">
        <v>387</v>
      </c>
      <c r="B389" s="2"/>
      <c r="C389" s="3"/>
      <c r="D389" s="3"/>
      <c r="E389" s="4"/>
      <c r="F389" s="43"/>
      <c r="G389" s="4"/>
      <c r="H389" s="43"/>
      <c r="I389" s="4"/>
      <c r="J389" s="26"/>
      <c r="K389" s="27"/>
      <c r="L389" s="2"/>
      <c r="M389" s="24"/>
    </row>
    <row r="390" spans="1:13" ht="100.2" customHeight="1" thickTop="1" thickBot="1">
      <c r="A390" s="4">
        <v>388</v>
      </c>
      <c r="B390" s="2"/>
      <c r="C390" s="3"/>
      <c r="D390" s="3"/>
      <c r="E390" s="4"/>
      <c r="F390" s="43"/>
      <c r="G390" s="4"/>
      <c r="H390" s="43"/>
      <c r="I390" s="4"/>
      <c r="J390" s="26"/>
      <c r="K390" s="27"/>
      <c r="L390" s="2"/>
      <c r="M390" s="24"/>
    </row>
    <row r="391" spans="1:13" ht="100.2" customHeight="1" thickTop="1" thickBot="1">
      <c r="A391" s="31">
        <v>389</v>
      </c>
      <c r="B391" s="2"/>
      <c r="C391" s="3"/>
      <c r="D391" s="3"/>
      <c r="E391" s="4"/>
      <c r="F391" s="43"/>
      <c r="G391" s="4"/>
      <c r="H391" s="43"/>
      <c r="I391" s="4"/>
      <c r="J391" s="26"/>
      <c r="K391" s="27"/>
      <c r="L391" s="2"/>
      <c r="M391" s="24"/>
    </row>
    <row r="392" spans="1:13" ht="100.2" customHeight="1" thickTop="1" thickBot="1">
      <c r="A392" s="4">
        <v>390</v>
      </c>
      <c r="B392" s="2"/>
      <c r="C392" s="3"/>
      <c r="D392" s="3"/>
      <c r="E392" s="4"/>
      <c r="F392" s="43"/>
      <c r="G392" s="4"/>
      <c r="H392" s="43"/>
      <c r="I392" s="4"/>
      <c r="J392" s="26"/>
      <c r="K392" s="27"/>
      <c r="L392" s="2"/>
      <c r="M392" s="24"/>
    </row>
    <row r="393" spans="1:13" ht="100.2" customHeight="1" thickTop="1" thickBot="1">
      <c r="A393" s="31">
        <v>391</v>
      </c>
      <c r="B393" s="2"/>
      <c r="C393" s="3"/>
      <c r="D393" s="3"/>
      <c r="E393" s="4"/>
      <c r="F393" s="43"/>
      <c r="G393" s="4"/>
      <c r="H393" s="43"/>
      <c r="I393" s="4"/>
      <c r="J393" s="26"/>
      <c r="K393" s="27"/>
      <c r="L393" s="2"/>
      <c r="M393" s="24"/>
    </row>
    <row r="394" spans="1:13" ht="100.2" customHeight="1" thickTop="1" thickBot="1">
      <c r="A394" s="4">
        <v>392</v>
      </c>
      <c r="B394" s="2"/>
      <c r="C394" s="3"/>
      <c r="D394" s="3"/>
      <c r="E394" s="4"/>
      <c r="F394" s="43"/>
      <c r="G394" s="4"/>
      <c r="H394" s="43"/>
      <c r="I394" s="4"/>
      <c r="J394" s="26"/>
      <c r="K394" s="27"/>
      <c r="L394" s="2"/>
      <c r="M394" s="24"/>
    </row>
    <row r="395" spans="1:13" ht="100.2" customHeight="1" thickTop="1" thickBot="1">
      <c r="A395" s="31">
        <v>393</v>
      </c>
      <c r="B395" s="2"/>
      <c r="C395" s="3"/>
      <c r="D395" s="3"/>
      <c r="E395" s="4"/>
      <c r="F395" s="43"/>
      <c r="G395" s="4"/>
      <c r="H395" s="43"/>
      <c r="I395" s="4"/>
      <c r="J395" s="26"/>
      <c r="K395" s="27"/>
      <c r="L395" s="2"/>
      <c r="M395" s="24"/>
    </row>
    <row r="396" spans="1:13" ht="100.2" customHeight="1" thickTop="1" thickBot="1">
      <c r="A396" s="4">
        <v>394</v>
      </c>
      <c r="B396" s="2"/>
      <c r="C396" s="3"/>
      <c r="D396" s="3"/>
      <c r="E396" s="4"/>
      <c r="F396" s="43"/>
      <c r="G396" s="4"/>
      <c r="H396" s="43"/>
      <c r="I396" s="4"/>
      <c r="J396" s="26"/>
      <c r="K396" s="27"/>
      <c r="L396" s="2"/>
      <c r="M396" s="24"/>
    </row>
    <row r="397" spans="1:13" ht="100.2" customHeight="1" thickTop="1" thickBot="1">
      <c r="A397" s="31">
        <v>395</v>
      </c>
      <c r="B397" s="2"/>
      <c r="C397" s="3"/>
      <c r="D397" s="3"/>
      <c r="E397" s="4"/>
      <c r="F397" s="43"/>
      <c r="G397" s="4"/>
      <c r="H397" s="43"/>
      <c r="I397" s="4"/>
      <c r="J397" s="26"/>
      <c r="K397" s="27"/>
      <c r="L397" s="2"/>
      <c r="M397" s="24"/>
    </row>
    <row r="398" spans="1:13" ht="100.2" customHeight="1" thickTop="1" thickBot="1">
      <c r="A398" s="4">
        <v>396</v>
      </c>
      <c r="B398" s="2"/>
      <c r="C398" s="3"/>
      <c r="D398" s="3"/>
      <c r="E398" s="4"/>
      <c r="F398" s="43"/>
      <c r="G398" s="4"/>
      <c r="H398" s="43"/>
      <c r="I398" s="4"/>
      <c r="J398" s="26"/>
      <c r="K398" s="27"/>
      <c r="L398" s="2"/>
      <c r="M398" s="24"/>
    </row>
    <row r="399" spans="1:13" ht="100.2" customHeight="1" thickTop="1" thickBot="1">
      <c r="A399" s="31">
        <v>397</v>
      </c>
      <c r="B399" s="2"/>
      <c r="C399" s="3"/>
      <c r="D399" s="3"/>
      <c r="E399" s="4"/>
      <c r="F399" s="43"/>
      <c r="G399" s="4"/>
      <c r="H399" s="43"/>
      <c r="I399" s="4"/>
      <c r="J399" s="26"/>
      <c r="K399" s="27"/>
      <c r="L399" s="2"/>
      <c r="M399" s="24"/>
    </row>
    <row r="400" spans="1:13" ht="100.2" customHeight="1" thickTop="1" thickBot="1">
      <c r="A400" s="4">
        <v>398</v>
      </c>
      <c r="B400" s="2"/>
      <c r="C400" s="3"/>
      <c r="D400" s="3"/>
      <c r="E400" s="4"/>
      <c r="F400" s="43"/>
      <c r="G400" s="4"/>
      <c r="H400" s="43"/>
      <c r="I400" s="4"/>
      <c r="J400" s="26"/>
      <c r="K400" s="27"/>
      <c r="L400" s="2"/>
      <c r="M400" s="24"/>
    </row>
    <row r="401" spans="1:13" ht="100.2" customHeight="1" thickTop="1" thickBot="1">
      <c r="A401" s="31">
        <v>399</v>
      </c>
      <c r="B401" s="2"/>
      <c r="C401" s="3"/>
      <c r="D401" s="3"/>
      <c r="E401" s="4"/>
      <c r="F401" s="43"/>
      <c r="G401" s="4"/>
      <c r="H401" s="43"/>
      <c r="I401" s="4"/>
      <c r="J401" s="26"/>
      <c r="K401" s="27"/>
      <c r="L401" s="2"/>
      <c r="M401" s="24"/>
    </row>
    <row r="402" spans="1:13" ht="100.2" customHeight="1" thickTop="1" thickBot="1">
      <c r="A402" s="4">
        <v>400</v>
      </c>
      <c r="B402" s="2"/>
      <c r="C402" s="3"/>
      <c r="D402" s="3"/>
      <c r="E402" s="4"/>
      <c r="F402" s="43"/>
      <c r="G402" s="4"/>
      <c r="H402" s="43"/>
      <c r="I402" s="4"/>
      <c r="J402" s="26"/>
      <c r="K402" s="27"/>
      <c r="L402" s="2"/>
      <c r="M402" s="24"/>
    </row>
    <row r="403" spans="1:13" ht="100.2" customHeight="1" thickTop="1" thickBot="1">
      <c r="A403" s="31">
        <v>401</v>
      </c>
      <c r="B403" s="2"/>
      <c r="C403" s="3"/>
      <c r="D403" s="3"/>
      <c r="E403" s="4"/>
      <c r="F403" s="43"/>
      <c r="G403" s="4"/>
      <c r="H403" s="43"/>
      <c r="I403" s="4"/>
      <c r="J403" s="26"/>
      <c r="K403" s="27"/>
      <c r="L403" s="2"/>
      <c r="M403" s="24"/>
    </row>
    <row r="404" spans="1:13" ht="100.2" customHeight="1" thickTop="1" thickBot="1">
      <c r="A404" s="4">
        <v>402</v>
      </c>
      <c r="B404" s="2"/>
      <c r="C404" s="3"/>
      <c r="D404" s="3"/>
      <c r="E404" s="4"/>
      <c r="F404" s="43"/>
      <c r="G404" s="4"/>
      <c r="H404" s="43"/>
      <c r="I404" s="4"/>
      <c r="J404" s="26"/>
      <c r="K404" s="27"/>
      <c r="L404" s="2"/>
      <c r="M404" s="24"/>
    </row>
    <row r="405" spans="1:13" ht="100.2" customHeight="1" thickTop="1" thickBot="1">
      <c r="A405" s="31">
        <v>403</v>
      </c>
      <c r="B405" s="2"/>
      <c r="C405" s="3"/>
      <c r="D405" s="3"/>
      <c r="E405" s="4"/>
      <c r="F405" s="43"/>
      <c r="G405" s="4"/>
      <c r="H405" s="43"/>
      <c r="I405" s="4"/>
      <c r="J405" s="26"/>
      <c r="K405" s="27"/>
      <c r="L405" s="2"/>
      <c r="M405" s="24"/>
    </row>
    <row r="406" spans="1:13" ht="100.2" customHeight="1" thickTop="1" thickBot="1">
      <c r="A406" s="4">
        <v>404</v>
      </c>
      <c r="B406" s="2"/>
      <c r="C406" s="3"/>
      <c r="D406" s="3"/>
      <c r="E406" s="4"/>
      <c r="F406" s="43"/>
      <c r="G406" s="4"/>
      <c r="H406" s="43"/>
      <c r="I406" s="4"/>
      <c r="J406" s="26"/>
      <c r="K406" s="27"/>
      <c r="L406" s="2"/>
      <c r="M406" s="24"/>
    </row>
    <row r="407" spans="1:13" ht="100.2" customHeight="1" thickTop="1" thickBot="1">
      <c r="A407" s="31">
        <v>405</v>
      </c>
      <c r="B407" s="2"/>
      <c r="C407" s="3"/>
      <c r="D407" s="3"/>
      <c r="E407" s="4"/>
      <c r="F407" s="43"/>
      <c r="G407" s="4"/>
      <c r="H407" s="43"/>
      <c r="I407" s="4"/>
      <c r="J407" s="26"/>
      <c r="K407" s="27"/>
      <c r="L407" s="2"/>
      <c r="M407" s="24"/>
    </row>
    <row r="408" spans="1:13" ht="100.2" customHeight="1" thickTop="1" thickBot="1">
      <c r="A408" s="4">
        <v>406</v>
      </c>
      <c r="B408" s="2"/>
      <c r="C408" s="3"/>
      <c r="D408" s="3"/>
      <c r="E408" s="4"/>
      <c r="F408" s="43"/>
      <c r="G408" s="4"/>
      <c r="H408" s="43"/>
      <c r="I408" s="4"/>
      <c r="J408" s="26"/>
      <c r="K408" s="27"/>
      <c r="L408" s="2"/>
      <c r="M408" s="24"/>
    </row>
    <row r="409" spans="1:13" ht="100.2" customHeight="1" thickTop="1" thickBot="1">
      <c r="A409" s="31">
        <v>407</v>
      </c>
      <c r="B409" s="2"/>
      <c r="C409" s="3"/>
      <c r="D409" s="3"/>
      <c r="E409" s="4"/>
      <c r="F409" s="43"/>
      <c r="G409" s="4"/>
      <c r="H409" s="43"/>
      <c r="I409" s="4"/>
      <c r="J409" s="26"/>
      <c r="K409" s="27"/>
      <c r="L409" s="2"/>
      <c r="M409" s="24"/>
    </row>
    <row r="410" spans="1:13" ht="100.2" customHeight="1" thickTop="1" thickBot="1">
      <c r="A410" s="4">
        <v>408</v>
      </c>
      <c r="B410" s="2"/>
      <c r="C410" s="3"/>
      <c r="D410" s="3"/>
      <c r="E410" s="4"/>
      <c r="F410" s="43"/>
      <c r="G410" s="4"/>
      <c r="H410" s="43"/>
      <c r="I410" s="4"/>
      <c r="J410" s="26"/>
      <c r="K410" s="27"/>
      <c r="L410" s="2"/>
      <c r="M410" s="24"/>
    </row>
    <row r="411" spans="1:13" ht="100.2" customHeight="1" thickTop="1" thickBot="1">
      <c r="A411" s="31">
        <v>409</v>
      </c>
      <c r="B411" s="2"/>
      <c r="C411" s="3"/>
      <c r="D411" s="3"/>
      <c r="E411" s="4"/>
      <c r="F411" s="43"/>
      <c r="G411" s="4"/>
      <c r="H411" s="43"/>
      <c r="I411" s="4"/>
      <c r="J411" s="26"/>
      <c r="K411" s="27"/>
      <c r="L411" s="2"/>
      <c r="M411" s="24"/>
    </row>
    <row r="412" spans="1:13" ht="100.2" customHeight="1" thickTop="1" thickBot="1">
      <c r="A412" s="4">
        <v>410</v>
      </c>
      <c r="B412" s="2"/>
      <c r="C412" s="3"/>
      <c r="D412" s="3"/>
      <c r="E412" s="4"/>
      <c r="F412" s="43"/>
      <c r="G412" s="4"/>
      <c r="H412" s="43"/>
      <c r="I412" s="4"/>
      <c r="J412" s="26"/>
      <c r="K412" s="27"/>
      <c r="L412" s="2"/>
      <c r="M412" s="24"/>
    </row>
    <row r="413" spans="1:13" ht="100.2" customHeight="1" thickTop="1" thickBot="1">
      <c r="A413" s="31">
        <v>411</v>
      </c>
      <c r="B413" s="2"/>
      <c r="C413" s="3"/>
      <c r="D413" s="3"/>
      <c r="E413" s="4"/>
      <c r="F413" s="43"/>
      <c r="G413" s="4"/>
      <c r="H413" s="43"/>
      <c r="I413" s="4"/>
      <c r="J413" s="26"/>
      <c r="K413" s="27"/>
      <c r="L413" s="2"/>
      <c r="M413" s="24"/>
    </row>
    <row r="414" spans="1:13" ht="100.2" customHeight="1" thickTop="1" thickBot="1">
      <c r="A414" s="4">
        <v>412</v>
      </c>
      <c r="B414" s="2"/>
      <c r="C414" s="3"/>
      <c r="D414" s="3"/>
      <c r="E414" s="4"/>
      <c r="F414" s="43"/>
      <c r="G414" s="4"/>
      <c r="H414" s="43"/>
      <c r="I414" s="4"/>
      <c r="J414" s="26"/>
      <c r="K414" s="27"/>
      <c r="L414" s="2"/>
      <c r="M414" s="24"/>
    </row>
    <row r="415" spans="1:13" ht="100.2" customHeight="1" thickTop="1" thickBot="1">
      <c r="A415" s="31">
        <v>413</v>
      </c>
      <c r="B415" s="2"/>
      <c r="C415" s="3"/>
      <c r="D415" s="3"/>
      <c r="E415" s="4"/>
      <c r="F415" s="43"/>
      <c r="G415" s="4"/>
      <c r="H415" s="43"/>
      <c r="I415" s="4"/>
      <c r="J415" s="26"/>
      <c r="K415" s="27"/>
      <c r="L415" s="2"/>
      <c r="M415" s="24"/>
    </row>
    <row r="416" spans="1:13" ht="100.2" customHeight="1" thickTop="1" thickBot="1">
      <c r="A416" s="4">
        <v>414</v>
      </c>
      <c r="B416" s="2"/>
      <c r="C416" s="3"/>
      <c r="D416" s="3"/>
      <c r="E416" s="4"/>
      <c r="F416" s="43"/>
      <c r="G416" s="4"/>
      <c r="H416" s="43"/>
      <c r="I416" s="4"/>
      <c r="J416" s="26"/>
      <c r="K416" s="27"/>
      <c r="L416" s="2"/>
      <c r="M416" s="24"/>
    </row>
    <row r="417" spans="1:13" ht="100.2" customHeight="1" thickTop="1" thickBot="1">
      <c r="A417" s="31">
        <v>415</v>
      </c>
      <c r="B417" s="2"/>
      <c r="C417" s="3"/>
      <c r="D417" s="3"/>
      <c r="E417" s="4"/>
      <c r="F417" s="43"/>
      <c r="G417" s="4"/>
      <c r="H417" s="43"/>
      <c r="I417" s="4"/>
      <c r="J417" s="26"/>
      <c r="K417" s="27"/>
      <c r="L417" s="2"/>
      <c r="M417" s="24"/>
    </row>
    <row r="418" spans="1:13" ht="100.2" customHeight="1" thickTop="1" thickBot="1">
      <c r="A418" s="4">
        <v>416</v>
      </c>
      <c r="B418" s="2"/>
      <c r="C418" s="3"/>
      <c r="D418" s="3"/>
      <c r="E418" s="4"/>
      <c r="F418" s="43"/>
      <c r="G418" s="4"/>
      <c r="H418" s="43"/>
      <c r="I418" s="4"/>
      <c r="J418" s="26"/>
      <c r="K418" s="27"/>
      <c r="L418" s="2"/>
      <c r="M418" s="24"/>
    </row>
    <row r="419" spans="1:13" ht="100.2" customHeight="1" thickTop="1" thickBot="1">
      <c r="A419" s="31">
        <v>417</v>
      </c>
      <c r="B419" s="2"/>
      <c r="C419" s="3"/>
      <c r="D419" s="3"/>
      <c r="E419" s="4"/>
      <c r="F419" s="43"/>
      <c r="G419" s="4"/>
      <c r="H419" s="43"/>
      <c r="I419" s="4"/>
      <c r="J419" s="26"/>
      <c r="K419" s="27"/>
      <c r="L419" s="2"/>
      <c r="M419" s="24"/>
    </row>
    <row r="420" spans="1:13" ht="100.2" customHeight="1" thickTop="1" thickBot="1">
      <c r="A420" s="4">
        <v>418</v>
      </c>
      <c r="B420" s="2"/>
      <c r="C420" s="3"/>
      <c r="D420" s="3"/>
      <c r="E420" s="4"/>
      <c r="F420" s="43"/>
      <c r="G420" s="4"/>
      <c r="H420" s="43"/>
      <c r="I420" s="4"/>
      <c r="J420" s="26"/>
      <c r="K420" s="27"/>
      <c r="L420" s="2"/>
      <c r="M420" s="24"/>
    </row>
    <row r="421" spans="1:13" ht="100.2" customHeight="1" thickTop="1" thickBot="1">
      <c r="A421" s="31">
        <v>419</v>
      </c>
      <c r="B421" s="2"/>
      <c r="C421" s="3"/>
      <c r="D421" s="3"/>
      <c r="E421" s="4"/>
      <c r="F421" s="43"/>
      <c r="G421" s="4"/>
      <c r="H421" s="43"/>
      <c r="I421" s="4"/>
      <c r="J421" s="26"/>
      <c r="K421" s="27"/>
      <c r="L421" s="2"/>
      <c r="M421" s="24"/>
    </row>
    <row r="422" spans="1:13" ht="100.2" customHeight="1" thickTop="1" thickBot="1">
      <c r="A422" s="4">
        <v>420</v>
      </c>
      <c r="B422" s="2"/>
      <c r="C422" s="3"/>
      <c r="D422" s="3"/>
      <c r="E422" s="4"/>
      <c r="F422" s="43"/>
      <c r="G422" s="4"/>
      <c r="H422" s="43"/>
      <c r="I422" s="4"/>
      <c r="J422" s="26"/>
      <c r="K422" s="27"/>
      <c r="L422" s="2"/>
      <c r="M422" s="24"/>
    </row>
    <row r="423" spans="1:13" ht="100.2" customHeight="1" thickTop="1" thickBot="1">
      <c r="A423" s="31">
        <v>421</v>
      </c>
      <c r="B423" s="2"/>
      <c r="C423" s="3"/>
      <c r="D423" s="3"/>
      <c r="E423" s="4"/>
      <c r="F423" s="43"/>
      <c r="G423" s="4"/>
      <c r="H423" s="43"/>
      <c r="I423" s="4"/>
      <c r="J423" s="26"/>
      <c r="K423" s="27"/>
      <c r="L423" s="2"/>
      <c r="M423" s="24"/>
    </row>
    <row r="424" spans="1:13" ht="100.2" customHeight="1" thickTop="1" thickBot="1">
      <c r="A424" s="4">
        <v>422</v>
      </c>
      <c r="B424" s="2"/>
      <c r="C424" s="3"/>
      <c r="D424" s="3"/>
      <c r="E424" s="4"/>
      <c r="F424" s="43"/>
      <c r="G424" s="4"/>
      <c r="H424" s="43"/>
      <c r="I424" s="4"/>
      <c r="J424" s="26"/>
      <c r="K424" s="27"/>
      <c r="L424" s="2"/>
      <c r="M424" s="24"/>
    </row>
    <row r="425" spans="1:13" ht="100.2" customHeight="1" thickTop="1" thickBot="1">
      <c r="A425" s="31">
        <v>423</v>
      </c>
      <c r="B425" s="2"/>
      <c r="C425" s="3"/>
      <c r="D425" s="3"/>
      <c r="E425" s="4"/>
      <c r="F425" s="43"/>
      <c r="G425" s="4"/>
      <c r="H425" s="43"/>
      <c r="I425" s="4"/>
      <c r="J425" s="26"/>
      <c r="K425" s="27"/>
      <c r="L425" s="2"/>
      <c r="M425" s="24"/>
    </row>
    <row r="426" spans="1:13" ht="100.2" customHeight="1" thickTop="1" thickBot="1">
      <c r="A426" s="4">
        <v>424</v>
      </c>
      <c r="B426" s="2"/>
      <c r="C426" s="3"/>
      <c r="D426" s="3"/>
      <c r="E426" s="4"/>
      <c r="F426" s="43"/>
      <c r="G426" s="4"/>
      <c r="H426" s="43"/>
      <c r="I426" s="4"/>
      <c r="J426" s="26"/>
      <c r="K426" s="27"/>
      <c r="L426" s="2"/>
      <c r="M426" s="24"/>
    </row>
    <row r="427" spans="1:13" ht="100.2" customHeight="1" thickTop="1" thickBot="1">
      <c r="A427" s="31">
        <v>425</v>
      </c>
      <c r="B427" s="2"/>
      <c r="C427" s="3"/>
      <c r="D427" s="3"/>
      <c r="E427" s="4"/>
      <c r="F427" s="43"/>
      <c r="G427" s="4"/>
      <c r="H427" s="43"/>
      <c r="I427" s="4"/>
      <c r="J427" s="26"/>
      <c r="K427" s="27"/>
      <c r="L427" s="2"/>
      <c r="M427" s="24"/>
    </row>
    <row r="428" spans="1:13" ht="100.2" customHeight="1" thickTop="1" thickBot="1">
      <c r="A428" s="4">
        <v>426</v>
      </c>
      <c r="B428" s="2"/>
      <c r="C428" s="3"/>
      <c r="D428" s="3"/>
      <c r="E428" s="4"/>
      <c r="F428" s="43"/>
      <c r="G428" s="4"/>
      <c r="H428" s="43"/>
      <c r="I428" s="4"/>
      <c r="J428" s="26"/>
      <c r="K428" s="27"/>
      <c r="L428" s="2"/>
      <c r="M428" s="24"/>
    </row>
    <row r="429" spans="1:13" ht="100.2" customHeight="1" thickTop="1" thickBot="1">
      <c r="A429" s="31">
        <v>427</v>
      </c>
      <c r="B429" s="2"/>
      <c r="C429" s="3"/>
      <c r="D429" s="3"/>
      <c r="E429" s="4"/>
      <c r="F429" s="43"/>
      <c r="G429" s="4"/>
      <c r="H429" s="43"/>
      <c r="I429" s="4"/>
      <c r="J429" s="26"/>
      <c r="K429" s="27"/>
      <c r="L429" s="2"/>
      <c r="M429" s="24"/>
    </row>
    <row r="430" spans="1:13" ht="100.2" customHeight="1" thickTop="1" thickBot="1">
      <c r="A430" s="4">
        <v>428</v>
      </c>
      <c r="B430" s="2"/>
      <c r="C430" s="3"/>
      <c r="D430" s="3"/>
      <c r="E430" s="4"/>
      <c r="F430" s="43"/>
      <c r="G430" s="4"/>
      <c r="H430" s="43"/>
      <c r="I430" s="4"/>
      <c r="J430" s="26"/>
      <c r="K430" s="27"/>
      <c r="L430" s="2"/>
      <c r="M430" s="24"/>
    </row>
    <row r="431" spans="1:13" ht="100.2" customHeight="1" thickTop="1" thickBot="1">
      <c r="A431" s="31">
        <v>429</v>
      </c>
      <c r="B431" s="2"/>
      <c r="C431" s="3"/>
      <c r="D431" s="3"/>
      <c r="E431" s="4"/>
      <c r="F431" s="43"/>
      <c r="G431" s="4"/>
      <c r="H431" s="43"/>
      <c r="I431" s="4"/>
      <c r="J431" s="26"/>
      <c r="K431" s="27"/>
      <c r="L431" s="2"/>
      <c r="M431" s="24"/>
    </row>
    <row r="432" spans="1:13" ht="100.2" customHeight="1" thickTop="1" thickBot="1">
      <c r="A432" s="4">
        <v>430</v>
      </c>
      <c r="B432" s="2"/>
      <c r="C432" s="3"/>
      <c r="D432" s="3"/>
      <c r="E432" s="4"/>
      <c r="F432" s="43"/>
      <c r="G432" s="4"/>
      <c r="H432" s="43"/>
      <c r="I432" s="4"/>
      <c r="J432" s="26"/>
      <c r="K432" s="27"/>
      <c r="L432" s="2"/>
      <c r="M432" s="24"/>
    </row>
    <row r="433" spans="1:13" ht="100.2" customHeight="1" thickTop="1" thickBot="1">
      <c r="A433" s="31">
        <v>431</v>
      </c>
      <c r="B433" s="2"/>
      <c r="C433" s="3"/>
      <c r="D433" s="3"/>
      <c r="E433" s="4"/>
      <c r="F433" s="43"/>
      <c r="G433" s="4"/>
      <c r="H433" s="43"/>
      <c r="I433" s="4"/>
      <c r="J433" s="26"/>
      <c r="K433" s="27"/>
      <c r="L433" s="2"/>
      <c r="M433" s="24"/>
    </row>
    <row r="434" spans="1:13" ht="100.2" customHeight="1" thickTop="1" thickBot="1">
      <c r="A434" s="4">
        <v>432</v>
      </c>
      <c r="B434" s="2"/>
      <c r="C434" s="3"/>
      <c r="D434" s="3"/>
      <c r="E434" s="4"/>
      <c r="F434" s="43"/>
      <c r="G434" s="4"/>
      <c r="H434" s="43"/>
      <c r="I434" s="4"/>
      <c r="J434" s="26"/>
      <c r="K434" s="27"/>
      <c r="L434" s="2"/>
      <c r="M434" s="24"/>
    </row>
    <row r="435" spans="1:13" ht="100.2" customHeight="1" thickTop="1" thickBot="1">
      <c r="A435" s="31">
        <v>433</v>
      </c>
      <c r="B435" s="2"/>
      <c r="C435" s="3"/>
      <c r="D435" s="3"/>
      <c r="E435" s="4"/>
      <c r="F435" s="43"/>
      <c r="G435" s="4"/>
      <c r="H435" s="43"/>
      <c r="I435" s="4"/>
      <c r="J435" s="26"/>
      <c r="K435" s="27"/>
      <c r="L435" s="2"/>
      <c r="M435" s="24"/>
    </row>
    <row r="436" spans="1:13" ht="100.2" customHeight="1" thickTop="1" thickBot="1">
      <c r="A436" s="4">
        <v>434</v>
      </c>
      <c r="B436" s="2"/>
      <c r="C436" s="3"/>
      <c r="D436" s="3"/>
      <c r="E436" s="4"/>
      <c r="F436" s="43"/>
      <c r="G436" s="4"/>
      <c r="H436" s="43"/>
      <c r="I436" s="4"/>
      <c r="J436" s="26"/>
      <c r="K436" s="27"/>
      <c r="L436" s="2"/>
      <c r="M436" s="24"/>
    </row>
    <row r="437" spans="1:13" ht="100.2" customHeight="1" thickTop="1" thickBot="1">
      <c r="A437" s="31">
        <v>435</v>
      </c>
      <c r="B437" s="2"/>
      <c r="C437" s="3"/>
      <c r="D437" s="3"/>
      <c r="E437" s="4"/>
      <c r="F437" s="43"/>
      <c r="G437" s="4"/>
      <c r="H437" s="43"/>
      <c r="I437" s="4"/>
      <c r="J437" s="26"/>
      <c r="K437" s="27"/>
      <c r="L437" s="2"/>
      <c r="M437" s="24"/>
    </row>
    <row r="438" spans="1:13" ht="100.2" customHeight="1" thickTop="1" thickBot="1">
      <c r="A438" s="4">
        <v>436</v>
      </c>
      <c r="B438" s="2"/>
      <c r="C438" s="3"/>
      <c r="D438" s="3"/>
      <c r="E438" s="4"/>
      <c r="F438" s="43"/>
      <c r="G438" s="4"/>
      <c r="H438" s="43"/>
      <c r="I438" s="4"/>
      <c r="J438" s="26"/>
      <c r="K438" s="27"/>
      <c r="L438" s="2"/>
      <c r="M438" s="24"/>
    </row>
    <row r="439" spans="1:13" ht="100.2" customHeight="1" thickTop="1" thickBot="1">
      <c r="A439" s="31">
        <v>437</v>
      </c>
      <c r="B439" s="2"/>
      <c r="C439" s="3"/>
      <c r="D439" s="3"/>
      <c r="E439" s="4"/>
      <c r="F439" s="43"/>
      <c r="G439" s="4"/>
      <c r="H439" s="43"/>
      <c r="I439" s="4"/>
      <c r="J439" s="26"/>
      <c r="K439" s="27"/>
      <c r="L439" s="2"/>
      <c r="M439" s="24"/>
    </row>
    <row r="440" spans="1:13" ht="100.2" customHeight="1" thickTop="1" thickBot="1">
      <c r="A440" s="4">
        <v>438</v>
      </c>
      <c r="B440" s="2"/>
      <c r="C440" s="3"/>
      <c r="D440" s="3"/>
      <c r="E440" s="4"/>
      <c r="F440" s="43"/>
      <c r="G440" s="4"/>
      <c r="H440" s="43"/>
      <c r="I440" s="4"/>
      <c r="J440" s="26"/>
      <c r="K440" s="27"/>
      <c r="L440" s="2"/>
      <c r="M440" s="24"/>
    </row>
    <row r="441" spans="1:13" ht="100.2" customHeight="1" thickTop="1" thickBot="1">
      <c r="A441" s="31">
        <v>439</v>
      </c>
      <c r="B441" s="2"/>
      <c r="C441" s="3"/>
      <c r="D441" s="3"/>
      <c r="E441" s="4"/>
      <c r="F441" s="43"/>
      <c r="G441" s="4"/>
      <c r="H441" s="43"/>
      <c r="I441" s="4"/>
      <c r="J441" s="26"/>
      <c r="K441" s="27"/>
      <c r="L441" s="2"/>
      <c r="M441" s="24"/>
    </row>
    <row r="442" spans="1:13" ht="100.2" customHeight="1" thickTop="1" thickBot="1">
      <c r="A442" s="4">
        <v>440</v>
      </c>
      <c r="B442" s="2"/>
      <c r="C442" s="3"/>
      <c r="D442" s="3"/>
      <c r="E442" s="4"/>
      <c r="F442" s="43"/>
      <c r="G442" s="4"/>
      <c r="H442" s="43"/>
      <c r="I442" s="4"/>
      <c r="J442" s="26"/>
      <c r="K442" s="27"/>
      <c r="L442" s="2"/>
      <c r="M442" s="24"/>
    </row>
    <row r="443" spans="1:13" ht="100.2" customHeight="1" thickTop="1" thickBot="1">
      <c r="A443" s="31">
        <v>441</v>
      </c>
      <c r="B443" s="2"/>
      <c r="C443" s="3"/>
      <c r="D443" s="3"/>
      <c r="E443" s="4"/>
      <c r="F443" s="43"/>
      <c r="G443" s="4"/>
      <c r="H443" s="43"/>
      <c r="I443" s="4"/>
      <c r="J443" s="26"/>
      <c r="K443" s="27"/>
      <c r="L443" s="2"/>
      <c r="M443" s="24"/>
    </row>
    <row r="444" spans="1:13" ht="100.2" customHeight="1" thickTop="1" thickBot="1">
      <c r="A444" s="4">
        <v>442</v>
      </c>
      <c r="B444" s="2"/>
      <c r="C444" s="3"/>
      <c r="D444" s="3"/>
      <c r="E444" s="4"/>
      <c r="F444" s="43"/>
      <c r="G444" s="4"/>
      <c r="H444" s="43"/>
      <c r="I444" s="4"/>
      <c r="J444" s="26"/>
      <c r="K444" s="27"/>
      <c r="L444" s="2"/>
      <c r="M444" s="24"/>
    </row>
    <row r="445" spans="1:13" ht="100.2" customHeight="1" thickTop="1" thickBot="1">
      <c r="A445" s="31">
        <v>443</v>
      </c>
      <c r="B445" s="2"/>
      <c r="C445" s="3"/>
      <c r="D445" s="3"/>
      <c r="E445" s="4"/>
      <c r="F445" s="43"/>
      <c r="G445" s="4"/>
      <c r="H445" s="43"/>
      <c r="I445" s="4"/>
      <c r="J445" s="26"/>
      <c r="K445" s="27"/>
      <c r="L445" s="2"/>
      <c r="M445" s="24"/>
    </row>
    <row r="446" spans="1:13" ht="100.2" customHeight="1" thickTop="1" thickBot="1">
      <c r="A446" s="4">
        <v>444</v>
      </c>
      <c r="B446" s="2"/>
      <c r="C446" s="3"/>
      <c r="D446" s="3"/>
      <c r="E446" s="4"/>
      <c r="F446" s="43"/>
      <c r="G446" s="4"/>
      <c r="H446" s="43"/>
      <c r="I446" s="4"/>
      <c r="J446" s="26"/>
      <c r="K446" s="27"/>
      <c r="L446" s="2"/>
      <c r="M446" s="24"/>
    </row>
    <row r="447" spans="1:13" ht="100.2" customHeight="1" thickTop="1" thickBot="1">
      <c r="A447" s="31">
        <v>445</v>
      </c>
      <c r="B447" s="2"/>
      <c r="C447" s="3"/>
      <c r="D447" s="3"/>
      <c r="E447" s="4"/>
      <c r="F447" s="43"/>
      <c r="G447" s="4"/>
      <c r="H447" s="43"/>
      <c r="I447" s="4"/>
      <c r="J447" s="26"/>
      <c r="K447" s="27"/>
      <c r="L447" s="2"/>
      <c r="M447" s="24"/>
    </row>
    <row r="448" spans="1:13" ht="100.2" customHeight="1" thickTop="1" thickBot="1">
      <c r="A448" s="4">
        <v>446</v>
      </c>
      <c r="B448" s="2"/>
      <c r="C448" s="3"/>
      <c r="D448" s="3"/>
      <c r="E448" s="4"/>
      <c r="F448" s="43"/>
      <c r="G448" s="4"/>
      <c r="H448" s="43"/>
      <c r="I448" s="4"/>
      <c r="J448" s="26"/>
      <c r="K448" s="27"/>
      <c r="L448" s="2"/>
      <c r="M448" s="24"/>
    </row>
    <row r="449" spans="1:13" ht="100.2" customHeight="1" thickTop="1" thickBot="1">
      <c r="A449" s="31">
        <v>447</v>
      </c>
      <c r="B449" s="2"/>
      <c r="C449" s="3"/>
      <c r="D449" s="3"/>
      <c r="E449" s="4"/>
      <c r="F449" s="43"/>
      <c r="G449" s="4"/>
      <c r="H449" s="43"/>
      <c r="I449" s="4"/>
      <c r="J449" s="26"/>
      <c r="K449" s="27"/>
      <c r="L449" s="2"/>
      <c r="M449" s="24"/>
    </row>
    <row r="450" spans="1:13" ht="100.2" customHeight="1" thickTop="1" thickBot="1">
      <c r="A450" s="4">
        <v>448</v>
      </c>
      <c r="B450" s="2"/>
      <c r="C450" s="3"/>
      <c r="D450" s="3"/>
      <c r="E450" s="4"/>
      <c r="F450" s="43"/>
      <c r="G450" s="4"/>
      <c r="H450" s="43"/>
      <c r="I450" s="4"/>
      <c r="J450" s="26"/>
      <c r="K450" s="27"/>
      <c r="L450" s="2"/>
      <c r="M450" s="24"/>
    </row>
    <row r="451" spans="1:13" ht="100.2" customHeight="1" thickTop="1" thickBot="1">
      <c r="A451" s="31">
        <v>449</v>
      </c>
      <c r="B451" s="2"/>
      <c r="C451" s="3"/>
      <c r="D451" s="3"/>
      <c r="E451" s="4"/>
      <c r="F451" s="43"/>
      <c r="G451" s="4"/>
      <c r="H451" s="43"/>
      <c r="I451" s="4"/>
      <c r="J451" s="26"/>
      <c r="K451" s="27"/>
      <c r="L451" s="2"/>
      <c r="M451" s="24"/>
    </row>
    <row r="452" spans="1:13" ht="100.2" customHeight="1" thickTop="1" thickBot="1">
      <c r="A452" s="4">
        <v>450</v>
      </c>
      <c r="B452" s="2"/>
      <c r="C452" s="3"/>
      <c r="D452" s="3"/>
      <c r="E452" s="4"/>
      <c r="F452" s="43"/>
      <c r="G452" s="4"/>
      <c r="H452" s="43"/>
      <c r="I452" s="4"/>
      <c r="J452" s="26"/>
      <c r="K452" s="27"/>
      <c r="L452" s="2"/>
      <c r="M452" s="24"/>
    </row>
    <row r="453" spans="1:13" ht="100.2" customHeight="1" thickTop="1" thickBot="1">
      <c r="A453" s="31">
        <v>451</v>
      </c>
      <c r="B453" s="2"/>
      <c r="C453" s="3"/>
      <c r="D453" s="3"/>
      <c r="E453" s="4"/>
      <c r="F453" s="43"/>
      <c r="G453" s="4"/>
      <c r="H453" s="43"/>
      <c r="I453" s="4"/>
      <c r="J453" s="26"/>
      <c r="K453" s="27"/>
      <c r="L453" s="2"/>
      <c r="M453" s="24"/>
    </row>
    <row r="454" spans="1:13" ht="100.2" customHeight="1" thickTop="1" thickBot="1">
      <c r="A454" s="4">
        <v>452</v>
      </c>
      <c r="B454" s="2"/>
      <c r="C454" s="3"/>
      <c r="D454" s="3"/>
      <c r="E454" s="4"/>
      <c r="F454" s="43"/>
      <c r="G454" s="4"/>
      <c r="H454" s="43"/>
      <c r="I454" s="4"/>
      <c r="J454" s="26"/>
      <c r="K454" s="27"/>
      <c r="L454" s="2"/>
      <c r="M454" s="24"/>
    </row>
    <row r="455" spans="1:13" ht="100.2" customHeight="1" thickTop="1" thickBot="1">
      <c r="A455" s="31">
        <v>453</v>
      </c>
      <c r="B455" s="2"/>
      <c r="C455" s="3"/>
      <c r="D455" s="3"/>
      <c r="E455" s="4"/>
      <c r="F455" s="43"/>
      <c r="G455" s="4"/>
      <c r="H455" s="43"/>
      <c r="I455" s="4"/>
      <c r="J455" s="26"/>
      <c r="K455" s="27"/>
      <c r="L455" s="2"/>
      <c r="M455" s="24"/>
    </row>
    <row r="456" spans="1:13" ht="100.2" customHeight="1" thickTop="1" thickBot="1">
      <c r="A456" s="4">
        <v>454</v>
      </c>
      <c r="B456" s="2"/>
      <c r="C456" s="3"/>
      <c r="D456" s="3"/>
      <c r="E456" s="4"/>
      <c r="F456" s="43"/>
      <c r="G456" s="4"/>
      <c r="H456" s="43"/>
      <c r="I456" s="4"/>
      <c r="J456" s="26"/>
      <c r="K456" s="27"/>
      <c r="L456" s="2"/>
      <c r="M456" s="24"/>
    </row>
    <row r="457" spans="1:13" ht="100.2" customHeight="1" thickTop="1" thickBot="1">
      <c r="A457" s="31">
        <v>455</v>
      </c>
      <c r="B457" s="2"/>
      <c r="C457" s="3"/>
      <c r="D457" s="3"/>
      <c r="E457" s="4"/>
      <c r="F457" s="43"/>
      <c r="G457" s="4"/>
      <c r="H457" s="43"/>
      <c r="I457" s="4"/>
      <c r="J457" s="26"/>
      <c r="K457" s="27"/>
      <c r="L457" s="2"/>
      <c r="M457" s="24"/>
    </row>
    <row r="458" spans="1:13" ht="100.2" customHeight="1" thickTop="1" thickBot="1">
      <c r="A458" s="4">
        <v>456</v>
      </c>
      <c r="B458" s="2"/>
      <c r="C458" s="3"/>
      <c r="D458" s="3"/>
      <c r="E458" s="4"/>
      <c r="F458" s="43"/>
      <c r="G458" s="4"/>
      <c r="H458" s="43"/>
      <c r="I458" s="4"/>
      <c r="J458" s="26"/>
      <c r="K458" s="27"/>
      <c r="L458" s="2"/>
      <c r="M458" s="24"/>
    </row>
    <row r="459" spans="1:13" ht="100.2" customHeight="1" thickTop="1" thickBot="1">
      <c r="A459" s="31">
        <v>457</v>
      </c>
      <c r="B459" s="2"/>
      <c r="C459" s="3"/>
      <c r="D459" s="3"/>
      <c r="E459" s="4"/>
      <c r="F459" s="43"/>
      <c r="G459" s="4"/>
      <c r="H459" s="43"/>
      <c r="I459" s="4"/>
      <c r="J459" s="26"/>
      <c r="K459" s="27"/>
      <c r="L459" s="2"/>
      <c r="M459" s="24"/>
    </row>
    <row r="460" spans="1:13" ht="100.2" customHeight="1" thickTop="1" thickBot="1">
      <c r="A460" s="4">
        <v>458</v>
      </c>
      <c r="B460" s="2"/>
      <c r="C460" s="3"/>
      <c r="D460" s="3"/>
      <c r="E460" s="4"/>
      <c r="F460" s="43"/>
      <c r="G460" s="4"/>
      <c r="H460" s="43"/>
      <c r="I460" s="4"/>
      <c r="J460" s="26"/>
      <c r="K460" s="27"/>
      <c r="L460" s="2"/>
      <c r="M460" s="24"/>
    </row>
    <row r="461" spans="1:13" ht="100.2" customHeight="1" thickTop="1" thickBot="1">
      <c r="A461" s="31">
        <v>459</v>
      </c>
      <c r="B461" s="2"/>
      <c r="C461" s="3"/>
      <c r="D461" s="3"/>
      <c r="E461" s="4"/>
      <c r="F461" s="43"/>
      <c r="G461" s="4"/>
      <c r="H461" s="43"/>
      <c r="I461" s="4"/>
      <c r="J461" s="26"/>
      <c r="K461" s="27"/>
      <c r="L461" s="2"/>
      <c r="M461" s="24"/>
    </row>
    <row r="462" spans="1:13" ht="100.2" customHeight="1" thickTop="1" thickBot="1">
      <c r="A462" s="4">
        <v>460</v>
      </c>
      <c r="B462" s="2"/>
      <c r="C462" s="3"/>
      <c r="D462" s="3"/>
      <c r="E462" s="4"/>
      <c r="F462" s="43"/>
      <c r="G462" s="4"/>
      <c r="H462" s="43"/>
      <c r="I462" s="4"/>
      <c r="J462" s="26"/>
      <c r="K462" s="27"/>
      <c r="L462" s="2"/>
      <c r="M462" s="24"/>
    </row>
    <row r="463" spans="1:13" ht="100.2" customHeight="1" thickTop="1" thickBot="1">
      <c r="A463" s="31">
        <v>461</v>
      </c>
      <c r="B463" s="2"/>
      <c r="C463" s="3"/>
      <c r="D463" s="3"/>
      <c r="E463" s="4"/>
      <c r="F463" s="43"/>
      <c r="G463" s="4"/>
      <c r="H463" s="43"/>
      <c r="I463" s="4"/>
      <c r="J463" s="26"/>
      <c r="K463" s="27"/>
      <c r="L463" s="2"/>
      <c r="M463" s="24"/>
    </row>
    <row r="464" spans="1:13" ht="100.2" customHeight="1" thickTop="1" thickBot="1">
      <c r="A464" s="4">
        <v>462</v>
      </c>
      <c r="B464" s="2"/>
      <c r="C464" s="3"/>
      <c r="D464" s="3"/>
      <c r="E464" s="4"/>
      <c r="F464" s="43"/>
      <c r="G464" s="4"/>
      <c r="H464" s="43"/>
      <c r="I464" s="4"/>
      <c r="J464" s="26"/>
      <c r="K464" s="27"/>
      <c r="L464" s="2"/>
      <c r="M464" s="24"/>
    </row>
    <row r="465" spans="1:13" ht="100.2" customHeight="1" thickTop="1" thickBot="1">
      <c r="A465" s="31">
        <v>463</v>
      </c>
      <c r="B465" s="2"/>
      <c r="C465" s="3"/>
      <c r="D465" s="3"/>
      <c r="E465" s="4"/>
      <c r="F465" s="43"/>
      <c r="G465" s="4"/>
      <c r="H465" s="43"/>
      <c r="I465" s="4"/>
      <c r="J465" s="26"/>
      <c r="K465" s="27"/>
      <c r="L465" s="2"/>
      <c r="M465" s="24"/>
    </row>
    <row r="466" spans="1:13" ht="100.2" customHeight="1" thickTop="1" thickBot="1">
      <c r="A466" s="4">
        <v>464</v>
      </c>
      <c r="B466" s="2"/>
      <c r="C466" s="3"/>
      <c r="D466" s="3"/>
      <c r="E466" s="4"/>
      <c r="F466" s="43"/>
      <c r="G466" s="4"/>
      <c r="H466" s="43"/>
      <c r="I466" s="4"/>
      <c r="J466" s="26"/>
      <c r="K466" s="27"/>
      <c r="L466" s="2"/>
      <c r="M466" s="24"/>
    </row>
    <row r="467" spans="1:13" ht="100.2" customHeight="1" thickTop="1" thickBot="1">
      <c r="A467" s="31">
        <v>465</v>
      </c>
      <c r="B467" s="2"/>
      <c r="C467" s="3"/>
      <c r="D467" s="3"/>
      <c r="E467" s="4"/>
      <c r="F467" s="43"/>
      <c r="G467" s="4"/>
      <c r="H467" s="43"/>
      <c r="I467" s="4"/>
      <c r="J467" s="26"/>
      <c r="K467" s="27"/>
      <c r="L467" s="2"/>
      <c r="M467" s="24"/>
    </row>
    <row r="468" spans="1:13" ht="100.2" customHeight="1" thickTop="1" thickBot="1">
      <c r="A468" s="4">
        <v>466</v>
      </c>
      <c r="B468" s="2"/>
      <c r="C468" s="3"/>
      <c r="D468" s="3"/>
      <c r="E468" s="4"/>
      <c r="F468" s="43"/>
      <c r="G468" s="4"/>
      <c r="H468" s="43"/>
      <c r="I468" s="4"/>
      <c r="J468" s="26"/>
      <c r="K468" s="27"/>
      <c r="L468" s="2"/>
      <c r="M468" s="24"/>
    </row>
    <row r="469" spans="1:13" ht="100.2" customHeight="1" thickTop="1" thickBot="1">
      <c r="A469" s="31">
        <v>467</v>
      </c>
      <c r="B469" s="2"/>
      <c r="C469" s="3"/>
      <c r="D469" s="3"/>
      <c r="E469" s="4"/>
      <c r="F469" s="43"/>
      <c r="G469" s="4"/>
      <c r="H469" s="43"/>
      <c r="I469" s="4"/>
      <c r="J469" s="26"/>
      <c r="K469" s="27"/>
      <c r="L469" s="2"/>
      <c r="M469" s="24"/>
    </row>
    <row r="470" spans="1:13" ht="100.2" customHeight="1" thickTop="1" thickBot="1">
      <c r="A470" s="4">
        <v>468</v>
      </c>
      <c r="B470" s="2"/>
      <c r="C470" s="3"/>
      <c r="D470" s="3"/>
      <c r="E470" s="4"/>
      <c r="F470" s="43"/>
      <c r="G470" s="4"/>
      <c r="H470" s="43"/>
      <c r="I470" s="4"/>
      <c r="J470" s="26"/>
      <c r="K470" s="27"/>
      <c r="L470" s="2"/>
      <c r="M470" s="24"/>
    </row>
    <row r="471" spans="1:13" ht="100.2" customHeight="1" thickTop="1" thickBot="1">
      <c r="A471" s="31">
        <v>469</v>
      </c>
      <c r="B471" s="2"/>
      <c r="C471" s="3"/>
      <c r="D471" s="3"/>
      <c r="E471" s="4"/>
      <c r="F471" s="43"/>
      <c r="G471" s="4"/>
      <c r="H471" s="43"/>
      <c r="I471" s="4"/>
      <c r="J471" s="26"/>
      <c r="K471" s="27"/>
      <c r="L471" s="2"/>
      <c r="M471" s="24"/>
    </row>
    <row r="472" spans="1:13" ht="100.2" customHeight="1" thickTop="1" thickBot="1">
      <c r="A472" s="4">
        <v>470</v>
      </c>
      <c r="B472" s="2"/>
      <c r="C472" s="3"/>
      <c r="D472" s="3"/>
      <c r="E472" s="4"/>
      <c r="F472" s="43"/>
      <c r="G472" s="4"/>
      <c r="H472" s="43"/>
      <c r="I472" s="4"/>
      <c r="J472" s="26"/>
      <c r="K472" s="27"/>
      <c r="L472" s="2"/>
      <c r="M472" s="24"/>
    </row>
    <row r="473" spans="1:13" ht="100.2" customHeight="1" thickTop="1" thickBot="1">
      <c r="A473" s="31">
        <v>471</v>
      </c>
      <c r="B473" s="2"/>
      <c r="C473" s="3"/>
      <c r="D473" s="3"/>
      <c r="E473" s="4"/>
      <c r="F473" s="43"/>
      <c r="G473" s="4"/>
      <c r="H473" s="43"/>
      <c r="I473" s="4"/>
      <c r="J473" s="26"/>
      <c r="K473" s="27"/>
      <c r="L473" s="2"/>
      <c r="M473" s="24"/>
    </row>
    <row r="474" spans="1:13" ht="100.2" customHeight="1" thickTop="1" thickBot="1">
      <c r="A474" s="4">
        <v>472</v>
      </c>
      <c r="B474" s="2"/>
      <c r="C474" s="3"/>
      <c r="D474" s="3"/>
      <c r="E474" s="4"/>
      <c r="F474" s="43"/>
      <c r="G474" s="4"/>
      <c r="H474" s="43"/>
      <c r="I474" s="4"/>
      <c r="J474" s="26"/>
      <c r="K474" s="27"/>
      <c r="L474" s="2"/>
      <c r="M474" s="24"/>
    </row>
    <row r="475" spans="1:13" ht="100.2" customHeight="1" thickTop="1" thickBot="1">
      <c r="A475" s="31">
        <v>473</v>
      </c>
      <c r="B475" s="2"/>
      <c r="C475" s="3"/>
      <c r="D475" s="3"/>
      <c r="E475" s="4"/>
      <c r="F475" s="43"/>
      <c r="G475" s="4"/>
      <c r="H475" s="43"/>
      <c r="I475" s="4"/>
      <c r="J475" s="26"/>
      <c r="K475" s="27"/>
      <c r="L475" s="2"/>
      <c r="M475" s="24"/>
    </row>
    <row r="476" spans="1:13" ht="100.2" customHeight="1" thickTop="1" thickBot="1">
      <c r="A476" s="4">
        <v>474</v>
      </c>
      <c r="B476" s="2"/>
      <c r="C476" s="3"/>
      <c r="D476" s="3"/>
      <c r="E476" s="4"/>
      <c r="F476" s="43"/>
      <c r="G476" s="4"/>
      <c r="H476" s="43"/>
      <c r="I476" s="4"/>
      <c r="J476" s="26"/>
      <c r="K476" s="27"/>
      <c r="L476" s="2"/>
      <c r="M476" s="24"/>
    </row>
    <row r="477" spans="1:13" ht="100.2" customHeight="1" thickTop="1" thickBot="1">
      <c r="A477" s="31">
        <v>475</v>
      </c>
      <c r="B477" s="2"/>
      <c r="C477" s="3"/>
      <c r="D477" s="3"/>
      <c r="E477" s="4"/>
      <c r="F477" s="43"/>
      <c r="G477" s="4"/>
      <c r="H477" s="43"/>
      <c r="I477" s="4"/>
      <c r="J477" s="26"/>
      <c r="K477" s="27"/>
      <c r="L477" s="2"/>
      <c r="M477" s="24"/>
    </row>
    <row r="478" spans="1:13" ht="100.2" customHeight="1" thickTop="1" thickBot="1">
      <c r="A478" s="4">
        <v>476</v>
      </c>
      <c r="B478" s="2"/>
      <c r="C478" s="3"/>
      <c r="D478" s="3"/>
      <c r="E478" s="4"/>
      <c r="F478" s="43"/>
      <c r="G478" s="4"/>
      <c r="H478" s="43"/>
      <c r="I478" s="4"/>
      <c r="J478" s="26"/>
      <c r="K478" s="27"/>
      <c r="L478" s="2"/>
      <c r="M478" s="24"/>
    </row>
    <row r="479" spans="1:13" ht="100.2" customHeight="1" thickTop="1" thickBot="1">
      <c r="A479" s="31">
        <v>477</v>
      </c>
      <c r="B479" s="2"/>
      <c r="C479" s="3"/>
      <c r="D479" s="3"/>
      <c r="E479" s="4"/>
      <c r="F479" s="43"/>
      <c r="G479" s="4"/>
      <c r="H479" s="43"/>
      <c r="I479" s="4"/>
      <c r="J479" s="26"/>
      <c r="K479" s="27"/>
      <c r="L479" s="2"/>
      <c r="M479" s="24"/>
    </row>
    <row r="480" spans="1:13" ht="100.2" customHeight="1" thickTop="1" thickBot="1">
      <c r="A480" s="4">
        <v>478</v>
      </c>
      <c r="B480" s="2"/>
      <c r="C480" s="3"/>
      <c r="D480" s="3"/>
      <c r="E480" s="4"/>
      <c r="F480" s="43"/>
      <c r="G480" s="4"/>
      <c r="H480" s="43"/>
      <c r="I480" s="4"/>
      <c r="J480" s="26"/>
      <c r="K480" s="27"/>
      <c r="L480" s="2"/>
      <c r="M480" s="24"/>
    </row>
    <row r="481" spans="1:13" ht="100.2" customHeight="1" thickTop="1" thickBot="1">
      <c r="A481" s="31">
        <v>479</v>
      </c>
      <c r="B481" s="2"/>
      <c r="C481" s="3"/>
      <c r="D481" s="3"/>
      <c r="E481" s="4"/>
      <c r="F481" s="43"/>
      <c r="G481" s="4"/>
      <c r="H481" s="43"/>
      <c r="I481" s="4"/>
      <c r="J481" s="26"/>
      <c r="K481" s="27"/>
      <c r="L481" s="2"/>
      <c r="M481" s="24"/>
    </row>
    <row r="482" spans="1:13" ht="100.2" customHeight="1" thickTop="1" thickBot="1">
      <c r="A482" s="4">
        <v>480</v>
      </c>
      <c r="B482" s="2"/>
      <c r="C482" s="3"/>
      <c r="D482" s="3"/>
      <c r="E482" s="4"/>
      <c r="F482" s="43"/>
      <c r="G482" s="4"/>
      <c r="H482" s="43"/>
      <c r="I482" s="4"/>
      <c r="J482" s="26"/>
      <c r="K482" s="27"/>
      <c r="L482" s="2"/>
      <c r="M482" s="24"/>
    </row>
    <row r="483" spans="1:13" ht="100.2" customHeight="1" thickTop="1" thickBot="1">
      <c r="A483" s="31">
        <v>481</v>
      </c>
      <c r="B483" s="2"/>
      <c r="C483" s="3"/>
      <c r="D483" s="3"/>
      <c r="E483" s="4"/>
      <c r="F483" s="43"/>
      <c r="G483" s="4"/>
      <c r="H483" s="43"/>
      <c r="I483" s="4"/>
      <c r="J483" s="26"/>
      <c r="K483" s="27"/>
      <c r="L483" s="2"/>
      <c r="M483" s="24"/>
    </row>
    <row r="484" spans="1:13" ht="100.2" customHeight="1" thickTop="1" thickBot="1">
      <c r="A484" s="4">
        <v>482</v>
      </c>
      <c r="B484" s="2"/>
      <c r="C484" s="3"/>
      <c r="D484" s="3"/>
      <c r="E484" s="4"/>
      <c r="F484" s="43"/>
      <c r="G484" s="4"/>
      <c r="H484" s="43"/>
      <c r="I484" s="4"/>
      <c r="J484" s="26"/>
      <c r="K484" s="27"/>
      <c r="L484" s="2"/>
      <c r="M484" s="24"/>
    </row>
    <row r="485" spans="1:13" ht="100.2" customHeight="1" thickTop="1" thickBot="1">
      <c r="A485" s="31">
        <v>483</v>
      </c>
      <c r="B485" s="2"/>
      <c r="C485" s="3"/>
      <c r="D485" s="3"/>
      <c r="E485" s="4"/>
      <c r="F485" s="43"/>
      <c r="G485" s="4"/>
      <c r="H485" s="43"/>
      <c r="I485" s="4"/>
      <c r="J485" s="26"/>
      <c r="K485" s="27"/>
      <c r="L485" s="2"/>
      <c r="M485" s="24"/>
    </row>
    <row r="486" spans="1:13" ht="99.9" customHeight="1" thickTop="1" thickBot="1">
      <c r="A486" s="4">
        <v>484</v>
      </c>
      <c r="B486" s="2"/>
      <c r="C486" s="3"/>
      <c r="D486" s="3"/>
      <c r="E486" s="4"/>
      <c r="F486" s="43"/>
      <c r="G486" s="4"/>
      <c r="H486" s="43"/>
      <c r="I486" s="4"/>
      <c r="J486" s="26"/>
      <c r="K486" s="27"/>
      <c r="L486" s="2"/>
      <c r="M486" s="24"/>
    </row>
    <row r="487" spans="1:13" ht="99.9" customHeight="1" thickTop="1" thickBot="1">
      <c r="A487" s="31">
        <v>485</v>
      </c>
      <c r="B487" s="2"/>
      <c r="C487" s="3"/>
      <c r="D487" s="3"/>
      <c r="E487" s="4"/>
      <c r="F487" s="43"/>
      <c r="G487" s="4"/>
      <c r="H487" s="43"/>
      <c r="I487" s="4"/>
      <c r="J487" s="26"/>
      <c r="K487" s="27"/>
      <c r="L487" s="2"/>
      <c r="M487" s="24"/>
    </row>
    <row r="488" spans="1:13" ht="99.9" customHeight="1" thickTop="1" thickBot="1">
      <c r="A488" s="4">
        <v>486</v>
      </c>
      <c r="B488" s="2"/>
      <c r="C488" s="3"/>
      <c r="D488" s="3"/>
      <c r="E488" s="4"/>
      <c r="F488" s="43"/>
      <c r="G488" s="4"/>
      <c r="H488" s="43"/>
      <c r="I488" s="4"/>
      <c r="J488" s="26"/>
      <c r="K488" s="27"/>
      <c r="L488" s="2"/>
      <c r="M488" s="24"/>
    </row>
    <row r="489" spans="1:13" ht="99.9" customHeight="1" thickTop="1" thickBot="1">
      <c r="A489" s="31">
        <v>487</v>
      </c>
      <c r="B489" s="2"/>
      <c r="C489" s="3"/>
      <c r="D489" s="3"/>
      <c r="E489" s="4"/>
      <c r="F489" s="43"/>
      <c r="G489" s="4"/>
      <c r="H489" s="43"/>
      <c r="I489" s="4"/>
      <c r="J489" s="26"/>
      <c r="K489" s="27"/>
      <c r="L489" s="2"/>
      <c r="M489" s="24"/>
    </row>
    <row r="490" spans="1:13" ht="99.9" customHeight="1" thickTop="1" thickBot="1">
      <c r="A490" s="4">
        <v>488</v>
      </c>
      <c r="B490" s="2"/>
      <c r="C490" s="3"/>
      <c r="D490" s="3"/>
      <c r="E490" s="4"/>
      <c r="F490" s="43"/>
      <c r="G490" s="4"/>
      <c r="H490" s="43"/>
      <c r="I490" s="4"/>
      <c r="J490" s="26"/>
      <c r="K490" s="27"/>
      <c r="L490" s="2"/>
      <c r="M490" s="24"/>
    </row>
    <row r="491" spans="1:13" ht="99.9" customHeight="1" thickTop="1" thickBot="1">
      <c r="A491" s="31">
        <v>489</v>
      </c>
      <c r="B491" s="2"/>
      <c r="C491" s="3"/>
      <c r="D491" s="3"/>
      <c r="E491" s="4"/>
      <c r="F491" s="43"/>
      <c r="G491" s="4"/>
      <c r="H491" s="43"/>
      <c r="I491" s="4"/>
      <c r="J491" s="26"/>
      <c r="K491" s="27"/>
      <c r="L491" s="2"/>
      <c r="M491" s="24"/>
    </row>
    <row r="492" spans="1:13" ht="99.9" customHeight="1" thickTop="1" thickBot="1">
      <c r="A492" s="4">
        <v>490</v>
      </c>
      <c r="B492" s="2"/>
      <c r="C492" s="3"/>
      <c r="D492" s="3"/>
      <c r="E492" s="4"/>
      <c r="F492" s="43"/>
      <c r="G492" s="4"/>
      <c r="H492" s="43"/>
      <c r="I492" s="4"/>
      <c r="J492" s="26"/>
      <c r="K492" s="27"/>
      <c r="L492" s="2"/>
      <c r="M492" s="24"/>
    </row>
    <row r="493" spans="1:13" ht="99.9" customHeight="1" thickTop="1" thickBot="1">
      <c r="A493" s="31">
        <v>491</v>
      </c>
      <c r="B493" s="2"/>
      <c r="C493" s="3"/>
      <c r="D493" s="3"/>
      <c r="E493" s="4"/>
      <c r="F493" s="43"/>
      <c r="G493" s="4"/>
      <c r="H493" s="43"/>
      <c r="I493" s="4"/>
      <c r="J493" s="26"/>
      <c r="K493" s="27"/>
      <c r="L493" s="2"/>
      <c r="M493" s="24"/>
    </row>
    <row r="494" spans="1:13" ht="99.9" customHeight="1" thickTop="1" thickBot="1">
      <c r="A494" s="4">
        <v>492</v>
      </c>
      <c r="B494" s="2"/>
      <c r="C494" s="3"/>
      <c r="D494" s="3"/>
      <c r="E494" s="4"/>
      <c r="F494" s="43"/>
      <c r="G494" s="4"/>
      <c r="H494" s="43"/>
      <c r="I494" s="4"/>
      <c r="J494" s="26"/>
      <c r="K494" s="27"/>
      <c r="L494" s="2"/>
      <c r="M494" s="24"/>
    </row>
    <row r="495" spans="1:13" ht="99.9" customHeight="1" thickTop="1" thickBot="1">
      <c r="A495" s="31">
        <v>493</v>
      </c>
      <c r="B495" s="2"/>
      <c r="C495" s="3"/>
      <c r="D495" s="3"/>
      <c r="E495" s="4"/>
      <c r="F495" s="43"/>
      <c r="G495" s="4"/>
      <c r="H495" s="43"/>
      <c r="I495" s="4"/>
      <c r="J495" s="26"/>
      <c r="K495" s="27"/>
      <c r="L495" s="2"/>
      <c r="M495" s="24"/>
    </row>
    <row r="496" spans="1:13" ht="99.9" customHeight="1" thickTop="1" thickBot="1">
      <c r="A496" s="4">
        <v>494</v>
      </c>
      <c r="B496" s="2"/>
      <c r="C496" s="3"/>
      <c r="D496" s="3"/>
      <c r="E496" s="4"/>
      <c r="F496" s="43"/>
      <c r="G496" s="4"/>
      <c r="H496" s="43"/>
      <c r="I496" s="4"/>
      <c r="J496" s="26"/>
      <c r="K496" s="27"/>
      <c r="L496" s="2"/>
      <c r="M496" s="24"/>
    </row>
    <row r="497" spans="1:13" ht="99.9" customHeight="1" thickTop="1" thickBot="1">
      <c r="A497" s="31">
        <v>495</v>
      </c>
      <c r="B497" s="2"/>
      <c r="C497" s="3"/>
      <c r="D497" s="3"/>
      <c r="E497" s="4"/>
      <c r="F497" s="43"/>
      <c r="G497" s="4"/>
      <c r="H497" s="43"/>
      <c r="I497" s="4"/>
      <c r="J497" s="26"/>
      <c r="K497" s="27"/>
      <c r="L497" s="2"/>
      <c r="M497" s="24"/>
    </row>
    <row r="498" spans="1:13" ht="99.9" customHeight="1" thickTop="1" thickBot="1">
      <c r="A498" s="4">
        <v>496</v>
      </c>
      <c r="B498" s="2"/>
      <c r="C498" s="3"/>
      <c r="D498" s="3"/>
      <c r="E498" s="4"/>
      <c r="F498" s="43"/>
      <c r="G498" s="4"/>
      <c r="H498" s="43"/>
      <c r="I498" s="4"/>
      <c r="J498" s="26"/>
      <c r="K498" s="27"/>
      <c r="L498" s="2"/>
      <c r="M498" s="24"/>
    </row>
    <row r="499" spans="1:13" ht="99.9" customHeight="1" thickTop="1" thickBot="1">
      <c r="A499" s="31">
        <v>497</v>
      </c>
      <c r="B499" s="2"/>
      <c r="C499" s="3"/>
      <c r="D499" s="3"/>
      <c r="E499" s="4"/>
      <c r="F499" s="43"/>
      <c r="G499" s="4"/>
      <c r="H499" s="43"/>
      <c r="I499" s="4"/>
      <c r="J499" s="26"/>
      <c r="K499" s="27"/>
      <c r="L499" s="2"/>
      <c r="M499" s="24"/>
    </row>
    <row r="500" spans="1:13" ht="99.9" customHeight="1" thickTop="1" thickBot="1">
      <c r="A500" s="4">
        <v>498</v>
      </c>
      <c r="B500" s="2"/>
      <c r="C500" s="3"/>
      <c r="D500" s="3"/>
      <c r="E500" s="4"/>
      <c r="F500" s="43"/>
      <c r="G500" s="4"/>
      <c r="H500" s="43"/>
      <c r="I500" s="4"/>
      <c r="J500" s="26"/>
      <c r="K500" s="27"/>
      <c r="L500" s="2"/>
      <c r="M500" s="24"/>
    </row>
    <row r="501" spans="1:13" ht="99.9" customHeight="1" thickTop="1" thickBot="1">
      <c r="A501" s="31">
        <v>499</v>
      </c>
      <c r="B501" s="2"/>
      <c r="C501" s="3"/>
      <c r="D501" s="3"/>
      <c r="E501" s="4"/>
      <c r="F501" s="43"/>
      <c r="G501" s="4"/>
      <c r="H501" s="43"/>
      <c r="I501" s="4"/>
      <c r="J501" s="26"/>
      <c r="K501" s="27"/>
      <c r="L501" s="2"/>
      <c r="M501" s="24"/>
    </row>
    <row r="502" spans="1:13" ht="99.9" customHeight="1" thickTop="1" thickBot="1">
      <c r="A502" s="4">
        <v>500</v>
      </c>
      <c r="B502" s="2"/>
      <c r="C502" s="3"/>
      <c r="D502" s="3"/>
      <c r="E502" s="4"/>
      <c r="F502" s="43"/>
      <c r="G502" s="4"/>
      <c r="H502" s="43"/>
      <c r="I502" s="4"/>
      <c r="J502" s="26"/>
      <c r="K502" s="27"/>
      <c r="L502" s="2"/>
      <c r="M502" s="24"/>
    </row>
    <row r="503" spans="1:13" ht="99.9" customHeight="1" thickTop="1" thickBot="1">
      <c r="A503" s="31">
        <v>501</v>
      </c>
      <c r="B503" s="2"/>
      <c r="C503" s="3"/>
      <c r="D503" s="3"/>
      <c r="E503" s="4"/>
      <c r="F503" s="43"/>
      <c r="G503" s="4"/>
      <c r="H503" s="43"/>
      <c r="I503" s="4"/>
      <c r="J503" s="26"/>
      <c r="K503" s="27"/>
      <c r="L503" s="2"/>
      <c r="M503" s="24"/>
    </row>
    <row r="504" spans="1:13" ht="99.9" customHeight="1" thickTop="1" thickBot="1">
      <c r="A504" s="4">
        <v>502</v>
      </c>
      <c r="B504" s="2"/>
      <c r="C504" s="3"/>
      <c r="D504" s="3"/>
      <c r="E504" s="4"/>
      <c r="F504" s="43"/>
      <c r="G504" s="4"/>
      <c r="H504" s="43"/>
      <c r="I504" s="4"/>
      <c r="J504" s="26"/>
      <c r="K504" s="27"/>
      <c r="L504" s="2"/>
      <c r="M504" s="24"/>
    </row>
    <row r="505" spans="1:13" ht="99.9" customHeight="1" thickTop="1" thickBot="1">
      <c r="A505" s="31">
        <v>503</v>
      </c>
      <c r="B505" s="2"/>
      <c r="C505" s="3"/>
      <c r="D505" s="3"/>
      <c r="E505" s="4"/>
      <c r="F505" s="43"/>
      <c r="G505" s="4"/>
      <c r="H505" s="43"/>
      <c r="I505" s="4"/>
      <c r="J505" s="26"/>
      <c r="K505" s="27"/>
      <c r="L505" s="2"/>
      <c r="M505" s="24"/>
    </row>
    <row r="506" spans="1:13" ht="99.9" customHeight="1" thickTop="1" thickBot="1">
      <c r="A506" s="4">
        <v>504</v>
      </c>
      <c r="B506" s="2"/>
      <c r="C506" s="3"/>
      <c r="D506" s="3"/>
      <c r="E506" s="4"/>
      <c r="F506" s="43"/>
      <c r="G506" s="4"/>
      <c r="H506" s="43"/>
      <c r="I506" s="4"/>
      <c r="J506" s="26"/>
      <c r="K506" s="27"/>
      <c r="L506" s="2"/>
      <c r="M506" s="24"/>
    </row>
    <row r="507" spans="1:13" ht="99.9" customHeight="1" thickTop="1" thickBot="1">
      <c r="A507" s="31">
        <v>505</v>
      </c>
      <c r="B507" s="2"/>
      <c r="C507" s="3"/>
      <c r="D507" s="3"/>
      <c r="E507" s="4"/>
      <c r="F507" s="43"/>
      <c r="G507" s="4"/>
      <c r="H507" s="43"/>
      <c r="I507" s="4"/>
      <c r="J507" s="26"/>
      <c r="K507" s="27"/>
      <c r="L507" s="2"/>
      <c r="M507" s="24"/>
    </row>
    <row r="508" spans="1:13" ht="99.9" customHeight="1" thickTop="1" thickBot="1">
      <c r="A508" s="4">
        <v>506</v>
      </c>
      <c r="B508" s="2"/>
      <c r="C508" s="3"/>
      <c r="D508" s="3"/>
      <c r="E508" s="4"/>
      <c r="F508" s="43"/>
      <c r="G508" s="4"/>
      <c r="H508" s="43"/>
      <c r="I508" s="4"/>
      <c r="J508" s="26"/>
      <c r="K508" s="27"/>
      <c r="L508" s="2"/>
      <c r="M508" s="24"/>
    </row>
    <row r="509" spans="1:13" ht="99.9" customHeight="1" thickTop="1" thickBot="1">
      <c r="A509" s="31">
        <v>507</v>
      </c>
      <c r="B509" s="2"/>
      <c r="C509" s="3"/>
      <c r="D509" s="3"/>
      <c r="E509" s="4"/>
      <c r="F509" s="43"/>
      <c r="G509" s="4"/>
      <c r="H509" s="43"/>
      <c r="I509" s="4"/>
      <c r="J509" s="26"/>
      <c r="K509" s="27"/>
      <c r="L509" s="2"/>
      <c r="M509" s="24"/>
    </row>
    <row r="510" spans="1:13" ht="99.9" customHeight="1" thickTop="1" thickBot="1">
      <c r="A510" s="4">
        <v>508</v>
      </c>
      <c r="B510" s="2"/>
      <c r="C510" s="3"/>
      <c r="D510" s="3"/>
      <c r="E510" s="4"/>
      <c r="F510" s="43"/>
      <c r="G510" s="4"/>
      <c r="H510" s="43"/>
      <c r="I510" s="4"/>
      <c r="J510" s="26"/>
      <c r="K510" s="27"/>
      <c r="L510" s="2"/>
      <c r="M510" s="24"/>
    </row>
    <row r="511" spans="1:13" ht="99.9" customHeight="1" thickTop="1" thickBot="1">
      <c r="A511" s="31">
        <v>509</v>
      </c>
      <c r="B511" s="2"/>
      <c r="C511" s="3"/>
      <c r="D511" s="3"/>
      <c r="E511" s="4"/>
      <c r="F511" s="43"/>
      <c r="G511" s="4"/>
      <c r="H511" s="43"/>
      <c r="I511" s="4"/>
      <c r="J511" s="26"/>
      <c r="K511" s="27"/>
      <c r="L511" s="2"/>
      <c r="M511" s="24"/>
    </row>
    <row r="512" spans="1:13" ht="99.9" customHeight="1" thickTop="1" thickBot="1">
      <c r="A512" s="4">
        <v>510</v>
      </c>
      <c r="B512" s="2"/>
      <c r="C512" s="3"/>
      <c r="D512" s="3"/>
      <c r="E512" s="4"/>
      <c r="F512" s="43"/>
      <c r="G512" s="4"/>
      <c r="H512" s="43"/>
      <c r="I512" s="4"/>
      <c r="J512" s="26"/>
      <c r="K512" s="27"/>
      <c r="L512" s="2"/>
      <c r="M512" s="24"/>
    </row>
    <row r="513" spans="1:13" ht="99.9" customHeight="1" thickTop="1" thickBot="1">
      <c r="A513" s="31">
        <v>511</v>
      </c>
      <c r="B513" s="2"/>
      <c r="C513" s="3"/>
      <c r="D513" s="3"/>
      <c r="E513" s="4"/>
      <c r="F513" s="43"/>
      <c r="G513" s="4"/>
      <c r="H513" s="43"/>
      <c r="I513" s="4"/>
      <c r="J513" s="26"/>
      <c r="K513" s="27"/>
      <c r="L513" s="2"/>
      <c r="M513" s="24"/>
    </row>
    <row r="514" spans="1:13" ht="99.9" customHeight="1" thickTop="1" thickBot="1">
      <c r="A514" s="4">
        <v>512</v>
      </c>
      <c r="B514" s="2"/>
      <c r="C514" s="3"/>
      <c r="D514" s="3"/>
      <c r="E514" s="4"/>
      <c r="F514" s="43"/>
      <c r="G514" s="4"/>
      <c r="H514" s="43"/>
      <c r="I514" s="4"/>
      <c r="J514" s="26"/>
      <c r="K514" s="27"/>
      <c r="L514" s="2"/>
      <c r="M514" s="24"/>
    </row>
    <row r="515" spans="1:13" ht="99.9" customHeight="1" thickTop="1" thickBot="1">
      <c r="A515" s="31">
        <v>513</v>
      </c>
      <c r="B515" s="2"/>
      <c r="C515" s="3"/>
      <c r="D515" s="3"/>
      <c r="E515" s="4"/>
      <c r="F515" s="43"/>
      <c r="G515" s="4"/>
      <c r="H515" s="43"/>
      <c r="I515" s="4"/>
      <c r="J515" s="26"/>
      <c r="K515" s="27"/>
      <c r="L515" s="2"/>
      <c r="M515" s="24"/>
    </row>
    <row r="516" spans="1:13" ht="99.9" customHeight="1" thickTop="1" thickBot="1">
      <c r="A516" s="4">
        <v>514</v>
      </c>
      <c r="B516" s="2"/>
      <c r="C516" s="3"/>
      <c r="D516" s="3"/>
      <c r="E516" s="4"/>
      <c r="F516" s="43"/>
      <c r="G516" s="4"/>
      <c r="H516" s="43"/>
      <c r="I516" s="4"/>
      <c r="J516" s="26"/>
      <c r="K516" s="27"/>
      <c r="L516" s="2"/>
      <c r="M516" s="24"/>
    </row>
    <row r="517" spans="1:13" ht="99.9" customHeight="1" thickTop="1" thickBot="1">
      <c r="A517" s="31">
        <v>515</v>
      </c>
      <c r="B517" s="2"/>
      <c r="C517" s="3"/>
      <c r="D517" s="3"/>
      <c r="E517" s="4"/>
      <c r="F517" s="43"/>
      <c r="G517" s="4"/>
      <c r="H517" s="43"/>
      <c r="I517" s="4"/>
      <c r="J517" s="26"/>
      <c r="K517" s="27"/>
      <c r="L517" s="2"/>
      <c r="M517" s="24"/>
    </row>
    <row r="518" spans="1:13" ht="99.9" customHeight="1" thickTop="1" thickBot="1">
      <c r="A518" s="4">
        <v>516</v>
      </c>
      <c r="B518" s="2"/>
      <c r="C518" s="3"/>
      <c r="D518" s="3"/>
      <c r="E518" s="4"/>
      <c r="F518" s="43"/>
      <c r="G518" s="4"/>
      <c r="H518" s="43"/>
      <c r="I518" s="4"/>
      <c r="J518" s="26"/>
      <c r="K518" s="27"/>
      <c r="L518" s="2"/>
      <c r="M518" s="24"/>
    </row>
    <row r="519" spans="1:13" ht="99.9" customHeight="1" thickTop="1" thickBot="1">
      <c r="A519" s="31">
        <v>517</v>
      </c>
      <c r="B519" s="2"/>
      <c r="C519" s="3"/>
      <c r="D519" s="3"/>
      <c r="E519" s="4"/>
      <c r="F519" s="43"/>
      <c r="G519" s="4"/>
      <c r="H519" s="43"/>
      <c r="I519" s="4"/>
      <c r="J519" s="26"/>
      <c r="K519" s="27"/>
      <c r="L519" s="2"/>
      <c r="M519" s="24"/>
    </row>
    <row r="520" spans="1:13" ht="99.9" customHeight="1" thickTop="1" thickBot="1">
      <c r="A520" s="4">
        <v>518</v>
      </c>
      <c r="B520" s="2"/>
      <c r="C520" s="3"/>
      <c r="D520" s="3"/>
      <c r="E520" s="4"/>
      <c r="F520" s="43"/>
      <c r="G520" s="4"/>
      <c r="H520" s="43"/>
      <c r="I520" s="4"/>
      <c r="J520" s="26"/>
      <c r="K520" s="27"/>
      <c r="L520" s="2"/>
      <c r="M520" s="24"/>
    </row>
    <row r="521" spans="1:13" ht="99.9" customHeight="1" thickTop="1" thickBot="1">
      <c r="A521" s="31">
        <v>519</v>
      </c>
      <c r="B521" s="2"/>
      <c r="C521" s="3"/>
      <c r="D521" s="3"/>
      <c r="E521" s="4"/>
      <c r="F521" s="43"/>
      <c r="G521" s="4"/>
      <c r="H521" s="43"/>
      <c r="I521" s="4"/>
      <c r="J521" s="26"/>
      <c r="K521" s="27"/>
      <c r="L521" s="2"/>
      <c r="M521" s="24"/>
    </row>
    <row r="522" spans="1:13" ht="99.9" customHeight="1" thickTop="1" thickBot="1">
      <c r="A522" s="4">
        <v>520</v>
      </c>
      <c r="B522" s="2"/>
      <c r="C522" s="3"/>
      <c r="D522" s="3"/>
      <c r="E522" s="4"/>
      <c r="F522" s="43"/>
      <c r="G522" s="4"/>
      <c r="H522" s="43"/>
      <c r="I522" s="4"/>
      <c r="J522" s="26"/>
      <c r="K522" s="27"/>
      <c r="L522" s="2"/>
      <c r="M522" s="24"/>
    </row>
    <row r="523" spans="1:13" ht="99.9" customHeight="1" thickTop="1" thickBot="1">
      <c r="A523" s="31">
        <v>521</v>
      </c>
      <c r="B523" s="2"/>
      <c r="C523" s="3"/>
      <c r="D523" s="3"/>
      <c r="E523" s="4"/>
      <c r="F523" s="43"/>
      <c r="G523" s="4"/>
      <c r="H523" s="43"/>
      <c r="I523" s="4"/>
      <c r="J523" s="26"/>
      <c r="K523" s="27"/>
      <c r="L523" s="2"/>
      <c r="M523" s="24"/>
    </row>
    <row r="524" spans="1:13" ht="99.9" customHeight="1" thickTop="1" thickBot="1">
      <c r="A524" s="4">
        <v>522</v>
      </c>
      <c r="B524" s="2"/>
      <c r="C524" s="3"/>
      <c r="D524" s="3"/>
      <c r="E524" s="4"/>
      <c r="F524" s="43"/>
      <c r="G524" s="4"/>
      <c r="H524" s="43"/>
      <c r="I524" s="4"/>
      <c r="J524" s="26"/>
      <c r="K524" s="27"/>
      <c r="L524" s="2"/>
      <c r="M524" s="24"/>
    </row>
    <row r="525" spans="1:13" ht="99.9" customHeight="1" thickTop="1" thickBot="1">
      <c r="A525" s="31">
        <v>523</v>
      </c>
      <c r="B525" s="2"/>
      <c r="C525" s="3"/>
      <c r="D525" s="3"/>
      <c r="E525" s="4"/>
      <c r="F525" s="43"/>
      <c r="G525" s="4"/>
      <c r="H525" s="43"/>
      <c r="I525" s="4"/>
      <c r="J525" s="26"/>
      <c r="K525" s="27"/>
      <c r="L525" s="2"/>
      <c r="M525" s="24"/>
    </row>
    <row r="526" spans="1:13" ht="99.9" customHeight="1" thickTop="1" thickBot="1">
      <c r="A526" s="4">
        <v>524</v>
      </c>
      <c r="B526" s="2"/>
      <c r="C526" s="3"/>
      <c r="D526" s="3"/>
      <c r="E526" s="4"/>
      <c r="F526" s="43"/>
      <c r="G526" s="4"/>
      <c r="H526" s="43"/>
      <c r="I526" s="4"/>
      <c r="J526" s="26"/>
      <c r="K526" s="27"/>
      <c r="L526" s="2"/>
      <c r="M526" s="24"/>
    </row>
    <row r="527" spans="1:13" ht="99.9" customHeight="1" thickTop="1" thickBot="1">
      <c r="A527" s="31">
        <v>525</v>
      </c>
      <c r="B527" s="2"/>
      <c r="C527" s="3"/>
      <c r="D527" s="3"/>
      <c r="E527" s="4"/>
      <c r="F527" s="43"/>
      <c r="G527" s="4"/>
      <c r="H527" s="43"/>
      <c r="I527" s="4"/>
      <c r="J527" s="26"/>
      <c r="K527" s="27"/>
      <c r="L527" s="2"/>
      <c r="M527" s="24"/>
    </row>
    <row r="528" spans="1:13" ht="99.9" customHeight="1" thickTop="1" thickBot="1">
      <c r="A528" s="4">
        <v>526</v>
      </c>
      <c r="B528" s="2"/>
      <c r="C528" s="3"/>
      <c r="D528" s="3"/>
      <c r="E528" s="4"/>
      <c r="F528" s="43"/>
      <c r="G528" s="4"/>
      <c r="H528" s="43"/>
      <c r="I528" s="4"/>
      <c r="J528" s="26"/>
      <c r="K528" s="27"/>
      <c r="L528" s="2"/>
      <c r="M528" s="24"/>
    </row>
    <row r="529" spans="1:13" ht="99.9" customHeight="1" thickTop="1" thickBot="1">
      <c r="A529" s="31">
        <v>527</v>
      </c>
      <c r="B529" s="2"/>
      <c r="C529" s="3"/>
      <c r="D529" s="3"/>
      <c r="E529" s="4"/>
      <c r="F529" s="43"/>
      <c r="G529" s="4"/>
      <c r="H529" s="43"/>
      <c r="I529" s="4"/>
      <c r="J529" s="26"/>
      <c r="K529" s="27"/>
      <c r="L529" s="2"/>
      <c r="M529" s="24"/>
    </row>
    <row r="530" spans="1:13" ht="99.9" customHeight="1" thickTop="1" thickBot="1">
      <c r="A530" s="4">
        <v>528</v>
      </c>
      <c r="B530" s="2"/>
      <c r="C530" s="3"/>
      <c r="D530" s="3"/>
      <c r="E530" s="4"/>
      <c r="F530" s="43"/>
      <c r="G530" s="4"/>
      <c r="H530" s="43"/>
      <c r="I530" s="4"/>
      <c r="J530" s="26"/>
      <c r="K530" s="27"/>
      <c r="L530" s="2"/>
      <c r="M530" s="24"/>
    </row>
    <row r="531" spans="1:13" ht="99.9" customHeight="1" thickTop="1" thickBot="1">
      <c r="A531" s="31">
        <v>529</v>
      </c>
      <c r="B531" s="2"/>
      <c r="C531" s="3"/>
      <c r="D531" s="3"/>
      <c r="E531" s="4"/>
      <c r="F531" s="43"/>
      <c r="G531" s="4"/>
      <c r="H531" s="43"/>
      <c r="I531" s="4"/>
      <c r="J531" s="26"/>
      <c r="K531" s="27"/>
      <c r="L531" s="2"/>
      <c r="M531" s="24"/>
    </row>
    <row r="532" spans="1:13" ht="99.9" customHeight="1" thickTop="1" thickBot="1">
      <c r="A532" s="4">
        <v>530</v>
      </c>
      <c r="B532" s="2"/>
      <c r="C532" s="3"/>
      <c r="D532" s="3"/>
      <c r="E532" s="4"/>
      <c r="F532" s="43"/>
      <c r="G532" s="4"/>
      <c r="H532" s="43"/>
      <c r="I532" s="4"/>
      <c r="J532" s="26"/>
      <c r="K532" s="27"/>
      <c r="L532" s="2"/>
      <c r="M532" s="24"/>
    </row>
    <row r="533" spans="1:13" ht="99.9" customHeight="1" thickTop="1" thickBot="1">
      <c r="A533" s="31">
        <v>531</v>
      </c>
      <c r="B533" s="2"/>
      <c r="C533" s="3"/>
      <c r="D533" s="3"/>
      <c r="E533" s="4"/>
      <c r="F533" s="43"/>
      <c r="G533" s="4"/>
      <c r="H533" s="43"/>
      <c r="I533" s="4"/>
      <c r="J533" s="26"/>
      <c r="K533" s="27"/>
      <c r="L533" s="2"/>
      <c r="M533" s="24"/>
    </row>
    <row r="534" spans="1:13" ht="99.9" customHeight="1" thickTop="1" thickBot="1">
      <c r="A534" s="4">
        <v>532</v>
      </c>
      <c r="B534" s="2"/>
      <c r="C534" s="3"/>
      <c r="D534" s="3"/>
      <c r="E534" s="4"/>
      <c r="F534" s="43"/>
      <c r="G534" s="4"/>
      <c r="H534" s="43"/>
      <c r="I534" s="4"/>
      <c r="J534" s="26"/>
      <c r="K534" s="27"/>
      <c r="L534" s="2"/>
      <c r="M534" s="24"/>
    </row>
    <row r="535" spans="1:13" ht="99.9" customHeight="1" thickTop="1" thickBot="1">
      <c r="A535" s="31">
        <v>533</v>
      </c>
      <c r="B535" s="2"/>
      <c r="C535" s="3"/>
      <c r="D535" s="3"/>
      <c r="E535" s="4"/>
      <c r="F535" s="43"/>
      <c r="G535" s="4"/>
      <c r="H535" s="43"/>
      <c r="I535" s="4"/>
      <c r="J535" s="26"/>
      <c r="K535" s="27"/>
      <c r="L535" s="2"/>
      <c r="M535" s="24"/>
    </row>
    <row r="536" spans="1:13" ht="99.9" customHeight="1" thickTop="1" thickBot="1">
      <c r="A536" s="4">
        <v>534</v>
      </c>
      <c r="B536" s="2"/>
      <c r="C536" s="3"/>
      <c r="D536" s="3"/>
      <c r="E536" s="4"/>
      <c r="F536" s="43"/>
      <c r="G536" s="4"/>
      <c r="H536" s="43"/>
      <c r="I536" s="4"/>
      <c r="J536" s="26"/>
      <c r="K536" s="27"/>
      <c r="L536" s="2"/>
      <c r="M536" s="24"/>
    </row>
    <row r="537" spans="1:13" ht="99.9" customHeight="1" thickTop="1" thickBot="1">
      <c r="A537" s="31">
        <v>535</v>
      </c>
      <c r="B537" s="2"/>
      <c r="C537" s="3"/>
      <c r="D537" s="3"/>
      <c r="E537" s="4"/>
      <c r="F537" s="43"/>
      <c r="G537" s="4"/>
      <c r="H537" s="43"/>
      <c r="I537" s="4"/>
      <c r="J537" s="26"/>
      <c r="K537" s="27"/>
      <c r="L537" s="2"/>
      <c r="M537" s="24"/>
    </row>
    <row r="538" spans="1:13" ht="99.9" customHeight="1" thickTop="1" thickBot="1">
      <c r="A538" s="4">
        <v>536</v>
      </c>
      <c r="B538" s="2"/>
      <c r="C538" s="3"/>
      <c r="D538" s="3"/>
      <c r="E538" s="4"/>
      <c r="F538" s="43"/>
      <c r="G538" s="4"/>
      <c r="H538" s="43"/>
      <c r="I538" s="4"/>
      <c r="J538" s="26"/>
      <c r="K538" s="27"/>
      <c r="L538" s="2"/>
      <c r="M538" s="24"/>
    </row>
    <row r="539" spans="1:13" ht="99.9" customHeight="1" thickTop="1" thickBot="1">
      <c r="A539" s="31">
        <v>537</v>
      </c>
      <c r="B539" s="2"/>
      <c r="C539" s="3"/>
      <c r="D539" s="3"/>
      <c r="E539" s="4"/>
      <c r="F539" s="43"/>
      <c r="G539" s="4"/>
      <c r="H539" s="43"/>
      <c r="I539" s="4"/>
      <c r="J539" s="26"/>
      <c r="K539" s="27"/>
      <c r="L539" s="2"/>
      <c r="M539" s="24"/>
    </row>
    <row r="540" spans="1:13" ht="99.9" customHeight="1" thickTop="1" thickBot="1">
      <c r="A540" s="4">
        <v>538</v>
      </c>
      <c r="B540" s="2"/>
      <c r="C540" s="3"/>
      <c r="D540" s="3"/>
      <c r="E540" s="4"/>
      <c r="F540" s="43"/>
      <c r="G540" s="4"/>
      <c r="H540" s="43"/>
      <c r="I540" s="4"/>
      <c r="J540" s="26"/>
      <c r="K540" s="27"/>
      <c r="L540" s="2"/>
      <c r="M540" s="24"/>
    </row>
    <row r="541" spans="1:13" ht="99.9" customHeight="1" thickTop="1" thickBot="1">
      <c r="A541" s="31">
        <v>539</v>
      </c>
      <c r="B541" s="2"/>
      <c r="C541" s="3"/>
      <c r="D541" s="3"/>
      <c r="E541" s="4"/>
      <c r="F541" s="43"/>
      <c r="G541" s="4"/>
      <c r="H541" s="43"/>
      <c r="I541" s="4"/>
      <c r="J541" s="26"/>
      <c r="K541" s="27"/>
      <c r="L541" s="2"/>
      <c r="M541" s="24"/>
    </row>
    <row r="542" spans="1:13" ht="99.9" customHeight="1" thickTop="1" thickBot="1">
      <c r="A542" s="4">
        <v>540</v>
      </c>
      <c r="B542" s="2"/>
      <c r="C542" s="3"/>
      <c r="D542" s="3"/>
      <c r="E542" s="4"/>
      <c r="F542" s="43"/>
      <c r="G542" s="4"/>
      <c r="H542" s="43"/>
      <c r="I542" s="4"/>
      <c r="J542" s="26"/>
      <c r="K542" s="27"/>
      <c r="L542" s="2"/>
      <c r="M542" s="24"/>
    </row>
    <row r="543" spans="1:13" ht="99.9" customHeight="1" thickTop="1" thickBot="1">
      <c r="A543" s="31">
        <v>541</v>
      </c>
      <c r="B543" s="2"/>
      <c r="C543" s="3"/>
      <c r="D543" s="3"/>
      <c r="E543" s="4"/>
      <c r="F543" s="43"/>
      <c r="G543" s="4"/>
      <c r="H543" s="43"/>
      <c r="I543" s="4"/>
      <c r="J543" s="26"/>
      <c r="K543" s="27"/>
      <c r="L543" s="2"/>
      <c r="M543" s="24"/>
    </row>
    <row r="544" spans="1:13" ht="99.9" customHeight="1" thickTop="1" thickBot="1">
      <c r="A544" s="4">
        <v>542</v>
      </c>
      <c r="B544" s="2"/>
      <c r="C544" s="3"/>
      <c r="D544" s="3"/>
      <c r="E544" s="4"/>
      <c r="F544" s="43"/>
      <c r="G544" s="4"/>
      <c r="H544" s="43"/>
      <c r="I544" s="4"/>
      <c r="J544" s="26"/>
      <c r="K544" s="27"/>
      <c r="L544" s="2"/>
      <c r="M544" s="24"/>
    </row>
    <row r="545" spans="1:13" ht="99.9" customHeight="1" thickTop="1" thickBot="1">
      <c r="A545" s="31">
        <v>543</v>
      </c>
      <c r="B545" s="2"/>
      <c r="C545" s="3"/>
      <c r="D545" s="3"/>
      <c r="E545" s="4"/>
      <c r="F545" s="43"/>
      <c r="G545" s="4"/>
      <c r="H545" s="43"/>
      <c r="I545" s="4"/>
      <c r="J545" s="26"/>
      <c r="K545" s="27"/>
      <c r="L545" s="2"/>
      <c r="M545" s="24"/>
    </row>
    <row r="546" spans="1:13" ht="99.9" customHeight="1" thickTop="1" thickBot="1">
      <c r="A546" s="4">
        <v>544</v>
      </c>
      <c r="B546" s="2"/>
      <c r="C546" s="3"/>
      <c r="D546" s="3"/>
      <c r="E546" s="4"/>
      <c r="F546" s="43"/>
      <c r="G546" s="4"/>
      <c r="H546" s="43"/>
      <c r="I546" s="4"/>
      <c r="J546" s="26"/>
      <c r="K546" s="27"/>
      <c r="L546" s="2"/>
      <c r="M546" s="24"/>
    </row>
    <row r="547" spans="1:13" ht="99.9" customHeight="1" thickTop="1" thickBot="1">
      <c r="A547" s="31">
        <v>545</v>
      </c>
      <c r="B547" s="2"/>
      <c r="C547" s="3"/>
      <c r="D547" s="3"/>
      <c r="E547" s="4"/>
      <c r="F547" s="43"/>
      <c r="G547" s="4"/>
      <c r="H547" s="43"/>
      <c r="I547" s="4"/>
      <c r="J547" s="26"/>
      <c r="K547" s="27"/>
      <c r="L547" s="2"/>
      <c r="M547" s="24"/>
    </row>
    <row r="548" spans="1:13" ht="99.9" customHeight="1" thickTop="1" thickBot="1">
      <c r="A548" s="4">
        <v>546</v>
      </c>
      <c r="B548" s="2"/>
      <c r="C548" s="3"/>
      <c r="D548" s="3"/>
      <c r="E548" s="4"/>
      <c r="F548" s="43"/>
      <c r="G548" s="4"/>
      <c r="H548" s="43"/>
      <c r="I548" s="4"/>
      <c r="J548" s="26"/>
      <c r="K548" s="27"/>
      <c r="L548" s="2"/>
      <c r="M548" s="24"/>
    </row>
    <row r="549" spans="1:13" ht="99.9" customHeight="1" thickTop="1" thickBot="1">
      <c r="A549" s="31">
        <v>547</v>
      </c>
      <c r="B549" s="2"/>
      <c r="C549" s="3"/>
      <c r="D549" s="3"/>
      <c r="E549" s="4"/>
      <c r="F549" s="43"/>
      <c r="G549" s="4"/>
      <c r="H549" s="43"/>
      <c r="I549" s="4"/>
      <c r="J549" s="26"/>
      <c r="K549" s="27"/>
      <c r="L549" s="2"/>
      <c r="M549" s="24"/>
    </row>
    <row r="550" spans="1:13" ht="99.9" customHeight="1" thickTop="1" thickBot="1">
      <c r="A550" s="4">
        <v>548</v>
      </c>
      <c r="B550" s="2"/>
      <c r="C550" s="3"/>
      <c r="D550" s="3"/>
      <c r="E550" s="4"/>
      <c r="F550" s="43"/>
      <c r="G550" s="4"/>
      <c r="H550" s="43"/>
      <c r="I550" s="4"/>
      <c r="J550" s="26"/>
      <c r="K550" s="27"/>
      <c r="L550" s="2"/>
      <c r="M550" s="24"/>
    </row>
    <row r="551" spans="1:13" ht="99.9" customHeight="1" thickTop="1" thickBot="1">
      <c r="A551" s="31">
        <v>549</v>
      </c>
      <c r="B551" s="2"/>
      <c r="C551" s="3"/>
      <c r="D551" s="3"/>
      <c r="E551" s="4"/>
      <c r="F551" s="43"/>
      <c r="G551" s="4"/>
      <c r="H551" s="43"/>
      <c r="I551" s="4"/>
      <c r="J551" s="26"/>
      <c r="K551" s="27"/>
      <c r="L551" s="2"/>
      <c r="M551" s="24"/>
    </row>
    <row r="552" spans="1:13" ht="99.9" customHeight="1" thickTop="1" thickBot="1">
      <c r="A552" s="4">
        <v>550</v>
      </c>
      <c r="B552" s="2"/>
      <c r="C552" s="3"/>
      <c r="D552" s="3"/>
      <c r="E552" s="4"/>
      <c r="F552" s="43"/>
      <c r="G552" s="4"/>
      <c r="H552" s="43"/>
      <c r="I552" s="4"/>
      <c r="J552" s="26"/>
      <c r="K552" s="27"/>
      <c r="L552" s="2"/>
      <c r="M552" s="24"/>
    </row>
    <row r="553" spans="1:13" ht="99.9" customHeight="1" thickTop="1" thickBot="1">
      <c r="A553" s="31">
        <v>551</v>
      </c>
      <c r="B553" s="2"/>
      <c r="C553" s="3"/>
      <c r="D553" s="3"/>
      <c r="E553" s="4"/>
      <c r="F553" s="43"/>
      <c r="G553" s="4"/>
      <c r="H553" s="43"/>
      <c r="I553" s="4"/>
      <c r="J553" s="26"/>
      <c r="K553" s="27"/>
      <c r="L553" s="2"/>
      <c r="M553" s="24"/>
    </row>
    <row r="554" spans="1:13" ht="99.9" customHeight="1" thickTop="1" thickBot="1">
      <c r="A554" s="4">
        <v>552</v>
      </c>
      <c r="B554" s="2"/>
      <c r="C554" s="3"/>
      <c r="D554" s="3"/>
      <c r="E554" s="4"/>
      <c r="F554" s="43"/>
      <c r="G554" s="4"/>
      <c r="H554" s="43"/>
      <c r="I554" s="4"/>
      <c r="J554" s="26"/>
      <c r="K554" s="27"/>
      <c r="L554" s="2"/>
      <c r="M554" s="24"/>
    </row>
    <row r="555" spans="1:13" ht="99.9" customHeight="1" thickTop="1" thickBot="1">
      <c r="A555" s="31">
        <v>553</v>
      </c>
      <c r="B555" s="2"/>
      <c r="C555" s="3"/>
      <c r="D555" s="3"/>
      <c r="E555" s="4"/>
      <c r="F555" s="43"/>
      <c r="G555" s="4"/>
      <c r="H555" s="43"/>
      <c r="I555" s="4"/>
      <c r="J555" s="26"/>
      <c r="K555" s="27"/>
      <c r="L555" s="2"/>
      <c r="M555" s="24"/>
    </row>
    <row r="556" spans="1:13" ht="99.9" customHeight="1" thickTop="1" thickBot="1">
      <c r="A556" s="4">
        <v>554</v>
      </c>
      <c r="B556" s="2"/>
      <c r="C556" s="3"/>
      <c r="D556" s="3"/>
      <c r="E556" s="4"/>
      <c r="F556" s="43"/>
      <c r="G556" s="4"/>
      <c r="H556" s="43"/>
      <c r="I556" s="4"/>
      <c r="J556" s="26"/>
      <c r="K556" s="27"/>
      <c r="L556" s="2"/>
      <c r="M556" s="24"/>
    </row>
    <row r="557" spans="1:13" ht="99.9" customHeight="1" thickTop="1" thickBot="1">
      <c r="A557" s="31">
        <v>555</v>
      </c>
      <c r="B557" s="2"/>
      <c r="C557" s="3"/>
      <c r="D557" s="3"/>
      <c r="E557" s="4"/>
      <c r="F557" s="43"/>
      <c r="G557" s="4"/>
      <c r="H557" s="43"/>
      <c r="I557" s="4"/>
      <c r="J557" s="26"/>
      <c r="K557" s="27"/>
      <c r="L557" s="2"/>
      <c r="M557" s="24"/>
    </row>
    <row r="558" spans="1:13" ht="99.9" customHeight="1" thickTop="1" thickBot="1">
      <c r="A558" s="4">
        <v>556</v>
      </c>
      <c r="B558" s="2"/>
      <c r="C558" s="3"/>
      <c r="D558" s="3"/>
      <c r="E558" s="4"/>
      <c r="F558" s="43"/>
      <c r="G558" s="4"/>
      <c r="H558" s="43"/>
      <c r="I558" s="4"/>
      <c r="J558" s="26"/>
      <c r="K558" s="27"/>
      <c r="L558" s="2"/>
      <c r="M558" s="24"/>
    </row>
    <row r="559" spans="1:13" ht="99.9" customHeight="1" thickTop="1" thickBot="1">
      <c r="A559" s="31">
        <v>557</v>
      </c>
      <c r="B559" s="2"/>
      <c r="C559" s="3"/>
      <c r="D559" s="3"/>
      <c r="E559" s="4"/>
      <c r="F559" s="43"/>
      <c r="G559" s="4"/>
      <c r="H559" s="43"/>
      <c r="I559" s="4"/>
      <c r="J559" s="26"/>
      <c r="K559" s="27"/>
      <c r="L559" s="2"/>
      <c r="M559" s="24"/>
    </row>
    <row r="560" spans="1:13" ht="99.9" customHeight="1" thickTop="1" thickBot="1">
      <c r="A560" s="4">
        <v>558</v>
      </c>
      <c r="B560" s="2"/>
      <c r="C560" s="3"/>
      <c r="D560" s="3"/>
      <c r="E560" s="4"/>
      <c r="F560" s="43"/>
      <c r="G560" s="4"/>
      <c r="H560" s="43"/>
      <c r="I560" s="4"/>
      <c r="J560" s="26"/>
      <c r="K560" s="27"/>
      <c r="L560" s="2"/>
      <c r="M560" s="24"/>
    </row>
    <row r="561" spans="1:13" ht="99.9" customHeight="1" thickTop="1" thickBot="1">
      <c r="A561" s="31">
        <v>559</v>
      </c>
      <c r="B561" s="2"/>
      <c r="C561" s="3"/>
      <c r="D561" s="3"/>
      <c r="E561" s="4"/>
      <c r="F561" s="43"/>
      <c r="G561" s="4"/>
      <c r="H561" s="43"/>
      <c r="I561" s="4"/>
      <c r="J561" s="26"/>
      <c r="K561" s="27"/>
      <c r="L561" s="2"/>
      <c r="M561" s="24"/>
    </row>
    <row r="562" spans="1:13" ht="99.9" customHeight="1" thickTop="1" thickBot="1">
      <c r="A562" s="4">
        <v>560</v>
      </c>
      <c r="B562" s="2"/>
      <c r="C562" s="3"/>
      <c r="D562" s="3"/>
      <c r="E562" s="4"/>
      <c r="F562" s="43"/>
      <c r="G562" s="4"/>
      <c r="H562" s="43"/>
      <c r="I562" s="4"/>
      <c r="J562" s="26"/>
      <c r="K562" s="27"/>
      <c r="L562" s="2"/>
      <c r="M562" s="24"/>
    </row>
    <row r="563" spans="1:13" ht="99.9" customHeight="1" thickTop="1" thickBot="1">
      <c r="A563" s="31">
        <v>561</v>
      </c>
      <c r="B563" s="2"/>
      <c r="C563" s="3"/>
      <c r="D563" s="3"/>
      <c r="E563" s="4"/>
      <c r="F563" s="43"/>
      <c r="G563" s="4"/>
      <c r="H563" s="43"/>
      <c r="I563" s="4"/>
      <c r="J563" s="26"/>
      <c r="K563" s="27"/>
      <c r="L563" s="2"/>
      <c r="M563" s="24"/>
    </row>
    <row r="564" spans="1:13" ht="99.9" customHeight="1" thickTop="1" thickBot="1">
      <c r="A564" s="4">
        <v>562</v>
      </c>
      <c r="B564" s="2"/>
      <c r="C564" s="3"/>
      <c r="D564" s="3"/>
      <c r="E564" s="4"/>
      <c r="F564" s="43"/>
      <c r="G564" s="4"/>
      <c r="H564" s="43"/>
      <c r="I564" s="4"/>
      <c r="J564" s="26"/>
      <c r="K564" s="27"/>
      <c r="L564" s="2"/>
      <c r="M564" s="24"/>
    </row>
    <row r="565" spans="1:13" ht="99.9" customHeight="1" thickTop="1" thickBot="1">
      <c r="A565" s="31">
        <v>563</v>
      </c>
      <c r="B565" s="2"/>
      <c r="C565" s="3"/>
      <c r="D565" s="3"/>
      <c r="E565" s="4"/>
      <c r="F565" s="43"/>
      <c r="G565" s="4"/>
      <c r="H565" s="43"/>
      <c r="I565" s="4"/>
      <c r="J565" s="26"/>
      <c r="K565" s="27"/>
      <c r="L565" s="2"/>
      <c r="M565" s="24"/>
    </row>
    <row r="566" spans="1:13" ht="99.9" customHeight="1" thickTop="1" thickBot="1">
      <c r="A566" s="4">
        <v>564</v>
      </c>
      <c r="B566" s="2"/>
      <c r="C566" s="3"/>
      <c r="D566" s="3"/>
      <c r="E566" s="4"/>
      <c r="F566" s="43"/>
      <c r="G566" s="4"/>
      <c r="H566" s="43"/>
      <c r="I566" s="4"/>
      <c r="J566" s="26"/>
      <c r="K566" s="27"/>
      <c r="L566" s="2"/>
      <c r="M566" s="24"/>
    </row>
    <row r="567" spans="1:13" ht="99.9" customHeight="1" thickTop="1" thickBot="1">
      <c r="A567" s="31">
        <v>565</v>
      </c>
      <c r="B567" s="2"/>
      <c r="C567" s="3"/>
      <c r="D567" s="3"/>
      <c r="E567" s="4"/>
      <c r="F567" s="43"/>
      <c r="G567" s="4"/>
      <c r="H567" s="43"/>
      <c r="I567" s="4"/>
      <c r="J567" s="26"/>
      <c r="K567" s="27"/>
      <c r="L567" s="2"/>
      <c r="M567" s="24"/>
    </row>
    <row r="568" spans="1:13" ht="99.9" customHeight="1" thickTop="1" thickBot="1">
      <c r="A568" s="4">
        <v>566</v>
      </c>
      <c r="B568" s="2"/>
      <c r="C568" s="3"/>
      <c r="D568" s="3"/>
      <c r="E568" s="4"/>
      <c r="F568" s="43"/>
      <c r="G568" s="4"/>
      <c r="H568" s="43"/>
      <c r="I568" s="4"/>
      <c r="J568" s="26"/>
      <c r="K568" s="27"/>
      <c r="L568" s="2"/>
      <c r="M568" s="24"/>
    </row>
    <row r="569" spans="1:13" ht="99.9" customHeight="1" thickTop="1" thickBot="1">
      <c r="A569" s="31">
        <v>567</v>
      </c>
      <c r="B569" s="2"/>
      <c r="C569" s="3"/>
      <c r="D569" s="3"/>
      <c r="E569" s="4"/>
      <c r="F569" s="43"/>
      <c r="G569" s="4"/>
      <c r="H569" s="43"/>
      <c r="I569" s="4"/>
      <c r="J569" s="26"/>
      <c r="K569" s="27"/>
      <c r="L569" s="2"/>
      <c r="M569" s="24"/>
    </row>
    <row r="570" spans="1:13" ht="99.9" customHeight="1" thickTop="1" thickBot="1">
      <c r="A570" s="4">
        <v>568</v>
      </c>
      <c r="B570" s="2"/>
      <c r="C570" s="3"/>
      <c r="D570" s="3"/>
      <c r="E570" s="4"/>
      <c r="F570" s="43"/>
      <c r="G570" s="4"/>
      <c r="H570" s="43"/>
      <c r="I570" s="4"/>
      <c r="J570" s="26"/>
      <c r="K570" s="27"/>
      <c r="L570" s="2"/>
      <c r="M570" s="24"/>
    </row>
    <row r="571" spans="1:13" ht="99.9" customHeight="1" thickTop="1" thickBot="1">
      <c r="A571" s="31">
        <v>569</v>
      </c>
      <c r="B571" s="2"/>
      <c r="C571" s="3"/>
      <c r="D571" s="3"/>
      <c r="E571" s="4"/>
      <c r="F571" s="43"/>
      <c r="G571" s="4"/>
      <c r="H571" s="43"/>
      <c r="I571" s="4"/>
      <c r="J571" s="26"/>
      <c r="K571" s="27"/>
      <c r="L571" s="2"/>
      <c r="M571" s="24"/>
    </row>
    <row r="572" spans="1:13" ht="99.9" customHeight="1" thickTop="1" thickBot="1">
      <c r="A572" s="4">
        <v>570</v>
      </c>
      <c r="B572" s="2"/>
      <c r="C572" s="3"/>
      <c r="D572" s="3"/>
      <c r="E572" s="4"/>
      <c r="F572" s="43"/>
      <c r="G572" s="4"/>
      <c r="H572" s="43"/>
      <c r="I572" s="4"/>
      <c r="J572" s="26"/>
      <c r="K572" s="27"/>
      <c r="L572" s="2"/>
      <c r="M572" s="24"/>
    </row>
    <row r="573" spans="1:13" ht="99.9" customHeight="1" thickTop="1" thickBot="1">
      <c r="A573" s="31">
        <v>571</v>
      </c>
      <c r="B573" s="2"/>
      <c r="C573" s="3"/>
      <c r="D573" s="3"/>
      <c r="E573" s="4"/>
      <c r="F573" s="43"/>
      <c r="G573" s="4"/>
      <c r="H573" s="43"/>
      <c r="I573" s="4"/>
      <c r="J573" s="26"/>
      <c r="K573" s="27"/>
      <c r="L573" s="2"/>
      <c r="M573" s="24"/>
    </row>
    <row r="574" spans="1:13" ht="99.9" customHeight="1" thickTop="1" thickBot="1">
      <c r="A574" s="4">
        <v>572</v>
      </c>
      <c r="B574" s="2"/>
      <c r="C574" s="3"/>
      <c r="D574" s="3"/>
      <c r="E574" s="4"/>
      <c r="F574" s="43"/>
      <c r="G574" s="4"/>
      <c r="H574" s="43"/>
      <c r="I574" s="4"/>
      <c r="J574" s="26"/>
      <c r="K574" s="27"/>
      <c r="L574" s="2"/>
      <c r="M574" s="24"/>
    </row>
    <row r="575" spans="1:13" ht="99.9" customHeight="1" thickTop="1" thickBot="1">
      <c r="A575" s="31">
        <v>573</v>
      </c>
      <c r="B575" s="2"/>
      <c r="C575" s="3"/>
      <c r="D575" s="3"/>
      <c r="E575" s="4"/>
      <c r="F575" s="43"/>
      <c r="G575" s="4"/>
      <c r="H575" s="43"/>
      <c r="I575" s="4"/>
      <c r="J575" s="26"/>
      <c r="K575" s="27"/>
      <c r="L575" s="2"/>
      <c r="M575" s="24"/>
    </row>
    <row r="576" spans="1:13" ht="99.9" customHeight="1" thickTop="1" thickBot="1">
      <c r="A576" s="4">
        <v>574</v>
      </c>
      <c r="B576" s="2"/>
      <c r="C576" s="3"/>
      <c r="D576" s="3"/>
      <c r="E576" s="4"/>
      <c r="F576" s="43"/>
      <c r="G576" s="4"/>
      <c r="H576" s="43"/>
      <c r="I576" s="4"/>
      <c r="J576" s="26"/>
      <c r="K576" s="27"/>
      <c r="L576" s="2"/>
      <c r="M576" s="24"/>
    </row>
    <row r="577" spans="1:13" ht="99.9" customHeight="1" thickTop="1" thickBot="1">
      <c r="A577" s="31">
        <v>575</v>
      </c>
      <c r="B577" s="2"/>
      <c r="C577" s="3"/>
      <c r="D577" s="3"/>
      <c r="E577" s="4"/>
      <c r="F577" s="43"/>
      <c r="G577" s="4"/>
      <c r="H577" s="43"/>
      <c r="I577" s="4"/>
      <c r="J577" s="26"/>
      <c r="K577" s="27"/>
      <c r="L577" s="2"/>
      <c r="M577" s="24"/>
    </row>
    <row r="578" spans="1:13" ht="99.9" customHeight="1" thickTop="1" thickBot="1">
      <c r="A578" s="4">
        <v>576</v>
      </c>
      <c r="B578" s="2"/>
      <c r="C578" s="3"/>
      <c r="D578" s="3"/>
      <c r="E578" s="4"/>
      <c r="F578" s="43"/>
      <c r="G578" s="4"/>
      <c r="H578" s="43"/>
      <c r="I578" s="4"/>
      <c r="J578" s="26"/>
      <c r="K578" s="27"/>
      <c r="L578" s="2"/>
      <c r="M578" s="24"/>
    </row>
    <row r="579" spans="1:13" ht="99.9" customHeight="1" thickTop="1" thickBot="1">
      <c r="A579" s="31">
        <v>577</v>
      </c>
      <c r="B579" s="2"/>
      <c r="C579" s="3"/>
      <c r="D579" s="3"/>
      <c r="E579" s="4"/>
      <c r="F579" s="43"/>
      <c r="G579" s="4"/>
      <c r="H579" s="43"/>
      <c r="I579" s="4"/>
      <c r="J579" s="26"/>
      <c r="K579" s="27"/>
      <c r="L579" s="2"/>
      <c r="M579" s="24"/>
    </row>
    <row r="580" spans="1:13" ht="99.9" customHeight="1" thickTop="1" thickBot="1">
      <c r="A580" s="4">
        <v>578</v>
      </c>
      <c r="B580" s="2"/>
      <c r="C580" s="3"/>
      <c r="D580" s="3"/>
      <c r="E580" s="4"/>
      <c r="F580" s="43"/>
      <c r="G580" s="4"/>
      <c r="H580" s="43"/>
      <c r="I580" s="4"/>
      <c r="J580" s="26"/>
      <c r="K580" s="27"/>
      <c r="L580" s="2"/>
      <c r="M580" s="24"/>
    </row>
    <row r="581" spans="1:13" ht="99.9" customHeight="1" thickTop="1" thickBot="1">
      <c r="A581" s="31">
        <v>579</v>
      </c>
      <c r="B581" s="2"/>
      <c r="C581" s="3"/>
      <c r="D581" s="3"/>
      <c r="E581" s="4"/>
      <c r="F581" s="43"/>
      <c r="G581" s="4"/>
      <c r="H581" s="43"/>
      <c r="I581" s="4"/>
      <c r="J581" s="26"/>
      <c r="K581" s="27"/>
      <c r="L581" s="2"/>
      <c r="M581" s="24"/>
    </row>
    <row r="582" spans="1:13" ht="99.9" customHeight="1" thickTop="1" thickBot="1">
      <c r="A582" s="4">
        <v>580</v>
      </c>
      <c r="B582" s="2"/>
      <c r="C582" s="3"/>
      <c r="D582" s="3"/>
      <c r="E582" s="4"/>
      <c r="F582" s="43"/>
      <c r="G582" s="4"/>
      <c r="H582" s="43"/>
      <c r="I582" s="4"/>
      <c r="J582" s="26"/>
      <c r="K582" s="27"/>
      <c r="L582" s="2"/>
      <c r="M582" s="24"/>
    </row>
    <row r="583" spans="1:13" ht="99.9" customHeight="1" thickTop="1" thickBot="1">
      <c r="A583" s="31">
        <v>581</v>
      </c>
      <c r="B583" s="2"/>
      <c r="C583" s="3"/>
      <c r="D583" s="3"/>
      <c r="E583" s="4"/>
      <c r="F583" s="43"/>
      <c r="G583" s="4"/>
      <c r="H583" s="43"/>
      <c r="I583" s="4"/>
      <c r="J583" s="26"/>
      <c r="K583" s="27"/>
      <c r="L583" s="2"/>
      <c r="M583" s="24"/>
    </row>
    <row r="584" spans="1:13" ht="99.9" customHeight="1" thickTop="1" thickBot="1">
      <c r="A584" s="4">
        <v>582</v>
      </c>
      <c r="B584" s="2"/>
      <c r="C584" s="3"/>
      <c r="D584" s="3"/>
      <c r="E584" s="4"/>
      <c r="F584" s="43"/>
      <c r="G584" s="4"/>
      <c r="H584" s="43"/>
      <c r="I584" s="4"/>
      <c r="J584" s="26"/>
      <c r="K584" s="27"/>
      <c r="L584" s="2"/>
      <c r="M584" s="24"/>
    </row>
    <row r="585" spans="1:13" ht="99.9" customHeight="1" thickTop="1" thickBot="1">
      <c r="A585" s="31">
        <v>583</v>
      </c>
      <c r="B585" s="2"/>
      <c r="C585" s="3"/>
      <c r="D585" s="3"/>
      <c r="E585" s="4"/>
      <c r="F585" s="43"/>
      <c r="G585" s="4"/>
      <c r="H585" s="43"/>
      <c r="I585" s="4"/>
      <c r="J585" s="26"/>
      <c r="K585" s="27"/>
      <c r="L585" s="2"/>
      <c r="M585" s="24"/>
    </row>
    <row r="586" spans="1:13" ht="99.9" customHeight="1" thickTop="1" thickBot="1">
      <c r="A586" s="4">
        <v>584</v>
      </c>
      <c r="B586" s="2"/>
      <c r="C586" s="3"/>
      <c r="D586" s="3"/>
      <c r="E586" s="4"/>
      <c r="F586" s="43"/>
      <c r="G586" s="4"/>
      <c r="H586" s="43"/>
      <c r="I586" s="4"/>
      <c r="J586" s="26"/>
      <c r="K586" s="27"/>
      <c r="L586" s="2"/>
      <c r="M586" s="24"/>
    </row>
    <row r="587" spans="1:13" ht="99.9" customHeight="1" thickTop="1" thickBot="1">
      <c r="A587" s="31">
        <v>585</v>
      </c>
      <c r="B587" s="2"/>
      <c r="C587" s="3"/>
      <c r="D587" s="3"/>
      <c r="E587" s="4"/>
      <c r="F587" s="43"/>
      <c r="G587" s="4"/>
      <c r="H587" s="43"/>
      <c r="I587" s="4"/>
      <c r="J587" s="26"/>
      <c r="K587" s="27"/>
      <c r="L587" s="2"/>
      <c r="M587" s="24"/>
    </row>
    <row r="588" spans="1:13" ht="99.9" customHeight="1" thickTop="1" thickBot="1">
      <c r="A588" s="4">
        <v>586</v>
      </c>
      <c r="B588" s="2"/>
      <c r="C588" s="3"/>
      <c r="D588" s="3"/>
      <c r="E588" s="4"/>
      <c r="F588" s="43"/>
      <c r="G588" s="4"/>
      <c r="H588" s="43"/>
      <c r="I588" s="4"/>
      <c r="J588" s="26"/>
      <c r="K588" s="27"/>
      <c r="L588" s="2"/>
      <c r="M588" s="24"/>
    </row>
    <row r="589" spans="1:13" ht="99.9" customHeight="1" thickTop="1" thickBot="1">
      <c r="A589" s="31">
        <v>587</v>
      </c>
      <c r="B589" s="2"/>
      <c r="C589" s="3"/>
      <c r="D589" s="3"/>
      <c r="E589" s="4"/>
      <c r="F589" s="43"/>
      <c r="G589" s="4"/>
      <c r="H589" s="43"/>
      <c r="I589" s="4"/>
      <c r="J589" s="26"/>
      <c r="K589" s="27"/>
      <c r="L589" s="2"/>
      <c r="M589" s="24"/>
    </row>
    <row r="590" spans="1:13" ht="99.9" customHeight="1" thickTop="1" thickBot="1">
      <c r="A590" s="4">
        <v>588</v>
      </c>
      <c r="B590" s="2"/>
      <c r="C590" s="3"/>
      <c r="D590" s="3"/>
      <c r="E590" s="4"/>
      <c r="F590" s="43"/>
      <c r="G590" s="4"/>
      <c r="H590" s="43"/>
      <c r="I590" s="4"/>
      <c r="J590" s="26"/>
      <c r="K590" s="27"/>
      <c r="L590" s="2"/>
      <c r="M590" s="24"/>
    </row>
    <row r="591" spans="1:13" ht="99.9" customHeight="1" thickTop="1" thickBot="1">
      <c r="A591" s="31">
        <v>589</v>
      </c>
      <c r="B591" s="2"/>
      <c r="C591" s="3"/>
      <c r="D591" s="3"/>
      <c r="E591" s="4"/>
      <c r="F591" s="43"/>
      <c r="G591" s="4"/>
      <c r="H591" s="43"/>
      <c r="I591" s="4"/>
      <c r="J591" s="26"/>
      <c r="K591" s="27"/>
      <c r="L591" s="2"/>
      <c r="M591" s="24"/>
    </row>
    <row r="592" spans="1:13" ht="99.9" customHeight="1" thickTop="1" thickBot="1">
      <c r="A592" s="4">
        <v>590</v>
      </c>
      <c r="B592" s="2"/>
      <c r="C592" s="3"/>
      <c r="D592" s="3"/>
      <c r="E592" s="4"/>
      <c r="F592" s="43"/>
      <c r="G592" s="4"/>
      <c r="H592" s="43"/>
      <c r="I592" s="4"/>
      <c r="J592" s="26"/>
      <c r="K592" s="27"/>
      <c r="L592" s="2"/>
      <c r="M592" s="24"/>
    </row>
    <row r="593" spans="1:13" ht="99.9" customHeight="1" thickTop="1" thickBot="1">
      <c r="A593" s="31">
        <v>591</v>
      </c>
      <c r="B593" s="2"/>
      <c r="C593" s="3"/>
      <c r="D593" s="3"/>
      <c r="E593" s="4"/>
      <c r="F593" s="43"/>
      <c r="G593" s="4"/>
      <c r="H593" s="43"/>
      <c r="I593" s="4"/>
      <c r="J593" s="26"/>
      <c r="K593" s="27"/>
      <c r="L593" s="2"/>
      <c r="M593" s="24"/>
    </row>
    <row r="594" spans="1:13" ht="99.9" customHeight="1" thickTop="1" thickBot="1">
      <c r="A594" s="4">
        <v>592</v>
      </c>
      <c r="B594" s="2"/>
      <c r="C594" s="3"/>
      <c r="D594" s="3"/>
      <c r="E594" s="4"/>
      <c r="F594" s="43"/>
      <c r="G594" s="4"/>
      <c r="H594" s="43"/>
      <c r="I594" s="4"/>
      <c r="J594" s="26"/>
      <c r="K594" s="27"/>
      <c r="L594" s="2"/>
      <c r="M594" s="24"/>
    </row>
    <row r="595" spans="1:13" ht="99.9" customHeight="1" thickTop="1" thickBot="1">
      <c r="A595" s="31">
        <v>593</v>
      </c>
      <c r="B595" s="2"/>
      <c r="C595" s="3"/>
      <c r="D595" s="3"/>
      <c r="E595" s="4"/>
      <c r="F595" s="43"/>
      <c r="G595" s="4"/>
      <c r="H595" s="43"/>
      <c r="I595" s="4"/>
      <c r="J595" s="26"/>
      <c r="K595" s="27"/>
      <c r="L595" s="2"/>
      <c r="M595" s="24"/>
    </row>
    <row r="596" spans="1:13" ht="99.9" customHeight="1" thickTop="1" thickBot="1">
      <c r="A596" s="4">
        <v>594</v>
      </c>
      <c r="B596" s="2"/>
      <c r="C596" s="3"/>
      <c r="D596" s="3"/>
      <c r="E596" s="4"/>
      <c r="F596" s="43"/>
      <c r="G596" s="4"/>
      <c r="H596" s="43"/>
      <c r="I596" s="4"/>
      <c r="J596" s="26"/>
      <c r="K596" s="27"/>
      <c r="L596" s="2"/>
      <c r="M596" s="24"/>
    </row>
    <row r="597" spans="1:13" ht="99.9" customHeight="1" thickTop="1" thickBot="1">
      <c r="A597" s="31">
        <v>595</v>
      </c>
      <c r="B597" s="2"/>
      <c r="C597" s="3"/>
      <c r="D597" s="3"/>
      <c r="E597" s="4"/>
      <c r="F597" s="43"/>
      <c r="G597" s="4"/>
      <c r="H597" s="43"/>
      <c r="I597" s="4"/>
      <c r="J597" s="26"/>
      <c r="K597" s="27"/>
      <c r="L597" s="2"/>
      <c r="M597" s="24"/>
    </row>
    <row r="598" spans="1:13" ht="99.9" customHeight="1" thickTop="1" thickBot="1">
      <c r="A598" s="4">
        <v>596</v>
      </c>
      <c r="B598" s="2"/>
      <c r="C598" s="3"/>
      <c r="D598" s="3"/>
      <c r="E598" s="4"/>
      <c r="F598" s="43"/>
      <c r="G598" s="4"/>
      <c r="H598" s="43"/>
      <c r="I598" s="4"/>
      <c r="J598" s="26"/>
      <c r="K598" s="27"/>
      <c r="L598" s="2"/>
      <c r="M598" s="24"/>
    </row>
    <row r="599" spans="1:13" ht="99.9" customHeight="1" thickTop="1" thickBot="1">
      <c r="A599" s="31">
        <v>597</v>
      </c>
      <c r="B599" s="2"/>
      <c r="C599" s="3"/>
      <c r="D599" s="3"/>
      <c r="E599" s="4"/>
      <c r="F599" s="43"/>
      <c r="G599" s="4"/>
      <c r="H599" s="43"/>
      <c r="I599" s="4"/>
      <c r="J599" s="26"/>
      <c r="K599" s="27"/>
      <c r="L599" s="2"/>
      <c r="M599" s="24"/>
    </row>
    <row r="600" spans="1:13" ht="99.9" customHeight="1" thickTop="1" thickBot="1">
      <c r="A600" s="4">
        <v>598</v>
      </c>
      <c r="B600" s="2"/>
      <c r="C600" s="3"/>
      <c r="D600" s="3"/>
      <c r="E600" s="4"/>
      <c r="F600" s="43"/>
      <c r="G600" s="4"/>
      <c r="H600" s="43"/>
      <c r="I600" s="4"/>
      <c r="J600" s="26"/>
      <c r="K600" s="27"/>
      <c r="L600" s="2"/>
      <c r="M600" s="24"/>
    </row>
    <row r="601" spans="1:13" ht="99.9" customHeight="1" thickTop="1" thickBot="1">
      <c r="A601" s="31">
        <v>599</v>
      </c>
      <c r="B601" s="2"/>
      <c r="C601" s="3"/>
      <c r="D601" s="3"/>
      <c r="E601" s="4"/>
      <c r="F601" s="43"/>
      <c r="G601" s="4"/>
      <c r="H601" s="43"/>
      <c r="I601" s="4"/>
      <c r="J601" s="26"/>
      <c r="K601" s="27"/>
      <c r="L601" s="2"/>
      <c r="M601" s="24"/>
    </row>
    <row r="602" spans="1:13" ht="99.9" customHeight="1" thickTop="1" thickBot="1">
      <c r="A602" s="4">
        <v>600</v>
      </c>
      <c r="B602" s="2"/>
      <c r="C602" s="3"/>
      <c r="D602" s="3"/>
      <c r="E602" s="4"/>
      <c r="F602" s="43"/>
      <c r="G602" s="4"/>
      <c r="H602" s="43"/>
      <c r="I602" s="4"/>
      <c r="J602" s="26"/>
      <c r="K602" s="27"/>
      <c r="L602" s="2"/>
      <c r="M602" s="24"/>
    </row>
    <row r="603" spans="1:13" ht="99.9" customHeight="1" thickTop="1" thickBot="1">
      <c r="A603" s="31">
        <v>601</v>
      </c>
      <c r="B603" s="2"/>
      <c r="C603" s="3"/>
      <c r="D603" s="3"/>
      <c r="E603" s="4"/>
      <c r="F603" s="43"/>
      <c r="G603" s="4"/>
      <c r="H603" s="43"/>
      <c r="I603" s="4"/>
      <c r="J603" s="26"/>
      <c r="K603" s="27"/>
      <c r="L603" s="2"/>
      <c r="M603" s="24"/>
    </row>
    <row r="604" spans="1:13" ht="99.9" customHeight="1" thickTop="1" thickBot="1">
      <c r="A604" s="4">
        <v>602</v>
      </c>
      <c r="B604" s="2"/>
      <c r="C604" s="3"/>
      <c r="D604" s="3"/>
      <c r="E604" s="4"/>
      <c r="F604" s="43"/>
      <c r="G604" s="4"/>
      <c r="H604" s="43"/>
      <c r="I604" s="4"/>
      <c r="J604" s="26"/>
      <c r="K604" s="27"/>
      <c r="L604" s="2"/>
      <c r="M604" s="24"/>
    </row>
    <row r="605" spans="1:13" ht="99.9" customHeight="1" thickTop="1" thickBot="1">
      <c r="A605" s="31">
        <v>603</v>
      </c>
      <c r="B605" s="2"/>
      <c r="C605" s="3"/>
      <c r="D605" s="3"/>
      <c r="E605" s="4"/>
      <c r="F605" s="43"/>
      <c r="G605" s="4"/>
      <c r="H605" s="43"/>
      <c r="I605" s="4"/>
      <c r="J605" s="26"/>
      <c r="K605" s="27"/>
      <c r="L605" s="2"/>
      <c r="M605" s="24"/>
    </row>
    <row r="606" spans="1:13" ht="99.9" customHeight="1" thickTop="1" thickBot="1">
      <c r="A606" s="4">
        <v>604</v>
      </c>
      <c r="B606" s="2"/>
      <c r="C606" s="3"/>
      <c r="D606" s="3"/>
      <c r="E606" s="4"/>
      <c r="F606" s="43"/>
      <c r="G606" s="4"/>
      <c r="H606" s="43"/>
      <c r="I606" s="4"/>
      <c r="J606" s="26"/>
      <c r="K606" s="27"/>
      <c r="L606" s="2"/>
      <c r="M606" s="24"/>
    </row>
    <row r="607" spans="1:13" ht="99.9" customHeight="1" thickTop="1" thickBot="1">
      <c r="A607" s="31">
        <v>605</v>
      </c>
      <c r="B607" s="2"/>
      <c r="C607" s="3"/>
      <c r="D607" s="3"/>
      <c r="E607" s="4"/>
      <c r="F607" s="43"/>
      <c r="G607" s="4"/>
      <c r="H607" s="43"/>
      <c r="I607" s="4"/>
      <c r="J607" s="26"/>
      <c r="K607" s="27"/>
      <c r="L607" s="2"/>
      <c r="M607" s="24"/>
    </row>
    <row r="608" spans="1:13" ht="99.9" customHeight="1" thickTop="1" thickBot="1">
      <c r="A608" s="4">
        <v>606</v>
      </c>
      <c r="B608" s="2"/>
      <c r="C608" s="3"/>
      <c r="D608" s="3"/>
      <c r="E608" s="4"/>
      <c r="F608" s="43"/>
      <c r="G608" s="4"/>
      <c r="H608" s="43"/>
      <c r="I608" s="4"/>
      <c r="J608" s="26"/>
      <c r="K608" s="27"/>
      <c r="L608" s="2"/>
      <c r="M608" s="24"/>
    </row>
    <row r="609" spans="1:13" ht="99.9" customHeight="1" thickTop="1" thickBot="1">
      <c r="A609" s="31">
        <v>607</v>
      </c>
      <c r="B609" s="2"/>
      <c r="C609" s="3"/>
      <c r="D609" s="3"/>
      <c r="E609" s="4"/>
      <c r="F609" s="43"/>
      <c r="G609" s="4"/>
      <c r="H609" s="43"/>
      <c r="I609" s="4"/>
      <c r="J609" s="26"/>
      <c r="K609" s="27"/>
      <c r="L609" s="2"/>
      <c r="M609" s="24"/>
    </row>
    <row r="610" spans="1:13" ht="99.9" customHeight="1" thickTop="1" thickBot="1">
      <c r="A610" s="4">
        <v>608</v>
      </c>
      <c r="B610" s="2"/>
      <c r="C610" s="3"/>
      <c r="D610" s="3"/>
      <c r="E610" s="4"/>
      <c r="F610" s="43"/>
      <c r="G610" s="4"/>
      <c r="H610" s="43"/>
      <c r="I610" s="4"/>
      <c r="J610" s="26"/>
      <c r="K610" s="27"/>
      <c r="L610" s="2"/>
      <c r="M610" s="24"/>
    </row>
    <row r="611" spans="1:13" ht="99.9" customHeight="1" thickTop="1" thickBot="1">
      <c r="A611" s="31">
        <v>609</v>
      </c>
      <c r="B611" s="2"/>
      <c r="C611" s="3"/>
      <c r="D611" s="3"/>
      <c r="E611" s="4"/>
      <c r="F611" s="43"/>
      <c r="G611" s="4"/>
      <c r="H611" s="43"/>
      <c r="I611" s="4"/>
      <c r="J611" s="26"/>
      <c r="K611" s="27"/>
      <c r="L611" s="2"/>
      <c r="M611" s="24"/>
    </row>
    <row r="612" spans="1:13" ht="99.9" customHeight="1" thickTop="1" thickBot="1">
      <c r="A612" s="4">
        <v>610</v>
      </c>
      <c r="B612" s="2"/>
      <c r="C612" s="3"/>
      <c r="D612" s="3"/>
      <c r="E612" s="4"/>
      <c r="F612" s="43"/>
      <c r="G612" s="4"/>
      <c r="H612" s="43"/>
      <c r="I612" s="4"/>
      <c r="J612" s="26"/>
      <c r="K612" s="27"/>
      <c r="L612" s="2"/>
      <c r="M612" s="24"/>
    </row>
    <row r="613" spans="1:13" ht="99.9" customHeight="1" thickTop="1" thickBot="1">
      <c r="A613" s="31">
        <v>611</v>
      </c>
      <c r="B613" s="2"/>
      <c r="C613" s="3"/>
      <c r="D613" s="3"/>
      <c r="E613" s="4"/>
      <c r="F613" s="43"/>
      <c r="G613" s="4"/>
      <c r="H613" s="43"/>
      <c r="I613" s="4"/>
      <c r="J613" s="26"/>
      <c r="K613" s="27"/>
      <c r="L613" s="2"/>
      <c r="M613" s="24"/>
    </row>
    <row r="614" spans="1:13" ht="99.9" customHeight="1" thickTop="1" thickBot="1">
      <c r="A614" s="4">
        <v>612</v>
      </c>
      <c r="B614" s="2"/>
      <c r="C614" s="3"/>
      <c r="D614" s="3"/>
      <c r="E614" s="4"/>
      <c r="F614" s="43"/>
      <c r="G614" s="4"/>
      <c r="H614" s="43"/>
      <c r="I614" s="4"/>
      <c r="J614" s="26"/>
      <c r="K614" s="27"/>
      <c r="L614" s="2"/>
      <c r="M614" s="24"/>
    </row>
    <row r="615" spans="1:13" ht="99.9" customHeight="1" thickTop="1" thickBot="1">
      <c r="A615" s="31">
        <v>613</v>
      </c>
      <c r="B615" s="2"/>
      <c r="C615" s="3"/>
      <c r="D615" s="3"/>
      <c r="E615" s="4"/>
      <c r="F615" s="43"/>
      <c r="G615" s="4"/>
      <c r="H615" s="43"/>
      <c r="I615" s="4"/>
      <c r="J615" s="26"/>
      <c r="K615" s="27"/>
      <c r="L615" s="2"/>
      <c r="M615" s="24"/>
    </row>
    <row r="616" spans="1:13" ht="99.9" customHeight="1" thickTop="1" thickBot="1">
      <c r="A616" s="4">
        <v>614</v>
      </c>
      <c r="B616" s="2"/>
      <c r="C616" s="3"/>
      <c r="D616" s="3"/>
      <c r="E616" s="4"/>
      <c r="F616" s="43"/>
      <c r="G616" s="4"/>
      <c r="H616" s="43"/>
      <c r="I616" s="4"/>
      <c r="J616" s="26"/>
      <c r="K616" s="27"/>
      <c r="L616" s="2"/>
      <c r="M616" s="24"/>
    </row>
    <row r="617" spans="1:13" ht="99.9" customHeight="1" thickTop="1" thickBot="1">
      <c r="A617" s="31">
        <v>615</v>
      </c>
      <c r="B617" s="2"/>
      <c r="C617" s="3"/>
      <c r="D617" s="3"/>
      <c r="E617" s="4"/>
      <c r="F617" s="43"/>
      <c r="G617" s="4"/>
      <c r="H617" s="43"/>
      <c r="I617" s="4"/>
      <c r="J617" s="26"/>
      <c r="K617" s="27"/>
      <c r="L617" s="2"/>
      <c r="M617" s="24"/>
    </row>
    <row r="618" spans="1:13" ht="99.9" customHeight="1" thickTop="1" thickBot="1">
      <c r="A618" s="4">
        <v>616</v>
      </c>
      <c r="B618" s="2"/>
      <c r="C618" s="3"/>
      <c r="D618" s="3"/>
      <c r="E618" s="4"/>
      <c r="F618" s="43"/>
      <c r="G618" s="4"/>
      <c r="H618" s="43"/>
      <c r="I618" s="4"/>
      <c r="J618" s="26"/>
      <c r="K618" s="27"/>
      <c r="L618" s="2"/>
      <c r="M618" s="24"/>
    </row>
    <row r="619" spans="1:13" ht="99.9" customHeight="1" thickTop="1" thickBot="1">
      <c r="A619" s="31">
        <v>617</v>
      </c>
      <c r="B619" s="2"/>
      <c r="C619" s="3"/>
      <c r="D619" s="3"/>
      <c r="E619" s="4"/>
      <c r="F619" s="43"/>
      <c r="G619" s="4"/>
      <c r="H619" s="43"/>
      <c r="I619" s="4"/>
      <c r="J619" s="26"/>
      <c r="K619" s="27"/>
      <c r="L619" s="2"/>
      <c r="M619" s="24"/>
    </row>
    <row r="620" spans="1:13" ht="99.9" customHeight="1" thickTop="1" thickBot="1">
      <c r="A620" s="4">
        <v>618</v>
      </c>
      <c r="B620" s="2"/>
      <c r="C620" s="3"/>
      <c r="D620" s="3"/>
      <c r="E620" s="4"/>
      <c r="F620" s="43"/>
      <c r="G620" s="4"/>
      <c r="H620" s="43"/>
      <c r="I620" s="4"/>
      <c r="J620" s="26"/>
      <c r="K620" s="27"/>
      <c r="L620" s="2"/>
      <c r="M620" s="24"/>
    </row>
    <row r="621" spans="1:13" ht="99.9" customHeight="1" thickTop="1" thickBot="1">
      <c r="A621" s="31">
        <v>619</v>
      </c>
      <c r="B621" s="2"/>
      <c r="C621" s="3"/>
      <c r="D621" s="3"/>
      <c r="E621" s="4"/>
      <c r="F621" s="43"/>
      <c r="G621" s="4"/>
      <c r="H621" s="43"/>
      <c r="I621" s="4"/>
      <c r="J621" s="26"/>
      <c r="K621" s="27"/>
      <c r="L621" s="2"/>
      <c r="M621" s="24"/>
    </row>
    <row r="622" spans="1:13" ht="99.9" customHeight="1" thickTop="1" thickBot="1">
      <c r="A622" s="4">
        <v>620</v>
      </c>
      <c r="B622" s="2"/>
      <c r="C622" s="3"/>
      <c r="D622" s="3"/>
      <c r="E622" s="4"/>
      <c r="F622" s="43"/>
      <c r="G622" s="4"/>
      <c r="H622" s="43"/>
      <c r="I622" s="4"/>
      <c r="J622" s="26"/>
      <c r="K622" s="27"/>
      <c r="L622" s="2"/>
      <c r="M622" s="24"/>
    </row>
    <row r="623" spans="1:13" ht="99.9" customHeight="1" thickTop="1" thickBot="1">
      <c r="A623" s="31">
        <v>621</v>
      </c>
      <c r="B623" s="2"/>
      <c r="C623" s="3"/>
      <c r="D623" s="3"/>
      <c r="E623" s="4"/>
      <c r="F623" s="43"/>
      <c r="G623" s="4"/>
      <c r="H623" s="43"/>
      <c r="I623" s="4"/>
      <c r="J623" s="26"/>
      <c r="K623" s="27"/>
      <c r="L623" s="2"/>
      <c r="M623" s="24"/>
    </row>
    <row r="624" spans="1:13" ht="99.9" customHeight="1" thickTop="1" thickBot="1">
      <c r="A624" s="4">
        <v>622</v>
      </c>
      <c r="B624" s="2"/>
      <c r="C624" s="3"/>
      <c r="D624" s="3"/>
      <c r="E624" s="4"/>
      <c r="F624" s="43"/>
      <c r="G624" s="4"/>
      <c r="H624" s="43"/>
      <c r="I624" s="4"/>
      <c r="J624" s="26"/>
      <c r="K624" s="27"/>
      <c r="L624" s="2"/>
      <c r="M624" s="24"/>
    </row>
    <row r="625" spans="1:13" ht="99.9" customHeight="1" thickTop="1" thickBot="1">
      <c r="A625" s="31">
        <v>623</v>
      </c>
      <c r="B625" s="2"/>
      <c r="C625" s="3"/>
      <c r="D625" s="3"/>
      <c r="E625" s="4"/>
      <c r="F625" s="43"/>
      <c r="G625" s="4"/>
      <c r="H625" s="43"/>
      <c r="I625" s="4"/>
      <c r="J625" s="26"/>
      <c r="K625" s="27"/>
      <c r="L625" s="2"/>
      <c r="M625" s="24"/>
    </row>
    <row r="626" spans="1:13" ht="99.9" customHeight="1" thickTop="1" thickBot="1">
      <c r="A626" s="4">
        <v>624</v>
      </c>
      <c r="B626" s="2"/>
      <c r="C626" s="3"/>
      <c r="D626" s="3"/>
      <c r="E626" s="4"/>
      <c r="F626" s="43"/>
      <c r="G626" s="4"/>
      <c r="H626" s="43"/>
      <c r="I626" s="4"/>
      <c r="J626" s="26"/>
      <c r="K626" s="27"/>
      <c r="L626" s="2"/>
      <c r="M626" s="24"/>
    </row>
    <row r="627" spans="1:13" ht="99.9" customHeight="1" thickTop="1" thickBot="1">
      <c r="A627" s="31">
        <v>625</v>
      </c>
      <c r="B627" s="2"/>
      <c r="C627" s="3"/>
      <c r="D627" s="3"/>
      <c r="E627" s="4"/>
      <c r="F627" s="43"/>
      <c r="G627" s="4"/>
      <c r="H627" s="43"/>
      <c r="I627" s="4"/>
      <c r="J627" s="26"/>
      <c r="K627" s="27"/>
      <c r="L627" s="2"/>
      <c r="M627" s="24"/>
    </row>
    <row r="628" spans="1:13" ht="99.9" customHeight="1" thickTop="1" thickBot="1">
      <c r="A628" s="4">
        <v>626</v>
      </c>
      <c r="B628" s="2"/>
      <c r="C628" s="3"/>
      <c r="D628" s="3"/>
      <c r="E628" s="4"/>
      <c r="F628" s="43"/>
      <c r="G628" s="4"/>
      <c r="H628" s="43"/>
      <c r="I628" s="4"/>
      <c r="J628" s="26"/>
      <c r="K628" s="27"/>
      <c r="L628" s="2"/>
      <c r="M628" s="24"/>
    </row>
    <row r="629" spans="1:13" ht="99.9" customHeight="1" thickTop="1" thickBot="1">
      <c r="A629" s="31">
        <v>627</v>
      </c>
      <c r="B629" s="2"/>
      <c r="C629" s="3"/>
      <c r="D629" s="3"/>
      <c r="E629" s="4"/>
      <c r="F629" s="43"/>
      <c r="G629" s="4"/>
      <c r="H629" s="43"/>
      <c r="I629" s="4"/>
      <c r="J629" s="26"/>
      <c r="K629" s="27"/>
      <c r="L629" s="2"/>
      <c r="M629" s="24"/>
    </row>
    <row r="630" spans="1:13" ht="99.9" customHeight="1" thickTop="1" thickBot="1">
      <c r="A630" s="4">
        <v>628</v>
      </c>
      <c r="B630" s="2"/>
      <c r="C630" s="3"/>
      <c r="D630" s="3"/>
      <c r="E630" s="4"/>
      <c r="F630" s="43"/>
      <c r="G630" s="4"/>
      <c r="H630" s="43"/>
      <c r="I630" s="4"/>
      <c r="J630" s="26"/>
      <c r="K630" s="27"/>
      <c r="L630" s="2"/>
      <c r="M630" s="24"/>
    </row>
    <row r="631" spans="1:13" ht="99.9" customHeight="1" thickTop="1" thickBot="1">
      <c r="A631" s="31">
        <v>629</v>
      </c>
      <c r="B631" s="2"/>
      <c r="C631" s="3"/>
      <c r="D631" s="3"/>
      <c r="E631" s="4"/>
      <c r="F631" s="43"/>
      <c r="G631" s="4"/>
      <c r="H631" s="43"/>
      <c r="I631" s="4"/>
      <c r="J631" s="26"/>
      <c r="K631" s="27"/>
      <c r="L631" s="2"/>
      <c r="M631" s="24"/>
    </row>
    <row r="632" spans="1:13" ht="99.9" customHeight="1" thickTop="1" thickBot="1">
      <c r="A632" s="4">
        <v>630</v>
      </c>
      <c r="B632" s="2"/>
      <c r="C632" s="3"/>
      <c r="D632" s="3"/>
      <c r="E632" s="4"/>
      <c r="F632" s="43"/>
      <c r="G632" s="4"/>
      <c r="H632" s="43"/>
      <c r="I632" s="4"/>
      <c r="J632" s="26"/>
      <c r="K632" s="27"/>
      <c r="L632" s="2"/>
      <c r="M632" s="24"/>
    </row>
    <row r="633" spans="1:13" ht="99.9" customHeight="1" thickTop="1" thickBot="1">
      <c r="A633" s="31">
        <v>631</v>
      </c>
      <c r="B633" s="2"/>
      <c r="C633" s="3"/>
      <c r="D633" s="3"/>
      <c r="E633" s="4"/>
      <c r="F633" s="43"/>
      <c r="G633" s="4"/>
      <c r="H633" s="43"/>
      <c r="I633" s="4"/>
      <c r="J633" s="26"/>
      <c r="K633" s="27"/>
      <c r="L633" s="2"/>
      <c r="M633" s="24"/>
    </row>
    <row r="634" spans="1:13" ht="99.9" customHeight="1" thickTop="1" thickBot="1">
      <c r="A634" s="4">
        <v>632</v>
      </c>
      <c r="B634" s="2"/>
      <c r="C634" s="3"/>
      <c r="D634" s="3"/>
      <c r="E634" s="4"/>
      <c r="F634" s="43"/>
      <c r="G634" s="4"/>
      <c r="H634" s="43"/>
      <c r="I634" s="4"/>
      <c r="J634" s="26"/>
      <c r="K634" s="27"/>
      <c r="L634" s="2"/>
      <c r="M634" s="24"/>
    </row>
    <row r="635" spans="1:13" ht="99.9" customHeight="1" thickTop="1" thickBot="1">
      <c r="A635" s="31">
        <v>633</v>
      </c>
      <c r="B635" s="2"/>
      <c r="C635" s="3"/>
      <c r="D635" s="3"/>
      <c r="E635" s="4"/>
      <c r="F635" s="43"/>
      <c r="G635" s="4"/>
      <c r="H635" s="43"/>
      <c r="I635" s="4"/>
      <c r="J635" s="26"/>
      <c r="K635" s="27"/>
      <c r="L635" s="2"/>
      <c r="M635" s="24"/>
    </row>
    <row r="636" spans="1:13" ht="99.9" customHeight="1" thickTop="1" thickBot="1">
      <c r="A636" s="4">
        <v>634</v>
      </c>
      <c r="B636" s="2"/>
      <c r="C636" s="3"/>
      <c r="D636" s="3"/>
      <c r="E636" s="4"/>
      <c r="F636" s="43"/>
      <c r="G636" s="4"/>
      <c r="H636" s="43"/>
      <c r="I636" s="4"/>
      <c r="J636" s="26"/>
      <c r="K636" s="27"/>
      <c r="L636" s="2"/>
      <c r="M636" s="24"/>
    </row>
    <row r="637" spans="1:13" ht="99.9" customHeight="1" thickTop="1" thickBot="1">
      <c r="A637" s="31">
        <v>635</v>
      </c>
      <c r="B637" s="2"/>
      <c r="C637" s="3"/>
      <c r="D637" s="3"/>
      <c r="E637" s="4"/>
      <c r="F637" s="43"/>
      <c r="G637" s="4"/>
      <c r="H637" s="43"/>
      <c r="I637" s="4"/>
      <c r="J637" s="26"/>
      <c r="K637" s="27"/>
      <c r="L637" s="2"/>
      <c r="M637" s="24"/>
    </row>
    <row r="638" spans="1:13" ht="99.9" customHeight="1" thickTop="1" thickBot="1">
      <c r="A638" s="4">
        <v>636</v>
      </c>
      <c r="B638" s="2"/>
      <c r="C638" s="3"/>
      <c r="D638" s="3"/>
      <c r="E638" s="4"/>
      <c r="F638" s="43"/>
      <c r="G638" s="4"/>
      <c r="H638" s="43"/>
      <c r="I638" s="4"/>
      <c r="J638" s="26"/>
      <c r="K638" s="27"/>
      <c r="L638" s="2"/>
      <c r="M638" s="24"/>
    </row>
    <row r="639" spans="1:13" ht="99.9" customHeight="1" thickTop="1" thickBot="1">
      <c r="A639" s="31">
        <v>637</v>
      </c>
      <c r="B639" s="2"/>
      <c r="C639" s="3"/>
      <c r="D639" s="3"/>
      <c r="E639" s="4"/>
      <c r="F639" s="43"/>
      <c r="G639" s="4"/>
      <c r="H639" s="43"/>
      <c r="I639" s="4"/>
      <c r="J639" s="26"/>
      <c r="K639" s="27"/>
      <c r="L639" s="2"/>
      <c r="M639" s="24"/>
    </row>
    <row r="640" spans="1:13" ht="99.9" customHeight="1" thickTop="1" thickBot="1">
      <c r="A640" s="4">
        <v>638</v>
      </c>
      <c r="B640" s="2"/>
      <c r="C640" s="3"/>
      <c r="D640" s="3"/>
      <c r="E640" s="4"/>
      <c r="F640" s="43"/>
      <c r="G640" s="4"/>
      <c r="H640" s="43"/>
      <c r="I640" s="4"/>
      <c r="J640" s="26"/>
      <c r="K640" s="27"/>
      <c r="L640" s="2"/>
      <c r="M640" s="24"/>
    </row>
    <row r="641" spans="1:13" ht="99.9" customHeight="1" thickTop="1" thickBot="1">
      <c r="A641" s="31">
        <v>639</v>
      </c>
      <c r="B641" s="2"/>
      <c r="C641" s="3"/>
      <c r="D641" s="3"/>
      <c r="E641" s="4"/>
      <c r="F641" s="43"/>
      <c r="G641" s="4"/>
      <c r="H641" s="43"/>
      <c r="I641" s="4"/>
      <c r="J641" s="26"/>
      <c r="K641" s="27"/>
      <c r="L641" s="2"/>
      <c r="M641" s="24"/>
    </row>
    <row r="642" spans="1:13" ht="99.9" customHeight="1" thickTop="1" thickBot="1">
      <c r="A642" s="4">
        <v>640</v>
      </c>
      <c r="B642" s="2"/>
      <c r="C642" s="3"/>
      <c r="D642" s="3"/>
      <c r="E642" s="4"/>
      <c r="F642" s="43"/>
      <c r="G642" s="4"/>
      <c r="H642" s="43"/>
      <c r="I642" s="4"/>
      <c r="J642" s="26"/>
      <c r="K642" s="27"/>
      <c r="L642" s="2"/>
      <c r="M642" s="24"/>
    </row>
    <row r="643" spans="1:13" ht="99.9" customHeight="1" thickTop="1" thickBot="1">
      <c r="A643" s="31">
        <v>641</v>
      </c>
      <c r="B643" s="2"/>
      <c r="C643" s="3"/>
      <c r="D643" s="3"/>
      <c r="E643" s="4"/>
      <c r="F643" s="43"/>
      <c r="G643" s="4"/>
      <c r="H643" s="43"/>
      <c r="I643" s="4"/>
      <c r="J643" s="26"/>
      <c r="K643" s="27"/>
      <c r="L643" s="2"/>
      <c r="M643" s="24"/>
    </row>
    <row r="644" spans="1:13" ht="99.9" customHeight="1" thickTop="1" thickBot="1">
      <c r="A644" s="4">
        <v>642</v>
      </c>
      <c r="B644" s="2"/>
      <c r="C644" s="3"/>
      <c r="D644" s="3"/>
      <c r="E644" s="4"/>
      <c r="F644" s="43"/>
      <c r="G644" s="4"/>
      <c r="H644" s="43"/>
      <c r="I644" s="4"/>
      <c r="J644" s="26"/>
      <c r="K644" s="27"/>
      <c r="L644" s="2"/>
      <c r="M644" s="24"/>
    </row>
    <row r="645" spans="1:13" ht="99.9" customHeight="1" thickTop="1" thickBot="1">
      <c r="A645" s="31">
        <v>643</v>
      </c>
      <c r="B645" s="2"/>
      <c r="C645" s="3"/>
      <c r="D645" s="3"/>
      <c r="E645" s="4"/>
      <c r="F645" s="43"/>
      <c r="G645" s="4"/>
      <c r="H645" s="43"/>
      <c r="I645" s="4"/>
      <c r="J645" s="26"/>
      <c r="K645" s="27"/>
      <c r="L645" s="2"/>
      <c r="M645" s="24"/>
    </row>
    <row r="646" spans="1:13" ht="99.9" customHeight="1" thickTop="1" thickBot="1">
      <c r="A646" s="4">
        <v>644</v>
      </c>
      <c r="B646" s="2"/>
      <c r="C646" s="3"/>
      <c r="D646" s="3"/>
      <c r="E646" s="4"/>
      <c r="F646" s="43"/>
      <c r="G646" s="4"/>
      <c r="H646" s="43"/>
      <c r="I646" s="4"/>
      <c r="J646" s="26"/>
      <c r="K646" s="27"/>
      <c r="L646" s="2"/>
      <c r="M646" s="24"/>
    </row>
    <row r="647" spans="1:13" ht="99.9" customHeight="1" thickTop="1" thickBot="1">
      <c r="A647" s="31">
        <v>645</v>
      </c>
      <c r="B647" s="2"/>
      <c r="C647" s="3"/>
      <c r="D647" s="3"/>
      <c r="E647" s="4"/>
      <c r="F647" s="43"/>
      <c r="G647" s="4"/>
      <c r="H647" s="43"/>
      <c r="I647" s="4"/>
      <c r="J647" s="26"/>
      <c r="K647" s="27"/>
      <c r="L647" s="2"/>
      <c r="M647" s="24"/>
    </row>
    <row r="648" spans="1:13" ht="99.9" customHeight="1" thickTop="1" thickBot="1">
      <c r="A648" s="4">
        <v>646</v>
      </c>
      <c r="B648" s="2"/>
      <c r="C648" s="3"/>
      <c r="D648" s="3"/>
      <c r="E648" s="4"/>
      <c r="F648" s="43"/>
      <c r="G648" s="4"/>
      <c r="H648" s="43"/>
      <c r="I648" s="4"/>
      <c r="J648" s="26"/>
      <c r="K648" s="27"/>
      <c r="L648" s="2"/>
      <c r="M648" s="24"/>
    </row>
    <row r="649" spans="1:13" ht="99.9" customHeight="1" thickTop="1" thickBot="1">
      <c r="A649" s="31">
        <v>647</v>
      </c>
      <c r="B649" s="2"/>
      <c r="C649" s="3"/>
      <c r="D649" s="3"/>
      <c r="E649" s="4"/>
      <c r="F649" s="43"/>
      <c r="G649" s="4"/>
      <c r="H649" s="43"/>
      <c r="I649" s="4"/>
      <c r="J649" s="26"/>
      <c r="K649" s="27"/>
      <c r="L649" s="2"/>
      <c r="M649" s="24"/>
    </row>
    <row r="650" spans="1:13" ht="99.9" customHeight="1" thickTop="1" thickBot="1">
      <c r="A650" s="4">
        <v>648</v>
      </c>
      <c r="B650" s="2"/>
      <c r="C650" s="3"/>
      <c r="D650" s="3"/>
      <c r="E650" s="4"/>
      <c r="F650" s="43"/>
      <c r="G650" s="4"/>
      <c r="H650" s="43"/>
      <c r="I650" s="4"/>
      <c r="J650" s="26"/>
      <c r="K650" s="27"/>
      <c r="L650" s="2"/>
      <c r="M650" s="24"/>
    </row>
    <row r="651" spans="1:13" ht="99.9" customHeight="1" thickTop="1" thickBot="1">
      <c r="A651" s="31">
        <v>649</v>
      </c>
      <c r="B651" s="2"/>
      <c r="C651" s="3"/>
      <c r="D651" s="3"/>
      <c r="E651" s="4"/>
      <c r="F651" s="43"/>
      <c r="G651" s="4"/>
      <c r="H651" s="43"/>
      <c r="I651" s="4"/>
      <c r="J651" s="26"/>
      <c r="K651" s="27"/>
      <c r="L651" s="2"/>
      <c r="M651" s="24"/>
    </row>
    <row r="652" spans="1:13" ht="99.9" customHeight="1" thickTop="1" thickBot="1">
      <c r="A652" s="4">
        <v>650</v>
      </c>
      <c r="B652" s="2"/>
      <c r="C652" s="3"/>
      <c r="D652" s="3"/>
      <c r="E652" s="4"/>
      <c r="F652" s="43"/>
      <c r="G652" s="4"/>
      <c r="H652" s="43"/>
      <c r="I652" s="4"/>
      <c r="J652" s="26"/>
      <c r="K652" s="27"/>
      <c r="L652" s="2"/>
      <c r="M652" s="24"/>
    </row>
    <row r="653" spans="1:13" ht="99.9" customHeight="1" thickTop="1" thickBot="1">
      <c r="A653" s="31">
        <v>651</v>
      </c>
      <c r="B653" s="2"/>
      <c r="C653" s="3"/>
      <c r="D653" s="3"/>
      <c r="E653" s="4"/>
      <c r="F653" s="43"/>
      <c r="G653" s="4"/>
      <c r="H653" s="43"/>
      <c r="I653" s="4"/>
      <c r="J653" s="26"/>
      <c r="K653" s="27"/>
      <c r="L653" s="2"/>
      <c r="M653" s="24"/>
    </row>
    <row r="654" spans="1:13" ht="99.9" customHeight="1" thickTop="1" thickBot="1">
      <c r="A654" s="4">
        <v>652</v>
      </c>
      <c r="B654" s="2"/>
      <c r="C654" s="3"/>
      <c r="D654" s="3"/>
      <c r="E654" s="4"/>
      <c r="F654" s="43"/>
      <c r="G654" s="4"/>
      <c r="H654" s="43"/>
      <c r="I654" s="4"/>
      <c r="J654" s="26"/>
      <c r="K654" s="27"/>
      <c r="L654" s="2"/>
      <c r="M654" s="24"/>
    </row>
    <row r="655" spans="1:13" ht="99.9" customHeight="1" thickTop="1" thickBot="1">
      <c r="A655" s="31">
        <v>653</v>
      </c>
      <c r="B655" s="2"/>
      <c r="C655" s="3"/>
      <c r="D655" s="3"/>
      <c r="E655" s="4"/>
      <c r="F655" s="43"/>
      <c r="G655" s="4"/>
      <c r="H655" s="43"/>
      <c r="I655" s="4"/>
      <c r="J655" s="26"/>
      <c r="K655" s="27"/>
      <c r="L655" s="2"/>
      <c r="M655" s="24"/>
    </row>
    <row r="656" spans="1:13" ht="99.9" customHeight="1" thickTop="1" thickBot="1">
      <c r="A656" s="4">
        <v>654</v>
      </c>
      <c r="B656" s="2"/>
      <c r="C656" s="3"/>
      <c r="D656" s="3"/>
      <c r="E656" s="4"/>
      <c r="F656" s="43"/>
      <c r="G656" s="4"/>
      <c r="H656" s="43"/>
      <c r="I656" s="4"/>
      <c r="J656" s="26"/>
      <c r="K656" s="27"/>
      <c r="L656" s="2"/>
      <c r="M656" s="24"/>
    </row>
    <row r="657" spans="1:13" ht="99.9" customHeight="1" thickTop="1" thickBot="1">
      <c r="A657" s="31">
        <v>655</v>
      </c>
      <c r="B657" s="2"/>
      <c r="C657" s="3"/>
      <c r="D657" s="3"/>
      <c r="E657" s="4"/>
      <c r="F657" s="43"/>
      <c r="G657" s="4"/>
      <c r="H657" s="43"/>
      <c r="I657" s="4"/>
      <c r="J657" s="26"/>
      <c r="K657" s="27"/>
      <c r="L657" s="2"/>
      <c r="M657" s="24"/>
    </row>
    <row r="658" spans="1:13" ht="99.9" customHeight="1" thickTop="1" thickBot="1">
      <c r="A658" s="4">
        <v>656</v>
      </c>
      <c r="B658" s="2"/>
      <c r="C658" s="3"/>
      <c r="D658" s="3"/>
      <c r="E658" s="4"/>
      <c r="F658" s="43"/>
      <c r="G658" s="4"/>
      <c r="H658" s="43"/>
      <c r="I658" s="4"/>
      <c r="J658" s="26"/>
      <c r="K658" s="27"/>
      <c r="L658" s="2"/>
      <c r="M658" s="24"/>
    </row>
    <row r="659" spans="1:13" ht="99.9" customHeight="1" thickTop="1" thickBot="1">
      <c r="A659" s="31">
        <v>657</v>
      </c>
      <c r="B659" s="2"/>
      <c r="C659" s="3"/>
      <c r="D659" s="3"/>
      <c r="E659" s="4"/>
      <c r="F659" s="43"/>
      <c r="G659" s="4"/>
      <c r="H659" s="43"/>
      <c r="I659" s="4"/>
      <c r="J659" s="26"/>
      <c r="K659" s="27"/>
      <c r="L659" s="2"/>
      <c r="M659" s="24"/>
    </row>
    <row r="660" spans="1:13" ht="99.9" customHeight="1" thickTop="1" thickBot="1">
      <c r="A660" s="4">
        <v>658</v>
      </c>
      <c r="B660" s="2"/>
      <c r="C660" s="3"/>
      <c r="D660" s="3"/>
      <c r="E660" s="4"/>
      <c r="F660" s="43"/>
      <c r="G660" s="4"/>
      <c r="H660" s="43"/>
      <c r="I660" s="4"/>
      <c r="J660" s="26"/>
      <c r="K660" s="27"/>
      <c r="L660" s="2"/>
      <c r="M660" s="24"/>
    </row>
    <row r="661" spans="1:13" ht="99.9" customHeight="1" thickTop="1" thickBot="1">
      <c r="A661" s="31">
        <v>659</v>
      </c>
      <c r="B661" s="2"/>
      <c r="C661" s="3"/>
      <c r="D661" s="3"/>
      <c r="E661" s="4"/>
      <c r="F661" s="43"/>
      <c r="G661" s="4"/>
      <c r="H661" s="43"/>
      <c r="I661" s="4"/>
      <c r="J661" s="26"/>
      <c r="K661" s="27"/>
      <c r="L661" s="2"/>
      <c r="M661" s="24"/>
    </row>
    <row r="662" spans="1:13" ht="99.9" customHeight="1" thickTop="1" thickBot="1">
      <c r="A662" s="4">
        <v>660</v>
      </c>
      <c r="B662" s="2"/>
      <c r="C662" s="3"/>
      <c r="D662" s="3"/>
      <c r="E662" s="4"/>
      <c r="F662" s="43"/>
      <c r="G662" s="4"/>
      <c r="H662" s="43"/>
      <c r="I662" s="4"/>
      <c r="J662" s="26"/>
      <c r="K662" s="27"/>
      <c r="L662" s="2"/>
      <c r="M662" s="24"/>
    </row>
    <row r="663" spans="1:13" ht="99.9" customHeight="1" thickTop="1" thickBot="1">
      <c r="A663" s="31">
        <v>661</v>
      </c>
      <c r="B663" s="2"/>
      <c r="C663" s="3"/>
      <c r="D663" s="3"/>
      <c r="E663" s="4"/>
      <c r="F663" s="43"/>
      <c r="G663" s="4"/>
      <c r="H663" s="43"/>
      <c r="I663" s="4"/>
      <c r="J663" s="26"/>
      <c r="K663" s="27"/>
      <c r="L663" s="2"/>
      <c r="M663" s="24"/>
    </row>
    <row r="664" spans="1:13" ht="99.9" customHeight="1" thickTop="1" thickBot="1">
      <c r="A664" s="4">
        <v>662</v>
      </c>
      <c r="B664" s="2"/>
      <c r="C664" s="3"/>
      <c r="D664" s="3"/>
      <c r="E664" s="4"/>
      <c r="F664" s="43"/>
      <c r="G664" s="4"/>
      <c r="H664" s="43"/>
      <c r="I664" s="4"/>
      <c r="J664" s="26"/>
      <c r="K664" s="27"/>
      <c r="L664" s="2"/>
      <c r="M664" s="24"/>
    </row>
    <row r="665" spans="1:13" ht="99.9" customHeight="1" thickTop="1" thickBot="1">
      <c r="A665" s="31">
        <v>663</v>
      </c>
      <c r="B665" s="2"/>
      <c r="C665" s="3"/>
      <c r="D665" s="3"/>
      <c r="E665" s="4"/>
      <c r="F665" s="43"/>
      <c r="G665" s="4"/>
      <c r="H665" s="43"/>
      <c r="I665" s="4"/>
      <c r="J665" s="26"/>
      <c r="K665" s="27"/>
      <c r="L665" s="2"/>
      <c r="M665" s="4"/>
    </row>
    <row r="666" spans="1:13" ht="99.9" customHeight="1" thickTop="1" thickBot="1">
      <c r="A666" s="4">
        <v>664</v>
      </c>
      <c r="B666" s="2"/>
      <c r="C666" s="3"/>
      <c r="D666" s="3"/>
      <c r="E666" s="4"/>
      <c r="F666" s="43"/>
      <c r="G666" s="4"/>
      <c r="H666" s="43"/>
      <c r="I666" s="4"/>
      <c r="J666" s="26"/>
      <c r="K666" s="27"/>
      <c r="L666" s="2"/>
      <c r="M666" s="4"/>
    </row>
    <row r="667" spans="1:13" ht="99.9" customHeight="1" thickTop="1" thickBot="1">
      <c r="A667" s="31">
        <v>665</v>
      </c>
      <c r="B667" s="2"/>
      <c r="C667" s="3"/>
      <c r="D667" s="3"/>
      <c r="E667" s="4"/>
      <c r="F667" s="43"/>
      <c r="G667" s="4"/>
      <c r="H667" s="43"/>
      <c r="I667" s="4"/>
      <c r="J667" s="26"/>
      <c r="K667" s="27"/>
      <c r="L667" s="2"/>
      <c r="M667" s="4"/>
    </row>
    <row r="668" spans="1:13" ht="99.9" customHeight="1" thickTop="1" thickBot="1">
      <c r="A668" s="4">
        <v>666</v>
      </c>
      <c r="B668" s="2"/>
      <c r="C668" s="3"/>
      <c r="D668" s="3"/>
      <c r="E668" s="4"/>
      <c r="F668" s="43"/>
      <c r="G668" s="4"/>
      <c r="H668" s="43"/>
      <c r="I668" s="4"/>
      <c r="J668" s="26"/>
      <c r="K668" s="27"/>
      <c r="L668" s="2"/>
      <c r="M668" s="4"/>
    </row>
    <row r="669" spans="1:13" ht="99.9" customHeight="1" thickTop="1" thickBot="1">
      <c r="A669" s="31">
        <v>667</v>
      </c>
      <c r="B669" s="2"/>
      <c r="C669" s="3"/>
      <c r="D669" s="3"/>
      <c r="E669" s="4"/>
      <c r="F669" s="43"/>
      <c r="G669" s="4"/>
      <c r="H669" s="43"/>
      <c r="I669" s="4"/>
      <c r="J669" s="26"/>
      <c r="K669" s="27"/>
      <c r="L669" s="2"/>
      <c r="M669" s="4"/>
    </row>
    <row r="670" spans="1:13" ht="99.9" customHeight="1" thickTop="1" thickBot="1">
      <c r="A670" s="4">
        <v>668</v>
      </c>
      <c r="B670" s="2"/>
      <c r="C670" s="3"/>
      <c r="D670" s="3"/>
      <c r="E670" s="4"/>
      <c r="F670" s="43"/>
      <c r="G670" s="4"/>
      <c r="H670" s="43"/>
      <c r="I670" s="4"/>
      <c r="J670" s="26"/>
      <c r="K670" s="27"/>
      <c r="L670" s="2"/>
      <c r="M670" s="4"/>
    </row>
    <row r="671" spans="1:13" ht="99.9" customHeight="1" thickTop="1" thickBot="1">
      <c r="A671" s="31">
        <v>669</v>
      </c>
      <c r="B671" s="2"/>
      <c r="C671" s="3"/>
      <c r="D671" s="3"/>
      <c r="E671" s="4"/>
      <c r="F671" s="43"/>
      <c r="G671" s="4"/>
      <c r="H671" s="43"/>
      <c r="I671" s="4"/>
      <c r="J671" s="26"/>
      <c r="K671" s="27"/>
      <c r="L671" s="2"/>
      <c r="M671" s="4"/>
    </row>
    <row r="672" spans="1:13" ht="99.9" customHeight="1" thickTop="1" thickBot="1">
      <c r="A672" s="4">
        <v>670</v>
      </c>
      <c r="B672" s="2"/>
      <c r="C672" s="3"/>
      <c r="D672" s="3"/>
      <c r="E672" s="4"/>
      <c r="F672" s="43"/>
      <c r="G672" s="4"/>
      <c r="H672" s="43"/>
      <c r="I672" s="4"/>
      <c r="J672" s="26"/>
      <c r="K672" s="27"/>
      <c r="L672" s="2"/>
      <c r="M672" s="4"/>
    </row>
    <row r="673" spans="1:13" ht="99.9" customHeight="1" thickTop="1" thickBot="1">
      <c r="A673" s="31">
        <v>671</v>
      </c>
      <c r="B673" s="2"/>
      <c r="C673" s="3"/>
      <c r="D673" s="3"/>
      <c r="E673" s="4"/>
      <c r="F673" s="43"/>
      <c r="G673" s="4"/>
      <c r="H673" s="43"/>
      <c r="I673" s="4"/>
      <c r="J673" s="26"/>
      <c r="K673" s="27"/>
      <c r="L673" s="2"/>
      <c r="M673" s="4"/>
    </row>
    <row r="674" spans="1:13" ht="99.9" customHeight="1" thickTop="1" thickBot="1">
      <c r="A674" s="4">
        <v>672</v>
      </c>
      <c r="B674" s="2"/>
      <c r="C674" s="3"/>
      <c r="D674" s="3"/>
      <c r="E674" s="4"/>
      <c r="F674" s="43"/>
      <c r="G674" s="4"/>
      <c r="H674" s="43"/>
      <c r="I674" s="4"/>
      <c r="J674" s="26"/>
      <c r="K674" s="27"/>
      <c r="L674" s="2"/>
      <c r="M674" s="4"/>
    </row>
    <row r="675" spans="1:13" ht="99.9" customHeight="1" thickTop="1" thickBot="1">
      <c r="A675" s="31">
        <v>673</v>
      </c>
      <c r="B675" s="2"/>
      <c r="C675" s="3"/>
      <c r="D675" s="3"/>
      <c r="E675" s="4"/>
      <c r="F675" s="43"/>
      <c r="G675" s="4"/>
      <c r="H675" s="43"/>
      <c r="I675" s="4"/>
      <c r="J675" s="26"/>
      <c r="K675" s="27"/>
      <c r="L675" s="2"/>
      <c r="M675" s="4"/>
    </row>
    <row r="676" spans="1:13" ht="99.9" customHeight="1" thickTop="1" thickBot="1">
      <c r="A676" s="4">
        <v>674</v>
      </c>
      <c r="B676" s="2"/>
      <c r="C676" s="3"/>
      <c r="D676" s="3"/>
      <c r="E676" s="4"/>
      <c r="F676" s="43"/>
      <c r="G676" s="4"/>
      <c r="H676" s="43"/>
      <c r="I676" s="4"/>
      <c r="J676" s="26"/>
      <c r="K676" s="27"/>
      <c r="L676" s="2"/>
      <c r="M676" s="4"/>
    </row>
    <row r="677" spans="1:13" ht="99.9" customHeight="1" thickTop="1" thickBot="1">
      <c r="A677" s="31">
        <v>675</v>
      </c>
      <c r="B677" s="2"/>
      <c r="C677" s="3"/>
      <c r="D677" s="3"/>
      <c r="E677" s="4"/>
      <c r="F677" s="43"/>
      <c r="G677" s="4"/>
      <c r="H677" s="43"/>
      <c r="I677" s="4"/>
      <c r="J677" s="26"/>
      <c r="K677" s="27"/>
      <c r="L677" s="2"/>
      <c r="M677" s="4"/>
    </row>
    <row r="678" spans="1:13" ht="99.9" customHeight="1" thickTop="1" thickBot="1">
      <c r="A678" s="4">
        <v>676</v>
      </c>
      <c r="B678" s="2"/>
      <c r="C678" s="3"/>
      <c r="D678" s="3"/>
      <c r="E678" s="4"/>
      <c r="F678" s="43"/>
      <c r="G678" s="4"/>
      <c r="H678" s="43"/>
      <c r="I678" s="4"/>
      <c r="J678" s="26"/>
      <c r="K678" s="27"/>
      <c r="L678" s="2"/>
      <c r="M678" s="4"/>
    </row>
    <row r="679" spans="1:13" ht="99.9" customHeight="1" thickTop="1" thickBot="1">
      <c r="A679" s="31">
        <v>677</v>
      </c>
      <c r="B679" s="2"/>
      <c r="C679" s="3"/>
      <c r="D679" s="3"/>
      <c r="E679" s="4"/>
      <c r="F679" s="43"/>
      <c r="G679" s="4"/>
      <c r="H679" s="43"/>
      <c r="I679" s="4"/>
      <c r="J679" s="26"/>
      <c r="K679" s="27"/>
      <c r="L679" s="2"/>
      <c r="M679" s="4"/>
    </row>
    <row r="680" spans="1:13" ht="99.9" customHeight="1" thickTop="1" thickBot="1">
      <c r="A680" s="4">
        <v>678</v>
      </c>
      <c r="B680" s="2"/>
      <c r="C680" s="3"/>
      <c r="D680" s="3"/>
      <c r="E680" s="4"/>
      <c r="F680" s="43"/>
      <c r="G680" s="4"/>
      <c r="H680" s="43"/>
      <c r="I680" s="4"/>
      <c r="J680" s="26"/>
      <c r="K680" s="27"/>
      <c r="L680" s="2"/>
      <c r="M680" s="4"/>
    </row>
    <row r="681" spans="1:13" ht="99.9" customHeight="1" thickTop="1" thickBot="1">
      <c r="A681" s="31">
        <v>679</v>
      </c>
      <c r="B681" s="2"/>
      <c r="C681" s="3"/>
      <c r="D681" s="3"/>
      <c r="E681" s="4"/>
      <c r="F681" s="43"/>
      <c r="G681" s="4"/>
      <c r="H681" s="43"/>
      <c r="I681" s="4"/>
      <c r="J681" s="26"/>
      <c r="K681" s="27"/>
      <c r="L681" s="2"/>
      <c r="M681" s="4"/>
    </row>
    <row r="682" spans="1:13" ht="99.9" customHeight="1" thickTop="1" thickBot="1">
      <c r="A682" s="4">
        <v>680</v>
      </c>
      <c r="B682" s="2"/>
      <c r="C682" s="3"/>
      <c r="D682" s="3"/>
      <c r="E682" s="4"/>
      <c r="F682" s="43"/>
      <c r="G682" s="4"/>
      <c r="H682" s="43"/>
      <c r="I682" s="4"/>
      <c r="J682" s="26"/>
      <c r="K682" s="27"/>
      <c r="L682" s="2"/>
      <c r="M682" s="4"/>
    </row>
    <row r="683" spans="1:13" ht="99.9" customHeight="1" thickTop="1" thickBot="1">
      <c r="A683" s="31">
        <v>681</v>
      </c>
      <c r="B683" s="2"/>
      <c r="C683" s="3"/>
      <c r="D683" s="3"/>
      <c r="E683" s="4"/>
      <c r="F683" s="43"/>
      <c r="G683" s="4"/>
      <c r="H683" s="43"/>
      <c r="I683" s="4"/>
      <c r="J683" s="26"/>
      <c r="K683" s="27"/>
      <c r="L683" s="2"/>
      <c r="M683" s="4"/>
    </row>
    <row r="684" spans="1:13" ht="99.9" customHeight="1" thickTop="1" thickBot="1">
      <c r="A684" s="4">
        <v>682</v>
      </c>
      <c r="B684" s="2"/>
      <c r="C684" s="3"/>
      <c r="D684" s="3"/>
      <c r="E684" s="4"/>
      <c r="F684" s="43"/>
      <c r="G684" s="4"/>
      <c r="H684" s="43"/>
      <c r="I684" s="4"/>
      <c r="J684" s="26"/>
      <c r="K684" s="27"/>
      <c r="L684" s="2"/>
      <c r="M684" s="4"/>
    </row>
    <row r="685" spans="1:13" ht="99.9" customHeight="1" thickTop="1" thickBot="1">
      <c r="A685" s="31">
        <v>683</v>
      </c>
      <c r="B685" s="2"/>
      <c r="C685" s="3"/>
      <c r="D685" s="3"/>
      <c r="E685" s="4"/>
      <c r="F685" s="43"/>
      <c r="G685" s="4"/>
      <c r="H685" s="43"/>
      <c r="I685" s="4"/>
      <c r="J685" s="26"/>
      <c r="K685" s="27"/>
      <c r="L685" s="2"/>
      <c r="M685" s="4"/>
    </row>
    <row r="686" spans="1:13" ht="99.9" customHeight="1" thickTop="1" thickBot="1">
      <c r="A686" s="4">
        <v>684</v>
      </c>
      <c r="B686" s="2"/>
      <c r="C686" s="3"/>
      <c r="D686" s="3"/>
      <c r="E686" s="4"/>
      <c r="F686" s="43"/>
      <c r="G686" s="4"/>
      <c r="H686" s="43"/>
      <c r="I686" s="4"/>
      <c r="J686" s="26"/>
      <c r="K686" s="27"/>
      <c r="L686" s="2"/>
      <c r="M686" s="4"/>
    </row>
    <row r="687" spans="1:13" ht="99.9" customHeight="1" thickTop="1" thickBot="1">
      <c r="A687" s="31">
        <v>685</v>
      </c>
      <c r="B687" s="2"/>
      <c r="C687" s="3"/>
      <c r="D687" s="3"/>
      <c r="E687" s="4"/>
      <c r="F687" s="43"/>
      <c r="G687" s="4"/>
      <c r="H687" s="43"/>
      <c r="I687" s="4"/>
      <c r="J687" s="26"/>
      <c r="K687" s="27"/>
      <c r="L687" s="2"/>
      <c r="M687" s="4"/>
    </row>
    <row r="688" spans="1:13" ht="99.9" customHeight="1" thickTop="1" thickBot="1">
      <c r="A688" s="4">
        <v>686</v>
      </c>
      <c r="B688" s="2"/>
      <c r="C688" s="3"/>
      <c r="D688" s="3"/>
      <c r="E688" s="4"/>
      <c r="F688" s="43"/>
      <c r="G688" s="4"/>
      <c r="H688" s="43"/>
      <c r="I688" s="4"/>
      <c r="J688" s="26"/>
      <c r="K688" s="27"/>
      <c r="L688" s="2"/>
      <c r="M688" s="4"/>
    </row>
    <row r="689" spans="1:13" ht="99.9" customHeight="1" thickTop="1" thickBot="1">
      <c r="A689" s="31">
        <v>687</v>
      </c>
      <c r="B689" s="2"/>
      <c r="C689" s="3"/>
      <c r="D689" s="3"/>
      <c r="E689" s="4"/>
      <c r="F689" s="43"/>
      <c r="G689" s="4"/>
      <c r="H689" s="43"/>
      <c r="I689" s="4"/>
      <c r="J689" s="26"/>
      <c r="K689" s="27"/>
      <c r="L689" s="2"/>
      <c r="M689" s="4"/>
    </row>
    <row r="690" spans="1:13" ht="99.9" customHeight="1" thickTop="1" thickBot="1">
      <c r="A690" s="4">
        <v>688</v>
      </c>
      <c r="B690" s="2"/>
      <c r="C690" s="3"/>
      <c r="D690" s="3"/>
      <c r="E690" s="4"/>
      <c r="F690" s="43"/>
      <c r="G690" s="4"/>
      <c r="H690" s="43"/>
      <c r="I690" s="4"/>
      <c r="J690" s="26"/>
      <c r="K690" s="27"/>
      <c r="L690" s="2"/>
      <c r="M690" s="4"/>
    </row>
    <row r="691" spans="1:13" ht="99.9" customHeight="1" thickTop="1" thickBot="1">
      <c r="A691" s="31">
        <v>689</v>
      </c>
      <c r="B691" s="2"/>
      <c r="C691" s="3"/>
      <c r="D691" s="3"/>
      <c r="E691" s="4"/>
      <c r="F691" s="43"/>
      <c r="G691" s="4"/>
      <c r="H691" s="43"/>
      <c r="I691" s="4"/>
      <c r="J691" s="26"/>
      <c r="K691" s="27"/>
      <c r="L691" s="2"/>
      <c r="M691" s="4"/>
    </row>
    <row r="692" spans="1:13" ht="99.9" customHeight="1" thickTop="1" thickBot="1">
      <c r="A692" s="4">
        <v>690</v>
      </c>
      <c r="B692" s="2"/>
      <c r="C692" s="3"/>
      <c r="D692" s="3"/>
      <c r="E692" s="4"/>
      <c r="F692" s="43"/>
      <c r="G692" s="4"/>
      <c r="H692" s="43"/>
      <c r="I692" s="4"/>
      <c r="J692" s="26"/>
      <c r="K692" s="27"/>
      <c r="L692" s="2"/>
      <c r="M692" s="4"/>
    </row>
    <row r="693" spans="1:13" ht="99.9" customHeight="1" thickTop="1" thickBot="1">
      <c r="A693" s="31">
        <v>691</v>
      </c>
      <c r="B693" s="2"/>
      <c r="C693" s="3"/>
      <c r="D693" s="3"/>
      <c r="E693" s="4"/>
      <c r="F693" s="43"/>
      <c r="G693" s="4"/>
      <c r="H693" s="43"/>
      <c r="I693" s="4"/>
      <c r="J693" s="26"/>
      <c r="K693" s="27"/>
      <c r="L693" s="2"/>
      <c r="M693" s="4"/>
    </row>
    <row r="694" spans="1:13" ht="99.9" customHeight="1" thickTop="1" thickBot="1">
      <c r="A694" s="4">
        <v>692</v>
      </c>
      <c r="B694" s="2"/>
      <c r="C694" s="3"/>
      <c r="D694" s="3"/>
      <c r="E694" s="4"/>
      <c r="F694" s="43"/>
      <c r="G694" s="4"/>
      <c r="H694" s="43"/>
      <c r="I694" s="4"/>
      <c r="J694" s="26"/>
      <c r="K694" s="27"/>
      <c r="L694" s="2"/>
      <c r="M694" s="4"/>
    </row>
    <row r="695" spans="1:13" ht="99.9" customHeight="1" thickTop="1" thickBot="1">
      <c r="A695" s="31">
        <v>693</v>
      </c>
      <c r="B695" s="2"/>
      <c r="C695" s="3"/>
      <c r="D695" s="3"/>
      <c r="E695" s="4"/>
      <c r="F695" s="43"/>
      <c r="G695" s="4"/>
      <c r="H695" s="43"/>
      <c r="I695" s="4"/>
      <c r="J695" s="26"/>
      <c r="K695" s="27"/>
      <c r="L695" s="2"/>
      <c r="M695" s="4"/>
    </row>
    <row r="696" spans="1:13" ht="99.9" customHeight="1" thickTop="1" thickBot="1">
      <c r="A696" s="4">
        <v>694</v>
      </c>
      <c r="B696" s="2"/>
      <c r="C696" s="3"/>
      <c r="D696" s="3"/>
      <c r="E696" s="4"/>
      <c r="F696" s="43"/>
      <c r="G696" s="4"/>
      <c r="H696" s="43"/>
      <c r="I696" s="4"/>
      <c r="J696" s="26"/>
      <c r="K696" s="27"/>
      <c r="L696" s="2"/>
      <c r="M696" s="4"/>
    </row>
    <row r="697" spans="1:13" ht="99.9" customHeight="1" thickTop="1" thickBot="1">
      <c r="A697" s="31">
        <v>695</v>
      </c>
      <c r="B697" s="2"/>
      <c r="C697" s="3"/>
      <c r="D697" s="3"/>
      <c r="E697" s="4"/>
      <c r="F697" s="43"/>
      <c r="G697" s="4"/>
      <c r="H697" s="43"/>
      <c r="I697" s="4"/>
      <c r="J697" s="26"/>
      <c r="K697" s="27"/>
      <c r="L697" s="2"/>
      <c r="M697" s="4"/>
    </row>
    <row r="698" spans="1:13" ht="99.9" customHeight="1" thickTop="1" thickBot="1">
      <c r="A698" s="4">
        <v>696</v>
      </c>
      <c r="B698" s="2"/>
      <c r="C698" s="3"/>
      <c r="D698" s="3"/>
      <c r="E698" s="4"/>
      <c r="F698" s="43"/>
      <c r="G698" s="4"/>
      <c r="H698" s="43"/>
      <c r="I698" s="4"/>
      <c r="J698" s="26"/>
      <c r="K698" s="27"/>
      <c r="L698" s="2"/>
      <c r="M698" s="4"/>
    </row>
    <row r="699" spans="1:13" ht="99.9" customHeight="1" thickTop="1" thickBot="1">
      <c r="A699" s="31">
        <v>697</v>
      </c>
      <c r="B699" s="2"/>
      <c r="C699" s="3"/>
      <c r="D699" s="3"/>
      <c r="E699" s="4"/>
      <c r="F699" s="43"/>
      <c r="G699" s="4"/>
      <c r="H699" s="43"/>
      <c r="I699" s="4"/>
      <c r="J699" s="26"/>
      <c r="K699" s="27"/>
      <c r="L699" s="2"/>
      <c r="M699" s="4"/>
    </row>
    <row r="700" spans="1:13" ht="99.9" customHeight="1" thickTop="1" thickBot="1">
      <c r="A700" s="4">
        <v>698</v>
      </c>
      <c r="B700" s="2"/>
      <c r="C700" s="3"/>
      <c r="D700" s="3"/>
      <c r="E700" s="4"/>
      <c r="F700" s="43"/>
      <c r="G700" s="4"/>
      <c r="H700" s="43"/>
      <c r="I700" s="4"/>
      <c r="J700" s="26"/>
      <c r="K700" s="27"/>
      <c r="L700" s="2"/>
      <c r="M700" s="4"/>
    </row>
    <row r="701" spans="1:13" ht="99.9" customHeight="1" thickTop="1" thickBot="1">
      <c r="A701" s="31">
        <v>699</v>
      </c>
      <c r="B701" s="2"/>
      <c r="C701" s="3"/>
      <c r="D701" s="3"/>
      <c r="E701" s="4"/>
      <c r="F701" s="43"/>
      <c r="G701" s="4"/>
      <c r="H701" s="43"/>
      <c r="I701" s="4"/>
      <c r="J701" s="26"/>
      <c r="K701" s="27"/>
      <c r="L701" s="2"/>
      <c r="M701" s="4"/>
    </row>
    <row r="702" spans="1:13" ht="99.9" customHeight="1" thickTop="1" thickBot="1">
      <c r="A702" s="4">
        <v>700</v>
      </c>
      <c r="B702" s="2"/>
      <c r="C702" s="3"/>
      <c r="D702" s="3"/>
      <c r="E702" s="4"/>
      <c r="F702" s="43"/>
      <c r="G702" s="4"/>
      <c r="H702" s="43"/>
      <c r="I702" s="4"/>
      <c r="J702" s="26"/>
      <c r="K702" s="27"/>
      <c r="L702" s="2"/>
      <c r="M702" s="4"/>
    </row>
    <row r="703" spans="1:13" ht="99.9" customHeight="1" thickTop="1" thickBot="1">
      <c r="A703" s="31">
        <v>701</v>
      </c>
      <c r="B703" s="2"/>
      <c r="C703" s="3"/>
      <c r="D703" s="3"/>
      <c r="E703" s="4"/>
      <c r="F703" s="43"/>
      <c r="G703" s="4"/>
      <c r="H703" s="43"/>
      <c r="I703" s="4"/>
      <c r="J703" s="26"/>
      <c r="K703" s="27"/>
      <c r="L703" s="2"/>
      <c r="M703" s="4"/>
    </row>
    <row r="704" spans="1:13" ht="99.9" customHeight="1" thickTop="1" thickBot="1">
      <c r="A704" s="4">
        <v>702</v>
      </c>
      <c r="B704" s="2"/>
      <c r="C704" s="3"/>
      <c r="D704" s="3"/>
      <c r="E704" s="4"/>
      <c r="F704" s="43"/>
      <c r="G704" s="4"/>
      <c r="H704" s="43"/>
      <c r="I704" s="4"/>
      <c r="J704" s="26"/>
      <c r="K704" s="27"/>
      <c r="L704" s="2"/>
      <c r="M704" s="4"/>
    </row>
    <row r="705" spans="1:13" ht="99.9" customHeight="1" thickTop="1" thickBot="1">
      <c r="A705" s="31">
        <v>703</v>
      </c>
      <c r="B705" s="2"/>
      <c r="C705" s="3"/>
      <c r="D705" s="3"/>
      <c r="E705" s="4"/>
      <c r="F705" s="43"/>
      <c r="G705" s="4"/>
      <c r="H705" s="43"/>
      <c r="I705" s="4"/>
      <c r="J705" s="26"/>
      <c r="K705" s="27"/>
      <c r="L705" s="2"/>
      <c r="M705" s="4"/>
    </row>
    <row r="706" spans="1:13" ht="99.9" customHeight="1" thickTop="1" thickBot="1">
      <c r="A706" s="4">
        <v>704</v>
      </c>
      <c r="B706" s="2"/>
      <c r="C706" s="3"/>
      <c r="D706" s="3"/>
      <c r="E706" s="4"/>
      <c r="F706" s="43"/>
      <c r="G706" s="4"/>
      <c r="H706" s="43"/>
      <c r="I706" s="4"/>
      <c r="J706" s="26"/>
      <c r="K706" s="27"/>
      <c r="L706" s="2"/>
      <c r="M706" s="4"/>
    </row>
    <row r="707" spans="1:13" ht="99.9" customHeight="1" thickTop="1" thickBot="1">
      <c r="A707" s="31">
        <v>705</v>
      </c>
      <c r="B707" s="2"/>
      <c r="C707" s="3"/>
      <c r="D707" s="3"/>
      <c r="E707" s="4"/>
      <c r="F707" s="43"/>
      <c r="G707" s="4"/>
      <c r="H707" s="43"/>
      <c r="I707" s="4"/>
      <c r="J707" s="26"/>
      <c r="K707" s="27"/>
      <c r="L707" s="2"/>
      <c r="M707" s="4"/>
    </row>
    <row r="708" spans="1:13" ht="99.9" customHeight="1" thickTop="1" thickBot="1">
      <c r="A708" s="4">
        <v>706</v>
      </c>
      <c r="B708" s="2"/>
      <c r="C708" s="3"/>
      <c r="D708" s="3"/>
      <c r="E708" s="4"/>
      <c r="F708" s="43"/>
      <c r="G708" s="4"/>
      <c r="H708" s="43"/>
      <c r="I708" s="4"/>
      <c r="J708" s="26"/>
      <c r="K708" s="27"/>
      <c r="L708" s="2"/>
      <c r="M708" s="4"/>
    </row>
    <row r="709" spans="1:13" ht="99.9" customHeight="1" thickTop="1" thickBot="1">
      <c r="A709" s="31">
        <v>707</v>
      </c>
      <c r="B709" s="2"/>
      <c r="C709" s="3"/>
      <c r="D709" s="3"/>
      <c r="E709" s="4"/>
      <c r="F709" s="43"/>
      <c r="G709" s="4"/>
      <c r="H709" s="43"/>
      <c r="I709" s="4"/>
      <c r="J709" s="26"/>
      <c r="K709" s="27"/>
      <c r="L709" s="2"/>
      <c r="M709" s="4"/>
    </row>
    <row r="710" spans="1:13" ht="99.9" customHeight="1" thickTop="1" thickBot="1">
      <c r="A710" s="4">
        <v>708</v>
      </c>
      <c r="B710" s="2"/>
      <c r="C710" s="3"/>
      <c r="D710" s="3"/>
      <c r="E710" s="4"/>
      <c r="F710" s="43"/>
      <c r="G710" s="4"/>
      <c r="H710" s="43"/>
      <c r="I710" s="4"/>
      <c r="J710" s="26"/>
      <c r="K710" s="27"/>
      <c r="L710" s="2"/>
      <c r="M710" s="4"/>
    </row>
    <row r="711" spans="1:13" ht="99.9" customHeight="1" thickTop="1" thickBot="1">
      <c r="A711" s="31">
        <v>709</v>
      </c>
      <c r="B711" s="2"/>
      <c r="C711" s="3"/>
      <c r="D711" s="3"/>
      <c r="E711" s="4"/>
      <c r="F711" s="43"/>
      <c r="G711" s="4"/>
      <c r="H711" s="43"/>
      <c r="I711" s="4"/>
      <c r="J711" s="26"/>
      <c r="K711" s="27"/>
      <c r="L711" s="2"/>
      <c r="M711" s="4"/>
    </row>
    <row r="712" spans="1:13" ht="99.9" customHeight="1" thickTop="1" thickBot="1">
      <c r="A712" s="4">
        <v>710</v>
      </c>
      <c r="B712" s="2"/>
      <c r="C712" s="3"/>
      <c r="D712" s="3"/>
      <c r="E712" s="4"/>
      <c r="F712" s="43"/>
      <c r="G712" s="4"/>
      <c r="H712" s="43"/>
      <c r="I712" s="4"/>
      <c r="J712" s="26"/>
      <c r="K712" s="27"/>
      <c r="L712" s="2"/>
      <c r="M712" s="4"/>
    </row>
    <row r="713" spans="1:13" ht="99.9" customHeight="1" thickTop="1" thickBot="1">
      <c r="A713" s="31">
        <v>711</v>
      </c>
      <c r="B713" s="2"/>
      <c r="C713" s="3"/>
      <c r="D713" s="3"/>
      <c r="E713" s="4"/>
      <c r="F713" s="43"/>
      <c r="G713" s="4"/>
      <c r="H713" s="43"/>
      <c r="I713" s="4"/>
      <c r="J713" s="26"/>
      <c r="K713" s="27"/>
      <c r="L713" s="2"/>
      <c r="M713" s="4"/>
    </row>
    <row r="714" spans="1:13" ht="99.9" customHeight="1" thickTop="1" thickBot="1">
      <c r="A714" s="4">
        <v>712</v>
      </c>
      <c r="B714" s="2"/>
      <c r="C714" s="3"/>
      <c r="D714" s="3"/>
      <c r="E714" s="4"/>
      <c r="F714" s="43"/>
      <c r="G714" s="4"/>
      <c r="H714" s="43"/>
      <c r="I714" s="4"/>
      <c r="J714" s="26"/>
      <c r="K714" s="27"/>
      <c r="L714" s="2"/>
      <c r="M714" s="4"/>
    </row>
    <row r="715" spans="1:13" ht="99.9" customHeight="1" thickTop="1" thickBot="1">
      <c r="A715" s="31">
        <v>713</v>
      </c>
      <c r="B715" s="2"/>
      <c r="C715" s="3"/>
      <c r="D715" s="3"/>
      <c r="E715" s="4"/>
      <c r="F715" s="43"/>
      <c r="G715" s="4"/>
      <c r="H715" s="43"/>
      <c r="I715" s="4"/>
      <c r="J715" s="26"/>
      <c r="K715" s="27"/>
      <c r="L715" s="2"/>
      <c r="M715" s="4"/>
    </row>
    <row r="716" spans="1:13" ht="99.9" customHeight="1" thickTop="1" thickBot="1">
      <c r="A716" s="4">
        <v>714</v>
      </c>
      <c r="B716" s="2"/>
      <c r="C716" s="3"/>
      <c r="D716" s="3"/>
      <c r="E716" s="4"/>
      <c r="F716" s="43"/>
      <c r="G716" s="4"/>
      <c r="H716" s="43"/>
      <c r="I716" s="4"/>
      <c r="J716" s="26"/>
      <c r="K716" s="27"/>
      <c r="L716" s="2"/>
      <c r="M716" s="4"/>
    </row>
    <row r="717" spans="1:13" ht="99.9" customHeight="1" thickTop="1" thickBot="1">
      <c r="A717" s="31">
        <v>715</v>
      </c>
      <c r="B717" s="2"/>
      <c r="C717" s="3"/>
      <c r="D717" s="3"/>
      <c r="E717" s="4"/>
      <c r="F717" s="43"/>
      <c r="G717" s="4"/>
      <c r="H717" s="43"/>
      <c r="I717" s="4"/>
      <c r="J717" s="26"/>
      <c r="K717" s="27"/>
      <c r="L717" s="2"/>
      <c r="M717" s="4"/>
    </row>
    <row r="718" spans="1:13" ht="99.9" customHeight="1" thickTop="1" thickBot="1">
      <c r="A718" s="4">
        <v>716</v>
      </c>
      <c r="B718" s="2"/>
      <c r="C718" s="3"/>
      <c r="D718" s="3"/>
      <c r="E718" s="4"/>
      <c r="F718" s="43"/>
      <c r="G718" s="4"/>
      <c r="H718" s="43"/>
      <c r="I718" s="4"/>
      <c r="J718" s="26"/>
      <c r="K718" s="27"/>
      <c r="L718" s="2"/>
      <c r="M718" s="4"/>
    </row>
    <row r="719" spans="1:13" ht="99.9" customHeight="1" thickTop="1" thickBot="1">
      <c r="A719" s="31">
        <v>717</v>
      </c>
      <c r="B719" s="2"/>
      <c r="C719" s="3"/>
      <c r="D719" s="3"/>
      <c r="E719" s="4"/>
      <c r="F719" s="43"/>
      <c r="G719" s="4"/>
      <c r="H719" s="43"/>
      <c r="I719" s="4"/>
      <c r="J719" s="26"/>
      <c r="K719" s="27"/>
      <c r="L719" s="2"/>
      <c r="M719" s="4"/>
    </row>
    <row r="720" spans="1:13" ht="99.9" customHeight="1" thickTop="1" thickBot="1">
      <c r="A720" s="4">
        <v>718</v>
      </c>
      <c r="B720" s="2"/>
      <c r="C720" s="3"/>
      <c r="D720" s="3"/>
      <c r="E720" s="4"/>
      <c r="F720" s="43"/>
      <c r="G720" s="4"/>
      <c r="H720" s="43"/>
      <c r="I720" s="4"/>
      <c r="J720" s="26"/>
      <c r="K720" s="27"/>
      <c r="L720" s="2"/>
      <c r="M720" s="4"/>
    </row>
    <row r="721" spans="1:13" ht="99.9" customHeight="1" thickTop="1" thickBot="1">
      <c r="A721" s="31">
        <v>719</v>
      </c>
      <c r="B721" s="2"/>
      <c r="C721" s="3"/>
      <c r="D721" s="3"/>
      <c r="E721" s="4"/>
      <c r="F721" s="43"/>
      <c r="G721" s="4"/>
      <c r="H721" s="43"/>
      <c r="I721" s="4"/>
      <c r="J721" s="26"/>
      <c r="K721" s="27"/>
      <c r="L721" s="2"/>
      <c r="M721" s="4"/>
    </row>
    <row r="722" spans="1:13" ht="99.9" customHeight="1" thickTop="1" thickBot="1">
      <c r="A722" s="4">
        <v>720</v>
      </c>
      <c r="B722" s="2"/>
      <c r="C722" s="3"/>
      <c r="D722" s="3"/>
      <c r="E722" s="4"/>
      <c r="F722" s="43"/>
      <c r="G722" s="4"/>
      <c r="H722" s="43"/>
      <c r="I722" s="4"/>
      <c r="J722" s="26"/>
      <c r="K722" s="27"/>
      <c r="L722" s="2"/>
      <c r="M722" s="4"/>
    </row>
    <row r="723" spans="1:13" ht="99.9" customHeight="1" thickTop="1" thickBot="1">
      <c r="A723" s="31">
        <v>721</v>
      </c>
      <c r="B723" s="2"/>
      <c r="C723" s="3"/>
      <c r="D723" s="3"/>
      <c r="E723" s="4"/>
      <c r="F723" s="43"/>
      <c r="G723" s="4"/>
      <c r="H723" s="43"/>
      <c r="I723" s="4"/>
      <c r="J723" s="26"/>
      <c r="K723" s="27"/>
      <c r="L723" s="2"/>
      <c r="M723" s="4"/>
    </row>
    <row r="724" spans="1:13" ht="99.9" customHeight="1" thickTop="1" thickBot="1">
      <c r="A724" s="4">
        <v>722</v>
      </c>
      <c r="B724" s="2"/>
      <c r="C724" s="3"/>
      <c r="D724" s="3"/>
      <c r="E724" s="4"/>
      <c r="F724" s="43"/>
      <c r="G724" s="4"/>
      <c r="H724" s="43"/>
      <c r="I724" s="4"/>
      <c r="J724" s="26"/>
      <c r="K724" s="27"/>
      <c r="L724" s="2"/>
      <c r="M724" s="4"/>
    </row>
    <row r="725" spans="1:13" ht="99.9" customHeight="1" thickTop="1" thickBot="1">
      <c r="A725" s="31">
        <v>723</v>
      </c>
      <c r="B725" s="2"/>
      <c r="C725" s="3"/>
      <c r="D725" s="3"/>
      <c r="E725" s="4"/>
      <c r="F725" s="43"/>
      <c r="G725" s="4"/>
      <c r="H725" s="43"/>
      <c r="I725" s="4"/>
      <c r="J725" s="26"/>
      <c r="K725" s="27"/>
      <c r="L725" s="2"/>
      <c r="M725" s="4"/>
    </row>
    <row r="726" spans="1:13" ht="99.9" customHeight="1" thickTop="1" thickBot="1">
      <c r="A726" s="4">
        <v>724</v>
      </c>
      <c r="B726" s="2"/>
      <c r="C726" s="3"/>
      <c r="D726" s="3"/>
      <c r="E726" s="4"/>
      <c r="F726" s="43"/>
      <c r="G726" s="4"/>
      <c r="H726" s="43"/>
      <c r="I726" s="4"/>
      <c r="J726" s="26"/>
      <c r="K726" s="27"/>
      <c r="L726" s="2"/>
      <c r="M726" s="4"/>
    </row>
    <row r="727" spans="1:13" ht="99.9" customHeight="1" thickTop="1" thickBot="1">
      <c r="A727" s="31">
        <v>725</v>
      </c>
      <c r="B727" s="2"/>
      <c r="C727" s="3"/>
      <c r="D727" s="3"/>
      <c r="E727" s="4"/>
      <c r="F727" s="43"/>
      <c r="G727" s="4"/>
      <c r="H727" s="43"/>
      <c r="I727" s="4"/>
      <c r="J727" s="26"/>
      <c r="K727" s="27"/>
      <c r="L727" s="2"/>
      <c r="M727" s="4"/>
    </row>
    <row r="728" spans="1:13" ht="99.9" customHeight="1" thickTop="1" thickBot="1">
      <c r="A728" s="4">
        <v>726</v>
      </c>
      <c r="B728" s="2"/>
      <c r="C728" s="3"/>
      <c r="D728" s="3"/>
      <c r="E728" s="4"/>
      <c r="F728" s="43"/>
      <c r="G728" s="4"/>
      <c r="H728" s="43"/>
      <c r="I728" s="4"/>
      <c r="J728" s="26"/>
      <c r="K728" s="27"/>
      <c r="L728" s="2"/>
      <c r="M728" s="4"/>
    </row>
    <row r="729" spans="1:13" ht="99.9" customHeight="1" thickTop="1" thickBot="1">
      <c r="A729" s="31">
        <v>727</v>
      </c>
      <c r="B729" s="2"/>
      <c r="C729" s="3"/>
      <c r="D729" s="3"/>
      <c r="E729" s="4"/>
      <c r="F729" s="43"/>
      <c r="G729" s="4"/>
      <c r="H729" s="43"/>
      <c r="I729" s="4"/>
      <c r="J729" s="26"/>
      <c r="K729" s="27"/>
      <c r="L729" s="2"/>
      <c r="M729" s="4"/>
    </row>
    <row r="730" spans="1:13" ht="99.9" customHeight="1" thickTop="1" thickBot="1">
      <c r="A730" s="4">
        <v>728</v>
      </c>
      <c r="B730" s="2"/>
      <c r="C730" s="3"/>
      <c r="D730" s="3"/>
      <c r="E730" s="4"/>
      <c r="F730" s="43"/>
      <c r="G730" s="4"/>
      <c r="H730" s="43"/>
      <c r="I730" s="4"/>
      <c r="J730" s="26"/>
      <c r="K730" s="27"/>
      <c r="L730" s="2"/>
      <c r="M730" s="4"/>
    </row>
    <row r="731" spans="1:13" ht="99.9" customHeight="1" thickTop="1" thickBot="1">
      <c r="A731" s="31">
        <v>729</v>
      </c>
      <c r="B731" s="2"/>
      <c r="C731" s="3"/>
      <c r="D731" s="3"/>
      <c r="E731" s="4"/>
      <c r="F731" s="43"/>
      <c r="G731" s="4"/>
      <c r="H731" s="43"/>
      <c r="I731" s="4"/>
      <c r="J731" s="26"/>
      <c r="K731" s="27"/>
      <c r="L731" s="2"/>
      <c r="M731" s="4"/>
    </row>
    <row r="732" spans="1:13" ht="99.9" customHeight="1" thickTop="1" thickBot="1">
      <c r="A732" s="4">
        <v>730</v>
      </c>
      <c r="B732" s="2"/>
      <c r="C732" s="3"/>
      <c r="D732" s="3"/>
      <c r="E732" s="4"/>
      <c r="F732" s="43"/>
      <c r="G732" s="4"/>
      <c r="H732" s="43"/>
      <c r="I732" s="4"/>
      <c r="J732" s="26"/>
      <c r="K732" s="27"/>
      <c r="L732" s="2"/>
      <c r="M732" s="4"/>
    </row>
    <row r="733" spans="1:13" ht="99.9" customHeight="1" thickTop="1" thickBot="1">
      <c r="A733" s="31">
        <v>731</v>
      </c>
      <c r="B733" s="2"/>
      <c r="C733" s="3"/>
      <c r="D733" s="3"/>
      <c r="E733" s="4"/>
      <c r="F733" s="43"/>
      <c r="G733" s="4"/>
      <c r="H733" s="43"/>
      <c r="I733" s="4"/>
      <c r="J733" s="26"/>
      <c r="K733" s="27"/>
      <c r="L733" s="2"/>
      <c r="M733" s="4"/>
    </row>
    <row r="734" spans="1:13" ht="99.9" customHeight="1" thickTop="1" thickBot="1">
      <c r="A734" s="4">
        <v>732</v>
      </c>
      <c r="B734" s="2"/>
      <c r="C734" s="3"/>
      <c r="D734" s="3"/>
      <c r="E734" s="4"/>
      <c r="F734" s="43"/>
      <c r="G734" s="4"/>
      <c r="H734" s="43"/>
      <c r="I734" s="4"/>
      <c r="J734" s="26"/>
      <c r="K734" s="27"/>
      <c r="L734" s="2"/>
      <c r="M734" s="4"/>
    </row>
    <row r="735" spans="1:13" ht="99.9" customHeight="1" thickTop="1" thickBot="1">
      <c r="A735" s="31">
        <v>733</v>
      </c>
      <c r="B735" s="2"/>
      <c r="C735" s="3"/>
      <c r="D735" s="3"/>
      <c r="E735" s="4"/>
      <c r="F735" s="43"/>
      <c r="G735" s="4"/>
      <c r="H735" s="43"/>
      <c r="I735" s="4"/>
      <c r="J735" s="26"/>
      <c r="K735" s="27"/>
      <c r="L735" s="2"/>
      <c r="M735" s="4"/>
    </row>
    <row r="736" spans="1:13" ht="99.9" customHeight="1" thickTop="1" thickBot="1">
      <c r="A736" s="4">
        <v>734</v>
      </c>
      <c r="B736" s="2"/>
      <c r="C736" s="3"/>
      <c r="D736" s="3"/>
      <c r="E736" s="4"/>
      <c r="F736" s="43"/>
      <c r="G736" s="4"/>
      <c r="H736" s="43"/>
      <c r="I736" s="4"/>
      <c r="J736" s="26"/>
      <c r="K736" s="27"/>
      <c r="L736" s="2"/>
      <c r="M736" s="4"/>
    </row>
    <row r="737" spans="1:13" ht="99.9" customHeight="1" thickTop="1" thickBot="1">
      <c r="A737" s="31">
        <v>735</v>
      </c>
      <c r="B737" s="2"/>
      <c r="C737" s="3"/>
      <c r="D737" s="3"/>
      <c r="E737" s="4"/>
      <c r="F737" s="43"/>
      <c r="G737" s="4"/>
      <c r="H737" s="43"/>
      <c r="I737" s="4"/>
      <c r="J737" s="26"/>
      <c r="K737" s="27"/>
      <c r="L737" s="2"/>
      <c r="M737" s="4"/>
    </row>
    <row r="738" spans="1:13" ht="99.9" customHeight="1" thickTop="1" thickBot="1">
      <c r="A738" s="4">
        <v>736</v>
      </c>
      <c r="B738" s="2"/>
      <c r="C738" s="3"/>
      <c r="D738" s="3"/>
      <c r="E738" s="4"/>
      <c r="F738" s="43"/>
      <c r="G738" s="4"/>
      <c r="H738" s="43"/>
      <c r="I738" s="4"/>
      <c r="J738" s="26"/>
      <c r="K738" s="27"/>
      <c r="L738" s="2"/>
      <c r="M738" s="4"/>
    </row>
    <row r="739" spans="1:13" ht="99.9" customHeight="1" thickTop="1" thickBot="1">
      <c r="A739" s="31">
        <v>737</v>
      </c>
      <c r="B739" s="2"/>
      <c r="C739" s="3"/>
      <c r="D739" s="3"/>
      <c r="E739" s="4"/>
      <c r="F739" s="43"/>
      <c r="G739" s="4"/>
      <c r="H739" s="43"/>
      <c r="I739" s="4"/>
      <c r="J739" s="26"/>
      <c r="K739" s="27"/>
      <c r="L739" s="2"/>
      <c r="M739" s="4"/>
    </row>
    <row r="740" spans="1:13" ht="99.9" customHeight="1" thickTop="1" thickBot="1">
      <c r="A740" s="4">
        <v>738</v>
      </c>
      <c r="B740" s="2"/>
      <c r="C740" s="3"/>
      <c r="D740" s="3"/>
      <c r="E740" s="4"/>
      <c r="F740" s="43"/>
      <c r="G740" s="4"/>
      <c r="H740" s="43"/>
      <c r="I740" s="4"/>
      <c r="J740" s="26"/>
      <c r="K740" s="27"/>
      <c r="L740" s="2"/>
      <c r="M740" s="4"/>
    </row>
    <row r="741" spans="1:13" ht="99.9" customHeight="1" thickTop="1" thickBot="1">
      <c r="A741" s="31">
        <v>739</v>
      </c>
      <c r="B741" s="2"/>
      <c r="C741" s="3"/>
      <c r="D741" s="3"/>
      <c r="E741" s="4"/>
      <c r="F741" s="43"/>
      <c r="G741" s="4"/>
      <c r="H741" s="43"/>
      <c r="I741" s="4"/>
      <c r="J741" s="26"/>
      <c r="K741" s="27"/>
      <c r="L741" s="2"/>
      <c r="M741" s="4"/>
    </row>
    <row r="742" spans="1:13" ht="99.9" customHeight="1" thickTop="1" thickBot="1">
      <c r="A742" s="4">
        <v>740</v>
      </c>
      <c r="B742" s="2"/>
      <c r="C742" s="3"/>
      <c r="D742" s="3"/>
      <c r="E742" s="4"/>
      <c r="F742" s="43"/>
      <c r="G742" s="4"/>
      <c r="H742" s="43"/>
      <c r="I742" s="4"/>
      <c r="J742" s="26"/>
      <c r="K742" s="27"/>
      <c r="L742" s="2"/>
      <c r="M742" s="4"/>
    </row>
    <row r="743" spans="1:13" ht="99.9" customHeight="1" thickTop="1" thickBot="1">
      <c r="A743" s="31">
        <v>741</v>
      </c>
      <c r="B743" s="2"/>
      <c r="C743" s="3"/>
      <c r="D743" s="3"/>
      <c r="E743" s="4"/>
      <c r="F743" s="43"/>
      <c r="G743" s="4"/>
      <c r="H743" s="43"/>
      <c r="I743" s="4"/>
      <c r="J743" s="26"/>
      <c r="K743" s="27"/>
      <c r="L743" s="2"/>
      <c r="M743" s="4"/>
    </row>
    <row r="744" spans="1:13" ht="99.9" customHeight="1" thickTop="1" thickBot="1">
      <c r="A744" s="4">
        <v>742</v>
      </c>
      <c r="B744" s="2"/>
      <c r="C744" s="3"/>
      <c r="D744" s="3"/>
      <c r="E744" s="4"/>
      <c r="F744" s="43"/>
      <c r="G744" s="4"/>
      <c r="H744" s="43"/>
      <c r="I744" s="4"/>
      <c r="J744" s="26"/>
      <c r="K744" s="27"/>
      <c r="L744" s="2"/>
      <c r="M744" s="4"/>
    </row>
    <row r="745" spans="1:13" ht="99.9" customHeight="1" thickTop="1" thickBot="1">
      <c r="A745" s="31">
        <v>743</v>
      </c>
      <c r="B745" s="2"/>
      <c r="C745" s="3"/>
      <c r="D745" s="3"/>
      <c r="E745" s="4"/>
      <c r="F745" s="43"/>
      <c r="G745" s="4"/>
      <c r="H745" s="43"/>
      <c r="I745" s="4"/>
      <c r="J745" s="26"/>
      <c r="K745" s="27"/>
      <c r="L745" s="2"/>
      <c r="M745" s="4"/>
    </row>
    <row r="746" spans="1:13" ht="99.9" customHeight="1" thickTop="1" thickBot="1">
      <c r="A746" s="4">
        <v>744</v>
      </c>
      <c r="B746" s="2"/>
      <c r="C746" s="3"/>
      <c r="D746" s="3"/>
      <c r="E746" s="4"/>
      <c r="F746" s="43"/>
      <c r="G746" s="4"/>
      <c r="H746" s="43"/>
      <c r="I746" s="4"/>
      <c r="J746" s="26"/>
      <c r="K746" s="27"/>
      <c r="L746" s="2"/>
      <c r="M746" s="4"/>
    </row>
    <row r="747" spans="1:13" ht="99.9" customHeight="1" thickTop="1" thickBot="1">
      <c r="A747" s="31">
        <v>745</v>
      </c>
      <c r="B747" s="2"/>
      <c r="C747" s="3"/>
      <c r="D747" s="3"/>
      <c r="E747" s="4"/>
      <c r="F747" s="43"/>
      <c r="G747" s="4"/>
      <c r="H747" s="43"/>
      <c r="I747" s="4"/>
      <c r="J747" s="26"/>
      <c r="K747" s="27"/>
      <c r="L747" s="2"/>
      <c r="M747" s="4"/>
    </row>
    <row r="748" spans="1:13" ht="99.9" customHeight="1" thickTop="1" thickBot="1">
      <c r="A748" s="4">
        <v>746</v>
      </c>
      <c r="B748" s="2"/>
      <c r="C748" s="3"/>
      <c r="D748" s="3"/>
      <c r="E748" s="4"/>
      <c r="F748" s="43"/>
      <c r="G748" s="4"/>
      <c r="H748" s="43"/>
      <c r="I748" s="4"/>
      <c r="J748" s="26"/>
      <c r="K748" s="27"/>
      <c r="L748" s="2"/>
      <c r="M748" s="4"/>
    </row>
    <row r="749" spans="1:13" ht="99.9" customHeight="1" thickTop="1" thickBot="1">
      <c r="A749" s="31">
        <v>747</v>
      </c>
      <c r="B749" s="2"/>
      <c r="C749" s="3"/>
      <c r="D749" s="3"/>
      <c r="E749" s="4"/>
      <c r="F749" s="43"/>
      <c r="G749" s="4"/>
      <c r="H749" s="43"/>
      <c r="I749" s="4"/>
      <c r="J749" s="26"/>
      <c r="K749" s="27"/>
      <c r="L749" s="2"/>
      <c r="M749" s="4"/>
    </row>
    <row r="750" spans="1:13" ht="99.9" customHeight="1" thickTop="1" thickBot="1">
      <c r="A750" s="4">
        <v>748</v>
      </c>
      <c r="B750" s="2"/>
      <c r="C750" s="3"/>
      <c r="D750" s="3"/>
      <c r="E750" s="4"/>
      <c r="F750" s="43"/>
      <c r="G750" s="4"/>
      <c r="H750" s="43"/>
      <c r="I750" s="4"/>
      <c r="J750" s="26"/>
      <c r="K750" s="27"/>
      <c r="L750" s="2"/>
      <c r="M750" s="4"/>
    </row>
    <row r="751" spans="1:13" ht="99.9" customHeight="1" thickTop="1" thickBot="1">
      <c r="A751" s="31">
        <v>749</v>
      </c>
      <c r="B751" s="2"/>
      <c r="C751" s="3"/>
      <c r="D751" s="3"/>
      <c r="E751" s="4"/>
      <c r="F751" s="43"/>
      <c r="G751" s="4"/>
      <c r="H751" s="43"/>
      <c r="I751" s="4"/>
      <c r="J751" s="26"/>
      <c r="K751" s="27"/>
      <c r="L751" s="2"/>
      <c r="M751" s="4"/>
    </row>
    <row r="752" spans="1:13" ht="99.9" customHeight="1" thickTop="1" thickBot="1">
      <c r="A752" s="4">
        <v>750</v>
      </c>
      <c r="B752" s="2"/>
      <c r="C752" s="3"/>
      <c r="D752" s="3"/>
      <c r="E752" s="4"/>
      <c r="F752" s="43"/>
      <c r="G752" s="4"/>
      <c r="H752" s="43"/>
      <c r="I752" s="4"/>
      <c r="J752" s="26"/>
      <c r="K752" s="27"/>
      <c r="L752" s="2"/>
      <c r="M752" s="4"/>
    </row>
    <row r="753" spans="1:13" ht="99.9" customHeight="1" thickTop="1" thickBot="1">
      <c r="A753" s="31">
        <v>751</v>
      </c>
      <c r="B753" s="2"/>
      <c r="C753" s="3"/>
      <c r="D753" s="3"/>
      <c r="E753" s="4"/>
      <c r="F753" s="43"/>
      <c r="G753" s="4"/>
      <c r="H753" s="43"/>
      <c r="I753" s="4"/>
      <c r="J753" s="26"/>
      <c r="K753" s="27"/>
      <c r="L753" s="2"/>
      <c r="M753" s="4"/>
    </row>
    <row r="754" spans="1:13" ht="99.9" customHeight="1" thickTop="1" thickBot="1">
      <c r="A754" s="4">
        <v>752</v>
      </c>
      <c r="B754" s="2"/>
      <c r="C754" s="3"/>
      <c r="D754" s="3"/>
      <c r="E754" s="4"/>
      <c r="F754" s="43"/>
      <c r="G754" s="4"/>
      <c r="H754" s="43"/>
      <c r="I754" s="4"/>
      <c r="J754" s="26"/>
      <c r="K754" s="27"/>
      <c r="L754" s="2"/>
      <c r="M754" s="4"/>
    </row>
    <row r="755" spans="1:13" ht="99.9" customHeight="1" thickTop="1" thickBot="1">
      <c r="A755" s="31">
        <v>753</v>
      </c>
      <c r="B755" s="2"/>
      <c r="C755" s="3"/>
      <c r="D755" s="3"/>
      <c r="E755" s="4"/>
      <c r="F755" s="43"/>
      <c r="G755" s="4"/>
      <c r="H755" s="43"/>
      <c r="I755" s="4"/>
      <c r="J755" s="26"/>
      <c r="K755" s="27"/>
      <c r="L755" s="2"/>
      <c r="M755" s="4"/>
    </row>
    <row r="756" spans="1:13" ht="99.9" customHeight="1" thickTop="1" thickBot="1">
      <c r="A756" s="4">
        <v>754</v>
      </c>
      <c r="B756" s="2"/>
      <c r="C756" s="3"/>
      <c r="D756" s="3"/>
      <c r="E756" s="4"/>
      <c r="F756" s="43"/>
      <c r="G756" s="4"/>
      <c r="H756" s="43"/>
      <c r="I756" s="4"/>
      <c r="J756" s="26"/>
      <c r="K756" s="27"/>
      <c r="L756" s="2"/>
      <c r="M756" s="4"/>
    </row>
    <row r="757" spans="1:13" ht="99.9" customHeight="1" thickTop="1" thickBot="1">
      <c r="A757" s="31">
        <v>755</v>
      </c>
      <c r="B757" s="2"/>
      <c r="C757" s="3"/>
      <c r="D757" s="3"/>
      <c r="E757" s="4"/>
      <c r="F757" s="43"/>
      <c r="G757" s="4"/>
      <c r="H757" s="43"/>
      <c r="I757" s="4"/>
      <c r="J757" s="26"/>
      <c r="K757" s="27"/>
      <c r="L757" s="2"/>
      <c r="M757" s="4"/>
    </row>
    <row r="758" spans="1:13" ht="99.9" customHeight="1" thickTop="1" thickBot="1">
      <c r="A758" s="4">
        <v>756</v>
      </c>
      <c r="B758" s="2"/>
      <c r="C758" s="3"/>
      <c r="D758" s="3"/>
      <c r="E758" s="4"/>
      <c r="F758" s="43"/>
      <c r="G758" s="4"/>
      <c r="H758" s="43"/>
      <c r="I758" s="4"/>
      <c r="J758" s="26"/>
      <c r="K758" s="27"/>
      <c r="L758" s="2"/>
      <c r="M758" s="4"/>
    </row>
    <row r="759" spans="1:13" ht="99.9" customHeight="1" thickTop="1" thickBot="1">
      <c r="A759" s="31">
        <v>757</v>
      </c>
      <c r="B759" s="2"/>
      <c r="C759" s="3"/>
      <c r="D759" s="3"/>
      <c r="E759" s="4"/>
      <c r="F759" s="43"/>
      <c r="G759" s="4"/>
      <c r="H759" s="43"/>
      <c r="I759" s="4"/>
      <c r="J759" s="26"/>
      <c r="K759" s="27"/>
      <c r="L759" s="2"/>
      <c r="M759" s="4"/>
    </row>
    <row r="760" spans="1:13" ht="99.9" customHeight="1" thickTop="1" thickBot="1">
      <c r="A760" s="4">
        <v>758</v>
      </c>
      <c r="B760" s="2"/>
      <c r="C760" s="3"/>
      <c r="D760" s="3"/>
      <c r="E760" s="4"/>
      <c r="F760" s="43"/>
      <c r="G760" s="4"/>
      <c r="H760" s="43"/>
      <c r="I760" s="4"/>
      <c r="J760" s="26"/>
      <c r="K760" s="27"/>
      <c r="L760" s="2"/>
      <c r="M760" s="4"/>
    </row>
    <row r="761" spans="1:13" ht="99.9" customHeight="1" thickTop="1" thickBot="1">
      <c r="A761" s="31">
        <v>759</v>
      </c>
      <c r="B761" s="2"/>
      <c r="C761" s="3"/>
      <c r="D761" s="3"/>
      <c r="E761" s="4"/>
      <c r="F761" s="43"/>
      <c r="G761" s="4"/>
      <c r="H761" s="43"/>
      <c r="I761" s="4"/>
      <c r="J761" s="26"/>
      <c r="K761" s="27"/>
      <c r="L761" s="2"/>
      <c r="M761" s="4"/>
    </row>
    <row r="762" spans="1:13" ht="99.9" customHeight="1" thickTop="1" thickBot="1">
      <c r="A762" s="4">
        <v>760</v>
      </c>
      <c r="B762" s="2"/>
      <c r="C762" s="3"/>
      <c r="D762" s="3"/>
      <c r="E762" s="4"/>
      <c r="F762" s="43"/>
      <c r="G762" s="4"/>
      <c r="H762" s="43"/>
      <c r="I762" s="4"/>
      <c r="J762" s="26"/>
      <c r="K762" s="27"/>
      <c r="L762" s="2"/>
      <c r="M762" s="4"/>
    </row>
    <row r="763" spans="1:13" ht="99.9" customHeight="1" thickTop="1" thickBot="1">
      <c r="A763" s="31">
        <v>761</v>
      </c>
      <c r="B763" s="2"/>
      <c r="C763" s="3"/>
      <c r="D763" s="3"/>
      <c r="E763" s="4"/>
      <c r="F763" s="43"/>
      <c r="G763" s="4"/>
      <c r="H763" s="43"/>
      <c r="I763" s="4"/>
      <c r="J763" s="26"/>
      <c r="K763" s="27"/>
      <c r="L763" s="2"/>
      <c r="M763" s="4"/>
    </row>
    <row r="764" spans="1:13" ht="99.9" customHeight="1" thickTop="1" thickBot="1">
      <c r="A764" s="4">
        <v>762</v>
      </c>
      <c r="B764" s="2"/>
      <c r="C764" s="3"/>
      <c r="D764" s="3"/>
      <c r="E764" s="4"/>
      <c r="F764" s="43"/>
      <c r="G764" s="4"/>
      <c r="H764" s="43"/>
      <c r="I764" s="4"/>
      <c r="J764" s="26"/>
      <c r="K764" s="27"/>
      <c r="L764" s="2"/>
      <c r="M764" s="4"/>
    </row>
    <row r="765" spans="1:13" ht="99.9" customHeight="1" thickTop="1" thickBot="1">
      <c r="A765" s="31">
        <v>763</v>
      </c>
      <c r="B765" s="2"/>
      <c r="C765" s="3"/>
      <c r="D765" s="3"/>
      <c r="E765" s="4"/>
      <c r="F765" s="43"/>
      <c r="G765" s="4"/>
      <c r="H765" s="43"/>
      <c r="I765" s="4"/>
      <c r="J765" s="26"/>
      <c r="K765" s="27"/>
      <c r="L765" s="2"/>
      <c r="M765" s="4"/>
    </row>
    <row r="766" spans="1:13" ht="99.9" customHeight="1" thickTop="1" thickBot="1">
      <c r="A766" s="4">
        <v>764</v>
      </c>
      <c r="B766" s="2"/>
      <c r="C766" s="3"/>
      <c r="D766" s="3"/>
      <c r="E766" s="4"/>
      <c r="F766" s="43"/>
      <c r="G766" s="4"/>
      <c r="H766" s="43"/>
      <c r="I766" s="4"/>
      <c r="J766" s="26"/>
      <c r="K766" s="27"/>
      <c r="L766" s="2"/>
      <c r="M766" s="4"/>
    </row>
    <row r="767" spans="1:13" ht="99.9" customHeight="1" thickTop="1" thickBot="1">
      <c r="A767" s="31">
        <v>765</v>
      </c>
      <c r="B767" s="2"/>
      <c r="C767" s="3"/>
      <c r="D767" s="3"/>
      <c r="E767" s="4"/>
      <c r="F767" s="43"/>
      <c r="G767" s="4"/>
      <c r="H767" s="43"/>
      <c r="I767" s="4"/>
      <c r="J767" s="26"/>
      <c r="K767" s="27"/>
      <c r="L767" s="2"/>
      <c r="M767" s="4"/>
    </row>
    <row r="768" spans="1:13" ht="99.9" customHeight="1" thickTop="1" thickBot="1">
      <c r="A768" s="4">
        <v>766</v>
      </c>
      <c r="B768" s="2"/>
      <c r="C768" s="3"/>
      <c r="D768" s="3"/>
      <c r="E768" s="4"/>
      <c r="F768" s="43"/>
      <c r="G768" s="4"/>
      <c r="H768" s="43"/>
      <c r="I768" s="4"/>
      <c r="J768" s="26"/>
      <c r="K768" s="27"/>
      <c r="L768" s="2"/>
      <c r="M768" s="4"/>
    </row>
    <row r="769" spans="1:13" ht="99.9" customHeight="1" thickTop="1" thickBot="1">
      <c r="A769" s="31">
        <v>767</v>
      </c>
      <c r="B769" s="2"/>
      <c r="C769" s="3"/>
      <c r="D769" s="3"/>
      <c r="E769" s="4"/>
      <c r="F769" s="43"/>
      <c r="G769" s="4"/>
      <c r="H769" s="43"/>
      <c r="I769" s="4"/>
      <c r="J769" s="26"/>
      <c r="K769" s="27"/>
      <c r="L769" s="2"/>
      <c r="M769" s="4"/>
    </row>
    <row r="770" spans="1:13" ht="99.9" customHeight="1" thickTop="1" thickBot="1">
      <c r="A770" s="4">
        <v>768</v>
      </c>
      <c r="B770" s="2"/>
      <c r="C770" s="3"/>
      <c r="D770" s="3"/>
      <c r="E770" s="4"/>
      <c r="F770" s="43"/>
      <c r="G770" s="4"/>
      <c r="H770" s="43"/>
      <c r="I770" s="4"/>
      <c r="J770" s="26"/>
      <c r="K770" s="27"/>
      <c r="L770" s="2"/>
      <c r="M770" s="4"/>
    </row>
    <row r="771" spans="1:13" ht="99.9" customHeight="1" thickTop="1" thickBot="1">
      <c r="A771" s="31">
        <v>769</v>
      </c>
      <c r="B771" s="2"/>
      <c r="C771" s="3"/>
      <c r="D771" s="3"/>
      <c r="E771" s="4"/>
      <c r="F771" s="43"/>
      <c r="G771" s="4"/>
      <c r="H771" s="43"/>
      <c r="I771" s="4"/>
      <c r="J771" s="26"/>
      <c r="K771" s="27"/>
      <c r="L771" s="2"/>
      <c r="M771" s="4"/>
    </row>
    <row r="772" spans="1:13" ht="99.9" customHeight="1" thickTop="1" thickBot="1">
      <c r="A772" s="4">
        <v>770</v>
      </c>
      <c r="B772" s="2"/>
      <c r="C772" s="3"/>
      <c r="D772" s="3"/>
      <c r="E772" s="4"/>
      <c r="F772" s="43"/>
      <c r="G772" s="4"/>
      <c r="H772" s="43"/>
      <c r="I772" s="4"/>
      <c r="J772" s="26"/>
      <c r="K772" s="27"/>
      <c r="L772" s="2"/>
      <c r="M772" s="4"/>
    </row>
    <row r="773" spans="1:13" ht="99.9" customHeight="1" thickTop="1" thickBot="1">
      <c r="A773" s="31">
        <v>771</v>
      </c>
      <c r="B773" s="2"/>
      <c r="C773" s="3"/>
      <c r="D773" s="3"/>
      <c r="E773" s="4"/>
      <c r="F773" s="43"/>
      <c r="G773" s="4"/>
      <c r="H773" s="43"/>
      <c r="I773" s="4"/>
      <c r="J773" s="26"/>
      <c r="K773" s="27"/>
      <c r="L773" s="2"/>
      <c r="M773" s="4"/>
    </row>
    <row r="774" spans="1:13" ht="99.9" customHeight="1" thickTop="1" thickBot="1">
      <c r="A774" s="4">
        <v>772</v>
      </c>
      <c r="B774" s="2"/>
      <c r="C774" s="3"/>
      <c r="D774" s="3"/>
      <c r="E774" s="4"/>
      <c r="F774" s="43"/>
      <c r="G774" s="4"/>
      <c r="H774" s="43"/>
      <c r="I774" s="4"/>
      <c r="J774" s="26"/>
      <c r="K774" s="27"/>
      <c r="L774" s="2"/>
      <c r="M774" s="4"/>
    </row>
    <row r="775" spans="1:13" ht="99.9" customHeight="1" thickTop="1" thickBot="1">
      <c r="A775" s="31">
        <v>773</v>
      </c>
      <c r="B775" s="2"/>
      <c r="C775" s="3"/>
      <c r="D775" s="3"/>
      <c r="E775" s="4"/>
      <c r="F775" s="43"/>
      <c r="G775" s="4"/>
      <c r="H775" s="43"/>
      <c r="I775" s="4"/>
      <c r="J775" s="26"/>
      <c r="K775" s="27"/>
      <c r="L775" s="2"/>
      <c r="M775" s="4"/>
    </row>
    <row r="776" spans="1:13" ht="99.9" customHeight="1" thickTop="1" thickBot="1">
      <c r="A776" s="4">
        <v>774</v>
      </c>
      <c r="B776" s="2"/>
      <c r="C776" s="3"/>
      <c r="D776" s="3"/>
      <c r="E776" s="4"/>
      <c r="F776" s="43"/>
      <c r="G776" s="4"/>
      <c r="H776" s="43"/>
      <c r="I776" s="4"/>
      <c r="J776" s="26"/>
      <c r="K776" s="27"/>
      <c r="L776" s="2"/>
      <c r="M776" s="4"/>
    </row>
    <row r="777" spans="1:13" ht="99.9" customHeight="1" thickTop="1" thickBot="1">
      <c r="A777" s="31">
        <v>775</v>
      </c>
      <c r="B777" s="2"/>
      <c r="C777" s="3"/>
      <c r="D777" s="3"/>
      <c r="E777" s="4"/>
      <c r="F777" s="43"/>
      <c r="G777" s="4"/>
      <c r="H777" s="43"/>
      <c r="I777" s="4"/>
      <c r="J777" s="26"/>
      <c r="K777" s="27"/>
      <c r="L777" s="2"/>
      <c r="M777" s="4"/>
    </row>
    <row r="778" spans="1:13" ht="99.9" customHeight="1" thickTop="1" thickBot="1">
      <c r="A778" s="4">
        <v>776</v>
      </c>
      <c r="B778" s="2"/>
      <c r="C778" s="3"/>
      <c r="D778" s="3"/>
      <c r="E778" s="4"/>
      <c r="F778" s="43"/>
      <c r="G778" s="4"/>
      <c r="H778" s="43"/>
      <c r="I778" s="4"/>
      <c r="J778" s="26"/>
      <c r="K778" s="27"/>
      <c r="L778" s="2"/>
      <c r="M778" s="4"/>
    </row>
    <row r="779" spans="1:13" ht="99.9" customHeight="1" thickTop="1" thickBot="1">
      <c r="A779" s="31">
        <v>777</v>
      </c>
      <c r="B779" s="2"/>
      <c r="C779" s="3"/>
      <c r="D779" s="3"/>
      <c r="E779" s="4"/>
      <c r="F779" s="43"/>
      <c r="G779" s="4"/>
      <c r="H779" s="43"/>
      <c r="I779" s="4"/>
      <c r="J779" s="26"/>
      <c r="K779" s="27"/>
      <c r="L779" s="2"/>
      <c r="M779" s="4"/>
    </row>
    <row r="780" spans="1:13" ht="99.9" customHeight="1" thickTop="1" thickBot="1">
      <c r="A780" s="4">
        <v>778</v>
      </c>
      <c r="B780" s="2"/>
      <c r="C780" s="3"/>
      <c r="D780" s="3"/>
      <c r="E780" s="4"/>
      <c r="F780" s="43"/>
      <c r="G780" s="4"/>
      <c r="H780" s="43"/>
      <c r="I780" s="4"/>
      <c r="J780" s="26"/>
      <c r="K780" s="27"/>
      <c r="L780" s="2"/>
      <c r="M780" s="4"/>
    </row>
    <row r="781" spans="1:13" ht="99.9" customHeight="1" thickTop="1" thickBot="1">
      <c r="A781" s="31">
        <v>779</v>
      </c>
      <c r="B781" s="2"/>
      <c r="C781" s="3"/>
      <c r="D781" s="3"/>
      <c r="E781" s="4"/>
      <c r="F781" s="43"/>
      <c r="G781" s="4"/>
      <c r="H781" s="43"/>
      <c r="I781" s="4"/>
      <c r="J781" s="26"/>
      <c r="K781" s="27"/>
      <c r="L781" s="2"/>
      <c r="M781" s="4"/>
    </row>
    <row r="782" spans="1:13" ht="99.9" customHeight="1" thickTop="1" thickBot="1">
      <c r="A782" s="4">
        <v>780</v>
      </c>
      <c r="B782" s="2"/>
      <c r="C782" s="3"/>
      <c r="D782" s="3"/>
      <c r="E782" s="4"/>
      <c r="F782" s="43"/>
      <c r="G782" s="4"/>
      <c r="H782" s="43"/>
      <c r="I782" s="4"/>
      <c r="J782" s="26"/>
      <c r="K782" s="27"/>
      <c r="L782" s="2"/>
      <c r="M782" s="4"/>
    </row>
    <row r="783" spans="1:13" ht="99.9" customHeight="1" thickTop="1" thickBot="1">
      <c r="A783" s="31">
        <v>781</v>
      </c>
      <c r="B783" s="2"/>
      <c r="C783" s="3"/>
      <c r="D783" s="3"/>
      <c r="E783" s="4"/>
      <c r="F783" s="43"/>
      <c r="G783" s="4"/>
      <c r="H783" s="43"/>
      <c r="I783" s="4"/>
      <c r="J783" s="26"/>
      <c r="K783" s="27"/>
      <c r="L783" s="2"/>
      <c r="M783" s="4"/>
    </row>
    <row r="784" spans="1:13" ht="99.9" customHeight="1" thickTop="1" thickBot="1">
      <c r="A784" s="4">
        <v>782</v>
      </c>
      <c r="B784" s="2"/>
      <c r="C784" s="3"/>
      <c r="D784" s="3"/>
      <c r="E784" s="4"/>
      <c r="F784" s="43"/>
      <c r="G784" s="4"/>
      <c r="H784" s="43"/>
      <c r="I784" s="4"/>
      <c r="J784" s="26"/>
      <c r="K784" s="27"/>
      <c r="L784" s="2"/>
      <c r="M784" s="4"/>
    </row>
    <row r="785" spans="1:13" ht="99.9" customHeight="1" thickTop="1" thickBot="1">
      <c r="A785" s="31">
        <v>783</v>
      </c>
      <c r="B785" s="2"/>
      <c r="C785" s="3"/>
      <c r="D785" s="3"/>
      <c r="E785" s="4"/>
      <c r="F785" s="43"/>
      <c r="G785" s="4"/>
      <c r="H785" s="43"/>
      <c r="I785" s="4"/>
      <c r="J785" s="26"/>
      <c r="K785" s="27"/>
      <c r="L785" s="2"/>
      <c r="M785" s="4"/>
    </row>
    <row r="786" spans="1:13" ht="99.9" customHeight="1" thickTop="1" thickBot="1">
      <c r="A786" s="4">
        <v>784</v>
      </c>
      <c r="B786" s="2"/>
      <c r="C786" s="3"/>
      <c r="D786" s="3"/>
      <c r="E786" s="4"/>
      <c r="F786" s="43"/>
      <c r="G786" s="4"/>
      <c r="H786" s="43"/>
      <c r="I786" s="4"/>
      <c r="J786" s="26"/>
      <c r="K786" s="27"/>
      <c r="L786" s="2"/>
      <c r="M786" s="4"/>
    </row>
    <row r="787" spans="1:13" ht="99.9" customHeight="1" thickTop="1" thickBot="1">
      <c r="A787" s="31">
        <v>785</v>
      </c>
      <c r="B787" s="2"/>
      <c r="C787" s="3"/>
      <c r="D787" s="3"/>
      <c r="E787" s="4"/>
      <c r="F787" s="43"/>
      <c r="G787" s="4"/>
      <c r="H787" s="43"/>
      <c r="I787" s="4"/>
      <c r="J787" s="26"/>
      <c r="K787" s="27"/>
      <c r="L787" s="2"/>
      <c r="M787" s="4"/>
    </row>
    <row r="788" spans="1:13" ht="99.9" customHeight="1" thickTop="1" thickBot="1">
      <c r="A788" s="4">
        <v>786</v>
      </c>
      <c r="B788" s="2"/>
      <c r="C788" s="3"/>
      <c r="D788" s="3"/>
      <c r="E788" s="4"/>
      <c r="F788" s="43"/>
      <c r="G788" s="4"/>
      <c r="H788" s="43"/>
      <c r="I788" s="4"/>
      <c r="J788" s="26"/>
      <c r="K788" s="27"/>
      <c r="L788" s="2"/>
      <c r="M788" s="4"/>
    </row>
    <row r="789" spans="1:13" ht="99.9" customHeight="1" thickTop="1" thickBot="1">
      <c r="A789" s="31">
        <v>787</v>
      </c>
      <c r="B789" s="2"/>
      <c r="C789" s="3"/>
      <c r="D789" s="3"/>
      <c r="E789" s="4"/>
      <c r="F789" s="43"/>
      <c r="G789" s="4"/>
      <c r="H789" s="43"/>
      <c r="I789" s="4"/>
      <c r="J789" s="26"/>
      <c r="K789" s="27"/>
      <c r="L789" s="2"/>
      <c r="M789" s="4"/>
    </row>
    <row r="790" spans="1:13" ht="99.9" customHeight="1" thickTop="1" thickBot="1">
      <c r="A790" s="4">
        <v>788</v>
      </c>
      <c r="B790" s="2"/>
      <c r="C790" s="3"/>
      <c r="D790" s="3"/>
      <c r="E790" s="4"/>
      <c r="F790" s="43"/>
      <c r="G790" s="4"/>
      <c r="H790" s="43"/>
      <c r="I790" s="4"/>
      <c r="J790" s="26"/>
      <c r="K790" s="27"/>
      <c r="L790" s="2"/>
      <c r="M790" s="4"/>
    </row>
    <row r="791" spans="1:13" ht="99.9" customHeight="1" thickTop="1" thickBot="1">
      <c r="A791" s="31">
        <v>789</v>
      </c>
      <c r="B791" s="2"/>
      <c r="C791" s="3"/>
      <c r="D791" s="3"/>
      <c r="E791" s="4"/>
      <c r="F791" s="43"/>
      <c r="G791" s="4"/>
      <c r="H791" s="43"/>
      <c r="I791" s="4"/>
      <c r="J791" s="26"/>
      <c r="K791" s="27"/>
      <c r="L791" s="2"/>
      <c r="M791" s="4"/>
    </row>
    <row r="792" spans="1:13" ht="99.9" customHeight="1" thickTop="1" thickBot="1">
      <c r="A792" s="4">
        <v>790</v>
      </c>
      <c r="B792" s="2"/>
      <c r="C792" s="3"/>
      <c r="D792" s="3"/>
      <c r="E792" s="4"/>
      <c r="F792" s="43"/>
      <c r="G792" s="4"/>
      <c r="H792" s="43"/>
      <c r="I792" s="4"/>
      <c r="J792" s="26"/>
      <c r="K792" s="27"/>
      <c r="L792" s="2"/>
      <c r="M792" s="4"/>
    </row>
    <row r="793" spans="1:13" ht="99.9" customHeight="1" thickTop="1" thickBot="1">
      <c r="A793" s="31">
        <v>791</v>
      </c>
      <c r="B793" s="2"/>
      <c r="C793" s="3"/>
      <c r="D793" s="3"/>
      <c r="E793" s="4"/>
      <c r="F793" s="43"/>
      <c r="G793" s="4"/>
      <c r="H793" s="43"/>
      <c r="I793" s="4"/>
      <c r="J793" s="26"/>
      <c r="K793" s="27"/>
      <c r="L793" s="2"/>
      <c r="M793" s="4"/>
    </row>
    <row r="794" spans="1:13" ht="99.9" customHeight="1" thickTop="1" thickBot="1">
      <c r="A794" s="4">
        <v>792</v>
      </c>
      <c r="B794" s="2"/>
      <c r="C794" s="3"/>
      <c r="D794" s="3"/>
      <c r="E794" s="4"/>
      <c r="F794" s="43"/>
      <c r="G794" s="4"/>
      <c r="H794" s="43"/>
      <c r="I794" s="4"/>
      <c r="J794" s="26"/>
      <c r="K794" s="27"/>
      <c r="L794" s="2"/>
      <c r="M794" s="4"/>
    </row>
    <row r="795" spans="1:13" ht="99.9" customHeight="1" thickTop="1" thickBot="1">
      <c r="A795" s="31">
        <v>793</v>
      </c>
      <c r="B795" s="2"/>
      <c r="C795" s="3"/>
      <c r="D795" s="3"/>
      <c r="E795" s="4"/>
      <c r="F795" s="43"/>
      <c r="G795" s="4"/>
      <c r="H795" s="43"/>
      <c r="I795" s="4"/>
      <c r="J795" s="26"/>
      <c r="K795" s="27"/>
      <c r="L795" s="2"/>
      <c r="M795" s="4"/>
    </row>
    <row r="796" spans="1:13" ht="99.9" customHeight="1" thickTop="1" thickBot="1">
      <c r="A796" s="4">
        <v>794</v>
      </c>
      <c r="B796" s="2"/>
      <c r="C796" s="3"/>
      <c r="D796" s="3"/>
      <c r="E796" s="4"/>
      <c r="F796" s="43"/>
      <c r="G796" s="4"/>
      <c r="H796" s="43"/>
      <c r="I796" s="4"/>
      <c r="J796" s="26"/>
      <c r="K796" s="27"/>
      <c r="L796" s="2"/>
      <c r="M796" s="4"/>
    </row>
    <row r="797" spans="1:13" ht="99.9" customHeight="1" thickTop="1" thickBot="1">
      <c r="A797" s="31">
        <v>795</v>
      </c>
      <c r="B797" s="2"/>
      <c r="C797" s="3"/>
      <c r="D797" s="3"/>
      <c r="E797" s="4"/>
      <c r="F797" s="43"/>
      <c r="G797" s="4"/>
      <c r="H797" s="43"/>
      <c r="I797" s="4"/>
      <c r="J797" s="26"/>
      <c r="K797" s="27"/>
      <c r="L797" s="2"/>
      <c r="M797" s="4"/>
    </row>
    <row r="798" spans="1:13" ht="99.9" customHeight="1" thickTop="1" thickBot="1">
      <c r="A798" s="4">
        <v>796</v>
      </c>
      <c r="B798" s="2"/>
      <c r="C798" s="3"/>
      <c r="D798" s="3"/>
      <c r="E798" s="4"/>
      <c r="F798" s="43"/>
      <c r="G798" s="4"/>
      <c r="H798" s="43"/>
      <c r="I798" s="4"/>
      <c r="J798" s="26"/>
      <c r="K798" s="27"/>
      <c r="L798" s="2"/>
      <c r="M798" s="4"/>
    </row>
    <row r="799" spans="1:13" ht="99.9" customHeight="1" thickTop="1" thickBot="1">
      <c r="A799" s="31">
        <v>797</v>
      </c>
      <c r="B799" s="2"/>
      <c r="C799" s="3"/>
      <c r="D799" s="3"/>
      <c r="E799" s="4"/>
      <c r="F799" s="43"/>
      <c r="G799" s="4"/>
      <c r="H799" s="43"/>
      <c r="I799" s="4"/>
      <c r="J799" s="26"/>
      <c r="K799" s="27"/>
      <c r="L799" s="2"/>
      <c r="M799" s="4"/>
    </row>
    <row r="800" spans="1:13" ht="99.9" customHeight="1" thickTop="1" thickBot="1">
      <c r="A800" s="4">
        <v>798</v>
      </c>
      <c r="B800" s="2"/>
      <c r="C800" s="3"/>
      <c r="D800" s="3"/>
      <c r="E800" s="4"/>
      <c r="F800" s="43"/>
      <c r="G800" s="4"/>
      <c r="H800" s="43"/>
      <c r="I800" s="4"/>
      <c r="J800" s="26"/>
      <c r="K800" s="27"/>
      <c r="L800" s="2"/>
      <c r="M800" s="4"/>
    </row>
    <row r="801" spans="1:13" ht="99.9" customHeight="1" thickTop="1" thickBot="1">
      <c r="A801" s="31">
        <v>799</v>
      </c>
      <c r="B801" s="2"/>
      <c r="C801" s="3"/>
      <c r="D801" s="3"/>
      <c r="E801" s="4"/>
      <c r="F801" s="43"/>
      <c r="G801" s="4"/>
      <c r="H801" s="43"/>
      <c r="I801" s="4"/>
      <c r="J801" s="26"/>
      <c r="K801" s="27"/>
      <c r="L801" s="2"/>
      <c r="M801" s="4"/>
    </row>
    <row r="802" spans="1:13" ht="99.9" customHeight="1" thickTop="1" thickBot="1">
      <c r="A802" s="4">
        <v>800</v>
      </c>
      <c r="B802" s="2"/>
      <c r="C802" s="3"/>
      <c r="D802" s="3"/>
      <c r="E802" s="4"/>
      <c r="F802" s="43"/>
      <c r="G802" s="4"/>
      <c r="H802" s="43"/>
      <c r="I802" s="4"/>
      <c r="J802" s="26"/>
      <c r="K802" s="27"/>
      <c r="L802" s="2"/>
      <c r="M802" s="4"/>
    </row>
    <row r="803" spans="1:13" ht="99.9" customHeight="1" thickTop="1" thickBot="1">
      <c r="A803" s="31">
        <v>801</v>
      </c>
      <c r="B803" s="2"/>
      <c r="C803" s="3"/>
      <c r="D803" s="3"/>
      <c r="E803" s="4"/>
      <c r="F803" s="43"/>
      <c r="G803" s="4"/>
      <c r="H803" s="43"/>
      <c r="I803" s="4"/>
      <c r="J803" s="26"/>
      <c r="K803" s="27"/>
      <c r="L803" s="2"/>
      <c r="M803" s="4"/>
    </row>
    <row r="804" spans="1:13" ht="99.9" customHeight="1" thickTop="1" thickBot="1">
      <c r="A804" s="4">
        <v>802</v>
      </c>
      <c r="B804" s="2"/>
      <c r="C804" s="3"/>
      <c r="D804" s="3"/>
      <c r="E804" s="4"/>
      <c r="F804" s="43"/>
      <c r="G804" s="4"/>
      <c r="H804" s="43"/>
      <c r="I804" s="4"/>
      <c r="J804" s="26"/>
      <c r="K804" s="27"/>
      <c r="L804" s="2"/>
      <c r="M804" s="4"/>
    </row>
    <row r="805" spans="1:13" ht="99.9" customHeight="1" thickTop="1" thickBot="1">
      <c r="A805" s="31">
        <v>803</v>
      </c>
      <c r="B805" s="2"/>
      <c r="C805" s="3"/>
      <c r="D805" s="3"/>
      <c r="E805" s="4"/>
      <c r="F805" s="43"/>
      <c r="G805" s="4"/>
      <c r="H805" s="43"/>
      <c r="I805" s="4"/>
      <c r="J805" s="26"/>
      <c r="K805" s="27"/>
      <c r="L805" s="2"/>
      <c r="M805" s="4"/>
    </row>
    <row r="806" spans="1:13" ht="99.9" customHeight="1" thickTop="1" thickBot="1">
      <c r="A806" s="4">
        <v>804</v>
      </c>
      <c r="B806" s="2"/>
      <c r="C806" s="3"/>
      <c r="D806" s="3"/>
      <c r="E806" s="4"/>
      <c r="F806" s="43"/>
      <c r="G806" s="4"/>
      <c r="H806" s="43"/>
      <c r="I806" s="4"/>
      <c r="J806" s="26"/>
      <c r="K806" s="27"/>
      <c r="L806" s="2"/>
      <c r="M806" s="4"/>
    </row>
    <row r="807" spans="1:13" ht="99.9" customHeight="1" thickTop="1" thickBot="1">
      <c r="A807" s="31">
        <v>805</v>
      </c>
      <c r="B807" s="2"/>
      <c r="C807" s="3"/>
      <c r="D807" s="3"/>
      <c r="E807" s="4"/>
      <c r="F807" s="43"/>
      <c r="G807" s="4"/>
      <c r="H807" s="43"/>
      <c r="I807" s="4"/>
      <c r="J807" s="26"/>
      <c r="K807" s="27"/>
      <c r="L807" s="2"/>
      <c r="M807" s="4"/>
    </row>
    <row r="808" spans="1:13" ht="99.9" customHeight="1" thickTop="1" thickBot="1">
      <c r="A808" s="4">
        <v>806</v>
      </c>
      <c r="B808" s="2"/>
      <c r="C808" s="3"/>
      <c r="D808" s="3"/>
      <c r="E808" s="4"/>
      <c r="F808" s="43"/>
      <c r="G808" s="4"/>
      <c r="H808" s="43"/>
      <c r="I808" s="4"/>
      <c r="J808" s="26"/>
      <c r="K808" s="27"/>
      <c r="L808" s="2"/>
      <c r="M808" s="4"/>
    </row>
    <row r="809" spans="1:13" ht="99.9" customHeight="1" thickTop="1" thickBot="1">
      <c r="A809" s="31">
        <v>807</v>
      </c>
      <c r="B809" s="2"/>
      <c r="C809" s="3"/>
      <c r="D809" s="3"/>
      <c r="E809" s="4"/>
      <c r="F809" s="43"/>
      <c r="G809" s="4"/>
      <c r="H809" s="43"/>
      <c r="I809" s="4"/>
      <c r="J809" s="26"/>
      <c r="K809" s="27"/>
      <c r="L809" s="2"/>
      <c r="M809" s="4"/>
    </row>
    <row r="810" spans="1:13" ht="99.9" customHeight="1" thickTop="1" thickBot="1">
      <c r="A810" s="4">
        <v>808</v>
      </c>
      <c r="B810" s="2"/>
      <c r="C810" s="3"/>
      <c r="D810" s="3"/>
      <c r="E810" s="4"/>
      <c r="F810" s="43"/>
      <c r="G810" s="4"/>
      <c r="H810" s="43"/>
      <c r="I810" s="4"/>
      <c r="J810" s="26"/>
      <c r="K810" s="27"/>
      <c r="L810" s="2"/>
      <c r="M810" s="4"/>
    </row>
    <row r="811" spans="1:13" ht="99.9" customHeight="1" thickTop="1" thickBot="1">
      <c r="A811" s="31">
        <v>809</v>
      </c>
      <c r="B811" s="2"/>
      <c r="C811" s="3"/>
      <c r="D811" s="3"/>
      <c r="E811" s="4"/>
      <c r="F811" s="43"/>
      <c r="G811" s="4"/>
      <c r="H811" s="43"/>
      <c r="I811" s="4"/>
      <c r="J811" s="26"/>
      <c r="K811" s="27"/>
      <c r="L811" s="2"/>
      <c r="M811" s="4"/>
    </row>
    <row r="812" spans="1:13" ht="99.9" customHeight="1" thickTop="1" thickBot="1">
      <c r="A812" s="4">
        <v>810</v>
      </c>
      <c r="B812" s="2"/>
      <c r="C812" s="3"/>
      <c r="D812" s="3"/>
      <c r="E812" s="4"/>
      <c r="F812" s="43"/>
      <c r="G812" s="4"/>
      <c r="H812" s="43"/>
      <c r="I812" s="4"/>
      <c r="J812" s="26"/>
      <c r="K812" s="27"/>
      <c r="L812" s="2"/>
      <c r="M812" s="4"/>
    </row>
    <row r="813" spans="1:13" ht="99.9" customHeight="1" thickTop="1" thickBot="1">
      <c r="A813" s="31">
        <v>811</v>
      </c>
      <c r="B813" s="2"/>
      <c r="C813" s="3"/>
      <c r="D813" s="3"/>
      <c r="E813" s="4"/>
      <c r="F813" s="43"/>
      <c r="G813" s="4"/>
      <c r="H813" s="43"/>
      <c r="I813" s="4"/>
      <c r="J813" s="26"/>
      <c r="K813" s="27"/>
      <c r="L813" s="2"/>
      <c r="M813" s="4"/>
    </row>
    <row r="814" spans="1:13" ht="99.9" customHeight="1" thickTop="1" thickBot="1">
      <c r="A814" s="4">
        <v>812</v>
      </c>
      <c r="B814" s="2"/>
      <c r="C814" s="3"/>
      <c r="D814" s="3"/>
      <c r="E814" s="4"/>
      <c r="F814" s="43"/>
      <c r="G814" s="4"/>
      <c r="H814" s="43"/>
      <c r="I814" s="4"/>
      <c r="J814" s="26"/>
      <c r="K814" s="27"/>
      <c r="L814" s="2"/>
      <c r="M814" s="4"/>
    </row>
    <row r="815" spans="1:13" ht="99.9" customHeight="1" thickTop="1" thickBot="1">
      <c r="A815" s="31">
        <v>813</v>
      </c>
      <c r="B815" s="2"/>
      <c r="C815" s="3"/>
      <c r="D815" s="3"/>
      <c r="E815" s="4"/>
      <c r="F815" s="43"/>
      <c r="G815" s="4"/>
      <c r="H815" s="43"/>
      <c r="I815" s="4"/>
      <c r="J815" s="26"/>
      <c r="K815" s="27"/>
      <c r="L815" s="2"/>
      <c r="M815" s="4"/>
    </row>
    <row r="816" spans="1:13" ht="99.9" customHeight="1" thickTop="1" thickBot="1">
      <c r="A816" s="4">
        <v>814</v>
      </c>
      <c r="B816" s="2"/>
      <c r="C816" s="3"/>
      <c r="D816" s="3"/>
      <c r="E816" s="4"/>
      <c r="F816" s="43"/>
      <c r="G816" s="4"/>
      <c r="H816" s="43"/>
      <c r="I816" s="4"/>
      <c r="J816" s="26"/>
      <c r="K816" s="27"/>
      <c r="L816" s="2"/>
      <c r="M816" s="4"/>
    </row>
    <row r="817" spans="1:13" ht="99.9" customHeight="1" thickTop="1" thickBot="1">
      <c r="A817" s="31">
        <v>815</v>
      </c>
      <c r="B817" s="2"/>
      <c r="C817" s="3"/>
      <c r="D817" s="3"/>
      <c r="E817" s="4"/>
      <c r="F817" s="43"/>
      <c r="G817" s="4"/>
      <c r="H817" s="43"/>
      <c r="I817" s="4"/>
      <c r="J817" s="26"/>
      <c r="K817" s="27"/>
      <c r="L817" s="2"/>
      <c r="M817" s="4"/>
    </row>
    <row r="818" spans="1:13" ht="99.9" customHeight="1" thickTop="1" thickBot="1">
      <c r="A818" s="4">
        <v>816</v>
      </c>
      <c r="B818" s="2"/>
      <c r="C818" s="3"/>
      <c r="D818" s="3"/>
      <c r="E818" s="4"/>
      <c r="F818" s="43"/>
      <c r="G818" s="4"/>
      <c r="H818" s="43"/>
      <c r="I818" s="4"/>
      <c r="J818" s="26"/>
      <c r="K818" s="27"/>
      <c r="L818" s="2"/>
      <c r="M818" s="4"/>
    </row>
    <row r="819" spans="1:13" ht="99.9" customHeight="1" thickTop="1" thickBot="1">
      <c r="A819" s="31">
        <v>817</v>
      </c>
      <c r="B819" s="2"/>
      <c r="C819" s="3"/>
      <c r="D819" s="3"/>
      <c r="E819" s="4"/>
      <c r="F819" s="43"/>
      <c r="G819" s="4"/>
      <c r="H819" s="43"/>
      <c r="I819" s="4"/>
      <c r="J819" s="26"/>
      <c r="K819" s="27"/>
      <c r="L819" s="2"/>
      <c r="M819" s="4"/>
    </row>
    <row r="820" spans="1:13" ht="99.9" customHeight="1" thickTop="1" thickBot="1">
      <c r="A820" s="4">
        <v>818</v>
      </c>
      <c r="B820" s="2"/>
      <c r="C820" s="3"/>
      <c r="D820" s="3"/>
      <c r="E820" s="4"/>
      <c r="F820" s="43"/>
      <c r="G820" s="4"/>
      <c r="H820" s="43"/>
      <c r="I820" s="4"/>
      <c r="J820" s="26"/>
      <c r="K820" s="27"/>
      <c r="L820" s="2"/>
      <c r="M820" s="4"/>
    </row>
    <row r="821" spans="1:13" ht="99.9" customHeight="1" thickTop="1" thickBot="1">
      <c r="A821" s="31">
        <v>819</v>
      </c>
      <c r="B821" s="2"/>
      <c r="C821" s="3"/>
      <c r="D821" s="3"/>
      <c r="E821" s="4"/>
      <c r="F821" s="43"/>
      <c r="G821" s="4"/>
      <c r="H821" s="43"/>
      <c r="I821" s="4"/>
      <c r="J821" s="26"/>
      <c r="K821" s="27"/>
      <c r="L821" s="2"/>
      <c r="M821" s="4"/>
    </row>
    <row r="822" spans="1:13" ht="99.9" customHeight="1" thickTop="1" thickBot="1">
      <c r="A822" s="4">
        <v>820</v>
      </c>
      <c r="B822" s="2"/>
      <c r="C822" s="3"/>
      <c r="D822" s="3"/>
      <c r="E822" s="4"/>
      <c r="F822" s="43"/>
      <c r="G822" s="4"/>
      <c r="H822" s="43"/>
      <c r="I822" s="4"/>
      <c r="J822" s="26"/>
      <c r="K822" s="27"/>
      <c r="L822" s="2"/>
      <c r="M822" s="4"/>
    </row>
    <row r="823" spans="1:13" ht="99.9" customHeight="1" thickTop="1" thickBot="1">
      <c r="A823" s="31">
        <v>821</v>
      </c>
      <c r="B823" s="2"/>
      <c r="C823" s="3"/>
      <c r="D823" s="3"/>
      <c r="E823" s="4"/>
      <c r="F823" s="43"/>
      <c r="G823" s="4"/>
      <c r="H823" s="43"/>
      <c r="I823" s="4"/>
      <c r="J823" s="26"/>
      <c r="K823" s="27"/>
      <c r="L823" s="2"/>
      <c r="M823" s="4"/>
    </row>
    <row r="824" spans="1:13" ht="99.9" customHeight="1" thickTop="1" thickBot="1">
      <c r="A824" s="4">
        <v>822</v>
      </c>
      <c r="B824" s="2"/>
      <c r="C824" s="3"/>
      <c r="D824" s="3"/>
      <c r="E824" s="4"/>
      <c r="F824" s="43"/>
      <c r="G824" s="4"/>
      <c r="H824" s="43"/>
      <c r="I824" s="4"/>
      <c r="J824" s="26"/>
      <c r="K824" s="27"/>
      <c r="L824" s="2"/>
      <c r="M824" s="4"/>
    </row>
    <row r="825" spans="1:13" ht="99.9" customHeight="1" thickTop="1" thickBot="1">
      <c r="A825" s="31">
        <v>823</v>
      </c>
      <c r="B825" s="2"/>
      <c r="C825" s="3"/>
      <c r="D825" s="3"/>
      <c r="E825" s="4"/>
      <c r="F825" s="43"/>
      <c r="G825" s="4"/>
      <c r="H825" s="43"/>
      <c r="I825" s="4"/>
      <c r="J825" s="26"/>
      <c r="K825" s="27"/>
      <c r="L825" s="2"/>
      <c r="M825" s="4"/>
    </row>
    <row r="826" spans="1:13" ht="99.9" customHeight="1" thickTop="1" thickBot="1">
      <c r="A826" s="4">
        <v>824</v>
      </c>
      <c r="B826" s="2"/>
      <c r="C826" s="3"/>
      <c r="D826" s="3"/>
      <c r="E826" s="4"/>
      <c r="F826" s="43"/>
      <c r="G826" s="4"/>
      <c r="H826" s="43"/>
      <c r="I826" s="4"/>
      <c r="J826" s="26"/>
      <c r="K826" s="27"/>
      <c r="L826" s="2"/>
      <c r="M826" s="4"/>
    </row>
    <row r="827" spans="1:13" ht="99.9" customHeight="1" thickTop="1" thickBot="1">
      <c r="A827" s="31">
        <v>825</v>
      </c>
      <c r="B827" s="2"/>
      <c r="C827" s="3"/>
      <c r="D827" s="3"/>
      <c r="E827" s="4"/>
      <c r="F827" s="43"/>
      <c r="G827" s="4"/>
      <c r="H827" s="43"/>
      <c r="I827" s="4"/>
      <c r="J827" s="26"/>
      <c r="K827" s="27"/>
      <c r="L827" s="2"/>
      <c r="M827" s="4"/>
    </row>
    <row r="828" spans="1:13" ht="99.9" customHeight="1" thickTop="1" thickBot="1">
      <c r="A828" s="4">
        <v>826</v>
      </c>
      <c r="B828" s="2"/>
      <c r="C828" s="3"/>
      <c r="D828" s="3"/>
      <c r="E828" s="4"/>
      <c r="F828" s="43"/>
      <c r="G828" s="4"/>
      <c r="H828" s="43"/>
      <c r="I828" s="4"/>
      <c r="J828" s="26"/>
      <c r="K828" s="27"/>
      <c r="L828" s="2"/>
      <c r="M828" s="4"/>
    </row>
    <row r="829" spans="1:13" ht="99.9" customHeight="1" thickTop="1" thickBot="1">
      <c r="A829" s="31">
        <v>827</v>
      </c>
      <c r="B829" s="2"/>
      <c r="C829" s="3"/>
      <c r="D829" s="3"/>
      <c r="E829" s="4"/>
      <c r="F829" s="43"/>
      <c r="G829" s="4"/>
      <c r="H829" s="43"/>
      <c r="I829" s="4"/>
      <c r="J829" s="26"/>
      <c r="K829" s="27"/>
      <c r="L829" s="2"/>
      <c r="M829" s="4"/>
    </row>
    <row r="830" spans="1:13" ht="99.9" customHeight="1" thickTop="1" thickBot="1">
      <c r="A830" s="4">
        <v>828</v>
      </c>
      <c r="B830" s="2"/>
      <c r="C830" s="3"/>
      <c r="D830" s="3"/>
      <c r="E830" s="4"/>
      <c r="F830" s="43"/>
      <c r="G830" s="4"/>
      <c r="H830" s="43"/>
      <c r="I830" s="4"/>
      <c r="J830" s="26"/>
      <c r="K830" s="27"/>
      <c r="L830" s="2"/>
      <c r="M830" s="4"/>
    </row>
    <row r="831" spans="1:13" ht="99.9" customHeight="1" thickTop="1" thickBot="1">
      <c r="A831" s="31">
        <v>829</v>
      </c>
      <c r="B831" s="2"/>
      <c r="C831" s="3"/>
      <c r="D831" s="3"/>
      <c r="E831" s="4"/>
      <c r="F831" s="43"/>
      <c r="G831" s="4"/>
      <c r="H831" s="43"/>
      <c r="I831" s="4"/>
      <c r="J831" s="26"/>
      <c r="K831" s="27"/>
      <c r="L831" s="2"/>
      <c r="M831" s="4"/>
    </row>
    <row r="832" spans="1:13" ht="99.9" customHeight="1" thickTop="1" thickBot="1">
      <c r="A832" s="4">
        <v>830</v>
      </c>
      <c r="B832" s="2"/>
      <c r="C832" s="3"/>
      <c r="D832" s="3"/>
      <c r="E832" s="4"/>
      <c r="F832" s="43"/>
      <c r="G832" s="4"/>
      <c r="H832" s="43"/>
      <c r="I832" s="4"/>
      <c r="J832" s="26"/>
      <c r="K832" s="27"/>
      <c r="L832" s="2"/>
      <c r="M832" s="4"/>
    </row>
    <row r="833" spans="1:13" ht="99.9" customHeight="1" thickTop="1" thickBot="1">
      <c r="A833" s="31">
        <v>831</v>
      </c>
      <c r="B833" s="2"/>
      <c r="C833" s="3"/>
      <c r="D833" s="3"/>
      <c r="E833" s="4"/>
      <c r="F833" s="43"/>
      <c r="G833" s="4"/>
      <c r="H833" s="43"/>
      <c r="I833" s="4"/>
      <c r="J833" s="26"/>
      <c r="K833" s="27"/>
      <c r="L833" s="2"/>
      <c r="M833" s="4"/>
    </row>
    <row r="834" spans="1:13" ht="99.9" customHeight="1" thickTop="1" thickBot="1">
      <c r="A834" s="4">
        <v>832</v>
      </c>
      <c r="B834" s="2"/>
      <c r="C834" s="3"/>
      <c r="D834" s="3"/>
      <c r="E834" s="4"/>
      <c r="F834" s="43"/>
      <c r="G834" s="4"/>
      <c r="H834" s="43"/>
      <c r="I834" s="4"/>
      <c r="J834" s="26"/>
      <c r="K834" s="27"/>
      <c r="L834" s="2"/>
      <c r="M834" s="4"/>
    </row>
    <row r="835" spans="1:13" ht="99.9" customHeight="1" thickTop="1" thickBot="1">
      <c r="A835" s="31">
        <v>833</v>
      </c>
      <c r="B835" s="2"/>
      <c r="C835" s="3"/>
      <c r="D835" s="3"/>
      <c r="E835" s="4"/>
      <c r="F835" s="43"/>
      <c r="G835" s="4"/>
      <c r="H835" s="43"/>
      <c r="I835" s="4"/>
      <c r="J835" s="26"/>
      <c r="K835" s="27"/>
      <c r="L835" s="2"/>
      <c r="M835" s="4"/>
    </row>
    <row r="836" spans="1:13" ht="99.9" customHeight="1" thickTop="1" thickBot="1">
      <c r="A836" s="4">
        <v>834</v>
      </c>
      <c r="B836" s="2"/>
      <c r="C836" s="3"/>
      <c r="D836" s="3"/>
      <c r="E836" s="4"/>
      <c r="F836" s="43"/>
      <c r="G836" s="4"/>
      <c r="H836" s="43"/>
      <c r="I836" s="4"/>
      <c r="J836" s="26"/>
      <c r="K836" s="27"/>
      <c r="L836" s="2"/>
      <c r="M836" s="4"/>
    </row>
    <row r="837" spans="1:13" ht="99.9" customHeight="1" thickTop="1" thickBot="1">
      <c r="A837" s="31">
        <v>835</v>
      </c>
      <c r="B837" s="2"/>
      <c r="C837" s="3"/>
      <c r="D837" s="3"/>
      <c r="E837" s="4"/>
      <c r="F837" s="43"/>
      <c r="G837" s="4"/>
      <c r="H837" s="43"/>
      <c r="I837" s="4"/>
      <c r="J837" s="26"/>
      <c r="K837" s="27"/>
      <c r="L837" s="2"/>
      <c r="M837" s="4"/>
    </row>
    <row r="838" spans="1:13" ht="99.9" customHeight="1" thickTop="1" thickBot="1">
      <c r="A838" s="4">
        <v>836</v>
      </c>
      <c r="B838" s="2"/>
      <c r="C838" s="3"/>
      <c r="D838" s="3"/>
      <c r="E838" s="4"/>
      <c r="F838" s="43"/>
      <c r="G838" s="4"/>
      <c r="H838" s="43"/>
      <c r="I838" s="4"/>
      <c r="J838" s="26"/>
      <c r="K838" s="27"/>
      <c r="L838" s="2"/>
      <c r="M838" s="4"/>
    </row>
    <row r="839" spans="1:13" ht="99.9" customHeight="1" thickTop="1" thickBot="1">
      <c r="A839" s="31">
        <v>837</v>
      </c>
      <c r="B839" s="2"/>
      <c r="C839" s="3"/>
      <c r="D839" s="3"/>
      <c r="E839" s="4"/>
      <c r="F839" s="43"/>
      <c r="G839" s="4"/>
      <c r="H839" s="43"/>
      <c r="I839" s="4"/>
      <c r="J839" s="26"/>
      <c r="K839" s="27"/>
      <c r="L839" s="2"/>
      <c r="M839" s="4"/>
    </row>
    <row r="840" spans="1:13" ht="99.9" customHeight="1" thickTop="1" thickBot="1">
      <c r="A840" s="4">
        <v>838</v>
      </c>
      <c r="B840" s="2"/>
      <c r="C840" s="3"/>
      <c r="D840" s="3"/>
      <c r="E840" s="4"/>
      <c r="F840" s="43"/>
      <c r="G840" s="4"/>
      <c r="H840" s="43"/>
      <c r="I840" s="4"/>
      <c r="J840" s="26"/>
      <c r="K840" s="27"/>
      <c r="L840" s="2"/>
      <c r="M840" s="4"/>
    </row>
    <row r="841" spans="1:13" ht="99.9" customHeight="1" thickTop="1" thickBot="1">
      <c r="A841" s="31">
        <v>839</v>
      </c>
      <c r="B841" s="2"/>
      <c r="C841" s="3"/>
      <c r="D841" s="3"/>
      <c r="E841" s="4"/>
      <c r="F841" s="43"/>
      <c r="G841" s="4"/>
      <c r="H841" s="43"/>
      <c r="I841" s="4"/>
      <c r="J841" s="26"/>
      <c r="K841" s="27"/>
      <c r="L841" s="2"/>
      <c r="M841" s="4"/>
    </row>
    <row r="842" spans="1:13" ht="99.9" customHeight="1" thickTop="1" thickBot="1">
      <c r="A842" s="4">
        <v>840</v>
      </c>
      <c r="B842" s="2"/>
      <c r="C842" s="3"/>
      <c r="D842" s="3"/>
      <c r="E842" s="4"/>
      <c r="F842" s="43"/>
      <c r="G842" s="4"/>
      <c r="H842" s="43"/>
      <c r="I842" s="4"/>
      <c r="J842" s="26"/>
      <c r="K842" s="27"/>
      <c r="L842" s="2"/>
      <c r="M842" s="4"/>
    </row>
    <row r="843" spans="1:13" ht="99.9" customHeight="1" thickTop="1" thickBot="1">
      <c r="A843" s="31">
        <v>841</v>
      </c>
      <c r="B843" s="2"/>
      <c r="C843" s="3"/>
      <c r="D843" s="3"/>
      <c r="E843" s="4"/>
      <c r="F843" s="43"/>
      <c r="G843" s="4"/>
      <c r="H843" s="43"/>
      <c r="I843" s="4"/>
      <c r="J843" s="26"/>
      <c r="K843" s="27"/>
      <c r="L843" s="2"/>
      <c r="M843" s="4"/>
    </row>
    <row r="844" spans="1:13" ht="99.9" customHeight="1" thickTop="1" thickBot="1">
      <c r="A844" s="4">
        <v>842</v>
      </c>
      <c r="B844" s="2"/>
      <c r="C844" s="3"/>
      <c r="D844" s="3"/>
      <c r="E844" s="4"/>
      <c r="F844" s="43"/>
      <c r="G844" s="4"/>
      <c r="H844" s="43"/>
      <c r="I844" s="4"/>
      <c r="J844" s="26"/>
      <c r="K844" s="27"/>
      <c r="L844" s="2"/>
      <c r="M844" s="4"/>
    </row>
    <row r="845" spans="1:13" ht="99.9" customHeight="1" thickTop="1" thickBot="1">
      <c r="A845" s="31">
        <v>843</v>
      </c>
      <c r="B845" s="2"/>
      <c r="C845" s="3"/>
      <c r="D845" s="3"/>
      <c r="E845" s="4"/>
      <c r="F845" s="43"/>
      <c r="G845" s="4"/>
      <c r="H845" s="43"/>
      <c r="I845" s="4"/>
      <c r="J845" s="26"/>
      <c r="K845" s="27"/>
      <c r="L845" s="2"/>
      <c r="M845" s="4"/>
    </row>
    <row r="846" spans="1:13" ht="99.9" customHeight="1" thickTop="1" thickBot="1">
      <c r="A846" s="4">
        <v>844</v>
      </c>
      <c r="B846" s="2"/>
      <c r="C846" s="3"/>
      <c r="D846" s="3"/>
      <c r="E846" s="4"/>
      <c r="F846" s="43"/>
      <c r="G846" s="4"/>
      <c r="H846" s="43"/>
      <c r="I846" s="4"/>
      <c r="J846" s="26"/>
      <c r="K846" s="27"/>
      <c r="L846" s="2"/>
      <c r="M846" s="4"/>
    </row>
    <row r="847" spans="1:13" ht="99.9" customHeight="1" thickTop="1" thickBot="1">
      <c r="A847" s="31">
        <v>845</v>
      </c>
      <c r="B847" s="2"/>
      <c r="C847" s="3"/>
      <c r="D847" s="3"/>
      <c r="E847" s="4"/>
      <c r="F847" s="43"/>
      <c r="G847" s="4"/>
      <c r="H847" s="43"/>
      <c r="I847" s="4"/>
      <c r="J847" s="26"/>
      <c r="K847" s="27"/>
      <c r="L847" s="2"/>
      <c r="M847" s="4"/>
    </row>
    <row r="848" spans="1:13" ht="99.9" customHeight="1" thickTop="1" thickBot="1">
      <c r="A848" s="4">
        <v>846</v>
      </c>
      <c r="B848" s="2"/>
      <c r="C848" s="3"/>
      <c r="D848" s="3"/>
      <c r="E848" s="4"/>
      <c r="F848" s="43"/>
      <c r="G848" s="4"/>
      <c r="H848" s="43"/>
      <c r="I848" s="4"/>
      <c r="J848" s="26"/>
      <c r="K848" s="27"/>
      <c r="L848" s="2"/>
      <c r="M848" s="4"/>
    </row>
    <row r="849" spans="1:13" ht="99.9" customHeight="1" thickTop="1" thickBot="1">
      <c r="A849" s="31">
        <v>847</v>
      </c>
      <c r="B849" s="2"/>
      <c r="C849" s="3"/>
      <c r="D849" s="3"/>
      <c r="E849" s="4"/>
      <c r="F849" s="43"/>
      <c r="G849" s="4"/>
      <c r="H849" s="43"/>
      <c r="I849" s="4"/>
      <c r="J849" s="26"/>
      <c r="K849" s="27"/>
      <c r="L849" s="2"/>
      <c r="M849" s="4"/>
    </row>
    <row r="850" spans="1:13" ht="99.9" customHeight="1" thickTop="1" thickBot="1">
      <c r="A850" s="4">
        <v>848</v>
      </c>
      <c r="B850" s="2"/>
      <c r="C850" s="3"/>
      <c r="D850" s="3"/>
      <c r="E850" s="4"/>
      <c r="F850" s="43"/>
      <c r="G850" s="4"/>
      <c r="H850" s="43"/>
      <c r="I850" s="4"/>
      <c r="J850" s="26"/>
      <c r="K850" s="27"/>
      <c r="L850" s="2"/>
      <c r="M850" s="4"/>
    </row>
    <row r="851" spans="1:13" ht="99.9" customHeight="1" thickTop="1" thickBot="1">
      <c r="A851" s="31">
        <v>849</v>
      </c>
      <c r="B851" s="2"/>
      <c r="C851" s="3"/>
      <c r="D851" s="3"/>
      <c r="E851" s="4"/>
      <c r="F851" s="43"/>
      <c r="G851" s="4"/>
      <c r="H851" s="43"/>
      <c r="I851" s="4"/>
      <c r="J851" s="26"/>
      <c r="K851" s="27"/>
      <c r="L851" s="2"/>
      <c r="M851" s="4"/>
    </row>
    <row r="852" spans="1:13" ht="99.9" customHeight="1" thickTop="1" thickBot="1">
      <c r="A852" s="4">
        <v>850</v>
      </c>
      <c r="B852" s="2"/>
      <c r="C852" s="3"/>
      <c r="D852" s="3"/>
      <c r="E852" s="4"/>
      <c r="F852" s="43"/>
      <c r="G852" s="4"/>
      <c r="H852" s="43"/>
      <c r="I852" s="4"/>
      <c r="J852" s="26"/>
      <c r="K852" s="27"/>
      <c r="L852" s="2"/>
      <c r="M852" s="4"/>
    </row>
    <row r="853" spans="1:13" ht="99.9" customHeight="1" thickTop="1" thickBot="1">
      <c r="A853" s="31">
        <v>851</v>
      </c>
      <c r="B853" s="2"/>
      <c r="C853" s="3"/>
      <c r="D853" s="3"/>
      <c r="E853" s="4"/>
      <c r="F853" s="43"/>
      <c r="G853" s="4"/>
      <c r="H853" s="43"/>
      <c r="I853" s="4"/>
      <c r="J853" s="26"/>
      <c r="K853" s="27"/>
      <c r="L853" s="2"/>
      <c r="M853" s="4"/>
    </row>
    <row r="854" spans="1:13" ht="99.9" customHeight="1" thickTop="1" thickBot="1">
      <c r="A854" s="4">
        <v>852</v>
      </c>
      <c r="B854" s="2"/>
      <c r="C854" s="3"/>
      <c r="D854" s="3"/>
      <c r="E854" s="4"/>
      <c r="F854" s="43"/>
      <c r="G854" s="4"/>
      <c r="H854" s="43"/>
      <c r="I854" s="4"/>
      <c r="J854" s="26"/>
      <c r="K854" s="27"/>
      <c r="L854" s="2"/>
      <c r="M854" s="4"/>
    </row>
    <row r="855" spans="1:13" ht="99.9" customHeight="1" thickTop="1" thickBot="1">
      <c r="A855" s="31">
        <v>853</v>
      </c>
      <c r="B855" s="2"/>
      <c r="C855" s="3"/>
      <c r="D855" s="3"/>
      <c r="E855" s="4"/>
      <c r="F855" s="43"/>
      <c r="G855" s="4"/>
      <c r="H855" s="43"/>
      <c r="I855" s="4"/>
      <c r="J855" s="26"/>
      <c r="K855" s="27"/>
      <c r="L855" s="2"/>
      <c r="M855" s="4"/>
    </row>
    <row r="856" spans="1:13" ht="99.9" customHeight="1" thickTop="1" thickBot="1">
      <c r="A856" s="4">
        <v>854</v>
      </c>
      <c r="B856" s="2"/>
      <c r="C856" s="3"/>
      <c r="D856" s="3"/>
      <c r="E856" s="4"/>
      <c r="F856" s="43"/>
      <c r="G856" s="4"/>
      <c r="H856" s="43"/>
      <c r="I856" s="4"/>
      <c r="J856" s="26"/>
      <c r="K856" s="27"/>
      <c r="L856" s="2"/>
      <c r="M856" s="4"/>
    </row>
    <row r="857" spans="1:13" ht="99.9" customHeight="1" thickTop="1" thickBot="1">
      <c r="A857" s="31">
        <v>855</v>
      </c>
      <c r="B857" s="2"/>
      <c r="C857" s="3"/>
      <c r="D857" s="3"/>
      <c r="E857" s="4"/>
      <c r="F857" s="43"/>
      <c r="G857" s="4"/>
      <c r="H857" s="43"/>
      <c r="I857" s="4"/>
      <c r="J857" s="26"/>
      <c r="K857" s="27"/>
      <c r="L857" s="2"/>
      <c r="M857" s="4"/>
    </row>
    <row r="858" spans="1:13" ht="99.9" customHeight="1" thickTop="1" thickBot="1">
      <c r="A858" s="4">
        <v>856</v>
      </c>
      <c r="B858" s="2"/>
      <c r="C858" s="3"/>
      <c r="D858" s="3"/>
      <c r="E858" s="4"/>
      <c r="F858" s="43"/>
      <c r="G858" s="4"/>
      <c r="H858" s="43"/>
      <c r="I858" s="4"/>
      <c r="J858" s="26"/>
      <c r="K858" s="27"/>
      <c r="L858" s="2"/>
      <c r="M858" s="4"/>
    </row>
    <row r="859" spans="1:13" ht="99.9" customHeight="1" thickTop="1" thickBot="1">
      <c r="A859" s="31">
        <v>857</v>
      </c>
      <c r="B859" s="2"/>
      <c r="C859" s="3"/>
      <c r="D859" s="3"/>
      <c r="E859" s="4"/>
      <c r="F859" s="43"/>
      <c r="G859" s="4"/>
      <c r="H859" s="43"/>
      <c r="I859" s="4"/>
      <c r="J859" s="26"/>
      <c r="K859" s="27"/>
      <c r="L859" s="2"/>
      <c r="M859" s="4"/>
    </row>
    <row r="860" spans="1:13" ht="99.9" customHeight="1" thickTop="1" thickBot="1">
      <c r="A860" s="4">
        <v>858</v>
      </c>
      <c r="B860" s="2"/>
      <c r="C860" s="3"/>
      <c r="D860" s="3"/>
      <c r="E860" s="4"/>
      <c r="F860" s="43"/>
      <c r="G860" s="4"/>
      <c r="H860" s="43"/>
      <c r="I860" s="4"/>
      <c r="J860" s="26"/>
      <c r="K860" s="27"/>
      <c r="L860" s="2"/>
      <c r="M860" s="4"/>
    </row>
    <row r="861" spans="1:13" ht="99.9" customHeight="1" thickTop="1" thickBot="1">
      <c r="A861" s="31">
        <v>859</v>
      </c>
      <c r="B861" s="2"/>
      <c r="C861" s="3"/>
      <c r="D861" s="3"/>
      <c r="E861" s="4"/>
      <c r="F861" s="43"/>
      <c r="G861" s="4"/>
      <c r="H861" s="43"/>
      <c r="I861" s="4"/>
      <c r="J861" s="26"/>
      <c r="K861" s="27"/>
      <c r="L861" s="2"/>
      <c r="M861" s="4"/>
    </row>
    <row r="862" spans="1:13" ht="99.9" customHeight="1" thickTop="1" thickBot="1">
      <c r="A862" s="4">
        <v>860</v>
      </c>
      <c r="B862" s="2"/>
      <c r="C862" s="3"/>
      <c r="D862" s="3"/>
      <c r="E862" s="4"/>
      <c r="F862" s="43"/>
      <c r="G862" s="4"/>
      <c r="H862" s="43"/>
      <c r="I862" s="4"/>
      <c r="J862" s="26"/>
      <c r="K862" s="27"/>
      <c r="L862" s="2"/>
      <c r="M862" s="4"/>
    </row>
    <row r="863" spans="1:13" ht="99.9" customHeight="1" thickTop="1" thickBot="1">
      <c r="A863" s="31">
        <v>861</v>
      </c>
      <c r="B863" s="2"/>
      <c r="C863" s="3"/>
      <c r="D863" s="3"/>
      <c r="E863" s="4"/>
      <c r="F863" s="43"/>
      <c r="G863" s="4"/>
      <c r="H863" s="43"/>
      <c r="I863" s="4"/>
      <c r="J863" s="26"/>
      <c r="K863" s="27"/>
      <c r="L863" s="2"/>
      <c r="M863" s="4"/>
    </row>
    <row r="864" spans="1:13" ht="99.9" customHeight="1" thickTop="1" thickBot="1">
      <c r="A864" s="4">
        <v>862</v>
      </c>
      <c r="B864" s="2"/>
      <c r="C864" s="3"/>
      <c r="D864" s="3"/>
      <c r="E864" s="4"/>
      <c r="F864" s="43"/>
      <c r="G864" s="4"/>
      <c r="H864" s="43"/>
      <c r="I864" s="4"/>
      <c r="J864" s="26"/>
      <c r="K864" s="27"/>
      <c r="L864" s="2"/>
      <c r="M864" s="4"/>
    </row>
    <row r="865" spans="1:13" ht="99.9" customHeight="1" thickTop="1" thickBot="1">
      <c r="A865" s="31">
        <v>863</v>
      </c>
      <c r="B865" s="2"/>
      <c r="C865" s="3"/>
      <c r="D865" s="3"/>
      <c r="E865" s="4"/>
      <c r="F865" s="43"/>
      <c r="G865" s="4"/>
      <c r="H865" s="43"/>
      <c r="I865" s="4"/>
      <c r="J865" s="26"/>
      <c r="K865" s="27"/>
      <c r="L865" s="2"/>
      <c r="M865" s="4"/>
    </row>
    <row r="866" spans="1:13" ht="99.9" customHeight="1" thickTop="1" thickBot="1">
      <c r="A866" s="4">
        <v>864</v>
      </c>
      <c r="B866" s="2"/>
      <c r="C866" s="3"/>
      <c r="D866" s="3"/>
      <c r="E866" s="4"/>
      <c r="F866" s="43"/>
      <c r="G866" s="4"/>
      <c r="H866" s="43"/>
      <c r="I866" s="4"/>
      <c r="J866" s="26"/>
      <c r="K866" s="27"/>
      <c r="L866" s="2"/>
      <c r="M866" s="4"/>
    </row>
    <row r="867" spans="1:13" ht="99.9" customHeight="1" thickTop="1" thickBot="1">
      <c r="A867" s="31">
        <v>865</v>
      </c>
      <c r="B867" s="2"/>
      <c r="C867" s="3"/>
      <c r="D867" s="3"/>
      <c r="E867" s="4"/>
      <c r="F867" s="43"/>
      <c r="G867" s="4"/>
      <c r="H867" s="43"/>
      <c r="I867" s="4"/>
      <c r="J867" s="26"/>
      <c r="K867" s="27"/>
      <c r="L867" s="2"/>
      <c r="M867" s="4"/>
    </row>
    <row r="868" spans="1:13" ht="99.9" customHeight="1" thickTop="1" thickBot="1">
      <c r="A868" s="4">
        <v>866</v>
      </c>
      <c r="B868" s="2"/>
      <c r="C868" s="3"/>
      <c r="D868" s="3"/>
      <c r="E868" s="4"/>
      <c r="F868" s="43"/>
      <c r="G868" s="4"/>
      <c r="H868" s="43"/>
      <c r="I868" s="4"/>
      <c r="J868" s="26"/>
      <c r="K868" s="27"/>
      <c r="L868" s="2"/>
      <c r="M868" s="4"/>
    </row>
    <row r="869" spans="1:13" ht="99.9" customHeight="1" thickTop="1" thickBot="1">
      <c r="A869" s="31">
        <v>867</v>
      </c>
      <c r="B869" s="2"/>
      <c r="C869" s="3"/>
      <c r="D869" s="3"/>
      <c r="E869" s="4"/>
      <c r="F869" s="43"/>
      <c r="G869" s="4"/>
      <c r="H869" s="43"/>
      <c r="I869" s="4"/>
      <c r="J869" s="26"/>
      <c r="K869" s="27"/>
      <c r="L869" s="2"/>
      <c r="M869" s="4"/>
    </row>
    <row r="870" spans="1:13" ht="99.9" customHeight="1" thickTop="1" thickBot="1">
      <c r="A870" s="4">
        <v>868</v>
      </c>
      <c r="B870" s="2"/>
      <c r="C870" s="3"/>
      <c r="D870" s="3"/>
      <c r="E870" s="4"/>
      <c r="F870" s="43"/>
      <c r="G870" s="4"/>
      <c r="H870" s="43"/>
      <c r="I870" s="4"/>
      <c r="J870" s="26"/>
      <c r="K870" s="27"/>
      <c r="L870" s="2"/>
      <c r="M870" s="4"/>
    </row>
    <row r="871" spans="1:13" ht="99.9" customHeight="1" thickTop="1" thickBot="1">
      <c r="A871" s="31">
        <v>869</v>
      </c>
      <c r="B871" s="2"/>
      <c r="C871" s="3"/>
      <c r="D871" s="3"/>
      <c r="E871" s="4"/>
      <c r="F871" s="43"/>
      <c r="G871" s="4"/>
      <c r="H871" s="43"/>
      <c r="I871" s="4"/>
      <c r="J871" s="26"/>
      <c r="K871" s="27"/>
      <c r="L871" s="2"/>
      <c r="M871" s="4"/>
    </row>
    <row r="872" spans="1:13" ht="99.9" customHeight="1" thickTop="1" thickBot="1">
      <c r="A872" s="4">
        <v>870</v>
      </c>
      <c r="B872" s="2"/>
      <c r="C872" s="3"/>
      <c r="D872" s="3"/>
      <c r="E872" s="4"/>
      <c r="F872" s="43"/>
      <c r="G872" s="4"/>
      <c r="H872" s="43"/>
      <c r="I872" s="4"/>
      <c r="J872" s="26"/>
      <c r="K872" s="27"/>
      <c r="L872" s="2"/>
      <c r="M872" s="4"/>
    </row>
    <row r="873" spans="1:13" ht="99.9" customHeight="1" thickTop="1" thickBot="1">
      <c r="A873" s="31">
        <v>871</v>
      </c>
      <c r="B873" s="2"/>
      <c r="C873" s="3"/>
      <c r="D873" s="3"/>
      <c r="E873" s="4"/>
      <c r="F873" s="43"/>
      <c r="G873" s="4"/>
      <c r="H873" s="43"/>
      <c r="I873" s="4"/>
      <c r="J873" s="26"/>
      <c r="K873" s="27"/>
      <c r="L873" s="2"/>
      <c r="M873" s="4"/>
    </row>
    <row r="874" spans="1:13" ht="99.9" customHeight="1" thickTop="1" thickBot="1">
      <c r="A874" s="4">
        <v>872</v>
      </c>
      <c r="B874" s="2"/>
      <c r="C874" s="3"/>
      <c r="D874" s="3"/>
      <c r="E874" s="4"/>
      <c r="F874" s="43"/>
      <c r="G874" s="4"/>
      <c r="H874" s="43"/>
      <c r="I874" s="4"/>
      <c r="J874" s="26"/>
      <c r="K874" s="27"/>
      <c r="L874" s="2"/>
      <c r="M874" s="4"/>
    </row>
    <row r="875" spans="1:13" ht="99.9" customHeight="1" thickTop="1" thickBot="1">
      <c r="A875" s="31">
        <v>873</v>
      </c>
      <c r="B875" s="2"/>
      <c r="C875" s="3"/>
      <c r="D875" s="3"/>
      <c r="E875" s="4"/>
      <c r="F875" s="43"/>
      <c r="G875" s="4"/>
      <c r="H875" s="43"/>
      <c r="I875" s="4"/>
      <c r="J875" s="26"/>
      <c r="K875" s="27"/>
      <c r="L875" s="2"/>
      <c r="M875" s="4"/>
    </row>
    <row r="876" spans="1:13" ht="99.9" customHeight="1" thickTop="1" thickBot="1">
      <c r="A876" s="4">
        <v>874</v>
      </c>
      <c r="B876" s="2"/>
      <c r="C876" s="3"/>
      <c r="D876" s="3"/>
      <c r="E876" s="4"/>
      <c r="F876" s="43"/>
      <c r="G876" s="4"/>
      <c r="H876" s="43"/>
      <c r="I876" s="4"/>
      <c r="J876" s="26"/>
      <c r="K876" s="27"/>
      <c r="L876" s="2"/>
      <c r="M876" s="4"/>
    </row>
    <row r="877" spans="1:13" ht="99.9" customHeight="1" thickTop="1" thickBot="1">
      <c r="A877" s="31">
        <v>875</v>
      </c>
      <c r="B877" s="2"/>
      <c r="C877" s="3"/>
      <c r="D877" s="3"/>
      <c r="E877" s="4"/>
      <c r="F877" s="43"/>
      <c r="G877" s="4"/>
      <c r="H877" s="43"/>
      <c r="I877" s="4"/>
      <c r="J877" s="26"/>
      <c r="K877" s="27"/>
      <c r="L877" s="2"/>
      <c r="M877" s="4"/>
    </row>
    <row r="878" spans="1:13" ht="99.9" customHeight="1" thickTop="1" thickBot="1">
      <c r="A878" s="4">
        <v>876</v>
      </c>
      <c r="B878" s="2"/>
      <c r="C878" s="3"/>
      <c r="D878" s="3"/>
      <c r="E878" s="4"/>
      <c r="F878" s="43"/>
      <c r="G878" s="4"/>
      <c r="H878" s="43"/>
      <c r="I878" s="4"/>
      <c r="J878" s="26"/>
      <c r="K878" s="27"/>
      <c r="L878" s="2"/>
      <c r="M878" s="4"/>
    </row>
    <row r="879" spans="1:13" ht="99.9" customHeight="1" thickTop="1" thickBot="1">
      <c r="A879" s="31">
        <v>877</v>
      </c>
      <c r="B879" s="2"/>
      <c r="C879" s="3"/>
      <c r="D879" s="3"/>
      <c r="E879" s="4"/>
      <c r="F879" s="43"/>
      <c r="G879" s="4"/>
      <c r="H879" s="43"/>
      <c r="I879" s="4"/>
      <c r="J879" s="26"/>
      <c r="K879" s="27"/>
      <c r="L879" s="2"/>
      <c r="M879" s="4"/>
    </row>
    <row r="880" spans="1:13" ht="99.9" customHeight="1" thickTop="1" thickBot="1">
      <c r="A880" s="4">
        <v>878</v>
      </c>
      <c r="B880" s="2"/>
      <c r="C880" s="3"/>
      <c r="D880" s="3"/>
      <c r="E880" s="4"/>
      <c r="F880" s="43"/>
      <c r="G880" s="4"/>
      <c r="H880" s="43"/>
      <c r="I880" s="4"/>
      <c r="J880" s="26"/>
      <c r="K880" s="27"/>
      <c r="L880" s="2"/>
      <c r="M880" s="4"/>
    </row>
    <row r="881" spans="1:13" ht="99.9" customHeight="1" thickTop="1" thickBot="1">
      <c r="A881" s="31">
        <v>879</v>
      </c>
      <c r="B881" s="2"/>
      <c r="C881" s="3"/>
      <c r="D881" s="3"/>
      <c r="E881" s="4"/>
      <c r="F881" s="43"/>
      <c r="G881" s="4"/>
      <c r="H881" s="43"/>
      <c r="I881" s="4"/>
      <c r="J881" s="26"/>
      <c r="K881" s="27"/>
      <c r="L881" s="2"/>
      <c r="M881" s="4"/>
    </row>
    <row r="882" spans="1:13" ht="99.9" customHeight="1" thickTop="1" thickBot="1">
      <c r="A882" s="4">
        <v>880</v>
      </c>
      <c r="B882" s="2"/>
      <c r="C882" s="3"/>
      <c r="D882" s="3"/>
      <c r="E882" s="4"/>
      <c r="F882" s="43"/>
      <c r="G882" s="4"/>
      <c r="H882" s="43"/>
      <c r="I882" s="4"/>
      <c r="J882" s="26"/>
      <c r="K882" s="27"/>
      <c r="L882" s="2"/>
      <c r="M882" s="4"/>
    </row>
    <row r="883" spans="1:13" ht="99.9" customHeight="1" thickTop="1" thickBot="1">
      <c r="A883" s="31">
        <v>881</v>
      </c>
      <c r="B883" s="2"/>
      <c r="C883" s="3"/>
      <c r="D883" s="3"/>
      <c r="E883" s="4"/>
      <c r="F883" s="43"/>
      <c r="G883" s="4"/>
      <c r="H883" s="43"/>
      <c r="I883" s="4"/>
      <c r="J883" s="26"/>
      <c r="K883" s="27"/>
      <c r="L883" s="2"/>
      <c r="M883" s="4"/>
    </row>
    <row r="884" spans="1:13" ht="99.9" customHeight="1" thickTop="1" thickBot="1">
      <c r="A884" s="4">
        <v>882</v>
      </c>
      <c r="B884" s="2"/>
      <c r="C884" s="3"/>
      <c r="D884" s="3"/>
      <c r="E884" s="4"/>
      <c r="F884" s="43"/>
      <c r="G884" s="4"/>
      <c r="H884" s="43"/>
      <c r="I884" s="4"/>
      <c r="J884" s="26"/>
      <c r="K884" s="27"/>
      <c r="L884" s="2"/>
      <c r="M884" s="4"/>
    </row>
    <row r="885" spans="1:13" ht="99.9" customHeight="1" thickTop="1" thickBot="1">
      <c r="A885" s="31">
        <v>883</v>
      </c>
      <c r="B885" s="2"/>
      <c r="C885" s="3"/>
      <c r="D885" s="3"/>
      <c r="E885" s="4"/>
      <c r="F885" s="43"/>
      <c r="G885" s="4"/>
      <c r="H885" s="43"/>
      <c r="I885" s="4"/>
      <c r="J885" s="26"/>
      <c r="K885" s="27"/>
      <c r="L885" s="2"/>
      <c r="M885" s="4"/>
    </row>
    <row r="886" spans="1:13" ht="99.9" customHeight="1" thickTop="1" thickBot="1">
      <c r="A886" s="4">
        <v>884</v>
      </c>
      <c r="B886" s="2"/>
      <c r="C886" s="3"/>
      <c r="D886" s="3"/>
      <c r="E886" s="4"/>
      <c r="F886" s="43"/>
      <c r="G886" s="4"/>
      <c r="H886" s="43"/>
      <c r="I886" s="4"/>
      <c r="J886" s="26"/>
      <c r="K886" s="27"/>
      <c r="L886" s="2"/>
      <c r="M886" s="4"/>
    </row>
    <row r="887" spans="1:13" ht="99.9" customHeight="1" thickTop="1" thickBot="1">
      <c r="A887" s="31">
        <v>885</v>
      </c>
      <c r="B887" s="2"/>
      <c r="C887" s="3"/>
      <c r="D887" s="3"/>
      <c r="E887" s="4"/>
      <c r="F887" s="43"/>
      <c r="G887" s="4"/>
      <c r="H887" s="43"/>
      <c r="I887" s="4"/>
      <c r="J887" s="26"/>
      <c r="K887" s="27"/>
      <c r="L887" s="2"/>
      <c r="M887" s="4"/>
    </row>
    <row r="888" spans="1:13" ht="99.9" customHeight="1" thickTop="1" thickBot="1">
      <c r="A888" s="4">
        <v>886</v>
      </c>
      <c r="B888" s="2"/>
      <c r="C888" s="3"/>
      <c r="D888" s="3"/>
      <c r="E888" s="4"/>
      <c r="F888" s="43"/>
      <c r="G888" s="4"/>
      <c r="H888" s="43"/>
      <c r="I888" s="4"/>
      <c r="J888" s="26"/>
      <c r="K888" s="27"/>
      <c r="L888" s="2"/>
      <c r="M888" s="4"/>
    </row>
    <row r="889" spans="1:13" ht="99.9" customHeight="1" thickTop="1" thickBot="1">
      <c r="A889" s="31">
        <v>887</v>
      </c>
      <c r="B889" s="2"/>
      <c r="C889" s="3"/>
      <c r="D889" s="3"/>
      <c r="E889" s="4"/>
      <c r="F889" s="43"/>
      <c r="G889" s="4"/>
      <c r="H889" s="43"/>
      <c r="I889" s="4"/>
      <c r="J889" s="26"/>
      <c r="K889" s="27"/>
      <c r="L889" s="2"/>
      <c r="M889" s="4"/>
    </row>
    <row r="890" spans="1:13" ht="99.9" customHeight="1" thickTop="1" thickBot="1">
      <c r="A890" s="4">
        <v>888</v>
      </c>
      <c r="B890" s="2"/>
      <c r="C890" s="3"/>
      <c r="D890" s="3"/>
      <c r="E890" s="4"/>
      <c r="F890" s="43"/>
      <c r="G890" s="4"/>
      <c r="H890" s="43"/>
      <c r="I890" s="4"/>
      <c r="J890" s="26"/>
      <c r="K890" s="27"/>
      <c r="L890" s="2"/>
      <c r="M890" s="4"/>
    </row>
    <row r="891" spans="1:13" ht="99.9" customHeight="1" thickTop="1" thickBot="1">
      <c r="A891" s="31">
        <v>889</v>
      </c>
      <c r="B891" s="2"/>
      <c r="C891" s="3"/>
      <c r="D891" s="3"/>
      <c r="E891" s="4"/>
      <c r="F891" s="43"/>
      <c r="G891" s="4"/>
      <c r="H891" s="43"/>
      <c r="I891" s="4"/>
      <c r="J891" s="26"/>
      <c r="K891" s="27"/>
      <c r="L891" s="2"/>
      <c r="M891" s="4"/>
    </row>
    <row r="892" spans="1:13" ht="99.9" customHeight="1" thickTop="1" thickBot="1">
      <c r="A892" s="4">
        <v>890</v>
      </c>
      <c r="B892" s="2"/>
      <c r="C892" s="3"/>
      <c r="D892" s="3"/>
      <c r="E892" s="4"/>
      <c r="F892" s="43"/>
      <c r="G892" s="4"/>
      <c r="H892" s="43"/>
      <c r="I892" s="4"/>
      <c r="J892" s="26"/>
      <c r="K892" s="27"/>
      <c r="L892" s="2"/>
      <c r="M892" s="4"/>
    </row>
    <row r="893" spans="1:13" ht="99.9" customHeight="1" thickTop="1" thickBot="1">
      <c r="A893" s="31">
        <v>891</v>
      </c>
      <c r="B893" s="2"/>
      <c r="C893" s="3"/>
      <c r="D893" s="3"/>
      <c r="E893" s="4"/>
      <c r="F893" s="43"/>
      <c r="G893" s="4"/>
      <c r="H893" s="43"/>
      <c r="I893" s="4"/>
      <c r="J893" s="26"/>
      <c r="K893" s="27"/>
      <c r="L893" s="2"/>
      <c r="M893" s="4"/>
    </row>
    <row r="894" spans="1:13" ht="99.9" customHeight="1" thickTop="1" thickBot="1">
      <c r="A894" s="4">
        <v>892</v>
      </c>
      <c r="B894" s="2"/>
      <c r="C894" s="3"/>
      <c r="D894" s="3"/>
      <c r="E894" s="4"/>
      <c r="F894" s="43"/>
      <c r="G894" s="4"/>
      <c r="H894" s="43"/>
      <c r="I894" s="4"/>
      <c r="J894" s="26"/>
      <c r="K894" s="27"/>
      <c r="L894" s="2"/>
      <c r="M894" s="4"/>
    </row>
    <row r="895" spans="1:13" ht="99.9" customHeight="1" thickTop="1" thickBot="1">
      <c r="A895" s="31">
        <v>893</v>
      </c>
      <c r="B895" s="2"/>
      <c r="C895" s="3"/>
      <c r="D895" s="3"/>
      <c r="E895" s="4"/>
      <c r="F895" s="43"/>
      <c r="G895" s="4"/>
      <c r="H895" s="43"/>
      <c r="I895" s="4"/>
      <c r="J895" s="26"/>
      <c r="K895" s="27"/>
      <c r="L895" s="2"/>
      <c r="M895" s="4"/>
    </row>
    <row r="896" spans="1:13" ht="99.9" customHeight="1" thickTop="1" thickBot="1">
      <c r="A896" s="4">
        <v>894</v>
      </c>
      <c r="B896" s="2"/>
      <c r="C896" s="3"/>
      <c r="D896" s="3"/>
      <c r="E896" s="4"/>
      <c r="F896" s="43"/>
      <c r="G896" s="4"/>
      <c r="H896" s="43"/>
      <c r="I896" s="4"/>
      <c r="J896" s="26"/>
      <c r="K896" s="27"/>
      <c r="L896" s="2"/>
      <c r="M896" s="4"/>
    </row>
    <row r="897" spans="1:13" ht="99.9" customHeight="1" thickTop="1" thickBot="1">
      <c r="A897" s="31">
        <v>895</v>
      </c>
      <c r="B897" s="2"/>
      <c r="C897" s="3"/>
      <c r="D897" s="3"/>
      <c r="E897" s="4"/>
      <c r="F897" s="43"/>
      <c r="G897" s="4"/>
      <c r="H897" s="43"/>
      <c r="I897" s="4"/>
      <c r="J897" s="26"/>
      <c r="K897" s="27"/>
      <c r="L897" s="2"/>
      <c r="M897" s="4"/>
    </row>
    <row r="898" spans="1:13" ht="99.9" customHeight="1" thickTop="1" thickBot="1">
      <c r="A898" s="4">
        <v>896</v>
      </c>
      <c r="B898" s="2"/>
      <c r="C898" s="3"/>
      <c r="D898" s="3"/>
      <c r="E898" s="4"/>
      <c r="F898" s="43"/>
      <c r="G898" s="4"/>
      <c r="H898" s="43"/>
      <c r="I898" s="4"/>
      <c r="J898" s="26"/>
      <c r="K898" s="27"/>
      <c r="L898" s="2"/>
      <c r="M898" s="4"/>
    </row>
    <row r="899" spans="1:13" ht="99.9" customHeight="1" thickTop="1" thickBot="1">
      <c r="A899" s="31">
        <v>897</v>
      </c>
      <c r="B899" s="2"/>
      <c r="C899" s="3"/>
      <c r="D899" s="3"/>
      <c r="E899" s="4"/>
      <c r="F899" s="43"/>
      <c r="G899" s="4"/>
      <c r="H899" s="43"/>
      <c r="I899" s="4"/>
      <c r="J899" s="26"/>
      <c r="K899" s="27"/>
      <c r="L899" s="2"/>
      <c r="M899" s="4"/>
    </row>
    <row r="900" spans="1:13" ht="99.9" customHeight="1" thickTop="1" thickBot="1">
      <c r="A900" s="4">
        <v>898</v>
      </c>
      <c r="B900" s="2"/>
      <c r="C900" s="3"/>
      <c r="D900" s="3"/>
      <c r="E900" s="4"/>
      <c r="F900" s="43"/>
      <c r="G900" s="4"/>
      <c r="H900" s="43"/>
      <c r="I900" s="4"/>
      <c r="J900" s="26"/>
      <c r="K900" s="27"/>
      <c r="L900" s="2"/>
      <c r="M900" s="4"/>
    </row>
    <row r="901" spans="1:13" ht="99.9" customHeight="1" thickTop="1" thickBot="1">
      <c r="A901" s="31">
        <v>899</v>
      </c>
      <c r="B901" s="2"/>
      <c r="C901" s="3"/>
      <c r="D901" s="3"/>
      <c r="E901" s="4"/>
      <c r="F901" s="43"/>
      <c r="G901" s="4"/>
      <c r="H901" s="43"/>
      <c r="I901" s="4"/>
      <c r="J901" s="26"/>
      <c r="K901" s="27"/>
      <c r="L901" s="2"/>
      <c r="M901" s="4"/>
    </row>
    <row r="902" spans="1:13" ht="99.9" customHeight="1" thickTop="1" thickBot="1">
      <c r="A902" s="4">
        <v>900</v>
      </c>
      <c r="B902" s="2"/>
      <c r="C902" s="3"/>
      <c r="D902" s="3"/>
      <c r="E902" s="4"/>
      <c r="F902" s="43"/>
      <c r="G902" s="4"/>
      <c r="H902" s="43"/>
      <c r="I902" s="4"/>
      <c r="J902" s="26"/>
      <c r="K902" s="27"/>
      <c r="L902" s="2"/>
      <c r="M902" s="4"/>
    </row>
    <row r="903" spans="1:13" ht="99.9" customHeight="1" thickTop="1" thickBot="1">
      <c r="A903" s="31">
        <v>901</v>
      </c>
      <c r="B903" s="2"/>
      <c r="C903" s="3"/>
      <c r="D903" s="3"/>
      <c r="E903" s="4"/>
      <c r="F903" s="43"/>
      <c r="G903" s="4"/>
      <c r="H903" s="43"/>
      <c r="I903" s="4"/>
      <c r="J903" s="26"/>
      <c r="K903" s="27"/>
      <c r="L903" s="2"/>
      <c r="M903" s="4"/>
    </row>
    <row r="904" spans="1:13" ht="99.9" customHeight="1" thickTop="1" thickBot="1">
      <c r="A904" s="4">
        <v>902</v>
      </c>
      <c r="B904" s="2"/>
      <c r="C904" s="3"/>
      <c r="D904" s="3"/>
      <c r="E904" s="4"/>
      <c r="F904" s="43"/>
      <c r="G904" s="4"/>
      <c r="H904" s="43"/>
      <c r="I904" s="4"/>
      <c r="J904" s="26"/>
      <c r="K904" s="27"/>
      <c r="L904" s="2"/>
      <c r="M904" s="4"/>
    </row>
    <row r="905" spans="1:13" ht="99.9" customHeight="1" thickTop="1" thickBot="1">
      <c r="A905" s="31">
        <v>903</v>
      </c>
      <c r="B905" s="2"/>
      <c r="C905" s="3"/>
      <c r="D905" s="3"/>
      <c r="E905" s="4"/>
      <c r="F905" s="43"/>
      <c r="G905" s="4"/>
      <c r="H905" s="43"/>
      <c r="I905" s="4"/>
      <c r="J905" s="26"/>
      <c r="K905" s="27"/>
      <c r="L905" s="2"/>
      <c r="M905" s="4"/>
    </row>
    <row r="906" spans="1:13" ht="99.9" customHeight="1" thickTop="1" thickBot="1">
      <c r="A906" s="4">
        <v>904</v>
      </c>
      <c r="B906" s="2"/>
      <c r="C906" s="3"/>
      <c r="D906" s="3"/>
      <c r="E906" s="4"/>
      <c r="F906" s="43"/>
      <c r="G906" s="4"/>
      <c r="H906" s="43"/>
      <c r="I906" s="4"/>
      <c r="J906" s="26"/>
      <c r="K906" s="27"/>
      <c r="L906" s="2"/>
      <c r="M906" s="4"/>
    </row>
    <row r="907" spans="1:13" ht="99.9" customHeight="1" thickTop="1" thickBot="1">
      <c r="A907" s="31">
        <v>905</v>
      </c>
      <c r="B907" s="2"/>
      <c r="C907" s="3"/>
      <c r="D907" s="3"/>
      <c r="E907" s="4"/>
      <c r="F907" s="43"/>
      <c r="G907" s="4"/>
      <c r="H907" s="43"/>
      <c r="I907" s="4"/>
      <c r="J907" s="26"/>
      <c r="K907" s="27"/>
      <c r="L907" s="2"/>
      <c r="M907" s="4"/>
    </row>
    <row r="908" spans="1:13" ht="99.9" customHeight="1" thickTop="1" thickBot="1">
      <c r="A908" s="4">
        <v>906</v>
      </c>
      <c r="B908" s="2"/>
      <c r="C908" s="3"/>
      <c r="D908" s="3"/>
      <c r="E908" s="4"/>
      <c r="F908" s="43"/>
      <c r="G908" s="4"/>
      <c r="H908" s="43"/>
      <c r="I908" s="4"/>
      <c r="J908" s="26"/>
      <c r="K908" s="27"/>
      <c r="L908" s="2"/>
      <c r="M908" s="4"/>
    </row>
    <row r="909" spans="1:13" ht="99.9" customHeight="1" thickTop="1" thickBot="1">
      <c r="A909" s="31">
        <v>907</v>
      </c>
      <c r="B909" s="2"/>
      <c r="C909" s="3"/>
      <c r="D909" s="3"/>
      <c r="E909" s="4"/>
      <c r="F909" s="43"/>
      <c r="G909" s="4"/>
      <c r="H909" s="43"/>
      <c r="I909" s="4"/>
      <c r="J909" s="26"/>
      <c r="K909" s="27"/>
      <c r="L909" s="2"/>
      <c r="M909" s="4"/>
    </row>
    <row r="910" spans="1:13" ht="99.9" customHeight="1" thickTop="1" thickBot="1">
      <c r="A910" s="4">
        <v>908</v>
      </c>
      <c r="B910" s="2"/>
      <c r="C910" s="3"/>
      <c r="D910" s="3"/>
      <c r="E910" s="4"/>
      <c r="F910" s="43"/>
      <c r="G910" s="4"/>
      <c r="H910" s="43"/>
      <c r="I910" s="4"/>
      <c r="J910" s="26"/>
      <c r="K910" s="27"/>
      <c r="L910" s="2"/>
      <c r="M910" s="4"/>
    </row>
    <row r="911" spans="1:13" ht="99.9" customHeight="1" thickTop="1" thickBot="1">
      <c r="A911" s="31">
        <v>909</v>
      </c>
      <c r="B911" s="2"/>
      <c r="C911" s="3"/>
      <c r="D911" s="3"/>
      <c r="E911" s="4"/>
      <c r="F911" s="43"/>
      <c r="G911" s="4"/>
      <c r="H911" s="43"/>
      <c r="I911" s="4"/>
      <c r="J911" s="26"/>
      <c r="K911" s="27"/>
      <c r="L911" s="2"/>
      <c r="M911" s="4"/>
    </row>
    <row r="912" spans="1:13" ht="99.9" customHeight="1" thickTop="1" thickBot="1">
      <c r="A912" s="4">
        <v>910</v>
      </c>
      <c r="B912" s="2"/>
      <c r="C912" s="3"/>
      <c r="D912" s="3"/>
      <c r="E912" s="4"/>
      <c r="F912" s="43"/>
      <c r="G912" s="4"/>
      <c r="H912" s="43"/>
      <c r="I912" s="4"/>
      <c r="J912" s="26"/>
      <c r="K912" s="27"/>
      <c r="L912" s="2"/>
      <c r="M912" s="4"/>
    </row>
    <row r="913" spans="1:13" ht="99.9" customHeight="1" thickTop="1" thickBot="1">
      <c r="A913" s="31">
        <v>911</v>
      </c>
      <c r="B913" s="2"/>
      <c r="C913" s="3"/>
      <c r="D913" s="3"/>
      <c r="E913" s="4"/>
      <c r="F913" s="43"/>
      <c r="G913" s="4"/>
      <c r="H913" s="43"/>
      <c r="I913" s="4"/>
      <c r="J913" s="26"/>
      <c r="K913" s="27"/>
      <c r="L913" s="2"/>
      <c r="M913" s="4"/>
    </row>
    <row r="914" spans="1:13" ht="99.9" customHeight="1" thickTop="1" thickBot="1">
      <c r="A914" s="4">
        <v>912</v>
      </c>
      <c r="B914" s="2"/>
      <c r="C914" s="3"/>
      <c r="D914" s="3"/>
      <c r="E914" s="4"/>
      <c r="F914" s="43"/>
      <c r="G914" s="4"/>
      <c r="H914" s="43"/>
      <c r="I914" s="4"/>
      <c r="J914" s="26"/>
      <c r="K914" s="27"/>
      <c r="L914" s="2"/>
      <c r="M914" s="4"/>
    </row>
    <row r="915" spans="1:13" ht="99.9" customHeight="1" thickTop="1" thickBot="1">
      <c r="A915" s="31">
        <v>913</v>
      </c>
      <c r="B915" s="2"/>
      <c r="C915" s="3"/>
      <c r="D915" s="3"/>
      <c r="E915" s="4"/>
      <c r="F915" s="43"/>
      <c r="G915" s="4"/>
      <c r="H915" s="43"/>
      <c r="I915" s="4"/>
      <c r="J915" s="26"/>
      <c r="K915" s="27"/>
      <c r="L915" s="2"/>
      <c r="M915" s="4"/>
    </row>
    <row r="916" spans="1:13" ht="99.9" customHeight="1" thickTop="1" thickBot="1">
      <c r="A916" s="4">
        <v>914</v>
      </c>
      <c r="B916" s="2"/>
      <c r="C916" s="3"/>
      <c r="D916" s="3"/>
      <c r="E916" s="4"/>
      <c r="F916" s="43"/>
      <c r="G916" s="4"/>
      <c r="H916" s="43"/>
      <c r="I916" s="4"/>
      <c r="J916" s="26"/>
      <c r="K916" s="27"/>
      <c r="L916" s="2"/>
      <c r="M916" s="4"/>
    </row>
    <row r="917" spans="1:13" ht="99.9" customHeight="1" thickTop="1" thickBot="1">
      <c r="A917" s="31">
        <v>915</v>
      </c>
      <c r="B917" s="2"/>
      <c r="C917" s="3"/>
      <c r="D917" s="3"/>
      <c r="E917" s="4"/>
      <c r="F917" s="43"/>
      <c r="G917" s="4"/>
      <c r="H917" s="43"/>
      <c r="I917" s="4"/>
      <c r="J917" s="26"/>
      <c r="K917" s="27"/>
      <c r="L917" s="2"/>
      <c r="M917" s="4"/>
    </row>
    <row r="918" spans="1:13" ht="99.9" customHeight="1" thickTop="1" thickBot="1">
      <c r="A918" s="4">
        <v>916</v>
      </c>
      <c r="B918" s="2"/>
      <c r="C918" s="3"/>
      <c r="D918" s="3"/>
      <c r="E918" s="4"/>
      <c r="F918" s="43"/>
      <c r="G918" s="4"/>
      <c r="H918" s="43"/>
      <c r="I918" s="4"/>
      <c r="J918" s="26"/>
      <c r="K918" s="27"/>
      <c r="L918" s="2"/>
      <c r="M918" s="4"/>
    </row>
    <row r="919" spans="1:13" ht="99.9" customHeight="1" thickTop="1" thickBot="1">
      <c r="A919" s="31">
        <v>917</v>
      </c>
      <c r="B919" s="2"/>
      <c r="C919" s="3"/>
      <c r="D919" s="3"/>
      <c r="E919" s="4"/>
      <c r="F919" s="43"/>
      <c r="G919" s="4"/>
      <c r="H919" s="43"/>
      <c r="I919" s="4"/>
      <c r="J919" s="26"/>
      <c r="K919" s="27"/>
      <c r="L919" s="2"/>
      <c r="M919" s="4"/>
    </row>
    <row r="920" spans="1:13" ht="99.9" customHeight="1" thickTop="1" thickBot="1">
      <c r="A920" s="4">
        <v>918</v>
      </c>
      <c r="B920" s="2"/>
      <c r="C920" s="3"/>
      <c r="D920" s="3"/>
      <c r="E920" s="4"/>
      <c r="F920" s="43"/>
      <c r="G920" s="4"/>
      <c r="H920" s="43"/>
      <c r="I920" s="4"/>
      <c r="J920" s="26"/>
      <c r="K920" s="27"/>
      <c r="L920" s="2"/>
      <c r="M920" s="4"/>
    </row>
    <row r="921" spans="1:13" ht="99.9" customHeight="1" thickTop="1" thickBot="1">
      <c r="A921" s="31">
        <v>919</v>
      </c>
      <c r="B921" s="2"/>
      <c r="C921" s="3"/>
      <c r="D921" s="3"/>
      <c r="E921" s="4"/>
      <c r="F921" s="43"/>
      <c r="G921" s="4"/>
      <c r="H921" s="43"/>
      <c r="I921" s="4"/>
      <c r="J921" s="26"/>
      <c r="K921" s="27"/>
      <c r="L921" s="2"/>
      <c r="M921" s="4"/>
    </row>
    <row r="922" spans="1:13" ht="99.9" customHeight="1" thickTop="1" thickBot="1">
      <c r="A922" s="4">
        <v>920</v>
      </c>
      <c r="B922" s="2"/>
      <c r="C922" s="3"/>
      <c r="D922" s="3"/>
      <c r="E922" s="4"/>
      <c r="F922" s="43"/>
      <c r="G922" s="4"/>
      <c r="H922" s="43"/>
      <c r="I922" s="4"/>
      <c r="J922" s="26"/>
      <c r="K922" s="27"/>
      <c r="L922" s="2"/>
      <c r="M922" s="4"/>
    </row>
    <row r="923" spans="1:13" ht="99.9" customHeight="1" thickTop="1" thickBot="1">
      <c r="A923" s="31">
        <v>921</v>
      </c>
      <c r="B923" s="2"/>
      <c r="C923" s="3"/>
      <c r="D923" s="3"/>
      <c r="E923" s="4"/>
      <c r="F923" s="43"/>
      <c r="G923" s="4"/>
      <c r="H923" s="43"/>
      <c r="I923" s="4"/>
      <c r="J923" s="26"/>
      <c r="K923" s="27"/>
      <c r="L923" s="2"/>
      <c r="M923" s="4"/>
    </row>
    <row r="924" spans="1:13" ht="99.9" customHeight="1" thickTop="1" thickBot="1">
      <c r="A924" s="4">
        <v>922</v>
      </c>
      <c r="B924" s="2"/>
      <c r="C924" s="3"/>
      <c r="D924" s="3"/>
      <c r="E924" s="4"/>
      <c r="F924" s="43"/>
      <c r="G924" s="4"/>
      <c r="H924" s="43"/>
      <c r="I924" s="4"/>
      <c r="J924" s="26"/>
      <c r="K924" s="27"/>
      <c r="L924" s="2"/>
      <c r="M924" s="4"/>
    </row>
    <row r="925" spans="1:13" ht="99.9" customHeight="1" thickTop="1" thickBot="1">
      <c r="A925" s="31">
        <v>923</v>
      </c>
      <c r="B925" s="2"/>
      <c r="C925" s="3"/>
      <c r="D925" s="3"/>
      <c r="E925" s="4"/>
      <c r="F925" s="43"/>
      <c r="G925" s="4"/>
      <c r="H925" s="43"/>
      <c r="I925" s="4"/>
      <c r="J925" s="26"/>
      <c r="K925" s="27"/>
      <c r="L925" s="2"/>
      <c r="M925" s="4"/>
    </row>
    <row r="926" spans="1:13" ht="99.9" customHeight="1" thickTop="1" thickBot="1">
      <c r="A926" s="4">
        <v>924</v>
      </c>
      <c r="B926" s="2"/>
      <c r="C926" s="3"/>
      <c r="D926" s="3"/>
      <c r="E926" s="4"/>
      <c r="F926" s="43"/>
      <c r="G926" s="4"/>
      <c r="H926" s="43"/>
      <c r="I926" s="4"/>
      <c r="J926" s="26"/>
      <c r="K926" s="27"/>
      <c r="L926" s="2"/>
      <c r="M926" s="4"/>
    </row>
    <row r="927" spans="1:13" ht="99.9" customHeight="1" thickTop="1" thickBot="1">
      <c r="A927" s="31">
        <v>925</v>
      </c>
      <c r="B927" s="2"/>
      <c r="C927" s="3"/>
      <c r="D927" s="3"/>
      <c r="E927" s="4"/>
      <c r="F927" s="43"/>
      <c r="G927" s="4"/>
      <c r="H927" s="43"/>
      <c r="I927" s="4"/>
      <c r="J927" s="26"/>
      <c r="K927" s="27"/>
      <c r="L927" s="2"/>
      <c r="M927" s="4"/>
    </row>
    <row r="928" spans="1:13" ht="99.9" customHeight="1" thickTop="1" thickBot="1">
      <c r="A928" s="4">
        <v>926</v>
      </c>
      <c r="B928" s="2"/>
      <c r="C928" s="3"/>
      <c r="D928" s="3"/>
      <c r="E928" s="4"/>
      <c r="F928" s="43"/>
      <c r="G928" s="4"/>
      <c r="H928" s="43"/>
      <c r="I928" s="4"/>
      <c r="J928" s="26"/>
      <c r="K928" s="27"/>
      <c r="L928" s="2"/>
      <c r="M928" s="4"/>
    </row>
    <row r="929" spans="1:13" ht="99.9" customHeight="1" thickTop="1" thickBot="1">
      <c r="A929" s="31">
        <v>927</v>
      </c>
      <c r="B929" s="2"/>
      <c r="C929" s="3"/>
      <c r="D929" s="3"/>
      <c r="E929" s="4"/>
      <c r="F929" s="43"/>
      <c r="G929" s="4"/>
      <c r="H929" s="43"/>
      <c r="I929" s="4"/>
      <c r="J929" s="26"/>
      <c r="K929" s="27"/>
      <c r="L929" s="2"/>
      <c r="M929" s="4"/>
    </row>
    <row r="930" spans="1:13" ht="99.9" customHeight="1" thickTop="1" thickBot="1">
      <c r="A930" s="4">
        <v>928</v>
      </c>
      <c r="B930" s="2"/>
      <c r="C930" s="3"/>
      <c r="D930" s="3"/>
      <c r="E930" s="4"/>
      <c r="F930" s="43"/>
      <c r="G930" s="4"/>
      <c r="H930" s="43"/>
      <c r="I930" s="4"/>
      <c r="J930" s="26"/>
      <c r="K930" s="27"/>
      <c r="L930" s="2"/>
      <c r="M930" s="4"/>
    </row>
    <row r="931" spans="1:13" ht="99.9" customHeight="1" thickTop="1" thickBot="1">
      <c r="A931" s="31">
        <v>929</v>
      </c>
      <c r="B931" s="2"/>
      <c r="C931" s="3"/>
      <c r="D931" s="3"/>
      <c r="E931" s="4"/>
      <c r="F931" s="43"/>
      <c r="G931" s="4"/>
      <c r="H931" s="43"/>
      <c r="I931" s="4"/>
      <c r="J931" s="26"/>
      <c r="K931" s="27"/>
      <c r="L931" s="2"/>
      <c r="M931" s="4"/>
    </row>
    <row r="932" spans="1:13" ht="99.9" customHeight="1" thickTop="1" thickBot="1">
      <c r="A932" s="4">
        <v>930</v>
      </c>
      <c r="B932" s="2"/>
      <c r="C932" s="3"/>
      <c r="D932" s="3"/>
      <c r="E932" s="4"/>
      <c r="F932" s="43"/>
      <c r="G932" s="4"/>
      <c r="H932" s="43"/>
      <c r="I932" s="4"/>
      <c r="J932" s="26"/>
      <c r="K932" s="27"/>
      <c r="L932" s="2"/>
      <c r="M932" s="4"/>
    </row>
    <row r="933" spans="1:13" ht="99.9" customHeight="1" thickTop="1" thickBot="1">
      <c r="A933" s="31">
        <v>931</v>
      </c>
      <c r="B933" s="2"/>
      <c r="C933" s="3"/>
      <c r="D933" s="3"/>
      <c r="E933" s="4"/>
      <c r="F933" s="43"/>
      <c r="G933" s="4"/>
      <c r="H933" s="43"/>
      <c r="I933" s="4"/>
      <c r="J933" s="26"/>
      <c r="K933" s="27"/>
      <c r="L933" s="2"/>
      <c r="M933" s="4"/>
    </row>
    <row r="934" spans="1:13" ht="99.9" customHeight="1" thickTop="1" thickBot="1">
      <c r="A934" s="4">
        <v>932</v>
      </c>
      <c r="B934" s="2"/>
      <c r="C934" s="3"/>
      <c r="D934" s="3"/>
      <c r="E934" s="4"/>
      <c r="F934" s="43"/>
      <c r="G934" s="4"/>
      <c r="H934" s="43"/>
      <c r="I934" s="4"/>
      <c r="J934" s="26"/>
      <c r="K934" s="27"/>
      <c r="L934" s="2"/>
      <c r="M934" s="4"/>
    </row>
    <row r="935" spans="1:13" ht="99.9" customHeight="1" thickTop="1" thickBot="1">
      <c r="A935" s="31">
        <v>933</v>
      </c>
      <c r="B935" s="2"/>
      <c r="C935" s="3"/>
      <c r="D935" s="3"/>
      <c r="E935" s="4"/>
      <c r="F935" s="43"/>
      <c r="G935" s="4"/>
      <c r="H935" s="43"/>
      <c r="I935" s="4"/>
      <c r="J935" s="26"/>
      <c r="K935" s="27"/>
      <c r="L935" s="2"/>
      <c r="M935" s="4"/>
    </row>
    <row r="936" spans="1:13" ht="99.9" customHeight="1" thickTop="1" thickBot="1">
      <c r="A936" s="4">
        <v>934</v>
      </c>
      <c r="B936" s="2"/>
      <c r="C936" s="3"/>
      <c r="D936" s="3"/>
      <c r="E936" s="4"/>
      <c r="F936" s="43"/>
      <c r="G936" s="4"/>
      <c r="H936" s="43"/>
      <c r="I936" s="4"/>
      <c r="J936" s="26"/>
      <c r="K936" s="27"/>
      <c r="L936" s="2"/>
      <c r="M936" s="4"/>
    </row>
    <row r="937" spans="1:13" ht="99.9" customHeight="1" thickTop="1" thickBot="1">
      <c r="A937" s="31">
        <v>935</v>
      </c>
      <c r="B937" s="2"/>
      <c r="C937" s="3"/>
      <c r="D937" s="3"/>
      <c r="E937" s="4"/>
      <c r="F937" s="43"/>
      <c r="G937" s="4"/>
      <c r="H937" s="43"/>
      <c r="I937" s="4"/>
      <c r="J937" s="26"/>
      <c r="K937" s="27"/>
      <c r="L937" s="2"/>
      <c r="M937" s="4"/>
    </row>
    <row r="938" spans="1:13" ht="99.9" customHeight="1" thickTop="1" thickBot="1">
      <c r="A938" s="4">
        <v>936</v>
      </c>
      <c r="B938" s="2"/>
      <c r="C938" s="3"/>
      <c r="D938" s="3"/>
      <c r="E938" s="4"/>
      <c r="F938" s="43"/>
      <c r="G938" s="4"/>
      <c r="H938" s="43"/>
      <c r="I938" s="4"/>
      <c r="J938" s="26"/>
      <c r="K938" s="27"/>
      <c r="L938" s="2"/>
      <c r="M938" s="4"/>
    </row>
    <row r="939" spans="1:13" ht="99.9" customHeight="1" thickTop="1" thickBot="1">
      <c r="A939" s="31">
        <v>937</v>
      </c>
      <c r="B939" s="2"/>
      <c r="C939" s="3"/>
      <c r="D939" s="3"/>
      <c r="E939" s="4"/>
      <c r="F939" s="43"/>
      <c r="G939" s="4"/>
      <c r="H939" s="43"/>
      <c r="I939" s="4"/>
      <c r="J939" s="26"/>
      <c r="K939" s="27"/>
      <c r="L939" s="2"/>
      <c r="M939" s="4"/>
    </row>
    <row r="940" spans="1:13" ht="99.9" customHeight="1" thickTop="1" thickBot="1">
      <c r="A940" s="4">
        <v>938</v>
      </c>
      <c r="B940" s="2"/>
      <c r="C940" s="3"/>
      <c r="D940" s="3"/>
      <c r="E940" s="4"/>
      <c r="F940" s="43"/>
      <c r="G940" s="4"/>
      <c r="H940" s="43"/>
      <c r="I940" s="4"/>
      <c r="J940" s="26"/>
      <c r="K940" s="27"/>
      <c r="L940" s="2"/>
      <c r="M940" s="4"/>
    </row>
    <row r="941" spans="1:13" ht="99.9" customHeight="1" thickTop="1" thickBot="1">
      <c r="A941" s="31">
        <v>939</v>
      </c>
      <c r="B941" s="2"/>
      <c r="C941" s="3"/>
      <c r="D941" s="3"/>
      <c r="E941" s="4"/>
      <c r="F941" s="43"/>
      <c r="G941" s="4"/>
      <c r="H941" s="43"/>
      <c r="I941" s="4"/>
      <c r="J941" s="26"/>
      <c r="K941" s="27"/>
      <c r="L941" s="2"/>
      <c r="M941" s="4"/>
    </row>
    <row r="942" spans="1:13" ht="99.9" customHeight="1" thickTop="1" thickBot="1">
      <c r="A942" s="4">
        <v>940</v>
      </c>
      <c r="B942" s="2"/>
      <c r="C942" s="3"/>
      <c r="D942" s="3"/>
      <c r="E942" s="4"/>
      <c r="F942" s="43"/>
      <c r="G942" s="4"/>
      <c r="H942" s="43"/>
      <c r="I942" s="4"/>
      <c r="J942" s="26"/>
      <c r="K942" s="27"/>
      <c r="L942" s="2"/>
      <c r="M942" s="4"/>
    </row>
    <row r="943" spans="1:13" ht="99.9" customHeight="1" thickTop="1" thickBot="1">
      <c r="A943" s="31">
        <v>941</v>
      </c>
      <c r="B943" s="2"/>
      <c r="C943" s="3"/>
      <c r="D943" s="3"/>
      <c r="E943" s="4"/>
      <c r="F943" s="43"/>
      <c r="G943" s="4"/>
      <c r="H943" s="43"/>
      <c r="I943" s="4"/>
      <c r="J943" s="26"/>
      <c r="K943" s="27"/>
      <c r="L943" s="2"/>
      <c r="M943" s="4"/>
    </row>
    <row r="944" spans="1:13" ht="99.9" customHeight="1" thickTop="1" thickBot="1">
      <c r="A944" s="4">
        <v>942</v>
      </c>
      <c r="B944" s="2"/>
      <c r="C944" s="3"/>
      <c r="D944" s="3"/>
      <c r="E944" s="4"/>
      <c r="F944" s="43"/>
      <c r="G944" s="4"/>
      <c r="H944" s="43"/>
      <c r="I944" s="4"/>
      <c r="J944" s="26"/>
      <c r="K944" s="27"/>
      <c r="L944" s="2"/>
      <c r="M944" s="4"/>
    </row>
    <row r="945" spans="1:13" ht="99.9" customHeight="1" thickTop="1" thickBot="1">
      <c r="A945" s="31">
        <v>943</v>
      </c>
      <c r="B945" s="2"/>
      <c r="C945" s="3"/>
      <c r="D945" s="3"/>
      <c r="E945" s="4"/>
      <c r="F945" s="43"/>
      <c r="G945" s="4"/>
      <c r="H945" s="43"/>
      <c r="I945" s="4"/>
      <c r="J945" s="26"/>
      <c r="K945" s="27"/>
      <c r="L945" s="2"/>
      <c r="M945" s="4"/>
    </row>
    <row r="946" spans="1:13" ht="99.9" customHeight="1" thickTop="1" thickBot="1">
      <c r="A946" s="4">
        <v>944</v>
      </c>
      <c r="B946" s="2"/>
      <c r="C946" s="3"/>
      <c r="D946" s="3"/>
      <c r="E946" s="4"/>
      <c r="F946" s="43"/>
      <c r="G946" s="4"/>
      <c r="H946" s="43"/>
      <c r="I946" s="4"/>
      <c r="J946" s="26"/>
      <c r="K946" s="27"/>
      <c r="L946" s="2"/>
      <c r="M946" s="4"/>
    </row>
    <row r="947" spans="1:13" ht="99.9" customHeight="1" thickTop="1" thickBot="1">
      <c r="A947" s="31">
        <v>945</v>
      </c>
      <c r="B947" s="2"/>
      <c r="C947" s="3"/>
      <c r="D947" s="3"/>
      <c r="E947" s="4"/>
      <c r="F947" s="43"/>
      <c r="G947" s="4"/>
      <c r="H947" s="43"/>
      <c r="I947" s="4"/>
      <c r="J947" s="26"/>
      <c r="K947" s="27"/>
      <c r="L947" s="2"/>
      <c r="M947" s="4"/>
    </row>
    <row r="948" spans="1:13" ht="99.9" customHeight="1" thickTop="1" thickBot="1">
      <c r="A948" s="4">
        <v>946</v>
      </c>
      <c r="B948" s="2"/>
      <c r="C948" s="3"/>
      <c r="D948" s="3"/>
      <c r="E948" s="4"/>
      <c r="F948" s="43"/>
      <c r="G948" s="4"/>
      <c r="H948" s="43"/>
      <c r="I948" s="4"/>
      <c r="J948" s="26"/>
      <c r="K948" s="27"/>
      <c r="L948" s="2"/>
      <c r="M948" s="4"/>
    </row>
    <row r="949" spans="1:13" ht="99.9" customHeight="1" thickTop="1" thickBot="1">
      <c r="A949" s="31">
        <v>947</v>
      </c>
      <c r="B949" s="2"/>
      <c r="C949" s="3"/>
      <c r="D949" s="3"/>
      <c r="E949" s="4"/>
      <c r="F949" s="43"/>
      <c r="G949" s="4"/>
      <c r="H949" s="43"/>
      <c r="I949" s="4"/>
      <c r="J949" s="26"/>
      <c r="K949" s="27"/>
      <c r="L949" s="2"/>
      <c r="M949" s="4"/>
    </row>
    <row r="950" spans="1:13" ht="99.9" customHeight="1" thickTop="1" thickBot="1">
      <c r="A950" s="4">
        <v>948</v>
      </c>
      <c r="B950" s="2"/>
      <c r="C950" s="3"/>
      <c r="D950" s="3"/>
      <c r="E950" s="4"/>
      <c r="F950" s="43"/>
      <c r="G950" s="4"/>
      <c r="H950" s="43"/>
      <c r="I950" s="4"/>
      <c r="J950" s="26"/>
      <c r="K950" s="27"/>
      <c r="L950" s="2"/>
      <c r="M950" s="4"/>
    </row>
    <row r="951" spans="1:13" ht="99.9" customHeight="1" thickTop="1" thickBot="1">
      <c r="A951" s="31">
        <v>949</v>
      </c>
      <c r="B951" s="2"/>
      <c r="C951" s="3"/>
      <c r="D951" s="3"/>
      <c r="E951" s="4"/>
      <c r="F951" s="43"/>
      <c r="G951" s="4"/>
      <c r="H951" s="43"/>
      <c r="I951" s="4"/>
      <c r="J951" s="26"/>
      <c r="K951" s="27"/>
      <c r="L951" s="2"/>
      <c r="M951" s="4"/>
    </row>
    <row r="952" spans="1:13" ht="99.9" customHeight="1" thickTop="1" thickBot="1">
      <c r="A952" s="4">
        <v>950</v>
      </c>
      <c r="B952" s="2"/>
      <c r="C952" s="3"/>
      <c r="D952" s="3"/>
      <c r="E952" s="4"/>
      <c r="F952" s="43"/>
      <c r="G952" s="4"/>
      <c r="H952" s="43"/>
      <c r="I952" s="4"/>
      <c r="J952" s="26"/>
      <c r="K952" s="27"/>
      <c r="L952" s="2"/>
      <c r="M952" s="4"/>
    </row>
    <row r="953" spans="1:13" ht="99.9" customHeight="1" thickTop="1" thickBot="1">
      <c r="A953" s="31">
        <v>951</v>
      </c>
      <c r="B953" s="2"/>
      <c r="C953" s="3"/>
      <c r="D953" s="3"/>
      <c r="E953" s="4"/>
      <c r="F953" s="43"/>
      <c r="G953" s="4"/>
      <c r="H953" s="43"/>
      <c r="I953" s="4"/>
      <c r="J953" s="26"/>
      <c r="K953" s="27"/>
      <c r="L953" s="2"/>
      <c r="M953" s="4"/>
    </row>
    <row r="954" spans="1:13" ht="99.9" customHeight="1" thickTop="1" thickBot="1">
      <c r="A954" s="4">
        <v>952</v>
      </c>
      <c r="B954" s="2"/>
      <c r="C954" s="3"/>
      <c r="D954" s="3"/>
      <c r="E954" s="4"/>
      <c r="F954" s="43"/>
      <c r="G954" s="4"/>
      <c r="H954" s="43"/>
      <c r="I954" s="4"/>
      <c r="J954" s="26"/>
      <c r="K954" s="27"/>
      <c r="L954" s="2"/>
      <c r="M954" s="4"/>
    </row>
    <row r="955" spans="1:13" ht="99.9" customHeight="1" thickTop="1" thickBot="1">
      <c r="A955" s="31">
        <v>953</v>
      </c>
      <c r="B955" s="2"/>
      <c r="C955" s="3"/>
      <c r="D955" s="3"/>
      <c r="E955" s="4"/>
      <c r="F955" s="43"/>
      <c r="G955" s="4"/>
      <c r="H955" s="43"/>
      <c r="I955" s="4"/>
      <c r="J955" s="26"/>
      <c r="K955" s="27"/>
      <c r="L955" s="2"/>
      <c r="M955" s="4"/>
    </row>
    <row r="956" spans="1:13" ht="99.9" customHeight="1" thickTop="1" thickBot="1">
      <c r="A956" s="4">
        <v>954</v>
      </c>
      <c r="B956" s="2"/>
      <c r="C956" s="3"/>
      <c r="D956" s="3"/>
      <c r="E956" s="4"/>
      <c r="F956" s="43"/>
      <c r="G956" s="4"/>
      <c r="H956" s="43"/>
      <c r="I956" s="4"/>
      <c r="J956" s="26"/>
      <c r="K956" s="27"/>
      <c r="L956" s="2"/>
      <c r="M956" s="4"/>
    </row>
    <row r="957" spans="1:13" ht="99.9" customHeight="1" thickTop="1" thickBot="1">
      <c r="A957" s="31">
        <v>955</v>
      </c>
      <c r="B957" s="2"/>
      <c r="C957" s="3"/>
      <c r="D957" s="3"/>
      <c r="E957" s="4"/>
      <c r="F957" s="43"/>
      <c r="G957" s="4"/>
      <c r="H957" s="43"/>
      <c r="I957" s="4"/>
      <c r="J957" s="26"/>
      <c r="K957" s="27"/>
      <c r="L957" s="2"/>
      <c r="M957" s="4"/>
    </row>
    <row r="958" spans="1:13" ht="99.9" customHeight="1" thickTop="1" thickBot="1">
      <c r="A958" s="4">
        <v>956</v>
      </c>
      <c r="B958" s="2"/>
      <c r="C958" s="3"/>
      <c r="D958" s="3"/>
      <c r="E958" s="4"/>
      <c r="F958" s="43"/>
      <c r="G958" s="4"/>
      <c r="H958" s="43"/>
      <c r="I958" s="4"/>
      <c r="J958" s="26"/>
      <c r="K958" s="27"/>
      <c r="L958" s="2"/>
      <c r="M958" s="4"/>
    </row>
    <row r="959" spans="1:13" ht="99.9" customHeight="1" thickTop="1" thickBot="1">
      <c r="A959" s="31">
        <v>957</v>
      </c>
      <c r="B959" s="2"/>
      <c r="C959" s="3"/>
      <c r="D959" s="3"/>
      <c r="E959" s="4"/>
      <c r="F959" s="43"/>
      <c r="G959" s="4"/>
      <c r="H959" s="43"/>
      <c r="I959" s="4"/>
      <c r="J959" s="26"/>
      <c r="K959" s="27"/>
      <c r="L959" s="2"/>
      <c r="M959" s="4"/>
    </row>
    <row r="960" spans="1:13" ht="99.9" customHeight="1" thickTop="1" thickBot="1">
      <c r="A960" s="4">
        <v>958</v>
      </c>
      <c r="B960" s="2"/>
      <c r="C960" s="3"/>
      <c r="D960" s="3"/>
      <c r="E960" s="4"/>
      <c r="F960" s="43"/>
      <c r="G960" s="4"/>
      <c r="H960" s="43"/>
      <c r="I960" s="4"/>
      <c r="J960" s="26"/>
      <c r="K960" s="27"/>
      <c r="L960" s="2"/>
      <c r="M960" s="4"/>
    </row>
    <row r="961" spans="1:13" ht="99.9" customHeight="1" thickTop="1" thickBot="1">
      <c r="A961" s="31">
        <v>959</v>
      </c>
      <c r="B961" s="2"/>
      <c r="C961" s="3"/>
      <c r="D961" s="3"/>
      <c r="E961" s="4"/>
      <c r="F961" s="43"/>
      <c r="G961" s="4"/>
      <c r="H961" s="43"/>
      <c r="I961" s="4"/>
      <c r="J961" s="26"/>
      <c r="K961" s="27"/>
      <c r="L961" s="2"/>
      <c r="M961" s="4"/>
    </row>
    <row r="962" spans="1:13" ht="99.9" customHeight="1" thickTop="1" thickBot="1">
      <c r="A962" s="4">
        <v>960</v>
      </c>
      <c r="B962" s="2"/>
      <c r="C962" s="3"/>
      <c r="D962" s="3"/>
      <c r="E962" s="4"/>
      <c r="F962" s="43"/>
      <c r="G962" s="4"/>
      <c r="H962" s="43"/>
      <c r="I962" s="4"/>
      <c r="J962" s="26"/>
      <c r="K962" s="27"/>
      <c r="L962" s="2"/>
      <c r="M962" s="4"/>
    </row>
    <row r="963" spans="1:13" ht="99.9" customHeight="1" thickTop="1" thickBot="1">
      <c r="A963" s="31">
        <v>961</v>
      </c>
      <c r="B963" s="2"/>
      <c r="C963" s="3"/>
      <c r="D963" s="3"/>
      <c r="E963" s="4"/>
      <c r="F963" s="43"/>
      <c r="G963" s="4"/>
      <c r="H963" s="43"/>
      <c r="I963" s="4"/>
      <c r="J963" s="26"/>
      <c r="K963" s="27"/>
      <c r="L963" s="2"/>
      <c r="M963" s="4"/>
    </row>
    <row r="964" spans="1:13" ht="99.9" customHeight="1" thickTop="1" thickBot="1">
      <c r="A964" s="4">
        <v>962</v>
      </c>
      <c r="B964" s="2"/>
      <c r="C964" s="3"/>
      <c r="D964" s="3"/>
      <c r="E964" s="4"/>
      <c r="F964" s="43"/>
      <c r="G964" s="4"/>
      <c r="H964" s="43"/>
      <c r="I964" s="4"/>
      <c r="J964" s="26"/>
      <c r="K964" s="27"/>
      <c r="L964" s="2"/>
      <c r="M964" s="4"/>
    </row>
    <row r="965" spans="1:13" ht="99.9" customHeight="1" thickTop="1" thickBot="1">
      <c r="A965" s="31">
        <v>963</v>
      </c>
      <c r="B965" s="2"/>
      <c r="C965" s="3"/>
      <c r="D965" s="3"/>
      <c r="E965" s="4"/>
      <c r="F965" s="43"/>
      <c r="G965" s="4"/>
      <c r="H965" s="43"/>
      <c r="I965" s="4"/>
      <c r="J965" s="26"/>
      <c r="K965" s="27"/>
      <c r="L965" s="2"/>
      <c r="M965" s="4"/>
    </row>
    <row r="966" spans="1:13" ht="99.9" customHeight="1" thickTop="1" thickBot="1">
      <c r="A966" s="4">
        <v>964</v>
      </c>
      <c r="B966" s="2"/>
      <c r="C966" s="3"/>
      <c r="D966" s="3"/>
      <c r="E966" s="4"/>
      <c r="F966" s="43"/>
      <c r="G966" s="4"/>
      <c r="H966" s="43"/>
      <c r="I966" s="4"/>
      <c r="J966" s="26"/>
      <c r="K966" s="27"/>
      <c r="L966" s="2"/>
      <c r="M966" s="4"/>
    </row>
    <row r="967" spans="1:13" ht="99.9" customHeight="1" thickTop="1" thickBot="1">
      <c r="A967" s="31">
        <v>965</v>
      </c>
      <c r="B967" s="2"/>
      <c r="C967" s="3"/>
      <c r="D967" s="3"/>
      <c r="E967" s="4"/>
      <c r="F967" s="43"/>
      <c r="G967" s="4"/>
      <c r="H967" s="43"/>
      <c r="I967" s="4"/>
      <c r="J967" s="26"/>
      <c r="K967" s="27"/>
      <c r="L967" s="2"/>
      <c r="M967" s="4"/>
    </row>
    <row r="968" spans="1:13" ht="99.9" customHeight="1" thickTop="1" thickBot="1">
      <c r="A968" s="4">
        <v>966</v>
      </c>
      <c r="B968" s="2"/>
      <c r="C968" s="3"/>
      <c r="D968" s="3"/>
      <c r="E968" s="4"/>
      <c r="F968" s="43"/>
      <c r="G968" s="4"/>
      <c r="H968" s="43"/>
      <c r="I968" s="4"/>
      <c r="J968" s="26"/>
      <c r="K968" s="27"/>
      <c r="L968" s="2"/>
      <c r="M968" s="4"/>
    </row>
    <row r="969" spans="1:13" ht="99.9" customHeight="1" thickTop="1" thickBot="1">
      <c r="A969" s="31">
        <v>967</v>
      </c>
      <c r="B969" s="2"/>
      <c r="C969" s="3"/>
      <c r="D969" s="3"/>
      <c r="E969" s="4"/>
      <c r="F969" s="43"/>
      <c r="G969" s="4"/>
      <c r="H969" s="43"/>
      <c r="I969" s="4"/>
      <c r="J969" s="26"/>
      <c r="K969" s="27"/>
      <c r="L969" s="2"/>
      <c r="M969" s="4"/>
    </row>
    <row r="970" spans="1:13" ht="99.9" customHeight="1" thickTop="1" thickBot="1">
      <c r="A970" s="4">
        <v>968</v>
      </c>
      <c r="B970" s="2"/>
      <c r="C970" s="3"/>
      <c r="D970" s="3"/>
      <c r="E970" s="4"/>
      <c r="F970" s="43"/>
      <c r="G970" s="4"/>
      <c r="H970" s="43"/>
      <c r="I970" s="4"/>
      <c r="J970" s="26"/>
      <c r="K970" s="27"/>
      <c r="L970" s="2"/>
      <c r="M970" s="4"/>
    </row>
    <row r="971" spans="1:13" ht="99.9" customHeight="1" thickTop="1" thickBot="1">
      <c r="A971" s="31">
        <v>969</v>
      </c>
      <c r="B971" s="2"/>
      <c r="C971" s="3"/>
      <c r="D971" s="3"/>
      <c r="E971" s="4"/>
      <c r="F971" s="43"/>
      <c r="G971" s="4"/>
      <c r="H971" s="43"/>
      <c r="I971" s="4"/>
      <c r="J971" s="26"/>
      <c r="K971" s="27"/>
      <c r="L971" s="2"/>
      <c r="M971" s="4"/>
    </row>
    <row r="972" spans="1:13" ht="99.9" customHeight="1" thickTop="1" thickBot="1">
      <c r="A972" s="4">
        <v>970</v>
      </c>
      <c r="B972" s="2"/>
      <c r="C972" s="3"/>
      <c r="D972" s="3"/>
      <c r="E972" s="4"/>
      <c r="F972" s="43"/>
      <c r="G972" s="4"/>
      <c r="H972" s="43"/>
      <c r="I972" s="4"/>
      <c r="J972" s="26"/>
      <c r="K972" s="27"/>
      <c r="L972" s="2"/>
      <c r="M972" s="4"/>
    </row>
    <row r="973" spans="1:13" ht="99.9" customHeight="1" thickTop="1" thickBot="1">
      <c r="A973" s="31">
        <v>971</v>
      </c>
      <c r="B973" s="2"/>
      <c r="C973" s="3"/>
      <c r="D973" s="3"/>
      <c r="E973" s="4"/>
      <c r="F973" s="43"/>
      <c r="G973" s="4"/>
      <c r="H973" s="43"/>
      <c r="I973" s="4"/>
      <c r="J973" s="26"/>
      <c r="K973" s="27"/>
      <c r="L973" s="2"/>
      <c r="M973" s="4"/>
    </row>
    <row r="974" spans="1:13" ht="99.9" customHeight="1" thickTop="1" thickBot="1">
      <c r="A974" s="4">
        <v>972</v>
      </c>
      <c r="B974" s="2"/>
      <c r="C974" s="3"/>
      <c r="D974" s="3"/>
      <c r="E974" s="4"/>
      <c r="F974" s="43"/>
      <c r="G974" s="4"/>
      <c r="H974" s="43"/>
      <c r="I974" s="4"/>
      <c r="J974" s="26"/>
      <c r="K974" s="27"/>
      <c r="L974" s="2"/>
      <c r="M974" s="4"/>
    </row>
    <row r="975" spans="1:13" ht="99.9" customHeight="1" thickTop="1" thickBot="1">
      <c r="A975" s="31">
        <v>973</v>
      </c>
      <c r="B975" s="2"/>
      <c r="C975" s="3"/>
      <c r="D975" s="3"/>
      <c r="E975" s="4"/>
      <c r="F975" s="43"/>
      <c r="G975" s="4"/>
      <c r="H975" s="43"/>
      <c r="I975" s="4"/>
      <c r="J975" s="26"/>
      <c r="K975" s="27"/>
      <c r="L975" s="2"/>
      <c r="M975" s="4"/>
    </row>
    <row r="976" spans="1:13" ht="99.9" customHeight="1" thickTop="1" thickBot="1">
      <c r="A976" s="4">
        <v>974</v>
      </c>
      <c r="B976" s="2"/>
      <c r="C976" s="3"/>
      <c r="D976" s="3"/>
      <c r="E976" s="4"/>
      <c r="F976" s="43"/>
      <c r="G976" s="4"/>
      <c r="H976" s="43"/>
      <c r="I976" s="4"/>
      <c r="J976" s="26"/>
      <c r="K976" s="27"/>
      <c r="L976" s="2"/>
      <c r="M976" s="4"/>
    </row>
    <row r="977" spans="1:13" ht="99.9" customHeight="1" thickTop="1" thickBot="1">
      <c r="A977" s="31">
        <v>975</v>
      </c>
      <c r="B977" s="2"/>
      <c r="C977" s="3"/>
      <c r="D977" s="3"/>
      <c r="E977" s="4"/>
      <c r="F977" s="43"/>
      <c r="G977" s="4"/>
      <c r="H977" s="43"/>
      <c r="I977" s="4"/>
      <c r="J977" s="26"/>
      <c r="K977" s="27"/>
      <c r="L977" s="2"/>
      <c r="M977" s="4"/>
    </row>
    <row r="978" spans="1:13" ht="99.9" customHeight="1" thickTop="1" thickBot="1">
      <c r="A978" s="4">
        <v>976</v>
      </c>
      <c r="B978" s="2"/>
      <c r="C978" s="3"/>
      <c r="D978" s="3"/>
      <c r="E978" s="4"/>
      <c r="F978" s="43"/>
      <c r="G978" s="4"/>
      <c r="H978" s="43"/>
      <c r="I978" s="4"/>
      <c r="J978" s="26"/>
      <c r="K978" s="27"/>
      <c r="L978" s="2"/>
      <c r="M978" s="4"/>
    </row>
    <row r="979" spans="1:13" ht="99.9" customHeight="1" thickTop="1" thickBot="1">
      <c r="A979" s="31">
        <v>977</v>
      </c>
      <c r="B979" s="2"/>
      <c r="C979" s="3"/>
      <c r="D979" s="3"/>
      <c r="E979" s="4"/>
      <c r="F979" s="43"/>
      <c r="G979" s="4"/>
      <c r="H979" s="43"/>
      <c r="I979" s="4"/>
      <c r="J979" s="26"/>
      <c r="K979" s="27"/>
      <c r="L979" s="2"/>
      <c r="M979" s="4"/>
    </row>
    <row r="980" spans="1:13" ht="99.9" customHeight="1" thickTop="1" thickBot="1">
      <c r="A980" s="4">
        <v>978</v>
      </c>
      <c r="B980" s="2"/>
      <c r="C980" s="3"/>
      <c r="D980" s="3"/>
      <c r="E980" s="4"/>
      <c r="F980" s="43"/>
      <c r="G980" s="4"/>
      <c r="H980" s="43"/>
      <c r="I980" s="4"/>
      <c r="J980" s="26"/>
      <c r="K980" s="27"/>
      <c r="L980" s="2"/>
      <c r="M980" s="4"/>
    </row>
    <row r="981" spans="1:13" ht="99.9" customHeight="1" thickTop="1" thickBot="1">
      <c r="A981" s="31">
        <v>979</v>
      </c>
      <c r="B981" s="2"/>
      <c r="C981" s="3"/>
      <c r="D981" s="3"/>
      <c r="E981" s="4"/>
      <c r="F981" s="43"/>
      <c r="G981" s="4"/>
      <c r="H981" s="43"/>
      <c r="I981" s="4"/>
      <c r="J981" s="26"/>
      <c r="K981" s="27"/>
      <c r="L981" s="2"/>
      <c r="M981" s="4"/>
    </row>
    <row r="982" spans="1:13" ht="99.9" customHeight="1" thickTop="1" thickBot="1">
      <c r="A982" s="4">
        <v>980</v>
      </c>
      <c r="B982" s="2"/>
      <c r="C982" s="3"/>
      <c r="D982" s="3"/>
      <c r="E982" s="4"/>
      <c r="F982" s="43"/>
      <c r="G982" s="4"/>
      <c r="H982" s="43"/>
      <c r="I982" s="4"/>
      <c r="J982" s="26"/>
      <c r="K982" s="27"/>
      <c r="L982" s="2"/>
      <c r="M982" s="4"/>
    </row>
    <row r="983" spans="1:13" ht="99.9" customHeight="1" thickTop="1" thickBot="1">
      <c r="A983" s="31">
        <v>981</v>
      </c>
      <c r="B983" s="2"/>
      <c r="C983" s="3"/>
      <c r="D983" s="3"/>
      <c r="E983" s="4"/>
      <c r="F983" s="43"/>
      <c r="G983" s="4"/>
      <c r="H983" s="43"/>
      <c r="I983" s="4"/>
      <c r="J983" s="26"/>
      <c r="K983" s="27"/>
      <c r="L983" s="2"/>
      <c r="M983" s="4"/>
    </row>
    <row r="984" spans="1:13" ht="99.9" customHeight="1" thickTop="1" thickBot="1">
      <c r="A984" s="4">
        <v>982</v>
      </c>
      <c r="B984" s="2"/>
      <c r="C984" s="3"/>
      <c r="D984" s="3"/>
      <c r="E984" s="4"/>
      <c r="F984" s="43"/>
      <c r="G984" s="4"/>
      <c r="H984" s="43"/>
      <c r="I984" s="4"/>
      <c r="J984" s="26"/>
      <c r="K984" s="27"/>
      <c r="L984" s="2"/>
      <c r="M984" s="4"/>
    </row>
    <row r="985" spans="1:13" ht="99.9" customHeight="1" thickTop="1" thickBot="1">
      <c r="A985" s="31">
        <v>983</v>
      </c>
      <c r="B985" s="2"/>
      <c r="C985" s="3"/>
      <c r="D985" s="3"/>
      <c r="E985" s="4"/>
      <c r="F985" s="43"/>
      <c r="G985" s="4"/>
      <c r="H985" s="43"/>
      <c r="I985" s="4"/>
      <c r="J985" s="26"/>
      <c r="K985" s="27"/>
      <c r="L985" s="2"/>
      <c r="M985" s="4"/>
    </row>
    <row r="986" spans="1:13" ht="99.9" customHeight="1" thickTop="1" thickBot="1">
      <c r="A986" s="4">
        <v>984</v>
      </c>
      <c r="B986" s="2"/>
      <c r="C986" s="3"/>
      <c r="D986" s="3"/>
      <c r="E986" s="4"/>
      <c r="F986" s="43"/>
      <c r="G986" s="4"/>
      <c r="H986" s="43"/>
      <c r="I986" s="4"/>
      <c r="J986" s="26"/>
      <c r="K986" s="27"/>
      <c r="L986" s="2"/>
      <c r="M986" s="4"/>
    </row>
    <row r="987" spans="1:13" ht="99.9" customHeight="1" thickTop="1" thickBot="1">
      <c r="A987" s="31">
        <v>985</v>
      </c>
      <c r="B987" s="2"/>
      <c r="C987" s="3"/>
      <c r="D987" s="3"/>
      <c r="E987" s="4"/>
      <c r="F987" s="43"/>
      <c r="G987" s="4"/>
      <c r="H987" s="43"/>
      <c r="I987" s="4"/>
      <c r="J987" s="26"/>
      <c r="K987" s="27"/>
      <c r="L987" s="2"/>
      <c r="M987" s="4"/>
    </row>
    <row r="988" spans="1:13" ht="99.9" customHeight="1" thickTop="1" thickBot="1">
      <c r="A988" s="4">
        <v>986</v>
      </c>
      <c r="B988" s="2"/>
      <c r="C988" s="3"/>
      <c r="D988" s="3"/>
      <c r="E988" s="4"/>
      <c r="F988" s="43"/>
      <c r="G988" s="4"/>
      <c r="H988" s="43"/>
      <c r="I988" s="4"/>
      <c r="J988" s="26"/>
      <c r="K988" s="27"/>
      <c r="L988" s="2"/>
      <c r="M988" s="4"/>
    </row>
    <row r="989" spans="1:13" ht="99.9" customHeight="1" thickTop="1" thickBot="1">
      <c r="A989" s="31">
        <v>987</v>
      </c>
      <c r="B989" s="2"/>
      <c r="C989" s="3"/>
      <c r="D989" s="3"/>
      <c r="E989" s="4"/>
      <c r="F989" s="43"/>
      <c r="G989" s="4"/>
      <c r="H989" s="43"/>
      <c r="I989" s="4"/>
      <c r="J989" s="26"/>
      <c r="K989" s="27"/>
      <c r="L989" s="2"/>
      <c r="M989" s="4"/>
    </row>
    <row r="990" spans="1:13" ht="99.9" customHeight="1" thickTop="1" thickBot="1">
      <c r="A990" s="4">
        <v>988</v>
      </c>
      <c r="B990" s="2"/>
      <c r="C990" s="3"/>
      <c r="D990" s="3"/>
      <c r="E990" s="4"/>
      <c r="F990" s="43"/>
      <c r="G990" s="4"/>
      <c r="H990" s="43"/>
      <c r="I990" s="4"/>
      <c r="J990" s="26"/>
      <c r="K990" s="27"/>
      <c r="L990" s="2"/>
      <c r="M990" s="4"/>
    </row>
    <row r="991" spans="1:13" ht="99.9" customHeight="1" thickTop="1" thickBot="1">
      <c r="A991" s="31">
        <v>989</v>
      </c>
      <c r="B991" s="2"/>
      <c r="C991" s="3"/>
      <c r="D991" s="3"/>
      <c r="E991" s="4"/>
      <c r="F991" s="43"/>
      <c r="G991" s="4"/>
      <c r="H991" s="43"/>
      <c r="I991" s="4"/>
      <c r="J991" s="26"/>
      <c r="K991" s="27"/>
      <c r="L991" s="2"/>
      <c r="M991" s="4"/>
    </row>
    <row r="992" spans="1:13" ht="99.9" customHeight="1" thickTop="1" thickBot="1">
      <c r="A992" s="4">
        <v>990</v>
      </c>
      <c r="B992" s="2"/>
      <c r="C992" s="3"/>
      <c r="D992" s="3"/>
      <c r="E992" s="4"/>
      <c r="F992" s="43"/>
      <c r="G992" s="4"/>
      <c r="H992" s="43"/>
      <c r="I992" s="4"/>
      <c r="J992" s="26"/>
      <c r="K992" s="27"/>
      <c r="L992" s="2"/>
      <c r="M992" s="4"/>
    </row>
    <row r="993" spans="1:13" ht="99.9" customHeight="1" thickTop="1" thickBot="1">
      <c r="A993" s="31">
        <v>991</v>
      </c>
      <c r="B993" s="2"/>
      <c r="C993" s="3"/>
      <c r="D993" s="3"/>
      <c r="E993" s="4"/>
      <c r="F993" s="43"/>
      <c r="G993" s="4"/>
      <c r="H993" s="43"/>
      <c r="I993" s="4"/>
      <c r="J993" s="26"/>
      <c r="K993" s="27"/>
      <c r="L993" s="2"/>
      <c r="M993" s="4"/>
    </row>
    <row r="994" spans="1:13" ht="99.9" customHeight="1" thickTop="1" thickBot="1">
      <c r="A994" s="4">
        <v>992</v>
      </c>
      <c r="B994" s="2"/>
      <c r="C994" s="3"/>
      <c r="D994" s="3"/>
      <c r="E994" s="4"/>
      <c r="F994" s="43"/>
      <c r="G994" s="4"/>
      <c r="H994" s="43"/>
      <c r="I994" s="4"/>
      <c r="J994" s="26"/>
      <c r="K994" s="27"/>
      <c r="L994" s="2"/>
      <c r="M994" s="4"/>
    </row>
    <row r="995" spans="1:13" ht="99.9" customHeight="1" thickTop="1" thickBot="1">
      <c r="A995" s="31">
        <v>993</v>
      </c>
      <c r="B995" s="2"/>
      <c r="C995" s="3"/>
      <c r="D995" s="3"/>
      <c r="E995" s="4"/>
      <c r="F995" s="43"/>
      <c r="G995" s="4"/>
      <c r="H995" s="43"/>
      <c r="I995" s="4"/>
      <c r="J995" s="26"/>
      <c r="K995" s="27"/>
      <c r="L995" s="2"/>
      <c r="M995" s="4"/>
    </row>
    <row r="996" spans="1:13" ht="99.9" customHeight="1" thickTop="1" thickBot="1">
      <c r="A996" s="4">
        <v>994</v>
      </c>
      <c r="B996" s="2"/>
      <c r="C996" s="3"/>
      <c r="D996" s="3"/>
      <c r="E996" s="4"/>
      <c r="F996" s="43"/>
      <c r="G996" s="4"/>
      <c r="H996" s="43"/>
      <c r="I996" s="4"/>
      <c r="J996" s="26"/>
      <c r="K996" s="27"/>
      <c r="L996" s="2"/>
      <c r="M996" s="4"/>
    </row>
    <row r="997" spans="1:13" ht="99.9" customHeight="1" thickTop="1" thickBot="1">
      <c r="A997" s="31">
        <v>995</v>
      </c>
      <c r="B997" s="2"/>
      <c r="C997" s="3"/>
      <c r="D997" s="3"/>
      <c r="E997" s="4"/>
      <c r="F997" s="43"/>
      <c r="G997" s="4"/>
      <c r="H997" s="43"/>
      <c r="I997" s="4"/>
      <c r="J997" s="26"/>
      <c r="K997" s="27"/>
      <c r="L997" s="2"/>
      <c r="M997" s="4"/>
    </row>
    <row r="998" spans="1:13" ht="99.9" customHeight="1" thickTop="1" thickBot="1">
      <c r="A998" s="4">
        <v>996</v>
      </c>
      <c r="B998" s="2"/>
      <c r="C998" s="3"/>
      <c r="D998" s="3"/>
      <c r="E998" s="4"/>
      <c r="F998" s="43"/>
      <c r="G998" s="4"/>
      <c r="H998" s="43"/>
      <c r="I998" s="4"/>
      <c r="J998" s="26"/>
      <c r="K998" s="27"/>
      <c r="L998" s="2"/>
      <c r="M998" s="4"/>
    </row>
    <row r="999" spans="1:13" ht="99.9" customHeight="1" thickTop="1" thickBot="1">
      <c r="A999" s="31">
        <v>997</v>
      </c>
      <c r="B999" s="2"/>
      <c r="C999" s="3"/>
      <c r="D999" s="3"/>
      <c r="E999" s="4"/>
      <c r="F999" s="43"/>
      <c r="G999" s="4"/>
      <c r="H999" s="43"/>
      <c r="I999" s="4"/>
      <c r="J999" s="26"/>
      <c r="K999" s="27"/>
      <c r="L999" s="2"/>
      <c r="M999" s="4"/>
    </row>
    <row r="1000" spans="1:13" ht="99.9" customHeight="1" thickTop="1" thickBot="1">
      <c r="A1000" s="4">
        <v>998</v>
      </c>
      <c r="B1000" s="2"/>
      <c r="C1000" s="3"/>
      <c r="D1000" s="3"/>
      <c r="E1000" s="4"/>
      <c r="F1000" s="43"/>
      <c r="G1000" s="4"/>
      <c r="H1000" s="43"/>
      <c r="I1000" s="4"/>
      <c r="J1000" s="26"/>
      <c r="K1000" s="27"/>
      <c r="L1000" s="2"/>
      <c r="M1000" s="4"/>
    </row>
    <row r="1001" spans="1:13" ht="99.9" customHeight="1" thickTop="1" thickBot="1">
      <c r="A1001" s="31">
        <v>999</v>
      </c>
      <c r="B1001" s="2"/>
      <c r="C1001" s="3"/>
      <c r="D1001" s="3"/>
      <c r="E1001" s="4"/>
      <c r="F1001" s="43"/>
      <c r="G1001" s="4"/>
      <c r="H1001" s="43"/>
      <c r="I1001" s="4"/>
      <c r="J1001" s="26"/>
      <c r="K1001" s="27"/>
      <c r="L1001" s="2"/>
      <c r="M1001" s="4"/>
    </row>
    <row r="1002" spans="1:13" ht="99.9" customHeight="1" thickTop="1" thickBot="1">
      <c r="A1002" s="4">
        <v>1000</v>
      </c>
      <c r="B1002" s="44"/>
      <c r="C1002" s="45"/>
      <c r="D1002" s="45"/>
      <c r="E1002" s="46"/>
      <c r="F1002" s="47"/>
      <c r="G1002" s="46"/>
      <c r="H1002" s="47"/>
      <c r="I1002" s="46"/>
      <c r="J1002" s="48"/>
      <c r="K1002" s="49"/>
      <c r="L1002" s="44"/>
      <c r="M1002" s="46"/>
    </row>
    <row r="1003" spans="1:13" ht="99.9" customHeight="1" thickTop="1" thickBot="1">
      <c r="A1003" s="31">
        <v>1001</v>
      </c>
      <c r="B1003" s="2"/>
      <c r="C1003" s="3"/>
      <c r="D1003" s="3"/>
      <c r="E1003" s="4"/>
      <c r="F1003" s="43"/>
      <c r="G1003" s="4"/>
      <c r="H1003" s="43"/>
      <c r="I1003" s="4"/>
      <c r="J1003" s="26"/>
      <c r="K1003" s="27"/>
      <c r="L1003" s="2"/>
      <c r="M1003" s="24"/>
    </row>
    <row r="1004" spans="1:13" ht="99.9" customHeight="1" thickTop="1" thickBot="1">
      <c r="A1004" s="4">
        <v>1002</v>
      </c>
      <c r="B1004" s="2"/>
      <c r="C1004" s="3"/>
      <c r="D1004" s="3"/>
      <c r="E1004" s="4"/>
      <c r="F1004" s="43"/>
      <c r="G1004" s="4"/>
      <c r="H1004" s="43"/>
      <c r="I1004" s="4"/>
      <c r="J1004" s="26"/>
      <c r="K1004" s="27"/>
      <c r="L1004" s="2"/>
      <c r="M1004" s="24"/>
    </row>
    <row r="1005" spans="1:13" ht="99.9" customHeight="1" thickTop="1" thickBot="1">
      <c r="A1005" s="31">
        <v>1003</v>
      </c>
      <c r="B1005" s="2"/>
      <c r="C1005" s="3"/>
      <c r="D1005" s="3"/>
      <c r="E1005" s="4"/>
      <c r="F1005" s="43"/>
      <c r="G1005" s="4"/>
      <c r="H1005" s="43"/>
      <c r="I1005" s="4"/>
      <c r="J1005" s="26"/>
      <c r="K1005" s="27"/>
      <c r="L1005" s="2"/>
      <c r="M1005" s="24"/>
    </row>
    <row r="1006" spans="1:13" ht="99.9" customHeight="1" thickTop="1" thickBot="1">
      <c r="A1006" s="4">
        <v>1004</v>
      </c>
      <c r="B1006" s="2"/>
      <c r="C1006" s="3"/>
      <c r="D1006" s="3"/>
      <c r="E1006" s="4"/>
      <c r="F1006" s="43"/>
      <c r="G1006" s="4"/>
      <c r="H1006" s="43"/>
      <c r="I1006" s="4"/>
      <c r="J1006" s="26"/>
      <c r="K1006" s="27"/>
      <c r="L1006" s="2"/>
      <c r="M1006" s="24"/>
    </row>
    <row r="1007" spans="1:13" ht="99.9" customHeight="1" thickTop="1" thickBot="1">
      <c r="A1007" s="31">
        <v>1005</v>
      </c>
      <c r="B1007" s="2"/>
      <c r="C1007" s="3"/>
      <c r="D1007" s="3"/>
      <c r="E1007" s="4"/>
      <c r="F1007" s="43"/>
      <c r="G1007" s="4"/>
      <c r="H1007" s="43"/>
      <c r="I1007" s="4"/>
      <c r="J1007" s="26"/>
      <c r="K1007" s="27"/>
      <c r="L1007" s="2"/>
      <c r="M1007" s="24"/>
    </row>
    <row r="1008" spans="1:13" ht="99.9" customHeight="1" thickTop="1" thickBot="1">
      <c r="A1008" s="4"/>
      <c r="B1008" s="2"/>
      <c r="C1008" s="3"/>
      <c r="D1008" s="3"/>
      <c r="E1008" s="4"/>
      <c r="F1008" s="43"/>
      <c r="G1008" s="4"/>
      <c r="H1008" s="43"/>
      <c r="I1008" s="4"/>
      <c r="J1008" s="26"/>
      <c r="K1008" s="27"/>
      <c r="L1008" s="2"/>
      <c r="M1008" s="24"/>
    </row>
    <row r="1009" spans="1:13" ht="99.9" customHeight="1" thickTop="1" thickBot="1">
      <c r="A1009" s="4"/>
      <c r="B1009" s="2"/>
      <c r="C1009" s="3"/>
      <c r="D1009" s="3"/>
      <c r="E1009" s="4"/>
      <c r="F1009" s="43"/>
      <c r="G1009" s="4"/>
      <c r="H1009" s="43"/>
      <c r="I1009" s="4"/>
      <c r="J1009" s="26"/>
      <c r="K1009" s="27"/>
      <c r="L1009" s="2"/>
      <c r="M1009" s="24"/>
    </row>
    <row r="1010" spans="1:13" ht="99.9" customHeight="1" thickTop="1" thickBot="1">
      <c r="A1010" s="4"/>
      <c r="B1010" s="2"/>
      <c r="C1010" s="3"/>
      <c r="D1010" s="3"/>
      <c r="E1010" s="4"/>
      <c r="F1010" s="43"/>
      <c r="G1010" s="4"/>
      <c r="H1010" s="43"/>
      <c r="I1010" s="4"/>
      <c r="J1010" s="26"/>
      <c r="K1010" s="27"/>
      <c r="L1010" s="2"/>
      <c r="M1010" s="24"/>
    </row>
    <row r="1011" spans="1:13" ht="99.9" customHeight="1" thickTop="1" thickBot="1">
      <c r="A1011" s="4"/>
      <c r="B1011" s="2"/>
      <c r="C1011" s="3"/>
      <c r="D1011" s="3"/>
      <c r="E1011" s="4"/>
      <c r="F1011" s="43"/>
      <c r="G1011" s="4"/>
      <c r="H1011" s="43"/>
      <c r="I1011" s="4"/>
      <c r="J1011" s="26"/>
      <c r="K1011" s="27"/>
      <c r="L1011" s="2"/>
      <c r="M1011" s="24"/>
    </row>
    <row r="1012" spans="1:13" ht="99.9" customHeight="1" thickTop="1" thickBot="1">
      <c r="A1012" s="4"/>
      <c r="B1012" s="2"/>
      <c r="C1012" s="3"/>
      <c r="D1012" s="3"/>
      <c r="E1012" s="4"/>
      <c r="F1012" s="43"/>
      <c r="G1012" s="4"/>
      <c r="H1012" s="43"/>
      <c r="I1012" s="4"/>
      <c r="J1012" s="26"/>
      <c r="K1012" s="27"/>
      <c r="L1012" s="2"/>
      <c r="M1012" s="24"/>
    </row>
    <row r="1013" spans="1:13" ht="99.9" customHeight="1" thickTop="1" thickBot="1">
      <c r="A1013" s="4"/>
      <c r="B1013" s="2"/>
      <c r="C1013" s="3"/>
      <c r="D1013" s="3"/>
      <c r="E1013" s="4"/>
      <c r="F1013" s="43"/>
      <c r="G1013" s="4"/>
      <c r="H1013" s="43"/>
      <c r="I1013" s="4"/>
      <c r="J1013" s="26"/>
      <c r="K1013" s="27"/>
      <c r="L1013" s="2"/>
      <c r="M1013" s="24"/>
    </row>
    <row r="1014" spans="1:13" ht="99.9" customHeight="1" thickTop="1" thickBot="1">
      <c r="A1014" s="4"/>
      <c r="B1014" s="2"/>
      <c r="C1014" s="3"/>
      <c r="D1014" s="3"/>
      <c r="E1014" s="4"/>
      <c r="F1014" s="43"/>
      <c r="G1014" s="4"/>
      <c r="H1014" s="43"/>
      <c r="I1014" s="4"/>
      <c r="J1014" s="26"/>
      <c r="K1014" s="27"/>
      <c r="L1014" s="2"/>
      <c r="M1014" s="24"/>
    </row>
    <row r="1015" spans="1:13" ht="99.9" customHeight="1" thickTop="1" thickBot="1">
      <c r="A1015" s="4"/>
      <c r="B1015" s="2"/>
      <c r="C1015" s="3"/>
      <c r="D1015" s="3"/>
      <c r="E1015" s="4"/>
      <c r="F1015" s="43"/>
      <c r="G1015" s="4"/>
      <c r="H1015" s="43"/>
      <c r="I1015" s="4"/>
      <c r="J1015" s="26"/>
      <c r="K1015" s="27"/>
      <c r="L1015" s="2"/>
      <c r="M1015" s="24"/>
    </row>
    <row r="1016" spans="1:13" ht="99.9" customHeight="1" thickTop="1" thickBot="1">
      <c r="A1016" s="4"/>
      <c r="B1016" s="2"/>
      <c r="C1016" s="3"/>
      <c r="D1016" s="3"/>
      <c r="E1016" s="4"/>
      <c r="F1016" s="43"/>
      <c r="G1016" s="4"/>
      <c r="H1016" s="43"/>
      <c r="I1016" s="4"/>
      <c r="J1016" s="26"/>
      <c r="K1016" s="27"/>
      <c r="L1016" s="2"/>
      <c r="M1016" s="24"/>
    </row>
    <row r="1017" spans="1:13" ht="99.9" customHeight="1" thickTop="1" thickBot="1">
      <c r="A1017" s="4"/>
      <c r="B1017" s="2"/>
      <c r="C1017" s="3"/>
      <c r="D1017" s="3"/>
      <c r="E1017" s="4"/>
      <c r="F1017" s="43"/>
      <c r="G1017" s="4"/>
      <c r="H1017" s="43"/>
      <c r="I1017" s="4"/>
      <c r="J1017" s="26"/>
      <c r="K1017" s="27"/>
      <c r="L1017" s="2"/>
      <c r="M1017" s="24"/>
    </row>
    <row r="1018" spans="1:13" ht="99.9" customHeight="1" thickTop="1" thickBot="1">
      <c r="A1018" s="4"/>
      <c r="B1018" s="2"/>
      <c r="C1018" s="3"/>
      <c r="D1018" s="3"/>
      <c r="E1018" s="4"/>
      <c r="F1018" s="43"/>
      <c r="G1018" s="4"/>
      <c r="H1018" s="43"/>
      <c r="I1018" s="4"/>
      <c r="J1018" s="26"/>
      <c r="K1018" s="27"/>
      <c r="L1018" s="2"/>
      <c r="M1018" s="24"/>
    </row>
    <row r="1019" spans="1:13" ht="99.9" customHeight="1" thickTop="1" thickBot="1">
      <c r="A1019" s="4"/>
      <c r="B1019" s="2"/>
      <c r="C1019" s="3"/>
      <c r="D1019" s="3"/>
      <c r="E1019" s="4"/>
      <c r="F1019" s="43"/>
      <c r="G1019" s="4"/>
      <c r="H1019" s="43"/>
      <c r="I1019" s="4"/>
      <c r="J1019" s="26"/>
      <c r="K1019" s="27"/>
      <c r="L1019" s="2"/>
      <c r="M1019" s="24"/>
    </row>
    <row r="1020" spans="1:13" ht="99.9" customHeight="1" thickTop="1" thickBot="1">
      <c r="A1020" s="4"/>
      <c r="B1020" s="2"/>
      <c r="C1020" s="3"/>
      <c r="D1020" s="3"/>
      <c r="E1020" s="4"/>
      <c r="F1020" s="43"/>
      <c r="G1020" s="4"/>
      <c r="H1020" s="43"/>
      <c r="I1020" s="4"/>
      <c r="J1020" s="26"/>
      <c r="K1020" s="27"/>
      <c r="L1020" s="2"/>
      <c r="M1020" s="24"/>
    </row>
    <row r="1021" spans="1:13" ht="99.9" customHeight="1" thickTop="1" thickBot="1">
      <c r="A1021" s="4"/>
      <c r="B1021" s="2"/>
      <c r="C1021" s="3"/>
      <c r="D1021" s="3"/>
      <c r="E1021" s="4"/>
      <c r="F1021" s="43"/>
      <c r="G1021" s="4"/>
      <c r="H1021" s="43"/>
      <c r="I1021" s="4"/>
      <c r="J1021" s="26"/>
      <c r="K1021" s="27"/>
      <c r="L1021" s="2"/>
      <c r="M1021" s="24"/>
    </row>
    <row r="1022" spans="1:13" ht="99.9" customHeight="1" thickTop="1" thickBot="1">
      <c r="A1022" s="4"/>
      <c r="B1022" s="2"/>
      <c r="C1022" s="3"/>
      <c r="D1022" s="3"/>
      <c r="E1022" s="4"/>
      <c r="F1022" s="43"/>
      <c r="G1022" s="4"/>
      <c r="H1022" s="43"/>
      <c r="I1022" s="4"/>
      <c r="J1022" s="26"/>
      <c r="K1022" s="27"/>
      <c r="L1022" s="2"/>
      <c r="M1022" s="24"/>
    </row>
    <row r="1023" spans="1:13" ht="99.9" customHeight="1" thickTop="1" thickBot="1">
      <c r="A1023" s="4"/>
      <c r="B1023" s="2"/>
      <c r="C1023" s="3"/>
      <c r="D1023" s="3"/>
      <c r="E1023" s="4"/>
      <c r="F1023" s="43"/>
      <c r="G1023" s="4"/>
      <c r="H1023" s="43"/>
      <c r="I1023" s="4"/>
      <c r="J1023" s="26"/>
      <c r="K1023" s="27"/>
      <c r="L1023" s="2"/>
      <c r="M1023" s="24"/>
    </row>
    <row r="1024" spans="1:13" ht="99.9" customHeight="1" thickTop="1" thickBot="1">
      <c r="A1024" s="4"/>
      <c r="B1024" s="2"/>
      <c r="C1024" s="3"/>
      <c r="D1024" s="3"/>
      <c r="E1024" s="4"/>
      <c r="F1024" s="43"/>
      <c r="G1024" s="4"/>
      <c r="H1024" s="43"/>
      <c r="I1024" s="4"/>
      <c r="J1024" s="26"/>
      <c r="K1024" s="27"/>
      <c r="L1024" s="2"/>
      <c r="M1024" s="24"/>
    </row>
    <row r="1025" spans="1:13" ht="99.9" customHeight="1" thickTop="1" thickBot="1">
      <c r="A1025" s="4"/>
      <c r="B1025" s="2"/>
      <c r="C1025" s="3"/>
      <c r="D1025" s="3"/>
      <c r="E1025" s="4"/>
      <c r="F1025" s="43"/>
      <c r="G1025" s="4"/>
      <c r="H1025" s="43"/>
      <c r="I1025" s="4"/>
      <c r="J1025" s="26"/>
      <c r="K1025" s="27"/>
      <c r="L1025" s="2"/>
      <c r="M1025" s="24"/>
    </row>
    <row r="1026" spans="1:13" ht="99.9" customHeight="1" thickTop="1" thickBot="1">
      <c r="A1026" s="4"/>
      <c r="B1026" s="2"/>
      <c r="C1026" s="3"/>
      <c r="D1026" s="3"/>
      <c r="E1026" s="4"/>
      <c r="F1026" s="43"/>
      <c r="G1026" s="4"/>
      <c r="H1026" s="43"/>
      <c r="I1026" s="4"/>
      <c r="J1026" s="26"/>
      <c r="K1026" s="27"/>
      <c r="L1026" s="2"/>
      <c r="M1026" s="24"/>
    </row>
    <row r="1027" spans="1:13" ht="99.9" customHeight="1" thickTop="1" thickBot="1">
      <c r="A1027" s="4"/>
      <c r="B1027" s="2"/>
      <c r="C1027" s="3"/>
      <c r="D1027" s="3"/>
      <c r="E1027" s="4"/>
      <c r="F1027" s="43"/>
      <c r="G1027" s="4"/>
      <c r="H1027" s="43"/>
      <c r="I1027" s="4"/>
      <c r="J1027" s="26"/>
      <c r="K1027" s="27"/>
      <c r="L1027" s="2"/>
      <c r="M1027" s="24"/>
    </row>
    <row r="1028" spans="1:13" ht="99.9" customHeight="1" thickTop="1" thickBot="1">
      <c r="A1028" s="4"/>
      <c r="B1028" s="2"/>
      <c r="C1028" s="3"/>
      <c r="D1028" s="3"/>
      <c r="E1028" s="4"/>
      <c r="F1028" s="43"/>
      <c r="G1028" s="4"/>
      <c r="H1028" s="43"/>
      <c r="I1028" s="4"/>
      <c r="J1028" s="26"/>
      <c r="K1028" s="27"/>
      <c r="L1028" s="2"/>
      <c r="M1028" s="24"/>
    </row>
    <row r="1029" spans="1:13" ht="99.9" customHeight="1" thickTop="1" thickBot="1">
      <c r="A1029" s="4"/>
      <c r="B1029" s="2"/>
      <c r="C1029" s="3"/>
      <c r="D1029" s="3"/>
      <c r="E1029" s="4"/>
      <c r="F1029" s="43"/>
      <c r="G1029" s="4"/>
      <c r="H1029" s="43"/>
      <c r="I1029" s="4"/>
      <c r="J1029" s="26"/>
      <c r="K1029" s="27"/>
      <c r="L1029" s="2"/>
      <c r="M1029" s="24"/>
    </row>
    <row r="1030" spans="1:13" ht="99.9" customHeight="1" thickTop="1" thickBot="1">
      <c r="A1030" s="4"/>
      <c r="B1030" s="2"/>
      <c r="C1030" s="3"/>
      <c r="D1030" s="3"/>
      <c r="E1030" s="4"/>
      <c r="F1030" s="43"/>
      <c r="G1030" s="4"/>
      <c r="H1030" s="43"/>
      <c r="I1030" s="4"/>
      <c r="J1030" s="26"/>
      <c r="K1030" s="27"/>
      <c r="L1030" s="2"/>
      <c r="M1030" s="24"/>
    </row>
    <row r="1031" spans="1:13" ht="99.9" customHeight="1" thickTop="1" thickBot="1">
      <c r="A1031" s="4"/>
      <c r="B1031" s="2"/>
      <c r="C1031" s="3"/>
      <c r="D1031" s="3"/>
      <c r="E1031" s="4"/>
      <c r="F1031" s="43"/>
      <c r="G1031" s="4"/>
      <c r="H1031" s="43"/>
      <c r="I1031" s="4"/>
      <c r="J1031" s="26"/>
      <c r="K1031" s="27"/>
      <c r="L1031" s="2"/>
      <c r="M1031" s="24"/>
    </row>
    <row r="1032" spans="1:13" ht="99.9" customHeight="1" thickTop="1" thickBot="1">
      <c r="A1032" s="4"/>
      <c r="B1032" s="2"/>
      <c r="C1032" s="3"/>
      <c r="D1032" s="3"/>
      <c r="E1032" s="4"/>
      <c r="F1032" s="43"/>
      <c r="G1032" s="4"/>
      <c r="H1032" s="43"/>
      <c r="I1032" s="4"/>
      <c r="J1032" s="26"/>
      <c r="K1032" s="27"/>
      <c r="L1032" s="2"/>
      <c r="M1032" s="24"/>
    </row>
    <row r="1033" spans="1:13" ht="99.9" customHeight="1" thickTop="1" thickBot="1">
      <c r="A1033" s="4"/>
      <c r="B1033" s="2"/>
      <c r="C1033" s="3"/>
      <c r="D1033" s="3"/>
      <c r="E1033" s="4"/>
      <c r="F1033" s="43"/>
      <c r="G1033" s="4"/>
      <c r="H1033" s="43"/>
      <c r="I1033" s="4"/>
      <c r="J1033" s="26"/>
      <c r="K1033" s="27"/>
      <c r="L1033" s="2"/>
      <c r="M1033" s="24"/>
    </row>
    <row r="1034" spans="1:13" ht="99.9" customHeight="1" thickTop="1" thickBot="1">
      <c r="A1034" s="4"/>
      <c r="B1034" s="2"/>
      <c r="C1034" s="3"/>
      <c r="D1034" s="3"/>
      <c r="E1034" s="4"/>
      <c r="F1034" s="43"/>
      <c r="G1034" s="4"/>
      <c r="H1034" s="43"/>
      <c r="I1034" s="4"/>
      <c r="J1034" s="26"/>
      <c r="K1034" s="27"/>
      <c r="L1034" s="2"/>
      <c r="M1034" s="24"/>
    </row>
    <row r="1035" spans="1:13" ht="99.9" customHeight="1" thickTop="1" thickBot="1">
      <c r="A1035" s="4"/>
      <c r="B1035" s="2"/>
      <c r="C1035" s="3"/>
      <c r="D1035" s="3"/>
      <c r="E1035" s="4"/>
      <c r="F1035" s="43"/>
      <c r="G1035" s="4"/>
      <c r="H1035" s="43"/>
      <c r="I1035" s="4"/>
      <c r="J1035" s="26"/>
      <c r="K1035" s="27"/>
      <c r="L1035" s="2"/>
      <c r="M1035" s="24"/>
    </row>
    <row r="1036" spans="1:13" ht="99.9" customHeight="1" thickTop="1" thickBot="1">
      <c r="A1036" s="4"/>
      <c r="B1036" s="2"/>
      <c r="C1036" s="3"/>
      <c r="D1036" s="3"/>
      <c r="E1036" s="4"/>
      <c r="F1036" s="43"/>
      <c r="G1036" s="4"/>
      <c r="H1036" s="43"/>
      <c r="I1036" s="4"/>
      <c r="J1036" s="26"/>
      <c r="K1036" s="27"/>
      <c r="L1036" s="2"/>
      <c r="M1036" s="24"/>
    </row>
    <row r="1037" spans="1:13" ht="99.9" customHeight="1" thickTop="1" thickBot="1">
      <c r="A1037" s="4"/>
      <c r="B1037" s="2"/>
      <c r="C1037" s="3"/>
      <c r="D1037" s="3"/>
      <c r="E1037" s="4"/>
      <c r="F1037" s="43"/>
      <c r="G1037" s="4"/>
      <c r="H1037" s="43"/>
      <c r="I1037" s="4"/>
      <c r="J1037" s="26"/>
      <c r="K1037" s="27"/>
      <c r="L1037" s="2"/>
      <c r="M1037" s="24"/>
    </row>
    <row r="1038" spans="1:13" ht="99.9" customHeight="1" thickTop="1" thickBot="1">
      <c r="A1038" s="4"/>
      <c r="B1038" s="2"/>
      <c r="C1038" s="3"/>
      <c r="D1038" s="3"/>
      <c r="E1038" s="4"/>
      <c r="F1038" s="43"/>
      <c r="G1038" s="4"/>
      <c r="H1038" s="43"/>
      <c r="I1038" s="4"/>
      <c r="J1038" s="26"/>
      <c r="K1038" s="27"/>
      <c r="L1038" s="2"/>
      <c r="M1038" s="24"/>
    </row>
    <row r="1039" spans="1:13" ht="99.9" customHeight="1" thickTop="1" thickBot="1">
      <c r="A1039" s="4"/>
      <c r="B1039" s="2"/>
      <c r="C1039" s="3"/>
      <c r="D1039" s="3"/>
      <c r="E1039" s="4"/>
      <c r="F1039" s="43"/>
      <c r="G1039" s="4"/>
      <c r="H1039" s="43"/>
      <c r="I1039" s="4"/>
      <c r="J1039" s="26"/>
      <c r="K1039" s="27"/>
      <c r="L1039" s="2"/>
      <c r="M1039" s="24"/>
    </row>
    <row r="1040" spans="1:13" ht="99.9" customHeight="1" thickTop="1" thickBot="1">
      <c r="A1040" s="4"/>
      <c r="B1040" s="2"/>
      <c r="C1040" s="3"/>
      <c r="D1040" s="3"/>
      <c r="E1040" s="4"/>
      <c r="F1040" s="43"/>
      <c r="G1040" s="4"/>
      <c r="H1040" s="43"/>
      <c r="I1040" s="4"/>
      <c r="J1040" s="26"/>
      <c r="K1040" s="27"/>
      <c r="L1040" s="2"/>
      <c r="M1040" s="24"/>
    </row>
    <row r="1041" spans="1:13" ht="99.9" customHeight="1" thickTop="1" thickBot="1">
      <c r="A1041" s="4"/>
      <c r="B1041" s="2"/>
      <c r="C1041" s="3"/>
      <c r="D1041" s="3"/>
      <c r="E1041" s="4"/>
      <c r="F1041" s="43"/>
      <c r="G1041" s="4"/>
      <c r="H1041" s="43"/>
      <c r="I1041" s="4"/>
      <c r="J1041" s="26"/>
      <c r="K1041" s="27"/>
      <c r="L1041" s="2"/>
      <c r="M1041" s="24"/>
    </row>
    <row r="1042" spans="1:13" ht="99.9" customHeight="1" thickTop="1" thickBot="1">
      <c r="A1042" s="4"/>
      <c r="B1042" s="2"/>
      <c r="C1042" s="3"/>
      <c r="D1042" s="3"/>
      <c r="E1042" s="4"/>
      <c r="F1042" s="43"/>
      <c r="G1042" s="4"/>
      <c r="H1042" s="43"/>
      <c r="I1042" s="4"/>
      <c r="J1042" s="26"/>
      <c r="K1042" s="27"/>
      <c r="L1042" s="2"/>
      <c r="M1042" s="24"/>
    </row>
    <row r="1043" spans="1:13" ht="99.9" customHeight="1" thickTop="1" thickBot="1">
      <c r="A1043" s="4"/>
      <c r="B1043" s="2"/>
      <c r="C1043" s="3"/>
      <c r="D1043" s="3"/>
      <c r="E1043" s="4"/>
      <c r="F1043" s="43"/>
      <c r="G1043" s="4"/>
      <c r="H1043" s="43"/>
      <c r="I1043" s="4"/>
      <c r="J1043" s="26"/>
      <c r="K1043" s="27"/>
      <c r="L1043" s="2"/>
      <c r="M1043" s="24"/>
    </row>
    <row r="1044" spans="1:13" ht="99.9" customHeight="1" thickTop="1" thickBot="1">
      <c r="A1044" s="4"/>
      <c r="B1044" s="2"/>
      <c r="C1044" s="3"/>
      <c r="D1044" s="3"/>
      <c r="E1044" s="4"/>
      <c r="F1044" s="43"/>
      <c r="G1044" s="4"/>
      <c r="H1044" s="43"/>
      <c r="I1044" s="4"/>
      <c r="J1044" s="26"/>
      <c r="K1044" s="27"/>
      <c r="L1044" s="2"/>
      <c r="M1044" s="24"/>
    </row>
    <row r="1045" spans="1:13" ht="99.9" customHeight="1" thickTop="1" thickBot="1">
      <c r="A1045" s="4"/>
      <c r="B1045" s="2"/>
      <c r="C1045" s="3"/>
      <c r="D1045" s="3"/>
      <c r="E1045" s="4"/>
      <c r="F1045" s="43"/>
      <c r="G1045" s="4"/>
      <c r="H1045" s="43"/>
      <c r="I1045" s="4"/>
      <c r="J1045" s="26"/>
      <c r="K1045" s="27"/>
      <c r="L1045" s="2"/>
      <c r="M1045" s="24"/>
    </row>
    <row r="1046" spans="1:13" ht="99.9" customHeight="1" thickTop="1" thickBot="1">
      <c r="A1046" s="4"/>
      <c r="B1046" s="2"/>
      <c r="C1046" s="3"/>
      <c r="D1046" s="3"/>
      <c r="E1046" s="4"/>
      <c r="F1046" s="43"/>
      <c r="G1046" s="4"/>
      <c r="H1046" s="43"/>
      <c r="I1046" s="4"/>
      <c r="J1046" s="26"/>
      <c r="K1046" s="27"/>
      <c r="L1046" s="2"/>
      <c r="M1046" s="24"/>
    </row>
    <row r="1047" spans="1:13" ht="99.9" customHeight="1" thickTop="1" thickBot="1">
      <c r="A1047" s="4"/>
      <c r="B1047" s="2"/>
      <c r="C1047" s="3"/>
      <c r="D1047" s="3"/>
      <c r="E1047" s="4"/>
      <c r="F1047" s="43"/>
      <c r="G1047" s="4"/>
      <c r="H1047" s="43"/>
      <c r="I1047" s="4"/>
      <c r="J1047" s="26"/>
      <c r="K1047" s="27"/>
      <c r="L1047" s="2"/>
      <c r="M1047" s="24"/>
    </row>
    <row r="1048" spans="1:13" ht="99.9" customHeight="1" thickTop="1" thickBot="1">
      <c r="A1048" s="4"/>
      <c r="B1048" s="2"/>
      <c r="C1048" s="3"/>
      <c r="D1048" s="3"/>
      <c r="E1048" s="4"/>
      <c r="F1048" s="43"/>
      <c r="G1048" s="4"/>
      <c r="H1048" s="43"/>
      <c r="I1048" s="4"/>
      <c r="J1048" s="26"/>
      <c r="K1048" s="27"/>
      <c r="L1048" s="2"/>
      <c r="M1048" s="24"/>
    </row>
    <row r="1049" spans="1:13" ht="99.9" customHeight="1" thickTop="1" thickBot="1">
      <c r="A1049" s="4"/>
      <c r="B1049" s="2"/>
      <c r="C1049" s="3"/>
      <c r="D1049" s="3"/>
      <c r="E1049" s="4"/>
      <c r="F1049" s="43"/>
      <c r="G1049" s="4"/>
      <c r="H1049" s="43"/>
      <c r="I1049" s="4"/>
      <c r="J1049" s="26"/>
      <c r="K1049" s="27"/>
      <c r="L1049" s="2"/>
      <c r="M1049" s="24"/>
    </row>
    <row r="1050" spans="1:13" ht="99.9" customHeight="1" thickTop="1" thickBot="1">
      <c r="A1050" s="4"/>
      <c r="B1050" s="2"/>
      <c r="C1050" s="3"/>
      <c r="D1050" s="3"/>
      <c r="E1050" s="4"/>
      <c r="F1050" s="43"/>
      <c r="G1050" s="4"/>
      <c r="H1050" s="43"/>
      <c r="I1050" s="4"/>
      <c r="J1050" s="26"/>
      <c r="K1050" s="27"/>
      <c r="L1050" s="2"/>
      <c r="M1050" s="24"/>
    </row>
    <row r="1051" spans="1:13" ht="99.9" customHeight="1" thickTop="1" thickBot="1">
      <c r="A1051" s="4"/>
      <c r="B1051" s="2"/>
      <c r="C1051" s="3"/>
      <c r="D1051" s="3"/>
      <c r="E1051" s="4"/>
      <c r="F1051" s="43"/>
      <c r="G1051" s="4"/>
      <c r="H1051" s="43"/>
      <c r="I1051" s="4"/>
      <c r="J1051" s="26"/>
      <c r="K1051" s="27"/>
      <c r="L1051" s="2"/>
      <c r="M1051" s="24"/>
    </row>
    <row r="1052" spans="1:13" ht="99.9" customHeight="1" thickTop="1" thickBot="1">
      <c r="A1052" s="4"/>
      <c r="B1052" s="2"/>
      <c r="C1052" s="3"/>
      <c r="D1052" s="3"/>
      <c r="E1052" s="4"/>
      <c r="F1052" s="43"/>
      <c r="G1052" s="4"/>
      <c r="H1052" s="43"/>
      <c r="I1052" s="4"/>
      <c r="J1052" s="26"/>
      <c r="K1052" s="27"/>
      <c r="L1052" s="2"/>
      <c r="M1052" s="24"/>
    </row>
    <row r="1053" spans="1:13" ht="99.9" customHeight="1" thickTop="1" thickBot="1">
      <c r="A1053" s="4"/>
      <c r="B1053" s="2"/>
      <c r="C1053" s="3"/>
      <c r="D1053" s="3"/>
      <c r="E1053" s="4"/>
      <c r="F1053" s="43"/>
      <c r="G1053" s="4"/>
      <c r="H1053" s="43"/>
      <c r="I1053" s="4"/>
      <c r="J1053" s="26"/>
      <c r="K1053" s="27"/>
      <c r="L1053" s="2"/>
      <c r="M1053" s="24"/>
    </row>
    <row r="1054" spans="1:13" ht="99.9" customHeight="1" thickTop="1" thickBot="1">
      <c r="A1054" s="4"/>
      <c r="B1054" s="2"/>
      <c r="C1054" s="3"/>
      <c r="D1054" s="3"/>
      <c r="E1054" s="4"/>
      <c r="F1054" s="43"/>
      <c r="G1054" s="4"/>
      <c r="H1054" s="43"/>
      <c r="I1054" s="4"/>
      <c r="J1054" s="26"/>
      <c r="K1054" s="27"/>
      <c r="L1054" s="2"/>
      <c r="M1054" s="24"/>
    </row>
    <row r="1055" spans="1:13" ht="99.9" customHeight="1" thickTop="1" thickBot="1">
      <c r="A1055" s="4"/>
      <c r="B1055" s="2"/>
      <c r="C1055" s="3"/>
      <c r="D1055" s="3"/>
      <c r="E1055" s="4"/>
      <c r="F1055" s="43"/>
      <c r="G1055" s="4"/>
      <c r="H1055" s="43"/>
      <c r="I1055" s="4"/>
      <c r="J1055" s="26"/>
      <c r="K1055" s="27"/>
      <c r="L1055" s="2"/>
      <c r="M1055" s="24"/>
    </row>
    <row r="1056" spans="1:13" ht="99.9" customHeight="1" thickTop="1" thickBot="1">
      <c r="A1056" s="4"/>
      <c r="B1056" s="2"/>
      <c r="C1056" s="3"/>
      <c r="D1056" s="3"/>
      <c r="E1056" s="4"/>
      <c r="F1056" s="43"/>
      <c r="G1056" s="4"/>
      <c r="H1056" s="43"/>
      <c r="I1056" s="4"/>
      <c r="J1056" s="26"/>
      <c r="K1056" s="27"/>
      <c r="L1056" s="2"/>
      <c r="M1056" s="24"/>
    </row>
    <row r="1057" spans="1:13" ht="99.9" customHeight="1" thickTop="1" thickBot="1">
      <c r="A1057" s="4"/>
      <c r="B1057" s="2"/>
      <c r="C1057" s="3"/>
      <c r="D1057" s="3"/>
      <c r="E1057" s="4"/>
      <c r="F1057" s="43"/>
      <c r="G1057" s="4"/>
      <c r="H1057" s="43"/>
      <c r="I1057" s="4"/>
      <c r="J1057" s="26"/>
      <c r="K1057" s="27"/>
      <c r="L1057" s="2"/>
      <c r="M1057" s="24"/>
    </row>
    <row r="1058" spans="1:13" ht="99.9" customHeight="1" thickTop="1" thickBot="1">
      <c r="A1058" s="4"/>
      <c r="B1058" s="2"/>
      <c r="C1058" s="3"/>
      <c r="D1058" s="3"/>
      <c r="E1058" s="4"/>
      <c r="F1058" s="43"/>
      <c r="G1058" s="4"/>
      <c r="H1058" s="43"/>
      <c r="I1058" s="4"/>
      <c r="J1058" s="26"/>
      <c r="K1058" s="27"/>
      <c r="L1058" s="2"/>
      <c r="M1058" s="24"/>
    </row>
    <row r="1059" spans="1:13" ht="99.9" customHeight="1" thickTop="1" thickBot="1">
      <c r="A1059" s="4"/>
      <c r="B1059" s="2"/>
      <c r="C1059" s="3"/>
      <c r="D1059" s="3"/>
      <c r="E1059" s="4"/>
      <c r="F1059" s="43"/>
      <c r="G1059" s="4"/>
      <c r="H1059" s="43"/>
      <c r="I1059" s="4"/>
      <c r="J1059" s="26"/>
      <c r="K1059" s="27"/>
      <c r="L1059" s="2"/>
      <c r="M1059" s="24"/>
    </row>
    <row r="1060" spans="1:13" ht="99.9" customHeight="1" thickTop="1" thickBot="1">
      <c r="A1060" s="4"/>
      <c r="B1060" s="2"/>
      <c r="C1060" s="3"/>
      <c r="D1060" s="3"/>
      <c r="E1060" s="4"/>
      <c r="F1060" s="43"/>
      <c r="G1060" s="4"/>
      <c r="H1060" s="43"/>
      <c r="I1060" s="4"/>
      <c r="J1060" s="26"/>
      <c r="K1060" s="27"/>
      <c r="L1060" s="2"/>
      <c r="M1060" s="24"/>
    </row>
    <row r="1061" spans="1:13" ht="99.9" customHeight="1" thickTop="1" thickBot="1">
      <c r="A1061" s="4"/>
      <c r="B1061" s="2"/>
      <c r="C1061" s="3"/>
      <c r="D1061" s="3"/>
      <c r="E1061" s="4"/>
      <c r="F1061" s="43"/>
      <c r="G1061" s="4"/>
      <c r="H1061" s="43"/>
      <c r="I1061" s="4"/>
      <c r="J1061" s="26"/>
      <c r="K1061" s="27"/>
      <c r="L1061" s="2"/>
      <c r="M1061" s="24"/>
    </row>
    <row r="1062" spans="1:13" ht="99.9" customHeight="1" thickTop="1" thickBot="1">
      <c r="A1062" s="4"/>
      <c r="B1062" s="2"/>
      <c r="C1062" s="3"/>
      <c r="D1062" s="3"/>
      <c r="E1062" s="4"/>
      <c r="F1062" s="43"/>
      <c r="G1062" s="4"/>
      <c r="H1062" s="43"/>
      <c r="I1062" s="4"/>
      <c r="J1062" s="26"/>
      <c r="K1062" s="27"/>
      <c r="L1062" s="2"/>
      <c r="M1062" s="24"/>
    </row>
    <row r="1063" spans="1:13" ht="99.9" customHeight="1" thickTop="1" thickBot="1">
      <c r="A1063" s="4"/>
      <c r="B1063" s="2"/>
      <c r="C1063" s="3"/>
      <c r="D1063" s="3"/>
      <c r="E1063" s="4"/>
      <c r="F1063" s="43"/>
      <c r="G1063" s="4"/>
      <c r="H1063" s="43"/>
      <c r="I1063" s="4"/>
      <c r="J1063" s="26"/>
      <c r="K1063" s="27"/>
      <c r="L1063" s="2"/>
      <c r="M1063" s="24"/>
    </row>
    <row r="1064" spans="1:13" ht="99.9" customHeight="1" thickTop="1" thickBot="1">
      <c r="A1064" s="4"/>
      <c r="B1064" s="2"/>
      <c r="C1064" s="3"/>
      <c r="D1064" s="3"/>
      <c r="E1064" s="4"/>
      <c r="F1064" s="43"/>
      <c r="G1064" s="4"/>
      <c r="H1064" s="43"/>
      <c r="I1064" s="4"/>
      <c r="J1064" s="26"/>
      <c r="K1064" s="27"/>
      <c r="L1064" s="2"/>
      <c r="M1064" s="24"/>
    </row>
    <row r="1065" spans="1:13" ht="99.9" customHeight="1" thickTop="1" thickBot="1">
      <c r="A1065" s="4"/>
      <c r="B1065" s="2"/>
      <c r="C1065" s="3"/>
      <c r="D1065" s="3"/>
      <c r="E1065" s="4"/>
      <c r="F1065" s="43"/>
      <c r="G1065" s="4"/>
      <c r="H1065" s="43"/>
      <c r="I1065" s="4"/>
      <c r="J1065" s="26"/>
      <c r="K1065" s="27"/>
      <c r="L1065" s="2"/>
      <c r="M1065" s="24"/>
    </row>
    <row r="1066" spans="1:13" ht="99.9" customHeight="1" thickTop="1" thickBot="1">
      <c r="A1066" s="4"/>
      <c r="B1066" s="2"/>
      <c r="C1066" s="3"/>
      <c r="D1066" s="3"/>
      <c r="E1066" s="4"/>
      <c r="F1066" s="43"/>
      <c r="G1066" s="4"/>
      <c r="H1066" s="43"/>
      <c r="I1066" s="4"/>
      <c r="J1066" s="26"/>
      <c r="K1066" s="27"/>
      <c r="L1066" s="2"/>
      <c r="M1066" s="24"/>
    </row>
    <row r="1067" spans="1:13" ht="99.9" customHeight="1" thickTop="1" thickBot="1">
      <c r="A1067" s="4"/>
      <c r="B1067" s="2"/>
      <c r="C1067" s="3"/>
      <c r="D1067" s="3"/>
      <c r="E1067" s="4"/>
      <c r="F1067" s="43"/>
      <c r="G1067" s="4"/>
      <c r="H1067" s="43"/>
      <c r="I1067" s="4"/>
      <c r="J1067" s="26"/>
      <c r="K1067" s="27"/>
      <c r="L1067" s="2"/>
      <c r="M1067" s="24"/>
    </row>
    <row r="1068" spans="1:13" ht="99.9" customHeight="1" thickTop="1" thickBot="1">
      <c r="A1068" s="4"/>
      <c r="B1068" s="2"/>
      <c r="C1068" s="3"/>
      <c r="D1068" s="3"/>
      <c r="E1068" s="4"/>
      <c r="F1068" s="43"/>
      <c r="G1068" s="4"/>
      <c r="H1068" s="43"/>
      <c r="I1068" s="4"/>
      <c r="J1068" s="26"/>
      <c r="K1068" s="27"/>
      <c r="L1068" s="2"/>
      <c r="M1068" s="24"/>
    </row>
    <row r="1069" spans="1:13" ht="99.9" customHeight="1" thickTop="1" thickBot="1">
      <c r="A1069" s="4"/>
      <c r="B1069" s="2"/>
      <c r="C1069" s="3"/>
      <c r="D1069" s="3"/>
      <c r="E1069" s="4"/>
      <c r="F1069" s="43"/>
      <c r="G1069" s="4"/>
      <c r="H1069" s="43"/>
      <c r="I1069" s="4"/>
      <c r="J1069" s="26"/>
      <c r="K1069" s="27"/>
      <c r="L1069" s="2"/>
      <c r="M1069" s="24"/>
    </row>
    <row r="1070" spans="1:13" ht="99.9" customHeight="1" thickTop="1" thickBot="1">
      <c r="A1070" s="4"/>
      <c r="B1070" s="2"/>
      <c r="C1070" s="3"/>
      <c r="D1070" s="3"/>
      <c r="E1070" s="4"/>
      <c r="F1070" s="43"/>
      <c r="G1070" s="4"/>
      <c r="H1070" s="43"/>
      <c r="I1070" s="4"/>
      <c r="J1070" s="26"/>
      <c r="K1070" s="27"/>
      <c r="L1070" s="2"/>
      <c r="M1070" s="24"/>
    </row>
    <row r="1071" spans="1:13" ht="99.9" customHeight="1" thickTop="1" thickBot="1">
      <c r="A1071" s="4"/>
      <c r="B1071" s="2"/>
      <c r="C1071" s="3"/>
      <c r="D1071" s="3"/>
      <c r="E1071" s="4"/>
      <c r="F1071" s="43"/>
      <c r="G1071" s="4"/>
      <c r="H1071" s="43"/>
      <c r="I1071" s="4"/>
      <c r="J1071" s="26"/>
      <c r="K1071" s="27"/>
      <c r="L1071" s="2"/>
      <c r="M1071" s="24"/>
    </row>
    <row r="1072" spans="1:13" ht="99.9" customHeight="1" thickTop="1" thickBot="1">
      <c r="A1072" s="4"/>
      <c r="B1072" s="2"/>
      <c r="C1072" s="3"/>
      <c r="D1072" s="3"/>
      <c r="E1072" s="4"/>
      <c r="F1072" s="43"/>
      <c r="G1072" s="4"/>
      <c r="H1072" s="43"/>
      <c r="I1072" s="4"/>
      <c r="J1072" s="26"/>
      <c r="K1072" s="27"/>
      <c r="L1072" s="2"/>
      <c r="M1072" s="24"/>
    </row>
    <row r="1073" spans="1:13" ht="99.9" customHeight="1" thickTop="1" thickBot="1">
      <c r="A1073" s="4"/>
      <c r="B1073" s="2"/>
      <c r="C1073" s="3"/>
      <c r="D1073" s="3"/>
      <c r="E1073" s="4"/>
      <c r="F1073" s="43"/>
      <c r="G1073" s="4"/>
      <c r="H1073" s="43"/>
      <c r="I1073" s="4"/>
      <c r="J1073" s="26"/>
      <c r="K1073" s="27"/>
      <c r="L1073" s="2"/>
      <c r="M1073" s="24"/>
    </row>
    <row r="1074" spans="1:13" ht="15.75" customHeight="1" thickTop="1" thickBot="1">
      <c r="A1074" s="4"/>
      <c r="B1074" s="2"/>
      <c r="C1074" s="3"/>
      <c r="D1074" s="3"/>
      <c r="E1074" s="4"/>
      <c r="F1074" s="43"/>
      <c r="G1074" s="4"/>
      <c r="H1074" s="43"/>
      <c r="I1074" s="4"/>
      <c r="J1074" s="26"/>
      <c r="K1074" s="27"/>
      <c r="L1074" s="2"/>
      <c r="M1074" s="24"/>
    </row>
    <row r="1075" spans="1:13" ht="15.75" customHeight="1" thickTop="1" thickBot="1">
      <c r="A1075" s="4"/>
      <c r="B1075" s="2"/>
      <c r="C1075" s="3"/>
      <c r="D1075" s="3"/>
      <c r="E1075" s="4"/>
      <c r="F1075" s="43"/>
      <c r="G1075" s="4"/>
      <c r="H1075" s="43"/>
      <c r="I1075" s="4"/>
      <c r="J1075" s="26"/>
      <c r="K1075" s="27"/>
      <c r="L1075" s="2"/>
      <c r="M1075" s="24"/>
    </row>
    <row r="1076" spans="1:13" ht="15.75" customHeight="1" thickTop="1"/>
  </sheetData>
  <autoFilter ref="A2:A590" xr:uid="{00000000-0009-0000-0000-000000000000}"/>
  <conditionalFormatting sqref="B3:B1075">
    <cfRule type="expression" dxfId="34" priority="3">
      <formula>AND($B3&lt;&gt;"", TRIM($K3)="")</formula>
    </cfRule>
    <cfRule type="expression" dxfId="33" priority="4">
      <formula>INT($B3) &lt; TODAY()</formula>
    </cfRule>
    <cfRule type="expression" dxfId="32" priority="5">
      <formula>INT($B3) = TODAY()</formula>
    </cfRule>
  </conditionalFormatting>
  <conditionalFormatting sqref="K1:K1048576">
    <cfRule type="containsText" dxfId="31" priority="1" operator="containsText" text="منجز">
      <formula>NOT(ISERROR(SEARCH("منجز",K1)))</formula>
    </cfRule>
    <cfRule type="containsText" dxfId="30" priority="2" operator="containsText" text="منجز">
      <formula>NOT(ISERROR(SEARCH("منجز",K1)))</formula>
    </cfRule>
  </conditionalFormatting>
  <dataValidations count="2">
    <dataValidation type="list" allowBlank="1" sqref="J3:J1002" xr:uid="{8709E0D0-9812-4746-947C-3C38B37312B4}">
      <formula1>#REF!</formula1>
    </dataValidation>
    <dataValidation type="list" allowBlank="1" sqref="K3:K1002" xr:uid="{123EAFA8-9646-4CC3-89D1-BE20E971BBCD}">
      <formula1>"منجز,ملغي,تابع للتربية,مؤجل"</formula1>
    </dataValidation>
  </dataValidations>
  <printOptions horizontalCentered="1" verticalCentered="1"/>
  <pageMargins left="0.23622047244094499" right="0.23622047244094499" top="0.74803149606299202" bottom="0.74803149606299202" header="0.31496062992126" footer="0.31496062992126"/>
  <pageSetup scale="38" fitToHeight="0" orientation="portrait" useFirstPageNumber="1" r:id="rId1"/>
  <headerFooter>
    <oddHeader>&amp;C&amp;"Segoe UI Historic,غامق"&amp;20قسم المشاريع الهندسية
شعبة صيانة مجموعة العميد التربوية</oddHeader>
    <oddFooter>صفحة &amp;P</oddFoot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B59B6"/>
    <outlinePr summaryBelow="0" summaryRight="0"/>
  </sheetPr>
  <dimension ref="A1:I999"/>
  <sheetViews>
    <sheetView showGridLines="0" workbookViewId="0">
      <pane ySplit="1" topLeftCell="A2" activePane="bottomLeft" state="frozen"/>
      <selection pane="bottomLeft" activeCell="B3" sqref="B3"/>
    </sheetView>
  </sheetViews>
  <sheetFormatPr defaultColWidth="12.5546875" defaultRowHeight="15.75" customHeight="1"/>
  <cols>
    <col min="1" max="1" width="19.44140625" customWidth="1"/>
    <col min="2" max="2" width="46.6640625" customWidth="1"/>
    <col min="3" max="3" width="18.5546875" customWidth="1"/>
    <col min="6" max="9" width="19.44140625" customWidth="1"/>
  </cols>
  <sheetData>
    <row r="1" spans="1:9" ht="22.5" customHeight="1">
      <c r="A1" s="5" t="s">
        <v>62</v>
      </c>
      <c r="B1" s="5" t="s">
        <v>63</v>
      </c>
      <c r="C1" s="6" t="s">
        <v>64</v>
      </c>
      <c r="D1" s="5" t="s">
        <v>65</v>
      </c>
      <c r="E1" s="5" t="s">
        <v>19</v>
      </c>
      <c r="F1" s="6" t="s">
        <v>66</v>
      </c>
      <c r="G1" s="7" t="s">
        <v>67</v>
      </c>
      <c r="H1" s="7" t="s">
        <v>68</v>
      </c>
      <c r="I1" s="7" t="s">
        <v>69</v>
      </c>
    </row>
    <row r="2" spans="1:9" ht="22.5" customHeight="1">
      <c r="A2" s="8" t="s">
        <v>70</v>
      </c>
      <c r="B2" s="9" t="s">
        <v>71</v>
      </c>
      <c r="C2" s="10" t="s">
        <v>72</v>
      </c>
      <c r="D2" s="11" t="s">
        <v>73</v>
      </c>
      <c r="E2" s="11"/>
      <c r="F2" s="11">
        <v>9647747440755</v>
      </c>
      <c r="G2" s="12" t="s">
        <v>74</v>
      </c>
      <c r="H2" s="11"/>
      <c r="I2" s="13" t="s">
        <v>12</v>
      </c>
    </row>
    <row r="3" spans="1:9" ht="22.5" customHeight="1">
      <c r="A3" s="14" t="s">
        <v>75</v>
      </c>
      <c r="B3" s="15" t="s">
        <v>76</v>
      </c>
      <c r="C3" s="10" t="s">
        <v>72</v>
      </c>
      <c r="D3" s="11" t="s">
        <v>73</v>
      </c>
      <c r="E3" s="11"/>
      <c r="F3" s="11">
        <v>9647804966740</v>
      </c>
      <c r="G3" s="12" t="s">
        <v>14</v>
      </c>
      <c r="H3" s="11"/>
      <c r="I3" s="13" t="s">
        <v>14</v>
      </c>
    </row>
    <row r="4" spans="1:9" ht="22.5" customHeight="1">
      <c r="A4" s="14" t="s">
        <v>77</v>
      </c>
      <c r="B4" s="15" t="s">
        <v>78</v>
      </c>
      <c r="C4" s="10" t="s">
        <v>72</v>
      </c>
      <c r="D4" s="11" t="s">
        <v>73</v>
      </c>
      <c r="E4" s="11"/>
      <c r="F4" s="11">
        <v>9647744774982</v>
      </c>
      <c r="G4" s="12" t="s">
        <v>14</v>
      </c>
      <c r="H4" s="11"/>
      <c r="I4" s="13" t="s">
        <v>16</v>
      </c>
    </row>
    <row r="5" spans="1:9" ht="22.5" customHeight="1">
      <c r="A5" s="8" t="s">
        <v>79</v>
      </c>
      <c r="B5" s="9" t="s">
        <v>71</v>
      </c>
      <c r="C5" s="10" t="s">
        <v>72</v>
      </c>
      <c r="D5" s="11" t="s">
        <v>73</v>
      </c>
      <c r="E5" s="11"/>
      <c r="F5" s="11">
        <v>9647830414470</v>
      </c>
      <c r="G5" s="12" t="s">
        <v>14</v>
      </c>
      <c r="H5" s="11"/>
      <c r="I5" s="13" t="s">
        <v>15</v>
      </c>
    </row>
    <row r="6" spans="1:9" ht="22.5" customHeight="1">
      <c r="A6" s="14" t="s">
        <v>80</v>
      </c>
      <c r="B6" s="15" t="s">
        <v>71</v>
      </c>
      <c r="C6" s="10" t="s">
        <v>72</v>
      </c>
      <c r="D6" s="11" t="s">
        <v>73</v>
      </c>
      <c r="E6" s="11"/>
      <c r="F6" s="11">
        <v>9647719830876</v>
      </c>
      <c r="G6" s="12" t="s">
        <v>14</v>
      </c>
      <c r="H6" s="11"/>
      <c r="I6" s="13" t="s">
        <v>74</v>
      </c>
    </row>
    <row r="7" spans="1:9" ht="22.5" customHeight="1">
      <c r="A7" s="14" t="s">
        <v>81</v>
      </c>
      <c r="B7" s="15" t="s">
        <v>35</v>
      </c>
      <c r="C7" s="10" t="s">
        <v>72</v>
      </c>
      <c r="D7" s="11" t="s">
        <v>73</v>
      </c>
      <c r="E7" s="11"/>
      <c r="F7" s="11">
        <v>9647713071204</v>
      </c>
      <c r="G7" s="12" t="s">
        <v>16</v>
      </c>
      <c r="H7" s="11"/>
      <c r="I7" s="13" t="s">
        <v>59</v>
      </c>
    </row>
    <row r="8" spans="1:9" ht="22.5" customHeight="1">
      <c r="A8" s="14" t="s">
        <v>82</v>
      </c>
      <c r="B8" s="15" t="s">
        <v>71</v>
      </c>
      <c r="C8" s="10" t="s">
        <v>72</v>
      </c>
      <c r="D8" s="11" t="s">
        <v>73</v>
      </c>
      <c r="E8" s="11"/>
      <c r="F8" s="11">
        <v>9647800031322</v>
      </c>
      <c r="G8" s="12" t="s">
        <v>16</v>
      </c>
      <c r="H8" s="11"/>
      <c r="I8" s="13" t="s">
        <v>33</v>
      </c>
    </row>
    <row r="9" spans="1:9" ht="22.5" customHeight="1">
      <c r="A9" s="14" t="s">
        <v>83</v>
      </c>
      <c r="B9" s="15" t="s">
        <v>71</v>
      </c>
      <c r="C9" s="10" t="s">
        <v>72</v>
      </c>
      <c r="D9" s="11" t="s">
        <v>73</v>
      </c>
      <c r="E9" s="11"/>
      <c r="F9" s="11">
        <v>9647719155809</v>
      </c>
      <c r="G9" s="12" t="s">
        <v>16</v>
      </c>
      <c r="H9" s="11"/>
      <c r="I9" s="13" t="s">
        <v>84</v>
      </c>
    </row>
    <row r="10" spans="1:9" ht="22.5" customHeight="1">
      <c r="A10" s="14" t="s">
        <v>85</v>
      </c>
      <c r="B10" s="15" t="s">
        <v>86</v>
      </c>
      <c r="C10" s="10" t="s">
        <v>72</v>
      </c>
      <c r="D10" s="11" t="s">
        <v>73</v>
      </c>
      <c r="E10" s="11"/>
      <c r="F10" s="11">
        <v>9647730888623</v>
      </c>
      <c r="G10" s="12" t="s">
        <v>12</v>
      </c>
      <c r="H10" s="11"/>
    </row>
    <row r="11" spans="1:9" ht="22.5" customHeight="1">
      <c r="A11" s="14" t="s">
        <v>87</v>
      </c>
      <c r="B11" s="15" t="s">
        <v>88</v>
      </c>
      <c r="C11" s="10" t="s">
        <v>72</v>
      </c>
      <c r="D11" s="11" t="s">
        <v>73</v>
      </c>
      <c r="E11" s="11"/>
      <c r="F11" s="11">
        <v>9647825475204</v>
      </c>
      <c r="G11" s="12" t="s">
        <v>12</v>
      </c>
      <c r="H11" s="11"/>
    </row>
    <row r="12" spans="1:9" ht="22.5" customHeight="1">
      <c r="A12" s="14" t="s">
        <v>89</v>
      </c>
      <c r="B12" s="16" t="s">
        <v>24</v>
      </c>
      <c r="C12" s="10" t="s">
        <v>72</v>
      </c>
      <c r="D12" s="11" t="s">
        <v>73</v>
      </c>
      <c r="E12" s="11"/>
      <c r="F12" s="11">
        <v>9647735559707</v>
      </c>
      <c r="G12" s="12" t="s">
        <v>12</v>
      </c>
      <c r="H12" s="11"/>
    </row>
    <row r="13" spans="1:9" ht="22.5" customHeight="1">
      <c r="A13" s="14" t="s">
        <v>90</v>
      </c>
      <c r="B13" s="15" t="s">
        <v>71</v>
      </c>
      <c r="C13" s="10" t="s">
        <v>72</v>
      </c>
      <c r="D13" s="11" t="s">
        <v>73</v>
      </c>
      <c r="E13" s="11"/>
      <c r="F13" s="11">
        <v>9647802331887</v>
      </c>
      <c r="G13" s="12" t="s">
        <v>12</v>
      </c>
      <c r="H13" s="11"/>
      <c r="I13" s="13"/>
    </row>
    <row r="14" spans="1:9" ht="22.5" customHeight="1">
      <c r="A14" s="8" t="s">
        <v>91</v>
      </c>
      <c r="B14" s="9" t="s">
        <v>71</v>
      </c>
      <c r="C14" s="10" t="s">
        <v>72</v>
      </c>
      <c r="D14" s="11" t="s">
        <v>73</v>
      </c>
      <c r="E14" s="11"/>
      <c r="F14" s="11">
        <v>9647817773219</v>
      </c>
      <c r="G14" s="12" t="s">
        <v>12</v>
      </c>
      <c r="H14" s="11"/>
    </row>
    <row r="15" spans="1:9" ht="22.5" customHeight="1">
      <c r="A15" s="8" t="s">
        <v>92</v>
      </c>
      <c r="B15" s="9" t="s">
        <v>71</v>
      </c>
      <c r="C15" s="10" t="s">
        <v>72</v>
      </c>
      <c r="D15" s="11" t="s">
        <v>73</v>
      </c>
      <c r="E15" s="11"/>
      <c r="F15" s="11">
        <v>9647700479006</v>
      </c>
      <c r="G15" s="12" t="s">
        <v>12</v>
      </c>
      <c r="H15" s="11"/>
    </row>
    <row r="16" spans="1:9" ht="22.5" customHeight="1">
      <c r="A16" s="14" t="s">
        <v>93</v>
      </c>
      <c r="B16" s="16" t="s">
        <v>20</v>
      </c>
      <c r="C16" s="10" t="s">
        <v>94</v>
      </c>
      <c r="D16" s="11" t="s">
        <v>73</v>
      </c>
      <c r="E16" s="11" t="s">
        <v>95</v>
      </c>
      <c r="F16" s="17" t="s">
        <v>96</v>
      </c>
      <c r="G16" s="12" t="s">
        <v>59</v>
      </c>
      <c r="H16" s="17"/>
    </row>
    <row r="17" spans="1:9" ht="22.5" customHeight="1">
      <c r="A17" s="8" t="s">
        <v>93</v>
      </c>
      <c r="B17" s="18" t="s">
        <v>20</v>
      </c>
      <c r="C17" s="10" t="s">
        <v>72</v>
      </c>
      <c r="D17" s="11" t="s">
        <v>73</v>
      </c>
      <c r="E17" s="11" t="s">
        <v>97</v>
      </c>
      <c r="F17" s="11"/>
      <c r="G17" s="12" t="s">
        <v>59</v>
      </c>
      <c r="H17" s="11"/>
    </row>
    <row r="18" spans="1:9" ht="22.5" customHeight="1">
      <c r="A18" s="14" t="s">
        <v>98</v>
      </c>
      <c r="B18" s="15" t="s">
        <v>99</v>
      </c>
      <c r="C18" s="10" t="s">
        <v>72</v>
      </c>
      <c r="D18" s="11" t="s">
        <v>73</v>
      </c>
      <c r="E18" s="11"/>
      <c r="F18" s="11"/>
      <c r="G18" s="12" t="s">
        <v>59</v>
      </c>
      <c r="H18" s="11"/>
      <c r="I18" s="13"/>
    </row>
    <row r="19" spans="1:9" ht="22.5" customHeight="1">
      <c r="A19" s="14" t="s">
        <v>100</v>
      </c>
      <c r="B19" s="15" t="s">
        <v>71</v>
      </c>
      <c r="C19" s="10" t="s">
        <v>72</v>
      </c>
      <c r="D19" s="11" t="s">
        <v>73</v>
      </c>
      <c r="E19" s="11"/>
      <c r="F19" s="11">
        <v>9647715317444</v>
      </c>
      <c r="G19" s="12" t="s">
        <v>12</v>
      </c>
      <c r="H19" s="11"/>
      <c r="I19" s="13"/>
    </row>
    <row r="20" spans="1:9" ht="22.5" customHeight="1">
      <c r="A20" s="14" t="s">
        <v>101</v>
      </c>
      <c r="B20" s="15" t="s">
        <v>102</v>
      </c>
      <c r="C20" s="10" t="s">
        <v>72</v>
      </c>
      <c r="D20" s="11" t="s">
        <v>73</v>
      </c>
      <c r="E20" s="11"/>
      <c r="F20" s="11"/>
      <c r="G20" s="12" t="s">
        <v>59</v>
      </c>
      <c r="H20" s="11"/>
      <c r="I20" s="13"/>
    </row>
    <row r="21" spans="1:9" ht="22.5" customHeight="1">
      <c r="A21" s="14" t="s">
        <v>103</v>
      </c>
      <c r="B21" s="15" t="s">
        <v>104</v>
      </c>
      <c r="C21" s="10" t="s">
        <v>72</v>
      </c>
      <c r="D21" s="11" t="s">
        <v>73</v>
      </c>
      <c r="E21" s="11"/>
      <c r="F21" s="11"/>
      <c r="G21" s="12" t="s">
        <v>59</v>
      </c>
      <c r="H21" s="11"/>
      <c r="I21" s="13"/>
    </row>
    <row r="22" spans="1:9" ht="22.5" customHeight="1">
      <c r="A22" s="14"/>
      <c r="B22" s="15"/>
      <c r="C22" s="10"/>
      <c r="D22" s="11"/>
      <c r="E22" s="11"/>
      <c r="F22" s="11"/>
      <c r="G22" s="12" t="s">
        <v>33</v>
      </c>
      <c r="H22" s="11"/>
      <c r="I22" s="13"/>
    </row>
    <row r="23" spans="1:9" ht="22.5" customHeight="1">
      <c r="A23" s="14" t="s">
        <v>105</v>
      </c>
      <c r="B23" s="15" t="s">
        <v>23</v>
      </c>
      <c r="C23" s="10" t="s">
        <v>72</v>
      </c>
      <c r="D23" s="11" t="s">
        <v>73</v>
      </c>
      <c r="E23" s="11"/>
      <c r="F23" s="11"/>
      <c r="G23" s="12" t="s">
        <v>33</v>
      </c>
      <c r="H23" s="11"/>
      <c r="I23" s="13"/>
    </row>
    <row r="24" spans="1:9" ht="22.5" customHeight="1">
      <c r="A24" s="14" t="s">
        <v>106</v>
      </c>
      <c r="B24" s="15" t="s">
        <v>30</v>
      </c>
      <c r="C24" s="10" t="s">
        <v>72</v>
      </c>
      <c r="D24" s="11" t="s">
        <v>73</v>
      </c>
      <c r="E24" s="11"/>
      <c r="F24" s="11"/>
      <c r="G24" s="12" t="s">
        <v>33</v>
      </c>
      <c r="H24" s="11"/>
      <c r="I24" s="13"/>
    </row>
    <row r="25" spans="1:9" ht="22.5" customHeight="1">
      <c r="A25" s="14" t="s">
        <v>107</v>
      </c>
      <c r="B25" s="15" t="s">
        <v>108</v>
      </c>
      <c r="C25" s="10" t="s">
        <v>72</v>
      </c>
      <c r="D25" s="11"/>
      <c r="E25" s="11"/>
      <c r="F25" s="11"/>
      <c r="G25" s="12" t="s">
        <v>33</v>
      </c>
      <c r="H25" s="11"/>
      <c r="I25" s="13"/>
    </row>
    <row r="26" spans="1:9" ht="22.5" customHeight="1">
      <c r="A26" s="8" t="s">
        <v>109</v>
      </c>
      <c r="B26" s="9" t="s">
        <v>71</v>
      </c>
      <c r="C26" s="10" t="s">
        <v>72</v>
      </c>
      <c r="D26" s="11" t="s">
        <v>73</v>
      </c>
      <c r="E26" s="11"/>
      <c r="F26" s="11">
        <v>9647825457007</v>
      </c>
      <c r="G26" s="12" t="s">
        <v>15</v>
      </c>
      <c r="H26" s="11"/>
      <c r="I26" s="13"/>
    </row>
    <row r="27" spans="1:9" ht="22.5" customHeight="1">
      <c r="A27" s="8" t="s">
        <v>110</v>
      </c>
      <c r="B27" s="9" t="s">
        <v>71</v>
      </c>
      <c r="C27" s="10" t="s">
        <v>72</v>
      </c>
      <c r="D27" s="11" t="s">
        <v>73</v>
      </c>
      <c r="E27" s="11"/>
      <c r="F27" s="11">
        <v>9647711625371</v>
      </c>
      <c r="G27" s="12" t="s">
        <v>15</v>
      </c>
      <c r="H27" s="11"/>
      <c r="I27" s="13"/>
    </row>
    <row r="28" spans="1:9" ht="22.5" customHeight="1">
      <c r="A28" s="8" t="s">
        <v>111</v>
      </c>
      <c r="B28" s="9" t="s">
        <v>71</v>
      </c>
      <c r="C28" s="10" t="s">
        <v>72</v>
      </c>
      <c r="D28" s="11" t="s">
        <v>73</v>
      </c>
      <c r="E28" s="11"/>
      <c r="F28" s="11">
        <v>9647709701094</v>
      </c>
      <c r="G28" s="12" t="s">
        <v>15</v>
      </c>
      <c r="H28" s="11"/>
      <c r="I28" s="13"/>
    </row>
    <row r="29" spans="1:9" ht="22.5" customHeight="1">
      <c r="A29" s="14" t="s">
        <v>89</v>
      </c>
      <c r="B29" s="16" t="s">
        <v>24</v>
      </c>
      <c r="C29" s="10" t="s">
        <v>72</v>
      </c>
      <c r="D29" s="11" t="s">
        <v>73</v>
      </c>
      <c r="E29" s="11"/>
      <c r="F29" s="11"/>
      <c r="G29" s="12" t="s">
        <v>84</v>
      </c>
      <c r="H29" s="11"/>
      <c r="I29" s="13"/>
    </row>
    <row r="30" spans="1:9" ht="22.5" customHeight="1">
      <c r="A30" s="8" t="s">
        <v>89</v>
      </c>
      <c r="B30" s="19" t="s">
        <v>24</v>
      </c>
      <c r="C30" s="10" t="s">
        <v>94</v>
      </c>
      <c r="D30" s="11"/>
      <c r="E30" s="11"/>
      <c r="F30" s="11"/>
      <c r="G30" s="12" t="s">
        <v>84</v>
      </c>
      <c r="H30" s="11"/>
      <c r="I30" s="13"/>
    </row>
    <row r="31" spans="1:9" ht="22.5" customHeight="1">
      <c r="A31" s="20"/>
      <c r="B31" s="21"/>
      <c r="C31" s="22"/>
      <c r="D31" s="13"/>
      <c r="E31" s="13"/>
      <c r="F31" s="13"/>
      <c r="G31" s="23"/>
      <c r="H31" s="13"/>
      <c r="I31" s="13"/>
    </row>
    <row r="32" spans="1:9" ht="22.5" customHeight="1">
      <c r="A32" s="20"/>
      <c r="B32" s="21"/>
      <c r="C32" s="22"/>
      <c r="D32" s="13"/>
      <c r="E32" s="13"/>
      <c r="F32" s="13"/>
      <c r="G32" s="23"/>
      <c r="H32" s="13"/>
      <c r="I32" s="13"/>
    </row>
    <row r="33" spans="1:9" ht="22.5" customHeight="1">
      <c r="A33" s="20"/>
      <c r="B33" s="21"/>
      <c r="C33" s="22"/>
      <c r="D33" s="13"/>
      <c r="E33" s="13"/>
      <c r="F33" s="13"/>
      <c r="G33" s="23"/>
      <c r="H33" s="13"/>
      <c r="I33" s="13"/>
    </row>
    <row r="34" spans="1:9" ht="22.5" customHeight="1">
      <c r="A34" s="20"/>
      <c r="B34" s="21"/>
      <c r="C34" s="22"/>
      <c r="D34" s="13"/>
      <c r="E34" s="13"/>
      <c r="F34" s="13"/>
      <c r="G34" s="23"/>
      <c r="H34" s="13"/>
      <c r="I34" s="13"/>
    </row>
    <row r="35" spans="1:9" ht="22.5" customHeight="1">
      <c r="A35" s="20"/>
      <c r="B35" s="21"/>
      <c r="C35" s="22"/>
      <c r="D35" s="13"/>
      <c r="E35" s="13"/>
      <c r="F35" s="13"/>
      <c r="G35" s="23"/>
      <c r="H35" s="13"/>
      <c r="I35" s="13"/>
    </row>
    <row r="36" spans="1:9" ht="22.5" customHeight="1">
      <c r="A36" s="20"/>
      <c r="B36" s="21"/>
      <c r="C36" s="22"/>
      <c r="D36" s="13"/>
      <c r="E36" s="13"/>
      <c r="F36" s="13"/>
      <c r="G36" s="23"/>
      <c r="H36" s="13"/>
      <c r="I36" s="13"/>
    </row>
    <row r="37" spans="1:9" ht="22.5" customHeight="1">
      <c r="A37" s="20"/>
      <c r="B37" s="21"/>
      <c r="C37" s="22"/>
      <c r="D37" s="13"/>
      <c r="E37" s="13"/>
      <c r="F37" s="13"/>
      <c r="G37" s="23"/>
      <c r="H37" s="13"/>
      <c r="I37" s="13"/>
    </row>
    <row r="38" spans="1:9" ht="22.5" customHeight="1">
      <c r="A38" s="20"/>
      <c r="B38" s="21"/>
      <c r="C38" s="22"/>
      <c r="D38" s="13"/>
      <c r="E38" s="13"/>
      <c r="F38" s="13"/>
      <c r="G38" s="23"/>
      <c r="H38" s="13"/>
      <c r="I38" s="13"/>
    </row>
    <row r="39" spans="1:9" ht="22.5" customHeight="1">
      <c r="A39" s="20"/>
      <c r="B39" s="21"/>
      <c r="C39" s="22"/>
      <c r="D39" s="13"/>
      <c r="E39" s="13"/>
      <c r="F39" s="13"/>
      <c r="G39" s="23"/>
      <c r="H39" s="13"/>
      <c r="I39" s="13"/>
    </row>
    <row r="40" spans="1:9" ht="22.5" customHeight="1">
      <c r="A40" s="20"/>
      <c r="B40" s="21"/>
      <c r="C40" s="22"/>
      <c r="D40" s="13"/>
      <c r="E40" s="13"/>
      <c r="F40" s="13"/>
      <c r="G40" s="23"/>
      <c r="H40" s="13"/>
      <c r="I40" s="13"/>
    </row>
    <row r="41" spans="1:9" ht="22.5" customHeight="1">
      <c r="A41" s="20"/>
      <c r="B41" s="21"/>
      <c r="C41" s="22"/>
      <c r="D41" s="13"/>
      <c r="E41" s="13"/>
      <c r="F41" s="13"/>
      <c r="G41" s="23"/>
      <c r="H41" s="13"/>
      <c r="I41" s="13"/>
    </row>
    <row r="42" spans="1:9" ht="22.5" customHeight="1">
      <c r="A42" s="20"/>
      <c r="B42" s="21"/>
      <c r="C42" s="22"/>
      <c r="D42" s="13"/>
      <c r="E42" s="13"/>
      <c r="F42" s="13"/>
      <c r="G42" s="23"/>
      <c r="H42" s="13"/>
      <c r="I42" s="13"/>
    </row>
    <row r="43" spans="1:9" ht="22.5" customHeight="1">
      <c r="A43" s="20"/>
      <c r="B43" s="21"/>
      <c r="C43" s="22"/>
      <c r="D43" s="13"/>
      <c r="E43" s="13"/>
      <c r="F43" s="13"/>
      <c r="G43" s="23"/>
      <c r="H43" s="13"/>
      <c r="I43" s="13"/>
    </row>
    <row r="44" spans="1:9" ht="22.5" customHeight="1">
      <c r="A44" s="20"/>
      <c r="B44" s="21"/>
      <c r="C44" s="22"/>
      <c r="D44" s="13"/>
      <c r="E44" s="13"/>
      <c r="F44" s="13"/>
      <c r="G44" s="23"/>
      <c r="H44" s="13"/>
      <c r="I44" s="13"/>
    </row>
    <row r="45" spans="1:9" ht="22.5" customHeight="1">
      <c r="A45" s="20"/>
      <c r="B45" s="21"/>
      <c r="C45" s="22"/>
      <c r="D45" s="13"/>
      <c r="E45" s="13"/>
      <c r="F45" s="13"/>
      <c r="G45" s="23"/>
      <c r="H45" s="13"/>
      <c r="I45" s="13"/>
    </row>
    <row r="46" spans="1:9" ht="22.5" customHeight="1">
      <c r="A46" s="20"/>
      <c r="B46" s="21"/>
      <c r="C46" s="22"/>
      <c r="D46" s="13"/>
      <c r="E46" s="13"/>
      <c r="F46" s="13"/>
      <c r="G46" s="23"/>
      <c r="H46" s="13"/>
      <c r="I46" s="13"/>
    </row>
    <row r="47" spans="1:9" ht="22.5" customHeight="1">
      <c r="A47" s="20"/>
      <c r="B47" s="21"/>
      <c r="C47" s="22"/>
      <c r="D47" s="13"/>
      <c r="E47" s="13"/>
      <c r="F47" s="13"/>
      <c r="G47" s="23"/>
      <c r="H47" s="13"/>
      <c r="I47" s="13"/>
    </row>
    <row r="48" spans="1:9" ht="22.5" customHeight="1">
      <c r="A48" s="20"/>
      <c r="B48" s="21"/>
      <c r="C48" s="22"/>
      <c r="D48" s="13"/>
      <c r="E48" s="13"/>
      <c r="F48" s="13"/>
      <c r="G48" s="23"/>
      <c r="H48" s="13"/>
      <c r="I48" s="13"/>
    </row>
    <row r="49" spans="1:9" ht="22.5" customHeight="1">
      <c r="A49" s="20"/>
      <c r="B49" s="21"/>
      <c r="C49" s="22"/>
      <c r="D49" s="13"/>
      <c r="E49" s="13"/>
      <c r="F49" s="13"/>
      <c r="G49" s="23"/>
      <c r="H49" s="13"/>
      <c r="I49" s="13"/>
    </row>
    <row r="50" spans="1:9" ht="22.5" customHeight="1">
      <c r="A50" s="20"/>
      <c r="B50" s="21"/>
      <c r="C50" s="22"/>
      <c r="D50" s="13"/>
      <c r="E50" s="13"/>
      <c r="F50" s="13"/>
      <c r="G50" s="23"/>
      <c r="H50" s="13"/>
      <c r="I50" s="13"/>
    </row>
    <row r="51" spans="1:9" ht="22.5" customHeight="1">
      <c r="A51" s="20"/>
      <c r="B51" s="21"/>
      <c r="C51" s="22"/>
      <c r="D51" s="13"/>
      <c r="E51" s="13"/>
      <c r="F51" s="13"/>
      <c r="G51" s="23"/>
      <c r="H51" s="13"/>
      <c r="I51" s="13"/>
    </row>
    <row r="52" spans="1:9" ht="22.5" customHeight="1">
      <c r="A52" s="20"/>
      <c r="B52" s="21"/>
      <c r="C52" s="22"/>
      <c r="D52" s="13"/>
      <c r="E52" s="13"/>
      <c r="F52" s="13"/>
      <c r="G52" s="23"/>
      <c r="H52" s="13"/>
      <c r="I52" s="13"/>
    </row>
    <row r="53" spans="1:9" ht="22.5" customHeight="1">
      <c r="A53" s="20"/>
      <c r="B53" s="21"/>
      <c r="C53" s="22"/>
      <c r="D53" s="13"/>
      <c r="E53" s="13"/>
      <c r="F53" s="13"/>
      <c r="G53" s="23"/>
      <c r="H53" s="13"/>
      <c r="I53" s="13"/>
    </row>
    <row r="54" spans="1:9" ht="22.5" customHeight="1">
      <c r="A54" s="20"/>
      <c r="B54" s="21"/>
      <c r="C54" s="22"/>
      <c r="D54" s="13"/>
      <c r="E54" s="13"/>
      <c r="F54" s="13"/>
      <c r="G54" s="23"/>
      <c r="H54" s="13"/>
      <c r="I54" s="13"/>
    </row>
    <row r="55" spans="1:9" ht="22.5" customHeight="1">
      <c r="A55" s="20"/>
      <c r="B55" s="21"/>
      <c r="C55" s="22"/>
      <c r="D55" s="13"/>
      <c r="E55" s="13"/>
      <c r="F55" s="13"/>
      <c r="G55" s="23"/>
      <c r="H55" s="13"/>
      <c r="I55" s="13"/>
    </row>
    <row r="56" spans="1:9" ht="22.5" customHeight="1">
      <c r="A56" s="20"/>
      <c r="B56" s="21"/>
      <c r="C56" s="22"/>
      <c r="D56" s="13"/>
      <c r="E56" s="13"/>
      <c r="F56" s="13"/>
      <c r="G56" s="23"/>
      <c r="H56" s="13"/>
      <c r="I56" s="13"/>
    </row>
    <row r="57" spans="1:9" ht="22.5" customHeight="1">
      <c r="A57" s="20"/>
      <c r="B57" s="21"/>
      <c r="C57" s="22"/>
      <c r="D57" s="13"/>
      <c r="E57" s="13"/>
      <c r="F57" s="13"/>
      <c r="G57" s="23"/>
      <c r="H57" s="13"/>
      <c r="I57" s="13"/>
    </row>
    <row r="58" spans="1:9" ht="22.5" customHeight="1">
      <c r="A58" s="20"/>
      <c r="B58" s="21"/>
      <c r="C58" s="22"/>
      <c r="D58" s="13"/>
      <c r="E58" s="13"/>
      <c r="F58" s="13"/>
      <c r="G58" s="23"/>
      <c r="H58" s="13"/>
      <c r="I58" s="13"/>
    </row>
    <row r="59" spans="1:9" ht="22.5" customHeight="1">
      <c r="A59" s="20"/>
      <c r="B59" s="21"/>
      <c r="C59" s="22"/>
      <c r="D59" s="13"/>
      <c r="E59" s="13"/>
      <c r="F59" s="13"/>
      <c r="G59" s="23"/>
      <c r="H59" s="13"/>
      <c r="I59" s="13"/>
    </row>
    <row r="60" spans="1:9" ht="22.5" customHeight="1">
      <c r="A60" s="20"/>
      <c r="B60" s="21"/>
      <c r="C60" s="22"/>
      <c r="D60" s="13"/>
      <c r="E60" s="13"/>
      <c r="F60" s="13"/>
      <c r="G60" s="23"/>
      <c r="H60" s="13"/>
      <c r="I60" s="13"/>
    </row>
    <row r="61" spans="1:9" ht="22.5" customHeight="1">
      <c r="A61" s="20"/>
      <c r="B61" s="21"/>
      <c r="C61" s="22"/>
      <c r="D61" s="13"/>
      <c r="E61" s="13"/>
      <c r="F61" s="13"/>
      <c r="G61" s="23"/>
      <c r="H61" s="13"/>
      <c r="I61" s="13"/>
    </row>
    <row r="62" spans="1:9" ht="22.5" customHeight="1">
      <c r="A62" s="20"/>
      <c r="B62" s="21"/>
      <c r="C62" s="22"/>
      <c r="D62" s="13"/>
      <c r="E62" s="13"/>
      <c r="F62" s="13"/>
      <c r="G62" s="23"/>
      <c r="H62" s="13"/>
      <c r="I62" s="13"/>
    </row>
    <row r="63" spans="1:9" ht="22.5" customHeight="1">
      <c r="A63" s="20"/>
      <c r="B63" s="21"/>
      <c r="C63" s="22"/>
      <c r="D63" s="13"/>
      <c r="E63" s="13"/>
      <c r="F63" s="13"/>
      <c r="G63" s="23"/>
      <c r="H63" s="13"/>
      <c r="I63" s="13"/>
    </row>
    <row r="64" spans="1:9" ht="22.5" customHeight="1">
      <c r="A64" s="20"/>
      <c r="B64" s="21"/>
      <c r="C64" s="22"/>
      <c r="D64" s="13"/>
      <c r="E64" s="13"/>
      <c r="F64" s="13"/>
      <c r="G64" s="23"/>
      <c r="H64" s="13"/>
      <c r="I64" s="13"/>
    </row>
    <row r="65" spans="1:9" ht="22.5" customHeight="1">
      <c r="A65" s="20"/>
      <c r="B65" s="21"/>
      <c r="C65" s="22"/>
      <c r="D65" s="13"/>
      <c r="E65" s="13"/>
      <c r="F65" s="13"/>
      <c r="G65" s="23"/>
      <c r="H65" s="13"/>
      <c r="I65" s="13"/>
    </row>
    <row r="66" spans="1:9" ht="22.5" customHeight="1">
      <c r="A66" s="20"/>
      <c r="B66" s="21"/>
      <c r="C66" s="22"/>
      <c r="D66" s="13"/>
      <c r="E66" s="13"/>
      <c r="F66" s="13"/>
      <c r="G66" s="23"/>
      <c r="H66" s="13"/>
      <c r="I66" s="13"/>
    </row>
    <row r="67" spans="1:9" ht="22.5" customHeight="1">
      <c r="A67" s="20"/>
      <c r="B67" s="21"/>
      <c r="C67" s="22"/>
      <c r="D67" s="13"/>
      <c r="E67" s="13"/>
      <c r="F67" s="13"/>
      <c r="G67" s="23"/>
      <c r="H67" s="13"/>
      <c r="I67" s="13"/>
    </row>
    <row r="68" spans="1:9" ht="22.5" customHeight="1">
      <c r="A68" s="20"/>
      <c r="B68" s="21"/>
      <c r="C68" s="22"/>
      <c r="D68" s="13"/>
      <c r="E68" s="13"/>
      <c r="F68" s="13"/>
      <c r="G68" s="23"/>
      <c r="H68" s="13"/>
      <c r="I68" s="13"/>
    </row>
    <row r="69" spans="1:9" ht="22.5" customHeight="1">
      <c r="A69" s="20"/>
      <c r="B69" s="21"/>
      <c r="C69" s="22"/>
      <c r="D69" s="13"/>
      <c r="E69" s="13"/>
      <c r="F69" s="13"/>
      <c r="G69" s="23"/>
      <c r="H69" s="13"/>
      <c r="I69" s="13"/>
    </row>
    <row r="70" spans="1:9" ht="22.5" customHeight="1">
      <c r="A70" s="20"/>
      <c r="B70" s="21"/>
      <c r="C70" s="22"/>
      <c r="D70" s="13"/>
      <c r="E70" s="13"/>
      <c r="F70" s="13"/>
      <c r="G70" s="23"/>
      <c r="H70" s="13"/>
      <c r="I70" s="13"/>
    </row>
    <row r="71" spans="1:9" ht="22.5" customHeight="1">
      <c r="A71" s="20"/>
      <c r="B71" s="21"/>
      <c r="C71" s="22"/>
      <c r="D71" s="13"/>
      <c r="E71" s="13"/>
      <c r="F71" s="13"/>
      <c r="G71" s="23"/>
      <c r="H71" s="13"/>
      <c r="I71" s="13"/>
    </row>
    <row r="72" spans="1:9" ht="22.5" customHeight="1">
      <c r="A72" s="20"/>
      <c r="B72" s="21"/>
      <c r="C72" s="22"/>
      <c r="D72" s="13"/>
      <c r="E72" s="13"/>
      <c r="F72" s="13"/>
      <c r="G72" s="23"/>
      <c r="H72" s="13"/>
      <c r="I72" s="13"/>
    </row>
    <row r="73" spans="1:9" ht="22.5" customHeight="1">
      <c r="A73" s="20"/>
      <c r="B73" s="21"/>
      <c r="C73" s="22"/>
      <c r="D73" s="13"/>
      <c r="E73" s="13"/>
      <c r="F73" s="13"/>
      <c r="G73" s="23"/>
      <c r="H73" s="13"/>
      <c r="I73" s="13"/>
    </row>
    <row r="74" spans="1:9" ht="22.5" customHeight="1">
      <c r="A74" s="20"/>
      <c r="B74" s="21"/>
      <c r="C74" s="22"/>
      <c r="D74" s="13"/>
      <c r="E74" s="13"/>
      <c r="F74" s="13"/>
      <c r="G74" s="23"/>
      <c r="H74" s="13"/>
      <c r="I74" s="13"/>
    </row>
    <row r="75" spans="1:9" ht="22.5" customHeight="1">
      <c r="A75" s="20"/>
      <c r="B75" s="21"/>
      <c r="C75" s="22"/>
      <c r="D75" s="13"/>
      <c r="E75" s="13"/>
      <c r="F75" s="13"/>
      <c r="G75" s="23"/>
      <c r="H75" s="13"/>
      <c r="I75" s="13"/>
    </row>
    <row r="76" spans="1:9" ht="22.5" customHeight="1">
      <c r="A76" s="20"/>
      <c r="B76" s="21"/>
      <c r="C76" s="22"/>
      <c r="D76" s="13"/>
      <c r="E76" s="13"/>
      <c r="F76" s="13"/>
      <c r="G76" s="23"/>
      <c r="H76" s="13"/>
      <c r="I76" s="13"/>
    </row>
    <row r="77" spans="1:9" ht="22.5" customHeight="1">
      <c r="A77" s="20"/>
      <c r="B77" s="21"/>
      <c r="C77" s="22"/>
      <c r="D77" s="13"/>
      <c r="E77" s="13"/>
      <c r="F77" s="13"/>
      <c r="G77" s="23"/>
      <c r="H77" s="13"/>
      <c r="I77" s="13"/>
    </row>
    <row r="78" spans="1:9" ht="22.5" customHeight="1">
      <c r="A78" s="20"/>
      <c r="B78" s="21"/>
      <c r="C78" s="22"/>
      <c r="D78" s="13"/>
      <c r="E78" s="13"/>
      <c r="F78" s="13"/>
      <c r="G78" s="23"/>
      <c r="H78" s="13"/>
      <c r="I78" s="13"/>
    </row>
    <row r="79" spans="1:9" ht="22.5" customHeight="1">
      <c r="A79" s="20"/>
      <c r="B79" s="21"/>
      <c r="C79" s="22"/>
      <c r="D79" s="13"/>
      <c r="E79" s="13"/>
      <c r="F79" s="13"/>
      <c r="G79" s="23"/>
      <c r="H79" s="13"/>
      <c r="I79" s="13"/>
    </row>
    <row r="80" spans="1:9" ht="22.5" customHeight="1">
      <c r="A80" s="20"/>
      <c r="B80" s="21"/>
      <c r="C80" s="22"/>
      <c r="D80" s="13"/>
      <c r="E80" s="13"/>
      <c r="F80" s="13"/>
      <c r="G80" s="23"/>
      <c r="H80" s="13"/>
      <c r="I80" s="13"/>
    </row>
    <row r="81" spans="1:9" ht="22.5" customHeight="1">
      <c r="A81" s="20"/>
      <c r="B81" s="21"/>
      <c r="C81" s="22"/>
      <c r="D81" s="13"/>
      <c r="E81" s="13"/>
      <c r="F81" s="13"/>
      <c r="G81" s="23"/>
      <c r="H81" s="13"/>
      <c r="I81" s="13"/>
    </row>
    <row r="82" spans="1:9" ht="22.5" customHeight="1">
      <c r="A82" s="20"/>
      <c r="B82" s="21"/>
      <c r="C82" s="22"/>
      <c r="D82" s="13"/>
      <c r="E82" s="13"/>
      <c r="F82" s="13"/>
      <c r="G82" s="23"/>
      <c r="H82" s="13"/>
      <c r="I82" s="13"/>
    </row>
    <row r="83" spans="1:9" ht="22.5" customHeight="1">
      <c r="A83" s="20"/>
      <c r="B83" s="21"/>
      <c r="C83" s="22"/>
      <c r="D83" s="13"/>
      <c r="E83" s="13"/>
      <c r="F83" s="13"/>
      <c r="G83" s="23"/>
      <c r="H83" s="13"/>
      <c r="I83" s="13"/>
    </row>
    <row r="84" spans="1:9" ht="22.5" customHeight="1">
      <c r="A84" s="20"/>
      <c r="B84" s="21"/>
      <c r="C84" s="22"/>
      <c r="D84" s="13"/>
      <c r="E84" s="13"/>
      <c r="F84" s="13"/>
      <c r="G84" s="23"/>
      <c r="H84" s="13"/>
      <c r="I84" s="13"/>
    </row>
    <row r="85" spans="1:9" ht="22.5" customHeight="1">
      <c r="A85" s="20"/>
      <c r="B85" s="21"/>
      <c r="C85" s="22"/>
      <c r="D85" s="13"/>
      <c r="E85" s="13"/>
      <c r="F85" s="13"/>
      <c r="G85" s="23"/>
      <c r="H85" s="13"/>
      <c r="I85" s="13"/>
    </row>
    <row r="86" spans="1:9" ht="22.5" customHeight="1">
      <c r="A86" s="20"/>
      <c r="B86" s="21"/>
      <c r="C86" s="22"/>
      <c r="D86" s="13"/>
      <c r="E86" s="13"/>
      <c r="F86" s="13"/>
      <c r="G86" s="23"/>
      <c r="H86" s="13"/>
      <c r="I86" s="13"/>
    </row>
    <row r="87" spans="1:9" ht="22.5" customHeight="1">
      <c r="A87" s="20"/>
      <c r="B87" s="21"/>
      <c r="C87" s="22"/>
      <c r="D87" s="13"/>
      <c r="E87" s="13"/>
      <c r="F87" s="13"/>
      <c r="G87" s="23"/>
      <c r="H87" s="13"/>
      <c r="I87" s="13"/>
    </row>
    <row r="88" spans="1:9" ht="22.5" customHeight="1">
      <c r="A88" s="20"/>
      <c r="B88" s="21"/>
      <c r="C88" s="22"/>
      <c r="D88" s="13"/>
      <c r="E88" s="13"/>
      <c r="F88" s="13"/>
      <c r="G88" s="23"/>
      <c r="H88" s="13"/>
      <c r="I88" s="13"/>
    </row>
    <row r="89" spans="1:9" ht="22.5" customHeight="1">
      <c r="A89" s="20"/>
      <c r="B89" s="21"/>
      <c r="C89" s="22"/>
      <c r="D89" s="13"/>
      <c r="E89" s="13"/>
      <c r="F89" s="13"/>
      <c r="G89" s="23"/>
      <c r="H89" s="13"/>
      <c r="I89" s="13"/>
    </row>
    <row r="90" spans="1:9" ht="22.5" customHeight="1">
      <c r="A90" s="20"/>
      <c r="B90" s="21"/>
      <c r="C90" s="22"/>
      <c r="D90" s="13"/>
      <c r="E90" s="13"/>
      <c r="F90" s="13"/>
      <c r="G90" s="23"/>
      <c r="H90" s="13"/>
      <c r="I90" s="13"/>
    </row>
    <row r="91" spans="1:9" ht="22.5" customHeight="1">
      <c r="A91" s="20"/>
      <c r="B91" s="21"/>
      <c r="C91" s="22"/>
      <c r="D91" s="13"/>
      <c r="E91" s="13"/>
      <c r="F91" s="13"/>
      <c r="G91" s="23"/>
      <c r="H91" s="13"/>
      <c r="I91" s="13"/>
    </row>
    <row r="92" spans="1:9" ht="22.5" customHeight="1">
      <c r="A92" s="20"/>
      <c r="B92" s="21"/>
      <c r="C92" s="22"/>
      <c r="D92" s="13"/>
      <c r="E92" s="13"/>
      <c r="F92" s="13"/>
      <c r="G92" s="23"/>
      <c r="H92" s="13"/>
      <c r="I92" s="13"/>
    </row>
    <row r="93" spans="1:9" ht="22.5" customHeight="1">
      <c r="A93" s="20"/>
      <c r="B93" s="21"/>
      <c r="C93" s="22"/>
      <c r="D93" s="13"/>
      <c r="E93" s="13"/>
      <c r="F93" s="13"/>
      <c r="G93" s="23"/>
      <c r="H93" s="13"/>
      <c r="I93" s="13"/>
    </row>
    <row r="94" spans="1:9" ht="22.5" customHeight="1">
      <c r="A94" s="20"/>
      <c r="B94" s="21"/>
      <c r="C94" s="22"/>
      <c r="D94" s="13"/>
      <c r="E94" s="13"/>
      <c r="F94" s="13"/>
      <c r="G94" s="23"/>
      <c r="H94" s="13"/>
      <c r="I94" s="13"/>
    </row>
    <row r="95" spans="1:9" ht="22.5" customHeight="1">
      <c r="A95" s="20"/>
      <c r="B95" s="21"/>
      <c r="C95" s="22"/>
      <c r="D95" s="13"/>
      <c r="E95" s="13"/>
      <c r="F95" s="13"/>
      <c r="G95" s="23"/>
      <c r="H95" s="13"/>
      <c r="I95" s="13"/>
    </row>
    <row r="96" spans="1:9" ht="22.5" customHeight="1">
      <c r="A96" s="20"/>
      <c r="B96" s="21"/>
      <c r="C96" s="22"/>
      <c r="D96" s="13"/>
      <c r="E96" s="13"/>
      <c r="F96" s="13"/>
      <c r="G96" s="23"/>
      <c r="H96" s="13"/>
      <c r="I96" s="13"/>
    </row>
    <row r="97" spans="1:9" ht="22.5" customHeight="1">
      <c r="A97" s="20"/>
      <c r="B97" s="21"/>
      <c r="C97" s="22"/>
      <c r="D97" s="13"/>
      <c r="E97" s="13"/>
      <c r="F97" s="13"/>
      <c r="G97" s="23"/>
      <c r="H97" s="13"/>
      <c r="I97" s="13"/>
    </row>
    <row r="98" spans="1:9" ht="22.5" customHeight="1">
      <c r="A98" s="20"/>
      <c r="B98" s="21"/>
      <c r="C98" s="22"/>
      <c r="D98" s="13"/>
      <c r="E98" s="13"/>
      <c r="F98" s="13"/>
      <c r="G98" s="23"/>
      <c r="H98" s="13"/>
      <c r="I98" s="13"/>
    </row>
    <row r="99" spans="1:9" ht="22.5" customHeight="1">
      <c r="A99" s="20"/>
      <c r="B99" s="21"/>
      <c r="C99" s="22"/>
      <c r="D99" s="13"/>
      <c r="E99" s="13"/>
      <c r="F99" s="13"/>
      <c r="G99" s="23"/>
      <c r="H99" s="13"/>
      <c r="I99" s="13"/>
    </row>
    <row r="100" spans="1:9" ht="22.5" customHeight="1">
      <c r="A100" s="20"/>
      <c r="B100" s="21"/>
      <c r="C100" s="22"/>
      <c r="D100" s="13"/>
      <c r="E100" s="13"/>
      <c r="F100" s="13"/>
      <c r="G100" s="23"/>
      <c r="H100" s="13"/>
      <c r="I100" s="13"/>
    </row>
    <row r="101" spans="1:9" ht="22.5" customHeight="1">
      <c r="A101" s="20"/>
      <c r="B101" s="21"/>
      <c r="C101" s="22"/>
      <c r="D101" s="13"/>
      <c r="E101" s="13"/>
      <c r="F101" s="13"/>
      <c r="G101" s="23"/>
      <c r="H101" s="13"/>
      <c r="I101" s="13"/>
    </row>
    <row r="102" spans="1:9" ht="22.5" customHeight="1">
      <c r="A102" s="20"/>
      <c r="B102" s="21"/>
      <c r="C102" s="22"/>
      <c r="D102" s="13"/>
      <c r="E102" s="13"/>
      <c r="F102" s="13"/>
      <c r="G102" s="23"/>
      <c r="H102" s="13"/>
      <c r="I102" s="13"/>
    </row>
    <row r="103" spans="1:9" ht="22.5" customHeight="1">
      <c r="A103" s="20"/>
      <c r="B103" s="21"/>
      <c r="C103" s="22"/>
      <c r="D103" s="13"/>
      <c r="E103" s="13"/>
      <c r="F103" s="13"/>
      <c r="G103" s="23"/>
      <c r="H103" s="13"/>
      <c r="I103" s="13"/>
    </row>
    <row r="104" spans="1:9" ht="22.5" customHeight="1">
      <c r="A104" s="20"/>
      <c r="B104" s="21"/>
      <c r="C104" s="22"/>
      <c r="D104" s="13"/>
      <c r="E104" s="13"/>
      <c r="F104" s="13"/>
      <c r="G104" s="23"/>
      <c r="H104" s="13"/>
      <c r="I104" s="13"/>
    </row>
    <row r="105" spans="1:9" ht="22.5" customHeight="1">
      <c r="A105" s="20"/>
      <c r="B105" s="21"/>
      <c r="C105" s="22"/>
      <c r="D105" s="13"/>
      <c r="E105" s="13"/>
      <c r="F105" s="13"/>
      <c r="G105" s="23"/>
      <c r="H105" s="13"/>
      <c r="I105" s="13"/>
    </row>
    <row r="106" spans="1:9" ht="22.5" customHeight="1">
      <c r="A106" s="20"/>
      <c r="B106" s="21"/>
      <c r="C106" s="22"/>
      <c r="D106" s="13"/>
      <c r="E106" s="13"/>
      <c r="F106" s="13"/>
      <c r="G106" s="23"/>
      <c r="H106" s="13"/>
      <c r="I106" s="13"/>
    </row>
    <row r="107" spans="1:9" ht="22.5" customHeight="1">
      <c r="A107" s="20"/>
      <c r="B107" s="21"/>
      <c r="C107" s="22"/>
      <c r="D107" s="13"/>
      <c r="E107" s="13"/>
      <c r="F107" s="13"/>
      <c r="G107" s="23"/>
      <c r="H107" s="13"/>
      <c r="I107" s="13"/>
    </row>
    <row r="108" spans="1:9" ht="22.5" customHeight="1">
      <c r="A108" s="20"/>
      <c r="B108" s="21"/>
      <c r="C108" s="22"/>
      <c r="D108" s="13"/>
      <c r="E108" s="13"/>
      <c r="F108" s="13"/>
      <c r="G108" s="23"/>
      <c r="H108" s="13"/>
      <c r="I108" s="13"/>
    </row>
    <row r="109" spans="1:9" ht="22.5" customHeight="1">
      <c r="A109" s="20"/>
      <c r="B109" s="21"/>
      <c r="C109" s="22"/>
      <c r="D109" s="13"/>
      <c r="E109" s="13"/>
      <c r="F109" s="13"/>
      <c r="G109" s="23"/>
      <c r="H109" s="13"/>
      <c r="I109" s="13"/>
    </row>
    <row r="110" spans="1:9" ht="22.5" customHeight="1">
      <c r="A110" s="20"/>
      <c r="B110" s="21"/>
      <c r="C110" s="22"/>
      <c r="D110" s="13"/>
      <c r="E110" s="13"/>
      <c r="F110" s="13"/>
      <c r="G110" s="23"/>
      <c r="H110" s="13"/>
      <c r="I110" s="13"/>
    </row>
    <row r="111" spans="1:9" ht="22.5" customHeight="1">
      <c r="A111" s="20"/>
      <c r="B111" s="21"/>
      <c r="C111" s="22"/>
      <c r="D111" s="13"/>
      <c r="E111" s="13"/>
      <c r="F111" s="13"/>
      <c r="G111" s="23"/>
      <c r="H111" s="13"/>
      <c r="I111" s="13"/>
    </row>
    <row r="112" spans="1:9" ht="22.5" customHeight="1">
      <c r="A112" s="20"/>
      <c r="B112" s="21"/>
      <c r="C112" s="22"/>
      <c r="D112" s="13"/>
      <c r="E112" s="13"/>
      <c r="F112" s="13"/>
      <c r="G112" s="23"/>
      <c r="H112" s="13"/>
      <c r="I112" s="13"/>
    </row>
    <row r="113" spans="1:9" ht="22.5" customHeight="1">
      <c r="A113" s="20"/>
      <c r="B113" s="21"/>
      <c r="C113" s="22"/>
      <c r="D113" s="13"/>
      <c r="E113" s="13"/>
      <c r="F113" s="13"/>
      <c r="G113" s="23"/>
      <c r="H113" s="13"/>
      <c r="I113" s="13"/>
    </row>
    <row r="114" spans="1:9" ht="22.5" customHeight="1">
      <c r="A114" s="20"/>
      <c r="B114" s="21"/>
      <c r="C114" s="22"/>
      <c r="D114" s="13"/>
      <c r="E114" s="13"/>
      <c r="F114" s="13"/>
      <c r="G114" s="23"/>
      <c r="H114" s="13"/>
      <c r="I114" s="13"/>
    </row>
    <row r="115" spans="1:9" ht="22.5" customHeight="1">
      <c r="A115" s="20"/>
      <c r="B115" s="21"/>
      <c r="C115" s="22"/>
      <c r="D115" s="13"/>
      <c r="E115" s="13"/>
      <c r="F115" s="13"/>
      <c r="G115" s="23"/>
      <c r="H115" s="13"/>
      <c r="I115" s="13"/>
    </row>
    <row r="116" spans="1:9" ht="22.5" customHeight="1">
      <c r="A116" s="20"/>
      <c r="B116" s="21"/>
      <c r="C116" s="22"/>
      <c r="D116" s="13"/>
      <c r="E116" s="13"/>
      <c r="F116" s="13"/>
      <c r="G116" s="23"/>
      <c r="H116" s="13"/>
      <c r="I116" s="13"/>
    </row>
    <row r="117" spans="1:9" ht="22.5" customHeight="1">
      <c r="A117" s="20"/>
      <c r="B117" s="21"/>
      <c r="C117" s="22"/>
      <c r="D117" s="13"/>
      <c r="E117" s="13"/>
      <c r="F117" s="13"/>
      <c r="G117" s="23"/>
      <c r="H117" s="13"/>
      <c r="I117" s="13"/>
    </row>
    <row r="118" spans="1:9" ht="22.5" customHeight="1">
      <c r="A118" s="20"/>
      <c r="B118" s="21"/>
      <c r="C118" s="22"/>
      <c r="D118" s="13"/>
      <c r="E118" s="13"/>
      <c r="F118" s="13"/>
      <c r="G118" s="23"/>
      <c r="H118" s="13"/>
      <c r="I118" s="13"/>
    </row>
    <row r="119" spans="1:9" ht="22.5" customHeight="1">
      <c r="A119" s="20"/>
      <c r="B119" s="21"/>
      <c r="C119" s="22"/>
      <c r="D119" s="13"/>
      <c r="E119" s="13"/>
      <c r="F119" s="13"/>
      <c r="G119" s="23"/>
      <c r="H119" s="13"/>
      <c r="I119" s="13"/>
    </row>
    <row r="120" spans="1:9" ht="22.5" customHeight="1">
      <c r="A120" s="20"/>
      <c r="B120" s="21"/>
      <c r="C120" s="22"/>
      <c r="D120" s="13"/>
      <c r="E120" s="13"/>
      <c r="F120" s="13"/>
      <c r="G120" s="23"/>
      <c r="H120" s="13"/>
      <c r="I120" s="13"/>
    </row>
    <row r="121" spans="1:9" ht="22.5" customHeight="1">
      <c r="A121" s="20"/>
      <c r="B121" s="21"/>
      <c r="C121" s="22"/>
      <c r="D121" s="13"/>
      <c r="E121" s="13"/>
      <c r="F121" s="13"/>
      <c r="G121" s="23"/>
      <c r="H121" s="13"/>
      <c r="I121" s="13"/>
    </row>
    <row r="122" spans="1:9" ht="22.5" customHeight="1">
      <c r="A122" s="20"/>
      <c r="B122" s="21"/>
      <c r="C122" s="22"/>
      <c r="D122" s="13"/>
      <c r="E122" s="13"/>
      <c r="F122" s="13"/>
      <c r="G122" s="23"/>
      <c r="H122" s="13"/>
      <c r="I122" s="13"/>
    </row>
    <row r="123" spans="1:9" ht="22.5" customHeight="1">
      <c r="A123" s="20"/>
      <c r="B123" s="21"/>
      <c r="C123" s="22"/>
      <c r="D123" s="13"/>
      <c r="E123" s="13"/>
      <c r="F123" s="13"/>
      <c r="G123" s="23"/>
      <c r="H123" s="13"/>
      <c r="I123" s="13"/>
    </row>
    <row r="124" spans="1:9" ht="22.5" customHeight="1">
      <c r="A124" s="20"/>
      <c r="B124" s="21"/>
      <c r="C124" s="22"/>
      <c r="D124" s="13"/>
      <c r="E124" s="13"/>
      <c r="F124" s="13"/>
      <c r="G124" s="23"/>
      <c r="H124" s="13"/>
      <c r="I124" s="13"/>
    </row>
    <row r="125" spans="1:9" ht="22.5" customHeight="1">
      <c r="A125" s="20"/>
      <c r="B125" s="21"/>
      <c r="C125" s="22"/>
      <c r="D125" s="13"/>
      <c r="E125" s="13"/>
      <c r="F125" s="13"/>
      <c r="G125" s="23"/>
      <c r="H125" s="13"/>
      <c r="I125" s="13"/>
    </row>
    <row r="126" spans="1:9" ht="22.5" customHeight="1">
      <c r="A126" s="20"/>
      <c r="B126" s="21"/>
      <c r="C126" s="22"/>
      <c r="D126" s="13"/>
      <c r="E126" s="13"/>
      <c r="F126" s="13"/>
      <c r="G126" s="23"/>
      <c r="H126" s="13"/>
      <c r="I126" s="13"/>
    </row>
    <row r="127" spans="1:9" ht="22.5" customHeight="1">
      <c r="A127" s="20"/>
      <c r="B127" s="21"/>
      <c r="C127" s="22"/>
      <c r="D127" s="13"/>
      <c r="E127" s="13"/>
      <c r="F127" s="13"/>
      <c r="G127" s="23"/>
      <c r="H127" s="13"/>
      <c r="I127" s="13"/>
    </row>
    <row r="128" spans="1:9" ht="22.5" customHeight="1">
      <c r="A128" s="20"/>
      <c r="B128" s="21"/>
      <c r="C128" s="22"/>
      <c r="D128" s="13"/>
      <c r="E128" s="13"/>
      <c r="F128" s="13"/>
      <c r="G128" s="23"/>
      <c r="H128" s="13"/>
      <c r="I128" s="13"/>
    </row>
    <row r="129" spans="1:9" ht="22.5" customHeight="1">
      <c r="A129" s="20"/>
      <c r="B129" s="21"/>
      <c r="C129" s="22"/>
      <c r="D129" s="13"/>
      <c r="E129" s="13"/>
      <c r="F129" s="13"/>
      <c r="G129" s="23"/>
      <c r="H129" s="13"/>
      <c r="I129" s="13"/>
    </row>
    <row r="130" spans="1:9" ht="22.5" customHeight="1">
      <c r="A130" s="20"/>
      <c r="B130" s="21"/>
      <c r="C130" s="22"/>
      <c r="D130" s="13"/>
      <c r="E130" s="13"/>
      <c r="F130" s="13"/>
      <c r="G130" s="23"/>
      <c r="H130" s="13"/>
      <c r="I130" s="13"/>
    </row>
    <row r="131" spans="1:9" ht="22.5" customHeight="1">
      <c r="A131" s="20"/>
      <c r="B131" s="21"/>
      <c r="C131" s="22"/>
      <c r="D131" s="13"/>
      <c r="E131" s="13"/>
      <c r="F131" s="13"/>
      <c r="G131" s="23"/>
      <c r="H131" s="13"/>
      <c r="I131" s="13"/>
    </row>
    <row r="132" spans="1:9" ht="22.5" customHeight="1">
      <c r="A132" s="20"/>
      <c r="B132" s="21"/>
      <c r="C132" s="22"/>
      <c r="D132" s="13"/>
      <c r="E132" s="13"/>
      <c r="F132" s="13"/>
      <c r="G132" s="23"/>
      <c r="H132" s="13"/>
      <c r="I132" s="13"/>
    </row>
    <row r="133" spans="1:9" ht="22.5" customHeight="1">
      <c r="A133" s="20"/>
      <c r="B133" s="21"/>
      <c r="C133" s="22"/>
      <c r="D133" s="13"/>
      <c r="E133" s="13"/>
      <c r="F133" s="13"/>
      <c r="G133" s="23"/>
      <c r="H133" s="13"/>
      <c r="I133" s="13"/>
    </row>
    <row r="134" spans="1:9" ht="22.5" customHeight="1">
      <c r="A134" s="20"/>
      <c r="B134" s="21"/>
      <c r="C134" s="22"/>
      <c r="D134" s="13"/>
      <c r="E134" s="13"/>
      <c r="F134" s="13"/>
      <c r="G134" s="23"/>
      <c r="H134" s="13"/>
      <c r="I134" s="13"/>
    </row>
    <row r="135" spans="1:9" ht="22.5" customHeight="1">
      <c r="A135" s="20"/>
      <c r="B135" s="21"/>
      <c r="C135" s="22"/>
      <c r="D135" s="13"/>
      <c r="E135" s="13"/>
      <c r="F135" s="13"/>
      <c r="G135" s="23"/>
      <c r="H135" s="13"/>
      <c r="I135" s="13"/>
    </row>
    <row r="136" spans="1:9" ht="22.5" customHeight="1">
      <c r="A136" s="20"/>
      <c r="B136" s="21"/>
      <c r="C136" s="22"/>
      <c r="D136" s="13"/>
      <c r="E136" s="13"/>
      <c r="F136" s="13"/>
      <c r="G136" s="23"/>
      <c r="H136" s="13"/>
      <c r="I136" s="13"/>
    </row>
    <row r="137" spans="1:9" ht="22.5" customHeight="1">
      <c r="A137" s="20"/>
      <c r="B137" s="21"/>
      <c r="C137" s="22"/>
      <c r="D137" s="13"/>
      <c r="E137" s="13"/>
      <c r="F137" s="13"/>
      <c r="G137" s="23"/>
      <c r="H137" s="13"/>
      <c r="I137" s="13"/>
    </row>
    <row r="138" spans="1:9" ht="22.5" customHeight="1">
      <c r="A138" s="20"/>
      <c r="B138" s="21"/>
      <c r="C138" s="22"/>
      <c r="D138" s="13"/>
      <c r="E138" s="13"/>
      <c r="F138" s="13"/>
      <c r="G138" s="23"/>
      <c r="H138" s="13"/>
      <c r="I138" s="13"/>
    </row>
    <row r="139" spans="1:9" ht="22.5" customHeight="1">
      <c r="A139" s="20"/>
      <c r="B139" s="21"/>
      <c r="C139" s="22"/>
      <c r="D139" s="13"/>
      <c r="E139" s="13"/>
      <c r="F139" s="13"/>
      <c r="G139" s="23"/>
      <c r="H139" s="13"/>
      <c r="I139" s="13"/>
    </row>
    <row r="140" spans="1:9" ht="22.5" customHeight="1">
      <c r="A140" s="20"/>
      <c r="B140" s="21"/>
      <c r="C140" s="22"/>
      <c r="D140" s="13"/>
      <c r="E140" s="13"/>
      <c r="F140" s="13"/>
      <c r="G140" s="23"/>
      <c r="H140" s="13"/>
      <c r="I140" s="13"/>
    </row>
    <row r="141" spans="1:9" ht="22.5" customHeight="1">
      <c r="A141" s="20"/>
      <c r="B141" s="21"/>
      <c r="C141" s="22"/>
      <c r="D141" s="13"/>
      <c r="E141" s="13"/>
      <c r="F141" s="13"/>
      <c r="G141" s="23"/>
      <c r="H141" s="13"/>
      <c r="I141" s="13"/>
    </row>
    <row r="142" spans="1:9" ht="22.5" customHeight="1">
      <c r="A142" s="20"/>
      <c r="B142" s="21"/>
      <c r="C142" s="22"/>
      <c r="D142" s="13"/>
      <c r="E142" s="13"/>
      <c r="F142" s="13"/>
      <c r="G142" s="23"/>
      <c r="H142" s="13"/>
      <c r="I142" s="13"/>
    </row>
    <row r="143" spans="1:9" ht="22.5" customHeight="1">
      <c r="A143" s="20"/>
      <c r="B143" s="21"/>
      <c r="C143" s="22"/>
      <c r="D143" s="13"/>
      <c r="E143" s="13"/>
      <c r="F143" s="13"/>
      <c r="G143" s="23"/>
      <c r="H143" s="13"/>
      <c r="I143" s="13"/>
    </row>
    <row r="144" spans="1:9" ht="22.5" customHeight="1">
      <c r="A144" s="20"/>
      <c r="B144" s="21"/>
      <c r="C144" s="22"/>
      <c r="D144" s="13"/>
      <c r="E144" s="13"/>
      <c r="F144" s="13"/>
      <c r="G144" s="23"/>
      <c r="H144" s="13"/>
      <c r="I144" s="13"/>
    </row>
    <row r="145" spans="1:9" ht="22.5" customHeight="1">
      <c r="A145" s="20"/>
      <c r="B145" s="21"/>
      <c r="C145" s="22"/>
      <c r="D145" s="13"/>
      <c r="E145" s="13"/>
      <c r="F145" s="13"/>
      <c r="G145" s="23"/>
      <c r="H145" s="13"/>
      <c r="I145" s="13"/>
    </row>
    <row r="146" spans="1:9" ht="22.5" customHeight="1">
      <c r="A146" s="20"/>
      <c r="B146" s="21"/>
      <c r="C146" s="22"/>
      <c r="D146" s="13"/>
      <c r="E146" s="13"/>
      <c r="F146" s="13"/>
      <c r="G146" s="23"/>
      <c r="H146" s="13"/>
      <c r="I146" s="13"/>
    </row>
    <row r="147" spans="1:9" ht="22.5" customHeight="1">
      <c r="A147" s="20"/>
      <c r="B147" s="21"/>
      <c r="C147" s="22"/>
      <c r="D147" s="13"/>
      <c r="E147" s="13"/>
      <c r="F147" s="13"/>
      <c r="G147" s="23"/>
      <c r="H147" s="13"/>
      <c r="I147" s="13"/>
    </row>
    <row r="148" spans="1:9" ht="22.5" customHeight="1">
      <c r="A148" s="20"/>
      <c r="B148" s="21"/>
      <c r="C148" s="22"/>
      <c r="D148" s="13"/>
      <c r="E148" s="13"/>
      <c r="F148" s="13"/>
      <c r="G148" s="23"/>
      <c r="H148" s="13"/>
      <c r="I148" s="13"/>
    </row>
    <row r="149" spans="1:9" ht="22.5" customHeight="1">
      <c r="A149" s="20"/>
      <c r="B149" s="21"/>
      <c r="C149" s="22"/>
      <c r="D149" s="13"/>
      <c r="E149" s="13"/>
      <c r="F149" s="13"/>
      <c r="G149" s="23"/>
      <c r="H149" s="13"/>
      <c r="I149" s="13"/>
    </row>
    <row r="150" spans="1:9" ht="22.5" customHeight="1">
      <c r="A150" s="20"/>
      <c r="B150" s="21"/>
      <c r="C150" s="22"/>
      <c r="D150" s="13"/>
      <c r="E150" s="13"/>
      <c r="F150" s="13"/>
      <c r="G150" s="23"/>
      <c r="H150" s="13"/>
      <c r="I150" s="13"/>
    </row>
    <row r="151" spans="1:9" ht="22.5" customHeight="1">
      <c r="A151" s="20"/>
      <c r="B151" s="21"/>
      <c r="C151" s="22"/>
      <c r="D151" s="13"/>
      <c r="E151" s="13"/>
      <c r="F151" s="13"/>
      <c r="G151" s="23"/>
      <c r="H151" s="13"/>
      <c r="I151" s="13"/>
    </row>
    <row r="152" spans="1:9" ht="22.5" customHeight="1">
      <c r="A152" s="20"/>
      <c r="B152" s="21"/>
      <c r="C152" s="22"/>
      <c r="D152" s="13"/>
      <c r="E152" s="13"/>
      <c r="F152" s="13"/>
      <c r="G152" s="23"/>
      <c r="H152" s="13"/>
      <c r="I152" s="13"/>
    </row>
    <row r="153" spans="1:9" ht="22.5" customHeight="1">
      <c r="A153" s="20"/>
      <c r="B153" s="21"/>
      <c r="C153" s="22"/>
      <c r="D153" s="13"/>
      <c r="E153" s="13"/>
      <c r="F153" s="13"/>
      <c r="G153" s="23"/>
      <c r="H153" s="13"/>
      <c r="I153" s="13"/>
    </row>
    <row r="154" spans="1:9" ht="22.5" customHeight="1">
      <c r="A154" s="20"/>
      <c r="B154" s="21"/>
      <c r="C154" s="22"/>
      <c r="D154" s="13"/>
      <c r="E154" s="13"/>
      <c r="F154" s="13"/>
      <c r="G154" s="23"/>
      <c r="H154" s="13"/>
      <c r="I154" s="13"/>
    </row>
    <row r="155" spans="1:9" ht="22.5" customHeight="1">
      <c r="A155" s="20"/>
      <c r="B155" s="21"/>
      <c r="C155" s="22"/>
      <c r="D155" s="13"/>
      <c r="E155" s="13"/>
      <c r="F155" s="13"/>
      <c r="G155" s="23"/>
      <c r="H155" s="13"/>
      <c r="I155" s="13"/>
    </row>
    <row r="156" spans="1:9" ht="22.5" customHeight="1">
      <c r="A156" s="20"/>
      <c r="B156" s="21"/>
      <c r="C156" s="22"/>
      <c r="D156" s="13"/>
      <c r="E156" s="13"/>
      <c r="F156" s="13"/>
      <c r="G156" s="23"/>
      <c r="H156" s="13"/>
      <c r="I156" s="13"/>
    </row>
    <row r="157" spans="1:9" ht="22.5" customHeight="1">
      <c r="A157" s="20"/>
      <c r="B157" s="21"/>
      <c r="C157" s="22"/>
      <c r="D157" s="13"/>
      <c r="E157" s="13"/>
      <c r="F157" s="13"/>
      <c r="G157" s="23"/>
      <c r="H157" s="13"/>
      <c r="I157" s="13"/>
    </row>
    <row r="158" spans="1:9" ht="22.5" customHeight="1">
      <c r="A158" s="20"/>
      <c r="B158" s="21"/>
      <c r="C158" s="22"/>
      <c r="D158" s="13"/>
      <c r="E158" s="13"/>
      <c r="F158" s="13"/>
      <c r="G158" s="23"/>
      <c r="H158" s="13"/>
      <c r="I158" s="13"/>
    </row>
    <row r="159" spans="1:9" ht="22.5" customHeight="1">
      <c r="A159" s="20"/>
      <c r="B159" s="21"/>
      <c r="C159" s="22"/>
      <c r="D159" s="13"/>
      <c r="E159" s="13"/>
      <c r="F159" s="13"/>
      <c r="G159" s="23"/>
      <c r="H159" s="13"/>
      <c r="I159" s="13"/>
    </row>
    <row r="160" spans="1:9" ht="22.5" customHeight="1">
      <c r="A160" s="20"/>
      <c r="B160" s="21"/>
      <c r="C160" s="22"/>
      <c r="D160" s="13"/>
      <c r="E160" s="13"/>
      <c r="F160" s="13"/>
      <c r="G160" s="23"/>
      <c r="H160" s="13"/>
      <c r="I160" s="13"/>
    </row>
    <row r="161" spans="1:9" ht="22.5" customHeight="1">
      <c r="A161" s="20"/>
      <c r="B161" s="21"/>
      <c r="C161" s="22"/>
      <c r="D161" s="13"/>
      <c r="E161" s="13"/>
      <c r="F161" s="13"/>
      <c r="G161" s="23"/>
      <c r="H161" s="13"/>
      <c r="I161" s="13"/>
    </row>
    <row r="162" spans="1:9" ht="22.5" customHeight="1">
      <c r="A162" s="20"/>
      <c r="B162" s="21"/>
      <c r="C162" s="22"/>
      <c r="D162" s="13"/>
      <c r="E162" s="13"/>
      <c r="F162" s="13"/>
      <c r="G162" s="23"/>
      <c r="H162" s="13"/>
      <c r="I162" s="13"/>
    </row>
    <row r="163" spans="1:9" ht="22.5" customHeight="1">
      <c r="A163" s="20"/>
      <c r="B163" s="21"/>
      <c r="C163" s="22"/>
      <c r="D163" s="13"/>
      <c r="E163" s="13"/>
      <c r="F163" s="13"/>
      <c r="G163" s="23"/>
      <c r="H163" s="13"/>
      <c r="I163" s="13"/>
    </row>
    <row r="164" spans="1:9" ht="22.5" customHeight="1">
      <c r="A164" s="20"/>
      <c r="B164" s="21"/>
      <c r="C164" s="22"/>
      <c r="D164" s="13"/>
      <c r="E164" s="13"/>
      <c r="F164" s="13"/>
      <c r="G164" s="23"/>
      <c r="H164" s="13"/>
      <c r="I164" s="13"/>
    </row>
    <row r="165" spans="1:9" ht="22.5" customHeight="1">
      <c r="A165" s="20"/>
      <c r="B165" s="21"/>
      <c r="C165" s="22"/>
      <c r="D165" s="13"/>
      <c r="E165" s="13"/>
      <c r="F165" s="13"/>
      <c r="G165" s="23"/>
      <c r="H165" s="13"/>
      <c r="I165" s="13"/>
    </row>
    <row r="166" spans="1:9" ht="22.5" customHeight="1">
      <c r="A166" s="20"/>
      <c r="B166" s="21"/>
      <c r="C166" s="22"/>
      <c r="D166" s="13"/>
      <c r="E166" s="13"/>
      <c r="F166" s="13"/>
      <c r="G166" s="23"/>
      <c r="H166" s="13"/>
      <c r="I166" s="13"/>
    </row>
    <row r="167" spans="1:9" ht="22.5" customHeight="1">
      <c r="A167" s="20"/>
      <c r="B167" s="21"/>
      <c r="C167" s="22"/>
      <c r="D167" s="13"/>
      <c r="E167" s="13"/>
      <c r="F167" s="13"/>
      <c r="G167" s="23"/>
      <c r="H167" s="13"/>
      <c r="I167" s="13"/>
    </row>
    <row r="168" spans="1:9" ht="22.5" customHeight="1">
      <c r="A168" s="20"/>
      <c r="B168" s="21"/>
      <c r="C168" s="22"/>
      <c r="D168" s="13"/>
      <c r="E168" s="13"/>
      <c r="F168" s="13"/>
      <c r="G168" s="23"/>
      <c r="H168" s="13"/>
      <c r="I168" s="13"/>
    </row>
    <row r="169" spans="1:9" ht="22.5" customHeight="1">
      <c r="A169" s="20"/>
      <c r="B169" s="21"/>
      <c r="C169" s="22"/>
      <c r="D169" s="13"/>
      <c r="E169" s="13"/>
      <c r="F169" s="13"/>
      <c r="G169" s="23"/>
      <c r="H169" s="13"/>
      <c r="I169" s="13"/>
    </row>
    <row r="170" spans="1:9" ht="22.5" customHeight="1">
      <c r="A170" s="20"/>
      <c r="B170" s="21"/>
      <c r="C170" s="22"/>
      <c r="D170" s="13"/>
      <c r="E170" s="13"/>
      <c r="F170" s="13"/>
      <c r="G170" s="23"/>
      <c r="H170" s="13"/>
      <c r="I170" s="13"/>
    </row>
    <row r="171" spans="1:9" ht="22.5" customHeight="1">
      <c r="A171" s="20"/>
      <c r="B171" s="21"/>
      <c r="C171" s="22"/>
      <c r="D171" s="13"/>
      <c r="E171" s="13"/>
      <c r="F171" s="13"/>
      <c r="G171" s="23"/>
      <c r="H171" s="13"/>
      <c r="I171" s="13"/>
    </row>
    <row r="172" spans="1:9" ht="22.5" customHeight="1">
      <c r="A172" s="20"/>
      <c r="B172" s="21"/>
      <c r="C172" s="22"/>
      <c r="D172" s="13"/>
      <c r="E172" s="13"/>
      <c r="F172" s="13"/>
      <c r="G172" s="23"/>
      <c r="H172" s="13"/>
      <c r="I172" s="13"/>
    </row>
    <row r="173" spans="1:9" ht="22.5" customHeight="1">
      <c r="A173" s="20"/>
      <c r="B173" s="21"/>
      <c r="C173" s="22"/>
      <c r="D173" s="13"/>
      <c r="E173" s="13"/>
      <c r="F173" s="13"/>
      <c r="G173" s="23"/>
      <c r="H173" s="13"/>
      <c r="I173" s="13"/>
    </row>
    <row r="174" spans="1:9" ht="22.5" customHeight="1">
      <c r="A174" s="20"/>
      <c r="B174" s="21"/>
      <c r="C174" s="22"/>
      <c r="D174" s="13"/>
      <c r="E174" s="13"/>
      <c r="F174" s="13"/>
      <c r="G174" s="23"/>
      <c r="H174" s="13"/>
      <c r="I174" s="13"/>
    </row>
    <row r="175" spans="1:9" ht="22.5" customHeight="1">
      <c r="A175" s="20"/>
      <c r="B175" s="21"/>
      <c r="C175" s="22"/>
      <c r="D175" s="13"/>
      <c r="E175" s="13"/>
      <c r="F175" s="13"/>
      <c r="G175" s="23"/>
      <c r="H175" s="13"/>
      <c r="I175" s="13"/>
    </row>
    <row r="176" spans="1:9" ht="22.5" customHeight="1">
      <c r="A176" s="20"/>
      <c r="B176" s="21"/>
      <c r="C176" s="22"/>
      <c r="D176" s="13"/>
      <c r="E176" s="13"/>
      <c r="F176" s="13"/>
      <c r="G176" s="23"/>
      <c r="H176" s="13"/>
      <c r="I176" s="13"/>
    </row>
    <row r="177" spans="1:9" ht="22.5" customHeight="1">
      <c r="A177" s="20"/>
      <c r="B177" s="21"/>
      <c r="C177" s="22"/>
      <c r="D177" s="13"/>
      <c r="E177" s="13"/>
      <c r="F177" s="13"/>
      <c r="G177" s="23"/>
      <c r="H177" s="13"/>
      <c r="I177" s="13"/>
    </row>
    <row r="178" spans="1:9" ht="22.5" customHeight="1">
      <c r="A178" s="20"/>
      <c r="B178" s="21"/>
      <c r="C178" s="22"/>
      <c r="D178" s="13"/>
      <c r="E178" s="13"/>
      <c r="F178" s="13"/>
      <c r="G178" s="23"/>
      <c r="H178" s="13"/>
      <c r="I178" s="13"/>
    </row>
    <row r="179" spans="1:9" ht="22.5" customHeight="1">
      <c r="A179" s="20"/>
      <c r="B179" s="21"/>
      <c r="C179" s="22"/>
      <c r="D179" s="13"/>
      <c r="E179" s="13"/>
      <c r="F179" s="13"/>
      <c r="G179" s="23"/>
      <c r="H179" s="13"/>
      <c r="I179" s="13"/>
    </row>
    <row r="180" spans="1:9" ht="22.5" customHeight="1">
      <c r="A180" s="20"/>
      <c r="B180" s="21"/>
      <c r="C180" s="22"/>
      <c r="D180" s="13"/>
      <c r="E180" s="13"/>
      <c r="F180" s="13"/>
      <c r="G180" s="23"/>
      <c r="H180" s="13"/>
      <c r="I180" s="13"/>
    </row>
    <row r="181" spans="1:9" ht="22.5" customHeight="1">
      <c r="A181" s="20"/>
      <c r="B181" s="21"/>
      <c r="C181" s="22"/>
      <c r="D181" s="13"/>
      <c r="E181" s="13"/>
      <c r="F181" s="13"/>
      <c r="G181" s="23"/>
      <c r="H181" s="13"/>
      <c r="I181" s="13"/>
    </row>
    <row r="182" spans="1:9" ht="22.5" customHeight="1">
      <c r="A182" s="20"/>
      <c r="B182" s="21"/>
      <c r="C182" s="22"/>
      <c r="D182" s="13"/>
      <c r="E182" s="13"/>
      <c r="F182" s="13"/>
      <c r="G182" s="23"/>
      <c r="H182" s="13"/>
      <c r="I182" s="13"/>
    </row>
    <row r="183" spans="1:9" ht="22.5" customHeight="1">
      <c r="A183" s="20"/>
      <c r="B183" s="21"/>
      <c r="C183" s="22"/>
      <c r="D183" s="13"/>
      <c r="E183" s="13"/>
      <c r="F183" s="13"/>
      <c r="G183" s="23"/>
      <c r="H183" s="13"/>
      <c r="I183" s="13"/>
    </row>
    <row r="184" spans="1:9" ht="22.5" customHeight="1">
      <c r="A184" s="20"/>
      <c r="B184" s="21"/>
      <c r="C184" s="22"/>
      <c r="D184" s="13"/>
      <c r="E184" s="13"/>
      <c r="F184" s="13"/>
      <c r="G184" s="23"/>
      <c r="H184" s="13"/>
      <c r="I184" s="13"/>
    </row>
    <row r="185" spans="1:9" ht="22.5" customHeight="1">
      <c r="A185" s="20"/>
      <c r="B185" s="21"/>
      <c r="C185" s="22"/>
      <c r="D185" s="13"/>
      <c r="E185" s="13"/>
      <c r="F185" s="13"/>
      <c r="G185" s="23"/>
      <c r="H185" s="13"/>
      <c r="I185" s="13"/>
    </row>
    <row r="186" spans="1:9" ht="22.5" customHeight="1">
      <c r="A186" s="20"/>
      <c r="B186" s="21"/>
      <c r="C186" s="22"/>
      <c r="D186" s="13"/>
      <c r="E186" s="13"/>
      <c r="F186" s="13"/>
      <c r="G186" s="23"/>
      <c r="H186" s="13"/>
      <c r="I186" s="13"/>
    </row>
    <row r="187" spans="1:9" ht="22.5" customHeight="1">
      <c r="A187" s="20"/>
      <c r="B187" s="21"/>
      <c r="C187" s="22"/>
      <c r="D187" s="13"/>
      <c r="E187" s="13"/>
      <c r="F187" s="13"/>
      <c r="G187" s="23"/>
      <c r="H187" s="13"/>
      <c r="I187" s="13"/>
    </row>
    <row r="188" spans="1:9" ht="22.5" customHeight="1">
      <c r="A188" s="20"/>
      <c r="B188" s="21"/>
      <c r="C188" s="22"/>
      <c r="D188" s="13"/>
      <c r="E188" s="13"/>
      <c r="F188" s="13"/>
      <c r="G188" s="23"/>
      <c r="H188" s="13"/>
      <c r="I188" s="13"/>
    </row>
    <row r="189" spans="1:9" ht="22.5" customHeight="1">
      <c r="A189" s="20"/>
      <c r="B189" s="21"/>
      <c r="C189" s="22"/>
      <c r="D189" s="13"/>
      <c r="E189" s="13"/>
      <c r="F189" s="13"/>
      <c r="G189" s="23"/>
      <c r="H189" s="13"/>
      <c r="I189" s="13"/>
    </row>
    <row r="190" spans="1:9" ht="22.5" customHeight="1">
      <c r="A190" s="20"/>
      <c r="B190" s="21"/>
      <c r="C190" s="22"/>
      <c r="D190" s="13"/>
      <c r="E190" s="13"/>
      <c r="F190" s="13"/>
      <c r="G190" s="23"/>
      <c r="H190" s="13"/>
      <c r="I190" s="13"/>
    </row>
    <row r="191" spans="1:9" ht="22.5" customHeight="1">
      <c r="A191" s="20"/>
      <c r="B191" s="21"/>
      <c r="C191" s="22"/>
      <c r="D191" s="13"/>
      <c r="E191" s="13"/>
      <c r="F191" s="13"/>
      <c r="G191" s="23"/>
      <c r="H191" s="13"/>
      <c r="I191" s="13"/>
    </row>
    <row r="192" spans="1:9" ht="22.5" customHeight="1">
      <c r="A192" s="20"/>
      <c r="B192" s="21"/>
      <c r="C192" s="22"/>
      <c r="D192" s="13"/>
      <c r="E192" s="13"/>
      <c r="F192" s="13"/>
      <c r="G192" s="23"/>
      <c r="H192" s="13"/>
      <c r="I192" s="13"/>
    </row>
    <row r="193" spans="1:9" ht="22.5" customHeight="1">
      <c r="A193" s="20"/>
      <c r="B193" s="21"/>
      <c r="C193" s="22"/>
      <c r="D193" s="13"/>
      <c r="E193" s="13"/>
      <c r="F193" s="13"/>
      <c r="G193" s="23"/>
      <c r="H193" s="13"/>
      <c r="I193" s="13"/>
    </row>
    <row r="194" spans="1:9" ht="22.5" customHeight="1">
      <c r="A194" s="20"/>
      <c r="B194" s="21"/>
      <c r="C194" s="22"/>
      <c r="D194" s="13"/>
      <c r="E194" s="13"/>
      <c r="F194" s="13"/>
      <c r="G194" s="23"/>
      <c r="H194" s="13"/>
      <c r="I194" s="13"/>
    </row>
    <row r="195" spans="1:9" ht="22.5" customHeight="1">
      <c r="A195" s="20"/>
      <c r="B195" s="21"/>
      <c r="C195" s="22"/>
      <c r="D195" s="13"/>
      <c r="E195" s="13"/>
      <c r="F195" s="13"/>
      <c r="G195" s="23"/>
      <c r="H195" s="13"/>
      <c r="I195" s="13"/>
    </row>
    <row r="196" spans="1:9" ht="22.5" customHeight="1">
      <c r="A196" s="20"/>
      <c r="B196" s="21"/>
      <c r="C196" s="22"/>
      <c r="D196" s="13"/>
      <c r="E196" s="13"/>
      <c r="F196" s="13"/>
      <c r="G196" s="23"/>
      <c r="H196" s="13"/>
      <c r="I196" s="13"/>
    </row>
    <row r="197" spans="1:9" ht="22.5" customHeight="1">
      <c r="A197" s="20"/>
      <c r="B197" s="21"/>
      <c r="C197" s="22"/>
      <c r="D197" s="13"/>
      <c r="E197" s="13"/>
      <c r="F197" s="13"/>
      <c r="G197" s="23"/>
      <c r="H197" s="13"/>
      <c r="I197" s="13"/>
    </row>
    <row r="198" spans="1:9" ht="22.5" customHeight="1">
      <c r="A198" s="20"/>
      <c r="B198" s="21"/>
      <c r="C198" s="22"/>
      <c r="D198" s="13"/>
      <c r="E198" s="13"/>
      <c r="F198" s="13"/>
      <c r="G198" s="23"/>
      <c r="H198" s="13"/>
      <c r="I198" s="13"/>
    </row>
    <row r="199" spans="1:9" ht="22.5" customHeight="1">
      <c r="A199" s="20"/>
      <c r="B199" s="21"/>
      <c r="C199" s="22"/>
      <c r="D199" s="13"/>
      <c r="E199" s="13"/>
      <c r="F199" s="13"/>
      <c r="G199" s="23"/>
      <c r="H199" s="13"/>
      <c r="I199" s="13"/>
    </row>
    <row r="200" spans="1:9" ht="22.5" customHeight="1">
      <c r="A200" s="20"/>
      <c r="B200" s="21"/>
      <c r="C200" s="22"/>
      <c r="D200" s="13"/>
      <c r="E200" s="13"/>
      <c r="F200" s="13"/>
      <c r="G200" s="23"/>
      <c r="H200" s="13"/>
      <c r="I200" s="13"/>
    </row>
    <row r="201" spans="1:9" ht="22.5" customHeight="1">
      <c r="A201" s="20"/>
      <c r="B201" s="21"/>
      <c r="C201" s="22"/>
      <c r="D201" s="13"/>
      <c r="E201" s="13"/>
      <c r="F201" s="13"/>
      <c r="G201" s="23"/>
      <c r="H201" s="13"/>
      <c r="I201" s="13"/>
    </row>
    <row r="202" spans="1:9" ht="22.5" customHeight="1">
      <c r="A202" s="20"/>
      <c r="B202" s="21"/>
      <c r="C202" s="22"/>
      <c r="D202" s="13"/>
      <c r="E202" s="13"/>
      <c r="F202" s="13"/>
      <c r="G202" s="23"/>
      <c r="H202" s="13"/>
      <c r="I202" s="13"/>
    </row>
    <row r="203" spans="1:9" ht="22.5" customHeight="1">
      <c r="A203" s="20"/>
      <c r="B203" s="21"/>
      <c r="C203" s="22"/>
      <c r="D203" s="13"/>
      <c r="E203" s="13"/>
      <c r="F203" s="13"/>
      <c r="G203" s="23"/>
      <c r="H203" s="13"/>
      <c r="I203" s="13"/>
    </row>
    <row r="204" spans="1:9" ht="22.5" customHeight="1">
      <c r="A204" s="20"/>
      <c r="B204" s="21"/>
      <c r="C204" s="22"/>
      <c r="D204" s="13"/>
      <c r="E204" s="13"/>
      <c r="F204" s="13"/>
      <c r="G204" s="23"/>
      <c r="H204" s="13"/>
      <c r="I204" s="13"/>
    </row>
    <row r="205" spans="1:9" ht="22.5" customHeight="1">
      <c r="A205" s="20"/>
      <c r="B205" s="21"/>
      <c r="C205" s="22"/>
      <c r="D205" s="13"/>
      <c r="E205" s="13"/>
      <c r="F205" s="13"/>
      <c r="G205" s="23"/>
      <c r="H205" s="13"/>
      <c r="I205" s="13"/>
    </row>
    <row r="206" spans="1:9" ht="22.5" customHeight="1">
      <c r="A206" s="20"/>
      <c r="B206" s="21"/>
      <c r="C206" s="22"/>
      <c r="D206" s="13"/>
      <c r="E206" s="13"/>
      <c r="F206" s="13"/>
      <c r="G206" s="23"/>
      <c r="H206" s="13"/>
      <c r="I206" s="13"/>
    </row>
    <row r="207" spans="1:9" ht="22.5" customHeight="1">
      <c r="A207" s="20"/>
      <c r="B207" s="21"/>
      <c r="C207" s="22"/>
      <c r="D207" s="13"/>
      <c r="E207" s="13"/>
      <c r="F207" s="13"/>
      <c r="G207" s="23"/>
      <c r="H207" s="13"/>
      <c r="I207" s="13"/>
    </row>
    <row r="208" spans="1:9" ht="22.5" customHeight="1">
      <c r="A208" s="20"/>
      <c r="B208" s="21"/>
      <c r="C208" s="22"/>
      <c r="D208" s="13"/>
      <c r="E208" s="13"/>
      <c r="F208" s="13"/>
      <c r="G208" s="23"/>
      <c r="H208" s="13"/>
      <c r="I208" s="13"/>
    </row>
    <row r="209" spans="1:9" ht="22.5" customHeight="1">
      <c r="A209" s="20"/>
      <c r="B209" s="21"/>
      <c r="C209" s="22"/>
      <c r="D209" s="13"/>
      <c r="E209" s="13"/>
      <c r="F209" s="13"/>
      <c r="G209" s="23"/>
      <c r="H209" s="13"/>
      <c r="I209" s="13"/>
    </row>
    <row r="210" spans="1:9" ht="22.5" customHeight="1">
      <c r="A210" s="20"/>
      <c r="B210" s="21"/>
      <c r="C210" s="22"/>
      <c r="D210" s="13"/>
      <c r="E210" s="13"/>
      <c r="F210" s="13"/>
      <c r="G210" s="23"/>
      <c r="H210" s="13"/>
      <c r="I210" s="13"/>
    </row>
    <row r="211" spans="1:9" ht="22.5" customHeight="1">
      <c r="A211" s="20"/>
      <c r="B211" s="21"/>
      <c r="C211" s="22"/>
      <c r="D211" s="13"/>
      <c r="E211" s="13"/>
      <c r="F211" s="13"/>
      <c r="G211" s="23"/>
      <c r="H211" s="13"/>
      <c r="I211" s="13"/>
    </row>
    <row r="212" spans="1:9" ht="22.5" customHeight="1">
      <c r="A212" s="20"/>
      <c r="B212" s="21"/>
      <c r="C212" s="22"/>
      <c r="D212" s="13"/>
      <c r="E212" s="13"/>
      <c r="F212" s="13"/>
      <c r="G212" s="23"/>
      <c r="H212" s="13"/>
      <c r="I212" s="13"/>
    </row>
    <row r="213" spans="1:9" ht="22.5" customHeight="1">
      <c r="A213" s="20"/>
      <c r="B213" s="21"/>
      <c r="C213" s="22"/>
      <c r="D213" s="13"/>
      <c r="E213" s="13"/>
      <c r="F213" s="13"/>
      <c r="G213" s="23"/>
      <c r="H213" s="13"/>
      <c r="I213" s="13"/>
    </row>
    <row r="214" spans="1:9" ht="22.5" customHeight="1">
      <c r="A214" s="20"/>
      <c r="B214" s="21"/>
      <c r="C214" s="22"/>
      <c r="D214" s="13"/>
      <c r="E214" s="13"/>
      <c r="F214" s="13"/>
      <c r="G214" s="23"/>
      <c r="H214" s="13"/>
      <c r="I214" s="13"/>
    </row>
    <row r="215" spans="1:9" ht="22.5" customHeight="1">
      <c r="A215" s="20"/>
      <c r="B215" s="21"/>
      <c r="C215" s="22"/>
      <c r="D215" s="13"/>
      <c r="E215" s="13"/>
      <c r="F215" s="13"/>
      <c r="G215" s="23"/>
      <c r="H215" s="13"/>
      <c r="I215" s="13"/>
    </row>
    <row r="216" spans="1:9" ht="22.5" customHeight="1">
      <c r="A216" s="20"/>
      <c r="B216" s="21"/>
      <c r="C216" s="22"/>
      <c r="D216" s="13"/>
      <c r="E216" s="13"/>
      <c r="F216" s="13"/>
      <c r="G216" s="23"/>
      <c r="H216" s="13"/>
      <c r="I216" s="13"/>
    </row>
    <row r="217" spans="1:9" ht="22.5" customHeight="1">
      <c r="A217" s="20"/>
      <c r="B217" s="21"/>
      <c r="C217" s="22"/>
      <c r="D217" s="13"/>
      <c r="E217" s="13"/>
      <c r="F217" s="13"/>
      <c r="G217" s="23"/>
      <c r="H217" s="13"/>
      <c r="I217" s="13"/>
    </row>
    <row r="218" spans="1:9" ht="22.5" customHeight="1">
      <c r="A218" s="20"/>
      <c r="B218" s="21"/>
      <c r="C218" s="22"/>
      <c r="D218" s="13"/>
      <c r="E218" s="13"/>
      <c r="F218" s="13"/>
      <c r="G218" s="23"/>
      <c r="H218" s="13"/>
      <c r="I218" s="13"/>
    </row>
    <row r="219" spans="1:9" ht="22.5" customHeight="1">
      <c r="A219" s="20"/>
      <c r="B219" s="21"/>
      <c r="C219" s="22"/>
      <c r="D219" s="13"/>
      <c r="E219" s="13"/>
      <c r="F219" s="13"/>
      <c r="G219" s="23"/>
      <c r="H219" s="13"/>
      <c r="I219" s="13"/>
    </row>
    <row r="220" spans="1:9" ht="22.5" customHeight="1">
      <c r="A220" s="20"/>
      <c r="B220" s="21"/>
      <c r="C220" s="22"/>
      <c r="D220" s="13"/>
      <c r="E220" s="13"/>
      <c r="F220" s="13"/>
      <c r="G220" s="23"/>
      <c r="H220" s="13"/>
      <c r="I220" s="13"/>
    </row>
    <row r="221" spans="1:9" ht="22.5" customHeight="1">
      <c r="A221" s="20"/>
      <c r="B221" s="21"/>
      <c r="C221" s="22"/>
      <c r="D221" s="13"/>
      <c r="E221" s="13"/>
      <c r="F221" s="13"/>
      <c r="G221" s="23"/>
      <c r="H221" s="13"/>
      <c r="I221" s="13"/>
    </row>
    <row r="222" spans="1:9" ht="22.5" customHeight="1">
      <c r="A222" s="20"/>
      <c r="B222" s="21"/>
      <c r="C222" s="22"/>
      <c r="D222" s="13"/>
      <c r="E222" s="13"/>
      <c r="F222" s="13"/>
      <c r="G222" s="23"/>
      <c r="H222" s="13"/>
      <c r="I222" s="13"/>
    </row>
    <row r="223" spans="1:9" ht="22.5" customHeight="1">
      <c r="A223" s="20"/>
      <c r="B223" s="21"/>
      <c r="C223" s="22"/>
      <c r="D223" s="13"/>
      <c r="E223" s="13"/>
      <c r="F223" s="13"/>
      <c r="G223" s="23"/>
      <c r="H223" s="13"/>
      <c r="I223" s="13"/>
    </row>
    <row r="224" spans="1:9" ht="22.5" customHeight="1">
      <c r="A224" s="20"/>
      <c r="B224" s="21"/>
      <c r="C224" s="22"/>
      <c r="D224" s="13"/>
      <c r="E224" s="13"/>
      <c r="F224" s="13"/>
      <c r="G224" s="23"/>
      <c r="H224" s="13"/>
      <c r="I224" s="13"/>
    </row>
    <row r="225" spans="1:9" ht="22.5" customHeight="1">
      <c r="A225" s="20"/>
      <c r="B225" s="21"/>
      <c r="C225" s="22"/>
      <c r="D225" s="13"/>
      <c r="E225" s="13"/>
      <c r="F225" s="13"/>
      <c r="G225" s="23"/>
      <c r="H225" s="13"/>
      <c r="I225" s="13"/>
    </row>
    <row r="226" spans="1:9" ht="22.5" customHeight="1">
      <c r="A226" s="20"/>
      <c r="B226" s="21"/>
      <c r="C226" s="22"/>
      <c r="D226" s="13"/>
      <c r="E226" s="13"/>
      <c r="F226" s="13"/>
      <c r="G226" s="23"/>
      <c r="H226" s="13"/>
      <c r="I226" s="13"/>
    </row>
    <row r="227" spans="1:9" ht="22.5" customHeight="1">
      <c r="A227" s="20"/>
      <c r="B227" s="21"/>
      <c r="C227" s="22"/>
      <c r="D227" s="13"/>
      <c r="E227" s="13"/>
      <c r="F227" s="13"/>
      <c r="G227" s="23"/>
      <c r="H227" s="13"/>
      <c r="I227" s="13"/>
    </row>
    <row r="228" spans="1:9" ht="22.5" customHeight="1">
      <c r="A228" s="20"/>
      <c r="B228" s="21"/>
      <c r="C228" s="22"/>
      <c r="D228" s="13"/>
      <c r="E228" s="13"/>
      <c r="F228" s="13"/>
      <c r="G228" s="23"/>
      <c r="H228" s="13"/>
      <c r="I228" s="13"/>
    </row>
    <row r="229" spans="1:9" ht="22.5" customHeight="1">
      <c r="A229" s="20"/>
      <c r="B229" s="21"/>
      <c r="C229" s="22"/>
      <c r="D229" s="13"/>
      <c r="E229" s="13"/>
      <c r="F229" s="13"/>
      <c r="G229" s="23"/>
      <c r="H229" s="13"/>
      <c r="I229" s="13"/>
    </row>
    <row r="230" spans="1:9" ht="22.5" customHeight="1">
      <c r="A230" s="20"/>
      <c r="B230" s="21"/>
      <c r="C230" s="22"/>
      <c r="D230" s="13"/>
      <c r="E230" s="13"/>
      <c r="F230" s="13"/>
      <c r="G230" s="23"/>
      <c r="H230" s="13"/>
      <c r="I230" s="13"/>
    </row>
    <row r="231" spans="1:9" ht="22.5" customHeight="1">
      <c r="A231" s="20"/>
      <c r="B231" s="21"/>
      <c r="C231" s="22"/>
      <c r="D231" s="13"/>
      <c r="E231" s="13"/>
      <c r="F231" s="13"/>
      <c r="G231" s="23"/>
      <c r="H231" s="13"/>
      <c r="I231" s="13"/>
    </row>
    <row r="232" spans="1:9" ht="22.5" customHeight="1">
      <c r="A232" s="20"/>
      <c r="B232" s="21"/>
      <c r="C232" s="22"/>
      <c r="D232" s="13"/>
      <c r="E232" s="13"/>
      <c r="F232" s="13"/>
      <c r="G232" s="23"/>
      <c r="H232" s="13"/>
      <c r="I232" s="13"/>
    </row>
    <row r="233" spans="1:9" ht="22.5" customHeight="1">
      <c r="A233" s="20"/>
      <c r="B233" s="21"/>
      <c r="C233" s="22"/>
      <c r="D233" s="13"/>
      <c r="E233" s="13"/>
      <c r="F233" s="13"/>
      <c r="G233" s="23"/>
      <c r="H233" s="13"/>
      <c r="I233" s="13"/>
    </row>
    <row r="234" spans="1:9" ht="22.5" customHeight="1">
      <c r="A234" s="20"/>
      <c r="B234" s="21"/>
      <c r="C234" s="22"/>
      <c r="D234" s="13"/>
      <c r="E234" s="13"/>
      <c r="F234" s="13"/>
      <c r="G234" s="23"/>
      <c r="H234" s="13"/>
      <c r="I234" s="13"/>
    </row>
    <row r="235" spans="1:9" ht="22.5" customHeight="1">
      <c r="A235" s="20"/>
      <c r="B235" s="21"/>
      <c r="C235" s="22"/>
      <c r="D235" s="13"/>
      <c r="E235" s="13"/>
      <c r="F235" s="13"/>
      <c r="G235" s="23"/>
      <c r="H235" s="13"/>
      <c r="I235" s="13"/>
    </row>
    <row r="236" spans="1:9" ht="22.5" customHeight="1">
      <c r="A236" s="20"/>
      <c r="B236" s="21"/>
      <c r="C236" s="22"/>
      <c r="D236" s="13"/>
      <c r="E236" s="13"/>
      <c r="F236" s="13"/>
      <c r="G236" s="23"/>
      <c r="H236" s="13"/>
      <c r="I236" s="13"/>
    </row>
    <row r="237" spans="1:9" ht="22.5" customHeight="1">
      <c r="A237" s="20"/>
      <c r="B237" s="21"/>
      <c r="C237" s="22"/>
      <c r="D237" s="13"/>
      <c r="E237" s="13"/>
      <c r="F237" s="13"/>
      <c r="G237" s="23"/>
      <c r="H237" s="13"/>
      <c r="I237" s="13"/>
    </row>
    <row r="238" spans="1:9" ht="22.5" customHeight="1">
      <c r="A238" s="20"/>
      <c r="B238" s="21"/>
      <c r="C238" s="22"/>
      <c r="D238" s="13"/>
      <c r="E238" s="13"/>
      <c r="F238" s="13"/>
      <c r="G238" s="23"/>
      <c r="H238" s="13"/>
      <c r="I238" s="13"/>
    </row>
    <row r="239" spans="1:9" ht="22.5" customHeight="1">
      <c r="A239" s="20"/>
      <c r="B239" s="21"/>
      <c r="C239" s="22"/>
      <c r="D239" s="13"/>
      <c r="E239" s="13"/>
      <c r="F239" s="13"/>
      <c r="G239" s="23"/>
      <c r="H239" s="13"/>
      <c r="I239" s="13"/>
    </row>
    <row r="240" spans="1:9" ht="22.5" customHeight="1">
      <c r="A240" s="20"/>
      <c r="B240" s="21"/>
      <c r="C240" s="22"/>
      <c r="D240" s="13"/>
      <c r="E240" s="13"/>
      <c r="F240" s="13"/>
      <c r="G240" s="23"/>
      <c r="H240" s="13"/>
      <c r="I240" s="13"/>
    </row>
    <row r="241" spans="1:9" ht="22.5" customHeight="1">
      <c r="A241" s="20"/>
      <c r="B241" s="21"/>
      <c r="C241" s="22"/>
      <c r="D241" s="13"/>
      <c r="E241" s="13"/>
      <c r="F241" s="13"/>
      <c r="G241" s="23"/>
      <c r="H241" s="13"/>
      <c r="I241" s="13"/>
    </row>
    <row r="242" spans="1:9" ht="22.5" customHeight="1">
      <c r="A242" s="20"/>
      <c r="B242" s="21"/>
      <c r="C242" s="22"/>
      <c r="D242" s="13"/>
      <c r="E242" s="13"/>
      <c r="F242" s="13"/>
      <c r="G242" s="23"/>
      <c r="H242" s="13"/>
      <c r="I242" s="13"/>
    </row>
    <row r="243" spans="1:9" ht="22.5" customHeight="1">
      <c r="A243" s="20"/>
      <c r="B243" s="21"/>
      <c r="C243" s="22"/>
      <c r="D243" s="13"/>
      <c r="E243" s="13"/>
      <c r="F243" s="13"/>
      <c r="G243" s="23"/>
      <c r="H243" s="13"/>
      <c r="I243" s="13"/>
    </row>
    <row r="244" spans="1:9" ht="22.5" customHeight="1">
      <c r="A244" s="20"/>
      <c r="B244" s="21"/>
      <c r="C244" s="22"/>
      <c r="D244" s="13"/>
      <c r="E244" s="13"/>
      <c r="F244" s="13"/>
      <c r="G244" s="23"/>
      <c r="H244" s="13"/>
      <c r="I244" s="13"/>
    </row>
    <row r="245" spans="1:9" ht="22.5" customHeight="1">
      <c r="A245" s="20"/>
      <c r="B245" s="21"/>
      <c r="C245" s="22"/>
      <c r="D245" s="13"/>
      <c r="E245" s="13"/>
      <c r="F245" s="13"/>
      <c r="G245" s="23"/>
      <c r="H245" s="13"/>
      <c r="I245" s="13"/>
    </row>
    <row r="246" spans="1:9" ht="22.5" customHeight="1">
      <c r="A246" s="20"/>
      <c r="B246" s="21"/>
      <c r="C246" s="22"/>
      <c r="D246" s="13"/>
      <c r="E246" s="13"/>
      <c r="F246" s="13"/>
      <c r="G246" s="23"/>
      <c r="H246" s="13"/>
      <c r="I246" s="13"/>
    </row>
    <row r="247" spans="1:9" ht="22.5" customHeight="1">
      <c r="A247" s="20"/>
      <c r="B247" s="21"/>
      <c r="C247" s="22"/>
      <c r="D247" s="13"/>
      <c r="E247" s="13"/>
      <c r="F247" s="13"/>
      <c r="G247" s="23"/>
      <c r="H247" s="13"/>
      <c r="I247" s="13"/>
    </row>
    <row r="248" spans="1:9" ht="22.5" customHeight="1">
      <c r="A248" s="20"/>
      <c r="B248" s="21"/>
      <c r="C248" s="22"/>
      <c r="D248" s="13"/>
      <c r="E248" s="13"/>
      <c r="F248" s="13"/>
      <c r="G248" s="23"/>
      <c r="H248" s="13"/>
      <c r="I248" s="13"/>
    </row>
    <row r="249" spans="1:9" ht="22.5" customHeight="1">
      <c r="A249" s="20"/>
      <c r="B249" s="21"/>
      <c r="C249" s="22"/>
      <c r="D249" s="13"/>
      <c r="E249" s="13"/>
      <c r="F249" s="13"/>
      <c r="G249" s="23"/>
      <c r="H249" s="13"/>
      <c r="I249" s="13"/>
    </row>
    <row r="250" spans="1:9" ht="22.5" customHeight="1">
      <c r="A250" s="20"/>
      <c r="B250" s="21"/>
      <c r="C250" s="22"/>
      <c r="D250" s="13"/>
      <c r="E250" s="13"/>
      <c r="F250" s="13"/>
      <c r="G250" s="23"/>
      <c r="H250" s="13"/>
      <c r="I250" s="13"/>
    </row>
    <row r="251" spans="1:9" ht="22.5" customHeight="1">
      <c r="A251" s="20"/>
      <c r="B251" s="21"/>
      <c r="C251" s="22"/>
      <c r="D251" s="13"/>
      <c r="E251" s="13"/>
      <c r="F251" s="13"/>
      <c r="G251" s="23"/>
      <c r="H251" s="13"/>
      <c r="I251" s="13"/>
    </row>
    <row r="252" spans="1:9" ht="22.5" customHeight="1">
      <c r="A252" s="20"/>
      <c r="B252" s="21"/>
      <c r="C252" s="22"/>
      <c r="D252" s="13"/>
      <c r="E252" s="13"/>
      <c r="F252" s="13"/>
      <c r="G252" s="23"/>
      <c r="H252" s="13"/>
      <c r="I252" s="13"/>
    </row>
    <row r="253" spans="1:9" ht="22.5" customHeight="1">
      <c r="A253" s="20"/>
      <c r="B253" s="21"/>
      <c r="C253" s="22"/>
      <c r="D253" s="13"/>
      <c r="E253" s="13"/>
      <c r="F253" s="13"/>
      <c r="G253" s="23"/>
      <c r="H253" s="13"/>
      <c r="I253" s="13"/>
    </row>
    <row r="254" spans="1:9" ht="22.5" customHeight="1">
      <c r="A254" s="20"/>
      <c r="B254" s="21"/>
      <c r="C254" s="22"/>
      <c r="D254" s="13"/>
      <c r="E254" s="13"/>
      <c r="F254" s="13"/>
      <c r="G254" s="23"/>
      <c r="H254" s="13"/>
      <c r="I254" s="13"/>
    </row>
    <row r="255" spans="1:9" ht="22.5" customHeight="1">
      <c r="A255" s="20"/>
      <c r="B255" s="21"/>
      <c r="C255" s="22"/>
      <c r="D255" s="13"/>
      <c r="E255" s="13"/>
      <c r="F255" s="13"/>
      <c r="G255" s="23"/>
      <c r="H255" s="13"/>
      <c r="I255" s="13"/>
    </row>
    <row r="256" spans="1:9" ht="22.5" customHeight="1">
      <c r="A256" s="20"/>
      <c r="B256" s="21"/>
      <c r="C256" s="22"/>
      <c r="D256" s="13"/>
      <c r="E256" s="13"/>
      <c r="F256" s="13"/>
      <c r="G256" s="23"/>
      <c r="H256" s="13"/>
      <c r="I256" s="13"/>
    </row>
    <row r="257" spans="1:9" ht="22.5" customHeight="1">
      <c r="A257" s="20"/>
      <c r="B257" s="21"/>
      <c r="C257" s="22"/>
      <c r="D257" s="13"/>
      <c r="E257" s="13"/>
      <c r="F257" s="13"/>
      <c r="G257" s="23"/>
      <c r="H257" s="13"/>
      <c r="I257" s="13"/>
    </row>
    <row r="258" spans="1:9" ht="22.5" customHeight="1">
      <c r="A258" s="20"/>
      <c r="B258" s="21"/>
      <c r="C258" s="22"/>
      <c r="D258" s="13"/>
      <c r="E258" s="13"/>
      <c r="F258" s="13"/>
      <c r="G258" s="23"/>
      <c r="H258" s="13"/>
      <c r="I258" s="13"/>
    </row>
    <row r="259" spans="1:9" ht="22.5" customHeight="1">
      <c r="A259" s="20"/>
      <c r="B259" s="21"/>
      <c r="C259" s="22"/>
      <c r="D259" s="13"/>
      <c r="E259" s="13"/>
      <c r="F259" s="13"/>
      <c r="G259" s="23"/>
      <c r="H259" s="13"/>
      <c r="I259" s="13"/>
    </row>
    <row r="260" spans="1:9" ht="22.5" customHeight="1">
      <c r="A260" s="20"/>
      <c r="B260" s="21"/>
      <c r="C260" s="22"/>
      <c r="D260" s="13"/>
      <c r="E260" s="13"/>
      <c r="F260" s="13"/>
      <c r="G260" s="23"/>
      <c r="H260" s="13"/>
      <c r="I260" s="13"/>
    </row>
    <row r="261" spans="1:9" ht="22.5" customHeight="1">
      <c r="A261" s="20"/>
      <c r="B261" s="21"/>
      <c r="C261" s="22"/>
      <c r="D261" s="13"/>
      <c r="E261" s="13"/>
      <c r="F261" s="13"/>
      <c r="G261" s="23"/>
      <c r="H261" s="13"/>
      <c r="I261" s="13"/>
    </row>
    <row r="262" spans="1:9" ht="22.5" customHeight="1">
      <c r="A262" s="20"/>
      <c r="B262" s="21"/>
      <c r="C262" s="22"/>
      <c r="D262" s="13"/>
      <c r="E262" s="13"/>
      <c r="F262" s="13"/>
      <c r="G262" s="23"/>
      <c r="H262" s="13"/>
      <c r="I262" s="13"/>
    </row>
    <row r="263" spans="1:9" ht="22.5" customHeight="1">
      <c r="A263" s="20"/>
      <c r="B263" s="21"/>
      <c r="C263" s="22"/>
      <c r="D263" s="13"/>
      <c r="E263" s="13"/>
      <c r="F263" s="13"/>
      <c r="G263" s="23"/>
      <c r="H263" s="13"/>
      <c r="I263" s="13"/>
    </row>
    <row r="264" spans="1:9" ht="22.5" customHeight="1">
      <c r="A264" s="20"/>
      <c r="B264" s="21"/>
      <c r="C264" s="22"/>
      <c r="D264" s="13"/>
      <c r="E264" s="13"/>
      <c r="F264" s="13"/>
      <c r="G264" s="23"/>
      <c r="H264" s="13"/>
      <c r="I264" s="13"/>
    </row>
    <row r="265" spans="1:9" ht="22.5" customHeight="1">
      <c r="A265" s="20"/>
      <c r="B265" s="21"/>
      <c r="C265" s="22"/>
      <c r="D265" s="13"/>
      <c r="E265" s="13"/>
      <c r="F265" s="13"/>
      <c r="G265" s="23"/>
      <c r="H265" s="13"/>
      <c r="I265" s="13"/>
    </row>
    <row r="266" spans="1:9" ht="22.5" customHeight="1">
      <c r="A266" s="20"/>
      <c r="B266" s="21"/>
      <c r="C266" s="22"/>
      <c r="D266" s="13"/>
      <c r="E266" s="13"/>
      <c r="F266" s="13"/>
      <c r="G266" s="23"/>
      <c r="H266" s="13"/>
      <c r="I266" s="13"/>
    </row>
    <row r="267" spans="1:9" ht="22.5" customHeight="1">
      <c r="A267" s="20"/>
      <c r="B267" s="21"/>
      <c r="C267" s="22"/>
      <c r="D267" s="13"/>
      <c r="E267" s="13"/>
      <c r="F267" s="13"/>
      <c r="G267" s="23"/>
      <c r="H267" s="13"/>
      <c r="I267" s="13"/>
    </row>
    <row r="268" spans="1:9" ht="22.5" customHeight="1">
      <c r="A268" s="20"/>
      <c r="B268" s="21"/>
      <c r="C268" s="22"/>
      <c r="D268" s="13"/>
      <c r="E268" s="13"/>
      <c r="F268" s="13"/>
      <c r="G268" s="23"/>
      <c r="H268" s="13"/>
      <c r="I268" s="13"/>
    </row>
    <row r="269" spans="1:9" ht="22.5" customHeight="1">
      <c r="A269" s="20"/>
      <c r="B269" s="21"/>
      <c r="C269" s="22"/>
      <c r="D269" s="13"/>
      <c r="E269" s="13"/>
      <c r="F269" s="13"/>
      <c r="G269" s="23"/>
      <c r="H269" s="13"/>
      <c r="I269" s="13"/>
    </row>
    <row r="270" spans="1:9" ht="22.5" customHeight="1">
      <c r="A270" s="20"/>
      <c r="B270" s="21"/>
      <c r="C270" s="22"/>
      <c r="D270" s="13"/>
      <c r="E270" s="13"/>
      <c r="F270" s="13"/>
      <c r="G270" s="23"/>
      <c r="H270" s="13"/>
      <c r="I270" s="13"/>
    </row>
    <row r="271" spans="1:9" ht="22.5" customHeight="1">
      <c r="A271" s="20"/>
      <c r="B271" s="21"/>
      <c r="C271" s="22"/>
      <c r="D271" s="13"/>
      <c r="E271" s="13"/>
      <c r="F271" s="13"/>
      <c r="G271" s="23"/>
      <c r="H271" s="13"/>
      <c r="I271" s="13"/>
    </row>
    <row r="272" spans="1:9" ht="22.5" customHeight="1">
      <c r="A272" s="20"/>
      <c r="B272" s="21"/>
      <c r="C272" s="22"/>
      <c r="D272" s="13"/>
      <c r="E272" s="13"/>
      <c r="F272" s="13"/>
      <c r="G272" s="23"/>
      <c r="H272" s="13"/>
      <c r="I272" s="13"/>
    </row>
    <row r="273" spans="1:9" ht="22.5" customHeight="1">
      <c r="A273" s="20"/>
      <c r="B273" s="21"/>
      <c r="C273" s="22"/>
      <c r="D273" s="13"/>
      <c r="E273" s="13"/>
      <c r="F273" s="13"/>
      <c r="G273" s="23"/>
      <c r="H273" s="13"/>
      <c r="I273" s="13"/>
    </row>
    <row r="274" spans="1:9" ht="22.5" customHeight="1">
      <c r="A274" s="20"/>
      <c r="B274" s="21"/>
      <c r="C274" s="22"/>
      <c r="D274" s="13"/>
      <c r="E274" s="13"/>
      <c r="F274" s="13"/>
      <c r="G274" s="23"/>
      <c r="H274" s="13"/>
      <c r="I274" s="13"/>
    </row>
    <row r="275" spans="1:9" ht="22.5" customHeight="1">
      <c r="A275" s="20"/>
      <c r="B275" s="21"/>
      <c r="C275" s="22"/>
      <c r="D275" s="13"/>
      <c r="E275" s="13"/>
      <c r="F275" s="13"/>
      <c r="G275" s="23"/>
      <c r="H275" s="13"/>
      <c r="I275" s="13"/>
    </row>
    <row r="276" spans="1:9" ht="22.5" customHeight="1">
      <c r="A276" s="20"/>
      <c r="B276" s="21"/>
      <c r="C276" s="22"/>
      <c r="D276" s="13"/>
      <c r="E276" s="13"/>
      <c r="F276" s="13"/>
      <c r="G276" s="23"/>
      <c r="H276" s="13"/>
      <c r="I276" s="13"/>
    </row>
    <row r="277" spans="1:9" ht="22.5" customHeight="1">
      <c r="A277" s="20"/>
      <c r="B277" s="21"/>
      <c r="C277" s="22"/>
      <c r="D277" s="13"/>
      <c r="E277" s="13"/>
      <c r="F277" s="13"/>
      <c r="G277" s="23"/>
      <c r="H277" s="13"/>
      <c r="I277" s="13"/>
    </row>
    <row r="278" spans="1:9" ht="22.5" customHeight="1">
      <c r="A278" s="20"/>
      <c r="B278" s="21"/>
      <c r="C278" s="22"/>
      <c r="D278" s="13"/>
      <c r="E278" s="13"/>
      <c r="F278" s="13"/>
      <c r="G278" s="23"/>
      <c r="H278" s="13"/>
      <c r="I278" s="13"/>
    </row>
    <row r="279" spans="1:9" ht="22.5" customHeight="1">
      <c r="A279" s="20"/>
      <c r="B279" s="21"/>
      <c r="C279" s="22"/>
      <c r="D279" s="13"/>
      <c r="E279" s="13"/>
      <c r="F279" s="13"/>
      <c r="G279" s="23"/>
      <c r="H279" s="13"/>
      <c r="I279" s="13"/>
    </row>
    <row r="280" spans="1:9" ht="22.5" customHeight="1">
      <c r="A280" s="20"/>
      <c r="B280" s="21"/>
      <c r="C280" s="22"/>
      <c r="D280" s="13"/>
      <c r="E280" s="13"/>
      <c r="F280" s="13"/>
      <c r="G280" s="23"/>
      <c r="H280" s="13"/>
      <c r="I280" s="13"/>
    </row>
    <row r="281" spans="1:9" ht="22.5" customHeight="1">
      <c r="A281" s="20"/>
      <c r="B281" s="21"/>
      <c r="C281" s="22"/>
      <c r="D281" s="13"/>
      <c r="E281" s="13"/>
      <c r="F281" s="13"/>
      <c r="G281" s="23"/>
      <c r="H281" s="13"/>
      <c r="I281" s="13"/>
    </row>
    <row r="282" spans="1:9" ht="22.5" customHeight="1">
      <c r="A282" s="20"/>
      <c r="B282" s="21"/>
      <c r="C282" s="22"/>
      <c r="D282" s="13"/>
      <c r="E282" s="13"/>
      <c r="F282" s="13"/>
      <c r="G282" s="23"/>
      <c r="H282" s="13"/>
      <c r="I282" s="13"/>
    </row>
    <row r="283" spans="1:9" ht="22.5" customHeight="1">
      <c r="A283" s="20"/>
      <c r="B283" s="21"/>
      <c r="C283" s="22"/>
      <c r="D283" s="13"/>
      <c r="E283" s="13"/>
      <c r="F283" s="13"/>
      <c r="G283" s="23"/>
      <c r="H283" s="13"/>
      <c r="I283" s="13"/>
    </row>
    <row r="284" spans="1:9" ht="22.5" customHeight="1">
      <c r="A284" s="20"/>
      <c r="B284" s="21"/>
      <c r="C284" s="22"/>
      <c r="D284" s="13"/>
      <c r="E284" s="13"/>
      <c r="F284" s="13"/>
      <c r="G284" s="23"/>
      <c r="H284" s="13"/>
      <c r="I284" s="13"/>
    </row>
    <row r="285" spans="1:9" ht="22.5" customHeight="1">
      <c r="A285" s="20"/>
      <c r="B285" s="21"/>
      <c r="C285" s="22"/>
      <c r="D285" s="13"/>
      <c r="E285" s="13"/>
      <c r="F285" s="13"/>
      <c r="G285" s="23"/>
      <c r="H285" s="13"/>
      <c r="I285" s="13"/>
    </row>
    <row r="286" spans="1:9" ht="22.5" customHeight="1">
      <c r="A286" s="20"/>
      <c r="B286" s="21"/>
      <c r="C286" s="22"/>
      <c r="D286" s="13"/>
      <c r="E286" s="13"/>
      <c r="F286" s="13"/>
      <c r="G286" s="23"/>
      <c r="H286" s="13"/>
      <c r="I286" s="13"/>
    </row>
    <row r="287" spans="1:9" ht="22.5" customHeight="1">
      <c r="A287" s="20"/>
      <c r="B287" s="21"/>
      <c r="C287" s="22"/>
      <c r="D287" s="13"/>
      <c r="E287" s="13"/>
      <c r="F287" s="13"/>
      <c r="G287" s="23"/>
      <c r="H287" s="13"/>
      <c r="I287" s="13"/>
    </row>
    <row r="288" spans="1:9" ht="22.5" customHeight="1">
      <c r="A288" s="20"/>
      <c r="B288" s="21"/>
      <c r="C288" s="22"/>
      <c r="D288" s="13"/>
      <c r="E288" s="13"/>
      <c r="F288" s="13"/>
      <c r="G288" s="23"/>
      <c r="H288" s="13"/>
      <c r="I288" s="13"/>
    </row>
    <row r="289" spans="1:9" ht="22.5" customHeight="1">
      <c r="A289" s="20"/>
      <c r="B289" s="21"/>
      <c r="C289" s="22"/>
      <c r="D289" s="13"/>
      <c r="E289" s="13"/>
      <c r="F289" s="13"/>
      <c r="G289" s="23"/>
      <c r="H289" s="13"/>
      <c r="I289" s="13"/>
    </row>
    <row r="290" spans="1:9" ht="22.5" customHeight="1">
      <c r="A290" s="20"/>
      <c r="B290" s="21"/>
      <c r="C290" s="22"/>
      <c r="D290" s="13"/>
      <c r="E290" s="13"/>
      <c r="F290" s="13"/>
      <c r="G290" s="23"/>
      <c r="H290" s="13"/>
      <c r="I290" s="13"/>
    </row>
    <row r="291" spans="1:9" ht="22.5" customHeight="1">
      <c r="A291" s="20"/>
      <c r="B291" s="21"/>
      <c r="C291" s="22"/>
      <c r="D291" s="13"/>
      <c r="E291" s="13"/>
      <c r="F291" s="13"/>
      <c r="G291" s="23"/>
      <c r="H291" s="13"/>
      <c r="I291" s="13"/>
    </row>
    <row r="292" spans="1:9" ht="22.5" customHeight="1">
      <c r="A292" s="20"/>
      <c r="B292" s="21"/>
      <c r="C292" s="22"/>
      <c r="D292" s="13"/>
      <c r="E292" s="13"/>
      <c r="F292" s="13"/>
      <c r="G292" s="23"/>
      <c r="H292" s="13"/>
      <c r="I292" s="13"/>
    </row>
    <row r="293" spans="1:9" ht="22.5" customHeight="1">
      <c r="A293" s="20"/>
      <c r="B293" s="21"/>
      <c r="C293" s="22"/>
      <c r="D293" s="13"/>
      <c r="E293" s="13"/>
      <c r="F293" s="13"/>
      <c r="G293" s="23"/>
      <c r="H293" s="13"/>
      <c r="I293" s="13"/>
    </row>
    <row r="294" spans="1:9" ht="22.5" customHeight="1">
      <c r="A294" s="20"/>
      <c r="B294" s="21"/>
      <c r="C294" s="22"/>
      <c r="D294" s="13"/>
      <c r="E294" s="13"/>
      <c r="F294" s="13"/>
      <c r="G294" s="23"/>
      <c r="H294" s="13"/>
      <c r="I294" s="13"/>
    </row>
    <row r="295" spans="1:9" ht="22.5" customHeight="1">
      <c r="A295" s="20"/>
      <c r="B295" s="21"/>
      <c r="C295" s="22"/>
      <c r="D295" s="13"/>
      <c r="E295" s="13"/>
      <c r="F295" s="13"/>
      <c r="G295" s="23"/>
      <c r="H295" s="13"/>
      <c r="I295" s="13"/>
    </row>
    <row r="296" spans="1:9" ht="22.5" customHeight="1">
      <c r="A296" s="20"/>
      <c r="B296" s="21"/>
      <c r="C296" s="22"/>
      <c r="D296" s="13"/>
      <c r="E296" s="13"/>
      <c r="F296" s="13"/>
      <c r="G296" s="23"/>
      <c r="H296" s="13"/>
      <c r="I296" s="13"/>
    </row>
    <row r="297" spans="1:9" ht="22.5" customHeight="1">
      <c r="A297" s="20"/>
      <c r="B297" s="21"/>
      <c r="C297" s="22"/>
      <c r="D297" s="13"/>
      <c r="E297" s="13"/>
      <c r="F297" s="13"/>
      <c r="G297" s="23"/>
      <c r="H297" s="13"/>
      <c r="I297" s="13"/>
    </row>
    <row r="298" spans="1:9" ht="22.5" customHeight="1">
      <c r="A298" s="20"/>
      <c r="B298" s="21"/>
      <c r="C298" s="22"/>
      <c r="D298" s="13"/>
      <c r="E298" s="13"/>
      <c r="F298" s="13"/>
      <c r="G298" s="23"/>
      <c r="H298" s="13"/>
      <c r="I298" s="13"/>
    </row>
    <row r="299" spans="1:9" ht="22.5" customHeight="1">
      <c r="A299" s="20"/>
      <c r="B299" s="21"/>
      <c r="C299" s="22"/>
      <c r="D299" s="13"/>
      <c r="E299" s="13"/>
      <c r="F299" s="13"/>
      <c r="G299" s="23"/>
      <c r="H299" s="13"/>
      <c r="I299" s="13"/>
    </row>
    <row r="300" spans="1:9" ht="22.5" customHeight="1">
      <c r="A300" s="20"/>
      <c r="B300" s="21"/>
      <c r="C300" s="22"/>
      <c r="D300" s="13"/>
      <c r="E300" s="13"/>
      <c r="F300" s="13"/>
      <c r="G300" s="23"/>
      <c r="H300" s="13"/>
      <c r="I300" s="13"/>
    </row>
    <row r="301" spans="1:9" ht="22.5" customHeight="1">
      <c r="A301" s="20"/>
      <c r="B301" s="21"/>
      <c r="C301" s="22"/>
      <c r="D301" s="13"/>
      <c r="E301" s="13"/>
      <c r="F301" s="13"/>
      <c r="G301" s="23"/>
      <c r="H301" s="13"/>
      <c r="I301" s="13"/>
    </row>
    <row r="302" spans="1:9" ht="22.5" customHeight="1">
      <c r="A302" s="20"/>
      <c r="B302" s="21"/>
      <c r="C302" s="22"/>
      <c r="D302" s="13"/>
      <c r="E302" s="13"/>
      <c r="F302" s="13"/>
      <c r="G302" s="23"/>
      <c r="H302" s="13"/>
      <c r="I302" s="13"/>
    </row>
    <row r="303" spans="1:9" ht="22.5" customHeight="1">
      <c r="A303" s="20"/>
      <c r="B303" s="21"/>
      <c r="C303" s="22"/>
      <c r="D303" s="13"/>
      <c r="E303" s="13"/>
      <c r="F303" s="13"/>
      <c r="G303" s="23"/>
      <c r="H303" s="13"/>
      <c r="I303" s="13"/>
    </row>
    <row r="304" spans="1:9" ht="22.5" customHeight="1">
      <c r="A304" s="20"/>
      <c r="B304" s="21"/>
      <c r="C304" s="22"/>
      <c r="D304" s="13"/>
      <c r="E304" s="13"/>
      <c r="F304" s="13"/>
      <c r="G304" s="23"/>
      <c r="H304" s="13"/>
      <c r="I304" s="13"/>
    </row>
    <row r="305" spans="1:9" ht="22.5" customHeight="1">
      <c r="A305" s="20"/>
      <c r="B305" s="21"/>
      <c r="C305" s="22"/>
      <c r="D305" s="13"/>
      <c r="E305" s="13"/>
      <c r="F305" s="13"/>
      <c r="G305" s="23"/>
      <c r="H305" s="13"/>
      <c r="I305" s="13"/>
    </row>
    <row r="306" spans="1:9" ht="22.5" customHeight="1">
      <c r="A306" s="20"/>
      <c r="B306" s="21"/>
      <c r="C306" s="22"/>
      <c r="D306" s="13"/>
      <c r="E306" s="13"/>
      <c r="F306" s="13"/>
      <c r="G306" s="23"/>
      <c r="H306" s="13"/>
      <c r="I306" s="13"/>
    </row>
    <row r="307" spans="1:9" ht="22.5" customHeight="1">
      <c r="A307" s="20"/>
      <c r="B307" s="21"/>
      <c r="C307" s="22"/>
      <c r="D307" s="13"/>
      <c r="E307" s="13"/>
      <c r="F307" s="13"/>
      <c r="G307" s="23"/>
      <c r="H307" s="13"/>
      <c r="I307" s="13"/>
    </row>
    <row r="308" spans="1:9" ht="22.5" customHeight="1">
      <c r="A308" s="20"/>
      <c r="B308" s="21"/>
      <c r="C308" s="22"/>
      <c r="D308" s="13"/>
      <c r="E308" s="13"/>
      <c r="F308" s="13"/>
      <c r="G308" s="23"/>
      <c r="H308" s="13"/>
      <c r="I308" s="13"/>
    </row>
    <row r="309" spans="1:9" ht="22.5" customHeight="1">
      <c r="A309" s="20"/>
      <c r="B309" s="21"/>
      <c r="C309" s="22"/>
      <c r="D309" s="13"/>
      <c r="E309" s="13"/>
      <c r="F309" s="13"/>
      <c r="G309" s="23"/>
      <c r="H309" s="13"/>
      <c r="I309" s="13"/>
    </row>
    <row r="310" spans="1:9" ht="22.5" customHeight="1">
      <c r="A310" s="20"/>
      <c r="B310" s="21"/>
      <c r="C310" s="22"/>
      <c r="D310" s="13"/>
      <c r="E310" s="13"/>
      <c r="F310" s="13"/>
      <c r="G310" s="23"/>
      <c r="H310" s="13"/>
      <c r="I310" s="13"/>
    </row>
    <row r="311" spans="1:9" ht="22.5" customHeight="1">
      <c r="A311" s="20"/>
      <c r="B311" s="21"/>
      <c r="C311" s="22"/>
      <c r="D311" s="13"/>
      <c r="E311" s="13"/>
      <c r="F311" s="13"/>
      <c r="G311" s="23"/>
      <c r="H311" s="13"/>
      <c r="I311" s="13"/>
    </row>
    <row r="312" spans="1:9" ht="22.5" customHeight="1">
      <c r="A312" s="20"/>
      <c r="B312" s="21"/>
      <c r="C312" s="22"/>
      <c r="D312" s="13"/>
      <c r="E312" s="13"/>
      <c r="F312" s="13"/>
      <c r="G312" s="23"/>
      <c r="H312" s="13"/>
      <c r="I312" s="13"/>
    </row>
    <row r="313" spans="1:9" ht="22.5" customHeight="1">
      <c r="A313" s="20"/>
      <c r="B313" s="21"/>
      <c r="C313" s="22"/>
      <c r="D313" s="13"/>
      <c r="E313" s="13"/>
      <c r="F313" s="13"/>
      <c r="G313" s="23"/>
      <c r="H313" s="13"/>
      <c r="I313" s="13"/>
    </row>
    <row r="314" spans="1:9" ht="22.5" customHeight="1">
      <c r="A314" s="20"/>
      <c r="B314" s="21"/>
      <c r="C314" s="22"/>
      <c r="D314" s="13"/>
      <c r="E314" s="13"/>
      <c r="F314" s="13"/>
      <c r="G314" s="23"/>
      <c r="H314" s="13"/>
      <c r="I314" s="13"/>
    </row>
    <row r="315" spans="1:9" ht="22.5" customHeight="1">
      <c r="A315" s="20"/>
      <c r="B315" s="21"/>
      <c r="C315" s="22"/>
      <c r="D315" s="13"/>
      <c r="E315" s="13"/>
      <c r="F315" s="13"/>
      <c r="G315" s="23"/>
      <c r="H315" s="13"/>
      <c r="I315" s="13"/>
    </row>
    <row r="316" spans="1:9" ht="22.5" customHeight="1">
      <c r="A316" s="20"/>
      <c r="B316" s="21"/>
      <c r="C316" s="22"/>
      <c r="D316" s="13"/>
      <c r="E316" s="13"/>
      <c r="F316" s="13"/>
      <c r="G316" s="23"/>
      <c r="H316" s="13"/>
      <c r="I316" s="13"/>
    </row>
    <row r="317" spans="1:9" ht="22.5" customHeight="1">
      <c r="A317" s="20"/>
      <c r="B317" s="21"/>
      <c r="C317" s="22"/>
      <c r="D317" s="13"/>
      <c r="E317" s="13"/>
      <c r="F317" s="13"/>
      <c r="G317" s="23"/>
      <c r="H317" s="13"/>
      <c r="I317" s="13"/>
    </row>
    <row r="318" spans="1:9" ht="22.5" customHeight="1">
      <c r="A318" s="20"/>
      <c r="B318" s="21"/>
      <c r="C318" s="22"/>
      <c r="D318" s="13"/>
      <c r="E318" s="13"/>
      <c r="F318" s="13"/>
      <c r="G318" s="23"/>
      <c r="H318" s="13"/>
      <c r="I318" s="13"/>
    </row>
    <row r="319" spans="1:9" ht="22.5" customHeight="1">
      <c r="A319" s="20"/>
      <c r="B319" s="21"/>
      <c r="C319" s="22"/>
      <c r="D319" s="13"/>
      <c r="E319" s="13"/>
      <c r="F319" s="13"/>
      <c r="G319" s="23"/>
      <c r="H319" s="13"/>
      <c r="I319" s="13"/>
    </row>
    <row r="320" spans="1:9" ht="22.5" customHeight="1">
      <c r="A320" s="20"/>
      <c r="B320" s="21"/>
      <c r="C320" s="22"/>
      <c r="D320" s="13"/>
      <c r="E320" s="13"/>
      <c r="F320" s="13"/>
      <c r="G320" s="23"/>
      <c r="H320" s="13"/>
      <c r="I320" s="13"/>
    </row>
    <row r="321" spans="1:9" ht="22.5" customHeight="1">
      <c r="A321" s="20"/>
      <c r="B321" s="21"/>
      <c r="C321" s="22"/>
      <c r="D321" s="13"/>
      <c r="E321" s="13"/>
      <c r="F321" s="13"/>
      <c r="G321" s="23"/>
      <c r="H321" s="13"/>
      <c r="I321" s="13"/>
    </row>
    <row r="322" spans="1:9" ht="22.5" customHeight="1">
      <c r="A322" s="20"/>
      <c r="B322" s="21"/>
      <c r="C322" s="22"/>
      <c r="D322" s="13"/>
      <c r="E322" s="13"/>
      <c r="F322" s="13"/>
      <c r="G322" s="23"/>
      <c r="H322" s="13"/>
      <c r="I322" s="13"/>
    </row>
    <row r="323" spans="1:9" ht="22.5" customHeight="1">
      <c r="A323" s="20"/>
      <c r="B323" s="21"/>
      <c r="C323" s="22"/>
      <c r="D323" s="13"/>
      <c r="E323" s="13"/>
      <c r="F323" s="13"/>
      <c r="G323" s="23"/>
      <c r="H323" s="13"/>
      <c r="I323" s="13"/>
    </row>
    <row r="324" spans="1:9" ht="22.5" customHeight="1">
      <c r="A324" s="20"/>
      <c r="B324" s="21"/>
      <c r="C324" s="22"/>
      <c r="D324" s="13"/>
      <c r="E324" s="13"/>
      <c r="F324" s="13"/>
      <c r="G324" s="23"/>
      <c r="H324" s="13"/>
      <c r="I324" s="13"/>
    </row>
    <row r="325" spans="1:9" ht="22.5" customHeight="1">
      <c r="A325" s="20"/>
      <c r="B325" s="21"/>
      <c r="C325" s="22"/>
      <c r="D325" s="13"/>
      <c r="E325" s="13"/>
      <c r="F325" s="13"/>
      <c r="G325" s="23"/>
      <c r="H325" s="13"/>
      <c r="I325" s="13"/>
    </row>
    <row r="326" spans="1:9" ht="22.5" customHeight="1">
      <c r="A326" s="20"/>
      <c r="B326" s="21"/>
      <c r="C326" s="22"/>
      <c r="D326" s="13"/>
      <c r="E326" s="13"/>
      <c r="F326" s="13"/>
      <c r="G326" s="23"/>
      <c r="H326" s="13"/>
      <c r="I326" s="13"/>
    </row>
    <row r="327" spans="1:9" ht="22.5" customHeight="1">
      <c r="A327" s="20"/>
      <c r="B327" s="21"/>
      <c r="C327" s="22"/>
      <c r="D327" s="13"/>
      <c r="E327" s="13"/>
      <c r="F327" s="13"/>
      <c r="G327" s="23"/>
      <c r="H327" s="13"/>
      <c r="I327" s="13"/>
    </row>
    <row r="328" spans="1:9" ht="22.5" customHeight="1">
      <c r="A328" s="20"/>
      <c r="B328" s="21"/>
      <c r="C328" s="22"/>
      <c r="D328" s="13"/>
      <c r="E328" s="13"/>
      <c r="F328" s="13"/>
      <c r="G328" s="23"/>
      <c r="H328" s="13"/>
      <c r="I328" s="13"/>
    </row>
    <row r="329" spans="1:9" ht="22.5" customHeight="1">
      <c r="A329" s="20"/>
      <c r="B329" s="21"/>
      <c r="C329" s="22"/>
      <c r="D329" s="13"/>
      <c r="E329" s="13"/>
      <c r="F329" s="13"/>
      <c r="G329" s="23"/>
      <c r="H329" s="13"/>
      <c r="I329" s="13"/>
    </row>
    <row r="330" spans="1:9" ht="22.5" customHeight="1">
      <c r="A330" s="20"/>
      <c r="B330" s="21"/>
      <c r="C330" s="22"/>
      <c r="D330" s="13"/>
      <c r="E330" s="13"/>
      <c r="F330" s="13"/>
      <c r="G330" s="23"/>
      <c r="H330" s="13"/>
      <c r="I330" s="13"/>
    </row>
    <row r="331" spans="1:9" ht="22.5" customHeight="1">
      <c r="A331" s="20"/>
      <c r="B331" s="21"/>
      <c r="C331" s="22"/>
      <c r="D331" s="13"/>
      <c r="E331" s="13"/>
      <c r="F331" s="13"/>
      <c r="G331" s="23"/>
      <c r="H331" s="13"/>
      <c r="I331" s="13"/>
    </row>
    <row r="332" spans="1:9" ht="22.5" customHeight="1">
      <c r="A332" s="20"/>
      <c r="B332" s="21"/>
      <c r="C332" s="22"/>
      <c r="D332" s="13"/>
      <c r="E332" s="13"/>
      <c r="F332" s="13"/>
      <c r="G332" s="23"/>
      <c r="H332" s="13"/>
      <c r="I332" s="13"/>
    </row>
    <row r="333" spans="1:9" ht="22.5" customHeight="1">
      <c r="A333" s="20"/>
      <c r="B333" s="21"/>
      <c r="C333" s="22"/>
      <c r="D333" s="13"/>
      <c r="E333" s="13"/>
      <c r="F333" s="13"/>
      <c r="G333" s="23"/>
      <c r="H333" s="13"/>
      <c r="I333" s="13"/>
    </row>
    <row r="334" spans="1:9" ht="22.5" customHeight="1">
      <c r="A334" s="20"/>
      <c r="B334" s="21"/>
      <c r="C334" s="22"/>
      <c r="D334" s="13"/>
      <c r="E334" s="13"/>
      <c r="F334" s="13"/>
      <c r="G334" s="23"/>
      <c r="H334" s="13"/>
      <c r="I334" s="13"/>
    </row>
    <row r="335" spans="1:9" ht="22.5" customHeight="1">
      <c r="A335" s="20"/>
      <c r="B335" s="21"/>
      <c r="C335" s="22"/>
      <c r="D335" s="13"/>
      <c r="E335" s="13"/>
      <c r="F335" s="13"/>
      <c r="G335" s="23"/>
      <c r="H335" s="13"/>
      <c r="I335" s="13"/>
    </row>
    <row r="336" spans="1:9" ht="22.5" customHeight="1">
      <c r="A336" s="20"/>
      <c r="B336" s="21"/>
      <c r="C336" s="22"/>
      <c r="D336" s="13"/>
      <c r="E336" s="13"/>
      <c r="F336" s="13"/>
      <c r="G336" s="23"/>
      <c r="H336" s="13"/>
      <c r="I336" s="13"/>
    </row>
    <row r="337" spans="1:9" ht="22.5" customHeight="1">
      <c r="A337" s="20"/>
      <c r="B337" s="21"/>
      <c r="C337" s="22"/>
      <c r="D337" s="13"/>
      <c r="E337" s="13"/>
      <c r="F337" s="13"/>
      <c r="G337" s="23"/>
      <c r="H337" s="13"/>
      <c r="I337" s="13"/>
    </row>
    <row r="338" spans="1:9" ht="22.5" customHeight="1">
      <c r="A338" s="20"/>
      <c r="B338" s="21"/>
      <c r="C338" s="22"/>
      <c r="D338" s="13"/>
      <c r="E338" s="13"/>
      <c r="F338" s="13"/>
      <c r="G338" s="23"/>
      <c r="H338" s="13"/>
      <c r="I338" s="13"/>
    </row>
    <row r="339" spans="1:9" ht="22.5" customHeight="1">
      <c r="A339" s="20"/>
      <c r="B339" s="21"/>
      <c r="C339" s="22"/>
      <c r="D339" s="13"/>
      <c r="E339" s="13"/>
      <c r="F339" s="13"/>
      <c r="G339" s="23"/>
      <c r="H339" s="13"/>
      <c r="I339" s="13"/>
    </row>
    <row r="340" spans="1:9" ht="22.5" customHeight="1">
      <c r="A340" s="20"/>
      <c r="B340" s="21"/>
      <c r="C340" s="22"/>
      <c r="D340" s="13"/>
      <c r="E340" s="13"/>
      <c r="F340" s="13"/>
      <c r="G340" s="23"/>
      <c r="H340" s="13"/>
      <c r="I340" s="13"/>
    </row>
    <row r="341" spans="1:9" ht="22.5" customHeight="1">
      <c r="A341" s="20"/>
      <c r="B341" s="21"/>
      <c r="C341" s="22"/>
      <c r="D341" s="13"/>
      <c r="E341" s="13"/>
      <c r="F341" s="13"/>
      <c r="G341" s="23"/>
      <c r="H341" s="13"/>
      <c r="I341" s="13"/>
    </row>
    <row r="342" spans="1:9" ht="22.5" customHeight="1">
      <c r="A342" s="20"/>
      <c r="B342" s="21"/>
      <c r="C342" s="22"/>
      <c r="D342" s="13"/>
      <c r="E342" s="13"/>
      <c r="F342" s="13"/>
      <c r="G342" s="23"/>
      <c r="H342" s="13"/>
      <c r="I342" s="13"/>
    </row>
    <row r="343" spans="1:9" ht="22.5" customHeight="1">
      <c r="A343" s="20"/>
      <c r="B343" s="21"/>
      <c r="C343" s="22"/>
      <c r="D343" s="13"/>
      <c r="E343" s="13"/>
      <c r="F343" s="13"/>
      <c r="G343" s="23"/>
      <c r="H343" s="13"/>
      <c r="I343" s="13"/>
    </row>
    <row r="344" spans="1:9" ht="22.5" customHeight="1">
      <c r="A344" s="20"/>
      <c r="B344" s="21"/>
      <c r="C344" s="22"/>
      <c r="D344" s="13"/>
      <c r="E344" s="13"/>
      <c r="F344" s="13"/>
      <c r="G344" s="23"/>
      <c r="H344" s="13"/>
      <c r="I344" s="13"/>
    </row>
    <row r="345" spans="1:9" ht="22.5" customHeight="1">
      <c r="A345" s="20"/>
      <c r="B345" s="21"/>
      <c r="C345" s="22"/>
      <c r="D345" s="13"/>
      <c r="E345" s="13"/>
      <c r="F345" s="13"/>
      <c r="G345" s="23"/>
      <c r="H345" s="13"/>
      <c r="I345" s="13"/>
    </row>
    <row r="346" spans="1:9" ht="22.5" customHeight="1">
      <c r="A346" s="20"/>
      <c r="B346" s="21"/>
      <c r="C346" s="22"/>
      <c r="D346" s="13"/>
      <c r="E346" s="13"/>
      <c r="F346" s="13"/>
      <c r="G346" s="23"/>
      <c r="H346" s="13"/>
      <c r="I346" s="13"/>
    </row>
    <row r="347" spans="1:9" ht="22.5" customHeight="1">
      <c r="A347" s="20"/>
      <c r="B347" s="21"/>
      <c r="C347" s="22"/>
      <c r="D347" s="13"/>
      <c r="E347" s="13"/>
      <c r="F347" s="13"/>
      <c r="G347" s="23"/>
      <c r="H347" s="13"/>
      <c r="I347" s="13"/>
    </row>
    <row r="348" spans="1:9" ht="22.5" customHeight="1">
      <c r="A348" s="20"/>
      <c r="B348" s="21"/>
      <c r="C348" s="22"/>
      <c r="D348" s="13"/>
      <c r="E348" s="13"/>
      <c r="F348" s="13"/>
      <c r="G348" s="23"/>
      <c r="H348" s="13"/>
      <c r="I348" s="13"/>
    </row>
    <row r="349" spans="1:9" ht="22.5" customHeight="1">
      <c r="A349" s="20"/>
      <c r="B349" s="21"/>
      <c r="C349" s="22"/>
      <c r="D349" s="13"/>
      <c r="E349" s="13"/>
      <c r="F349" s="13"/>
      <c r="G349" s="23"/>
      <c r="H349" s="13"/>
      <c r="I349" s="13"/>
    </row>
    <row r="350" spans="1:9" ht="22.5" customHeight="1">
      <c r="A350" s="20"/>
      <c r="B350" s="21"/>
      <c r="C350" s="22"/>
      <c r="D350" s="13"/>
      <c r="E350" s="13"/>
      <c r="F350" s="13"/>
      <c r="G350" s="23"/>
      <c r="H350" s="13"/>
      <c r="I350" s="13"/>
    </row>
    <row r="351" spans="1:9" ht="22.5" customHeight="1">
      <c r="A351" s="20"/>
      <c r="B351" s="21"/>
      <c r="C351" s="22"/>
      <c r="D351" s="13"/>
      <c r="E351" s="13"/>
      <c r="F351" s="13"/>
      <c r="G351" s="23"/>
      <c r="H351" s="13"/>
      <c r="I351" s="13"/>
    </row>
    <row r="352" spans="1:9" ht="22.5" customHeight="1">
      <c r="A352" s="20"/>
      <c r="B352" s="21"/>
      <c r="C352" s="22"/>
      <c r="D352" s="13"/>
      <c r="E352" s="13"/>
      <c r="F352" s="13"/>
      <c r="G352" s="23"/>
      <c r="H352" s="13"/>
      <c r="I352" s="13"/>
    </row>
    <row r="353" spans="1:9" ht="22.5" customHeight="1">
      <c r="A353" s="20"/>
      <c r="B353" s="21"/>
      <c r="C353" s="22"/>
      <c r="D353" s="13"/>
      <c r="E353" s="13"/>
      <c r="F353" s="13"/>
      <c r="G353" s="23"/>
      <c r="H353" s="13"/>
      <c r="I353" s="13"/>
    </row>
    <row r="354" spans="1:9" ht="22.5" customHeight="1">
      <c r="A354" s="20"/>
      <c r="B354" s="21"/>
      <c r="C354" s="22"/>
      <c r="D354" s="13"/>
      <c r="E354" s="13"/>
      <c r="F354" s="13"/>
      <c r="G354" s="23"/>
      <c r="H354" s="13"/>
      <c r="I354" s="13"/>
    </row>
    <row r="355" spans="1:9" ht="22.5" customHeight="1">
      <c r="A355" s="20"/>
      <c r="B355" s="21"/>
      <c r="C355" s="22"/>
      <c r="D355" s="13"/>
      <c r="E355" s="13"/>
      <c r="F355" s="13"/>
      <c r="G355" s="23"/>
      <c r="H355" s="13"/>
      <c r="I355" s="13"/>
    </row>
    <row r="356" spans="1:9" ht="22.5" customHeight="1">
      <c r="A356" s="20"/>
      <c r="B356" s="21"/>
      <c r="C356" s="22"/>
      <c r="D356" s="13"/>
      <c r="E356" s="13"/>
      <c r="F356" s="13"/>
      <c r="G356" s="23"/>
      <c r="H356" s="13"/>
      <c r="I356" s="13"/>
    </row>
    <row r="357" spans="1:9" ht="22.5" customHeight="1">
      <c r="A357" s="20"/>
      <c r="B357" s="21"/>
      <c r="C357" s="22"/>
      <c r="D357" s="13"/>
      <c r="E357" s="13"/>
      <c r="F357" s="13"/>
      <c r="G357" s="23"/>
      <c r="H357" s="13"/>
      <c r="I357" s="13"/>
    </row>
    <row r="358" spans="1:9" ht="22.5" customHeight="1">
      <c r="A358" s="20"/>
      <c r="B358" s="21"/>
      <c r="C358" s="22"/>
      <c r="D358" s="13"/>
      <c r="E358" s="13"/>
      <c r="F358" s="13"/>
      <c r="G358" s="23"/>
      <c r="H358" s="13"/>
      <c r="I358" s="13"/>
    </row>
    <row r="359" spans="1:9" ht="22.5" customHeight="1">
      <c r="A359" s="20"/>
      <c r="B359" s="21"/>
      <c r="C359" s="22"/>
      <c r="D359" s="13"/>
      <c r="E359" s="13"/>
      <c r="F359" s="13"/>
      <c r="G359" s="23"/>
      <c r="H359" s="13"/>
      <c r="I359" s="13"/>
    </row>
    <row r="360" spans="1:9" ht="22.5" customHeight="1">
      <c r="A360" s="20"/>
      <c r="B360" s="21"/>
      <c r="C360" s="22"/>
      <c r="D360" s="13"/>
      <c r="E360" s="13"/>
      <c r="F360" s="13"/>
      <c r="G360" s="23"/>
      <c r="H360" s="13"/>
      <c r="I360" s="13"/>
    </row>
    <row r="361" spans="1:9" ht="22.5" customHeight="1">
      <c r="A361" s="20"/>
      <c r="B361" s="21"/>
      <c r="C361" s="22"/>
      <c r="D361" s="13"/>
      <c r="E361" s="13"/>
      <c r="F361" s="13"/>
      <c r="G361" s="23"/>
      <c r="H361" s="13"/>
      <c r="I361" s="13"/>
    </row>
    <row r="362" spans="1:9" ht="22.5" customHeight="1">
      <c r="A362" s="20"/>
      <c r="B362" s="21"/>
      <c r="C362" s="22"/>
      <c r="D362" s="13"/>
      <c r="E362" s="13"/>
      <c r="F362" s="13"/>
      <c r="G362" s="23"/>
      <c r="H362" s="13"/>
      <c r="I362" s="13"/>
    </row>
    <row r="363" spans="1:9" ht="22.5" customHeight="1">
      <c r="A363" s="20"/>
      <c r="B363" s="21"/>
      <c r="C363" s="22"/>
      <c r="D363" s="13"/>
      <c r="E363" s="13"/>
      <c r="F363" s="13"/>
      <c r="G363" s="23"/>
      <c r="H363" s="13"/>
      <c r="I363" s="13"/>
    </row>
    <row r="364" spans="1:9" ht="22.5" customHeight="1">
      <c r="A364" s="20"/>
      <c r="B364" s="21"/>
      <c r="C364" s="22"/>
      <c r="D364" s="13"/>
      <c r="E364" s="13"/>
      <c r="F364" s="13"/>
      <c r="G364" s="23"/>
      <c r="H364" s="13"/>
      <c r="I364" s="13"/>
    </row>
    <row r="365" spans="1:9" ht="22.5" customHeight="1">
      <c r="A365" s="20"/>
      <c r="B365" s="21"/>
      <c r="C365" s="22"/>
      <c r="D365" s="13"/>
      <c r="E365" s="13"/>
      <c r="F365" s="13"/>
      <c r="G365" s="23"/>
      <c r="H365" s="13"/>
      <c r="I365" s="13"/>
    </row>
    <row r="366" spans="1:9" ht="22.5" customHeight="1">
      <c r="A366" s="20"/>
      <c r="B366" s="21"/>
      <c r="C366" s="22"/>
      <c r="D366" s="13"/>
      <c r="E366" s="13"/>
      <c r="F366" s="13"/>
      <c r="G366" s="23"/>
      <c r="H366" s="13"/>
      <c r="I366" s="13"/>
    </row>
    <row r="367" spans="1:9" ht="22.5" customHeight="1">
      <c r="A367" s="20"/>
      <c r="B367" s="21"/>
      <c r="C367" s="22"/>
      <c r="D367" s="13"/>
      <c r="E367" s="13"/>
      <c r="F367" s="13"/>
      <c r="G367" s="23"/>
      <c r="H367" s="13"/>
      <c r="I367" s="13"/>
    </row>
    <row r="368" spans="1:9" ht="22.5" customHeight="1">
      <c r="A368" s="20"/>
      <c r="B368" s="21"/>
      <c r="C368" s="22"/>
      <c r="D368" s="13"/>
      <c r="E368" s="13"/>
      <c r="F368" s="13"/>
      <c r="G368" s="23"/>
      <c r="H368" s="13"/>
      <c r="I368" s="13"/>
    </row>
    <row r="369" spans="1:9" ht="22.5" customHeight="1">
      <c r="A369" s="20"/>
      <c r="B369" s="21"/>
      <c r="C369" s="22"/>
      <c r="D369" s="13"/>
      <c r="E369" s="13"/>
      <c r="F369" s="13"/>
      <c r="G369" s="23"/>
      <c r="H369" s="13"/>
      <c r="I369" s="13"/>
    </row>
    <row r="370" spans="1:9" ht="22.5" customHeight="1">
      <c r="A370" s="20"/>
      <c r="B370" s="21"/>
      <c r="C370" s="22"/>
      <c r="D370" s="13"/>
      <c r="E370" s="13"/>
      <c r="F370" s="13"/>
      <c r="G370" s="23"/>
      <c r="H370" s="13"/>
      <c r="I370" s="13"/>
    </row>
    <row r="371" spans="1:9" ht="22.5" customHeight="1">
      <c r="A371" s="20"/>
      <c r="B371" s="21"/>
      <c r="C371" s="22"/>
      <c r="D371" s="13"/>
      <c r="E371" s="13"/>
      <c r="F371" s="13"/>
      <c r="G371" s="23"/>
      <c r="H371" s="13"/>
      <c r="I371" s="13"/>
    </row>
    <row r="372" spans="1:9" ht="22.5" customHeight="1">
      <c r="A372" s="20"/>
      <c r="B372" s="21"/>
      <c r="C372" s="22"/>
      <c r="D372" s="13"/>
      <c r="E372" s="13"/>
      <c r="F372" s="13"/>
      <c r="G372" s="23"/>
      <c r="H372" s="13"/>
      <c r="I372" s="13"/>
    </row>
    <row r="373" spans="1:9" ht="22.5" customHeight="1">
      <c r="A373" s="20"/>
      <c r="B373" s="21"/>
      <c r="C373" s="22"/>
      <c r="D373" s="13"/>
      <c r="E373" s="13"/>
      <c r="F373" s="13"/>
      <c r="G373" s="23"/>
      <c r="H373" s="13"/>
      <c r="I373" s="13"/>
    </row>
    <row r="374" spans="1:9" ht="22.5" customHeight="1">
      <c r="A374" s="20"/>
      <c r="B374" s="21"/>
      <c r="C374" s="22"/>
      <c r="D374" s="13"/>
      <c r="E374" s="13"/>
      <c r="F374" s="13"/>
      <c r="G374" s="23"/>
      <c r="H374" s="13"/>
      <c r="I374" s="13"/>
    </row>
    <row r="375" spans="1:9" ht="22.5" customHeight="1">
      <c r="A375" s="20"/>
      <c r="B375" s="21"/>
      <c r="C375" s="22"/>
      <c r="D375" s="13"/>
      <c r="E375" s="13"/>
      <c r="F375" s="13"/>
      <c r="G375" s="23"/>
      <c r="H375" s="13"/>
      <c r="I375" s="13"/>
    </row>
    <row r="376" spans="1:9" ht="22.5" customHeight="1">
      <c r="A376" s="20"/>
      <c r="B376" s="21"/>
      <c r="C376" s="22"/>
      <c r="D376" s="13"/>
      <c r="E376" s="13"/>
      <c r="F376" s="13"/>
      <c r="G376" s="23"/>
      <c r="H376" s="13"/>
      <c r="I376" s="13"/>
    </row>
    <row r="377" spans="1:9" ht="22.5" customHeight="1">
      <c r="A377" s="20"/>
      <c r="B377" s="21"/>
      <c r="C377" s="22"/>
      <c r="D377" s="13"/>
      <c r="E377" s="13"/>
      <c r="F377" s="13"/>
      <c r="G377" s="23"/>
      <c r="H377" s="13"/>
      <c r="I377" s="13"/>
    </row>
    <row r="378" spans="1:9" ht="22.5" customHeight="1">
      <c r="A378" s="20"/>
      <c r="B378" s="21"/>
      <c r="C378" s="22"/>
      <c r="D378" s="13"/>
      <c r="E378" s="13"/>
      <c r="F378" s="13"/>
      <c r="G378" s="23"/>
      <c r="H378" s="13"/>
      <c r="I378" s="13"/>
    </row>
    <row r="379" spans="1:9" ht="22.5" customHeight="1">
      <c r="A379" s="20"/>
      <c r="B379" s="21"/>
      <c r="C379" s="22"/>
      <c r="D379" s="13"/>
      <c r="E379" s="13"/>
      <c r="F379" s="13"/>
      <c r="G379" s="23"/>
      <c r="H379" s="13"/>
      <c r="I379" s="13"/>
    </row>
    <row r="380" spans="1:9" ht="22.5" customHeight="1">
      <c r="A380" s="20"/>
      <c r="B380" s="21"/>
      <c r="C380" s="22"/>
      <c r="D380" s="13"/>
      <c r="E380" s="13"/>
      <c r="F380" s="13"/>
      <c r="G380" s="23"/>
      <c r="H380" s="13"/>
      <c r="I380" s="13"/>
    </row>
    <row r="381" spans="1:9" ht="22.5" customHeight="1">
      <c r="A381" s="20"/>
      <c r="B381" s="21"/>
      <c r="C381" s="22"/>
      <c r="D381" s="13"/>
      <c r="E381" s="13"/>
      <c r="F381" s="13"/>
      <c r="G381" s="23"/>
      <c r="H381" s="13"/>
      <c r="I381" s="13"/>
    </row>
    <row r="382" spans="1:9" ht="22.5" customHeight="1">
      <c r="A382" s="20"/>
      <c r="B382" s="21"/>
      <c r="C382" s="22"/>
      <c r="D382" s="13"/>
      <c r="E382" s="13"/>
      <c r="F382" s="13"/>
      <c r="G382" s="23"/>
      <c r="H382" s="13"/>
      <c r="I382" s="13"/>
    </row>
    <row r="383" spans="1:9" ht="22.5" customHeight="1">
      <c r="A383" s="20"/>
      <c r="B383" s="21"/>
      <c r="C383" s="22"/>
      <c r="D383" s="13"/>
      <c r="E383" s="13"/>
      <c r="F383" s="13"/>
      <c r="G383" s="23"/>
      <c r="H383" s="13"/>
      <c r="I383" s="13"/>
    </row>
    <row r="384" spans="1:9" ht="22.5" customHeight="1">
      <c r="A384" s="20"/>
      <c r="B384" s="21"/>
      <c r="C384" s="22"/>
      <c r="D384" s="13"/>
      <c r="E384" s="13"/>
      <c r="F384" s="13"/>
      <c r="G384" s="23"/>
      <c r="H384" s="13"/>
      <c r="I384" s="13"/>
    </row>
    <row r="385" spans="1:9" ht="22.5" customHeight="1">
      <c r="A385" s="20"/>
      <c r="B385" s="21"/>
      <c r="C385" s="22"/>
      <c r="D385" s="13"/>
      <c r="E385" s="13"/>
      <c r="F385" s="13"/>
      <c r="G385" s="23"/>
      <c r="H385" s="13"/>
      <c r="I385" s="13"/>
    </row>
    <row r="386" spans="1:9" ht="22.5" customHeight="1">
      <c r="A386" s="20"/>
      <c r="B386" s="21"/>
      <c r="C386" s="22"/>
      <c r="D386" s="13"/>
      <c r="E386" s="13"/>
      <c r="F386" s="13"/>
      <c r="G386" s="23"/>
      <c r="H386" s="13"/>
      <c r="I386" s="13"/>
    </row>
    <row r="387" spans="1:9" ht="22.5" customHeight="1">
      <c r="A387" s="20"/>
      <c r="B387" s="21"/>
      <c r="C387" s="22"/>
      <c r="D387" s="13"/>
      <c r="E387" s="13"/>
      <c r="F387" s="13"/>
      <c r="G387" s="23"/>
      <c r="H387" s="13"/>
      <c r="I387" s="13"/>
    </row>
    <row r="388" spans="1:9" ht="22.5" customHeight="1">
      <c r="A388" s="20"/>
      <c r="B388" s="21"/>
      <c r="C388" s="22"/>
      <c r="D388" s="13"/>
      <c r="E388" s="13"/>
      <c r="F388" s="13"/>
      <c r="G388" s="23"/>
      <c r="H388" s="13"/>
      <c r="I388" s="13"/>
    </row>
    <row r="389" spans="1:9" ht="22.5" customHeight="1">
      <c r="A389" s="20"/>
      <c r="B389" s="21"/>
      <c r="C389" s="22"/>
      <c r="D389" s="13"/>
      <c r="E389" s="13"/>
      <c r="F389" s="13"/>
      <c r="G389" s="23"/>
      <c r="H389" s="13"/>
      <c r="I389" s="13"/>
    </row>
    <row r="390" spans="1:9" ht="22.5" customHeight="1">
      <c r="A390" s="20"/>
      <c r="B390" s="21"/>
      <c r="C390" s="22"/>
      <c r="D390" s="13"/>
      <c r="E390" s="13"/>
      <c r="F390" s="13"/>
      <c r="G390" s="23"/>
      <c r="H390" s="13"/>
      <c r="I390" s="13"/>
    </row>
    <row r="391" spans="1:9" ht="22.5" customHeight="1">
      <c r="A391" s="20"/>
      <c r="B391" s="21"/>
      <c r="C391" s="22"/>
      <c r="D391" s="13"/>
      <c r="E391" s="13"/>
      <c r="F391" s="13"/>
      <c r="G391" s="23"/>
      <c r="H391" s="13"/>
      <c r="I391" s="13"/>
    </row>
    <row r="392" spans="1:9" ht="22.5" customHeight="1">
      <c r="A392" s="20"/>
      <c r="B392" s="21"/>
      <c r="C392" s="22"/>
      <c r="D392" s="13"/>
      <c r="E392" s="13"/>
      <c r="F392" s="13"/>
      <c r="G392" s="23"/>
      <c r="H392" s="13"/>
      <c r="I392" s="13"/>
    </row>
    <row r="393" spans="1:9" ht="22.5" customHeight="1">
      <c r="A393" s="20"/>
      <c r="B393" s="21"/>
      <c r="C393" s="22"/>
      <c r="D393" s="13"/>
      <c r="E393" s="13"/>
      <c r="F393" s="13"/>
      <c r="G393" s="23"/>
      <c r="H393" s="13"/>
      <c r="I393" s="13"/>
    </row>
    <row r="394" spans="1:9" ht="22.5" customHeight="1">
      <c r="A394" s="20"/>
      <c r="B394" s="21"/>
      <c r="C394" s="22"/>
      <c r="D394" s="13"/>
      <c r="E394" s="13"/>
      <c r="F394" s="13"/>
      <c r="G394" s="23"/>
      <c r="H394" s="13"/>
      <c r="I394" s="13"/>
    </row>
    <row r="395" spans="1:9" ht="22.5" customHeight="1">
      <c r="A395" s="20"/>
      <c r="B395" s="21"/>
      <c r="C395" s="22"/>
      <c r="D395" s="13"/>
      <c r="E395" s="13"/>
      <c r="F395" s="13"/>
      <c r="G395" s="23"/>
      <c r="H395" s="13"/>
      <c r="I395" s="13"/>
    </row>
    <row r="396" spans="1:9" ht="22.5" customHeight="1">
      <c r="A396" s="20"/>
      <c r="B396" s="21"/>
      <c r="C396" s="22"/>
      <c r="D396" s="13"/>
      <c r="E396" s="13"/>
      <c r="F396" s="13"/>
      <c r="G396" s="23"/>
      <c r="H396" s="13"/>
      <c r="I396" s="13"/>
    </row>
    <row r="397" spans="1:9" ht="22.5" customHeight="1">
      <c r="A397" s="20"/>
      <c r="B397" s="21"/>
      <c r="C397" s="22"/>
      <c r="D397" s="13"/>
      <c r="E397" s="13"/>
      <c r="F397" s="13"/>
      <c r="G397" s="23"/>
      <c r="H397" s="13"/>
      <c r="I397" s="13"/>
    </row>
    <row r="398" spans="1:9" ht="22.5" customHeight="1">
      <c r="A398" s="20"/>
      <c r="B398" s="21"/>
      <c r="C398" s="22"/>
      <c r="D398" s="13"/>
      <c r="E398" s="13"/>
      <c r="F398" s="13"/>
      <c r="G398" s="23"/>
      <c r="H398" s="13"/>
      <c r="I398" s="13"/>
    </row>
    <row r="399" spans="1:9" ht="22.5" customHeight="1">
      <c r="A399" s="20"/>
      <c r="B399" s="21"/>
      <c r="C399" s="22"/>
      <c r="D399" s="13"/>
      <c r="E399" s="13"/>
      <c r="F399" s="13"/>
      <c r="G399" s="23"/>
      <c r="H399" s="13"/>
      <c r="I399" s="13"/>
    </row>
    <row r="400" spans="1:9" ht="22.5" customHeight="1">
      <c r="A400" s="20"/>
      <c r="B400" s="21"/>
      <c r="C400" s="22"/>
      <c r="D400" s="13"/>
      <c r="E400" s="13"/>
      <c r="F400" s="13"/>
      <c r="G400" s="23"/>
      <c r="H400" s="13"/>
      <c r="I400" s="13"/>
    </row>
    <row r="401" spans="1:9" ht="22.5" customHeight="1">
      <c r="A401" s="20"/>
      <c r="B401" s="21"/>
      <c r="C401" s="22"/>
      <c r="D401" s="13"/>
      <c r="E401" s="13"/>
      <c r="F401" s="13"/>
      <c r="G401" s="23"/>
      <c r="H401" s="13"/>
      <c r="I401" s="13"/>
    </row>
    <row r="402" spans="1:9" ht="22.5" customHeight="1">
      <c r="A402" s="20"/>
      <c r="B402" s="21"/>
      <c r="C402" s="22"/>
      <c r="D402" s="13"/>
      <c r="E402" s="13"/>
      <c r="F402" s="13"/>
      <c r="G402" s="23"/>
      <c r="H402" s="13"/>
      <c r="I402" s="13"/>
    </row>
    <row r="403" spans="1:9" ht="22.5" customHeight="1">
      <c r="A403" s="20"/>
      <c r="B403" s="21"/>
      <c r="C403" s="22"/>
      <c r="D403" s="13"/>
      <c r="E403" s="13"/>
      <c r="F403" s="13"/>
      <c r="G403" s="23"/>
      <c r="H403" s="13"/>
      <c r="I403" s="13"/>
    </row>
    <row r="404" spans="1:9" ht="22.5" customHeight="1">
      <c r="A404" s="20"/>
      <c r="B404" s="21"/>
      <c r="C404" s="22"/>
      <c r="D404" s="13"/>
      <c r="E404" s="13"/>
      <c r="F404" s="13"/>
      <c r="G404" s="23"/>
      <c r="H404" s="13"/>
      <c r="I404" s="13"/>
    </row>
    <row r="405" spans="1:9" ht="22.5" customHeight="1">
      <c r="A405" s="20"/>
      <c r="B405" s="21"/>
      <c r="C405" s="22"/>
      <c r="D405" s="13"/>
      <c r="E405" s="13"/>
      <c r="F405" s="13"/>
      <c r="G405" s="23"/>
      <c r="H405" s="13"/>
      <c r="I405" s="13"/>
    </row>
    <row r="406" spans="1:9" ht="22.5" customHeight="1">
      <c r="A406" s="20"/>
      <c r="B406" s="21"/>
      <c r="C406" s="22"/>
      <c r="D406" s="13"/>
      <c r="E406" s="13"/>
      <c r="F406" s="13"/>
      <c r="G406" s="23"/>
      <c r="H406" s="13"/>
      <c r="I406" s="13"/>
    </row>
    <row r="407" spans="1:9" ht="22.5" customHeight="1">
      <c r="A407" s="20"/>
      <c r="B407" s="21"/>
      <c r="C407" s="22"/>
      <c r="D407" s="13"/>
      <c r="E407" s="13"/>
      <c r="F407" s="13"/>
      <c r="G407" s="23"/>
      <c r="H407" s="13"/>
      <c r="I407" s="13"/>
    </row>
    <row r="408" spans="1:9" ht="22.5" customHeight="1">
      <c r="A408" s="20"/>
      <c r="B408" s="21"/>
      <c r="C408" s="22"/>
      <c r="D408" s="13"/>
      <c r="E408" s="13"/>
      <c r="F408" s="13"/>
      <c r="G408" s="23"/>
      <c r="H408" s="13"/>
      <c r="I408" s="13"/>
    </row>
    <row r="409" spans="1:9" ht="22.5" customHeight="1">
      <c r="A409" s="20"/>
      <c r="B409" s="21"/>
      <c r="C409" s="22"/>
      <c r="D409" s="13"/>
      <c r="E409" s="13"/>
      <c r="F409" s="13"/>
      <c r="G409" s="23"/>
      <c r="H409" s="13"/>
      <c r="I409" s="13"/>
    </row>
    <row r="410" spans="1:9" ht="22.5" customHeight="1">
      <c r="A410" s="20"/>
      <c r="B410" s="21"/>
      <c r="C410" s="22"/>
      <c r="D410" s="13"/>
      <c r="E410" s="13"/>
      <c r="F410" s="13"/>
      <c r="G410" s="23"/>
      <c r="H410" s="13"/>
      <c r="I410" s="13"/>
    </row>
    <row r="411" spans="1:9" ht="22.5" customHeight="1">
      <c r="A411" s="20"/>
      <c r="B411" s="21"/>
      <c r="C411" s="22"/>
      <c r="D411" s="13"/>
      <c r="E411" s="13"/>
      <c r="F411" s="13"/>
      <c r="G411" s="23"/>
      <c r="H411" s="13"/>
      <c r="I411" s="13"/>
    </row>
    <row r="412" spans="1:9" ht="22.5" customHeight="1">
      <c r="A412" s="20"/>
      <c r="B412" s="21"/>
      <c r="C412" s="22"/>
      <c r="D412" s="13"/>
      <c r="E412" s="13"/>
      <c r="F412" s="13"/>
      <c r="G412" s="23"/>
      <c r="H412" s="13"/>
      <c r="I412" s="13"/>
    </row>
    <row r="413" spans="1:9" ht="22.5" customHeight="1">
      <c r="A413" s="20"/>
      <c r="B413" s="21"/>
      <c r="C413" s="22"/>
      <c r="D413" s="13"/>
      <c r="E413" s="13"/>
      <c r="F413" s="13"/>
      <c r="G413" s="23"/>
      <c r="H413" s="13"/>
      <c r="I413" s="13"/>
    </row>
    <row r="414" spans="1:9" ht="22.5" customHeight="1">
      <c r="A414" s="20"/>
      <c r="B414" s="21"/>
      <c r="C414" s="22"/>
      <c r="D414" s="13"/>
      <c r="E414" s="13"/>
      <c r="F414" s="13"/>
      <c r="G414" s="23"/>
      <c r="H414" s="13"/>
      <c r="I414" s="13"/>
    </row>
    <row r="415" spans="1:9" ht="22.5" customHeight="1">
      <c r="A415" s="20"/>
      <c r="B415" s="21"/>
      <c r="C415" s="22"/>
      <c r="D415" s="13"/>
      <c r="E415" s="13"/>
      <c r="F415" s="13"/>
      <c r="G415" s="23"/>
      <c r="H415" s="13"/>
      <c r="I415" s="13"/>
    </row>
    <row r="416" spans="1:9" ht="22.5" customHeight="1">
      <c r="A416" s="20"/>
      <c r="B416" s="21"/>
      <c r="C416" s="22"/>
      <c r="D416" s="13"/>
      <c r="E416" s="13"/>
      <c r="F416" s="13"/>
      <c r="G416" s="23"/>
      <c r="H416" s="13"/>
      <c r="I416" s="13"/>
    </row>
    <row r="417" spans="1:9" ht="22.5" customHeight="1">
      <c r="A417" s="20"/>
      <c r="B417" s="21"/>
      <c r="C417" s="22"/>
      <c r="D417" s="13"/>
      <c r="E417" s="13"/>
      <c r="F417" s="13"/>
      <c r="G417" s="23"/>
      <c r="H417" s="13"/>
      <c r="I417" s="13"/>
    </row>
    <row r="418" spans="1:9" ht="22.5" customHeight="1">
      <c r="A418" s="20"/>
      <c r="B418" s="21"/>
      <c r="C418" s="22"/>
      <c r="D418" s="13"/>
      <c r="E418" s="13"/>
      <c r="F418" s="13"/>
      <c r="G418" s="23"/>
      <c r="H418" s="13"/>
      <c r="I418" s="13"/>
    </row>
    <row r="419" spans="1:9" ht="22.5" customHeight="1">
      <c r="A419" s="20"/>
      <c r="B419" s="21"/>
      <c r="C419" s="22"/>
      <c r="D419" s="13"/>
      <c r="E419" s="13"/>
      <c r="F419" s="13"/>
      <c r="G419" s="23"/>
      <c r="H419" s="13"/>
      <c r="I419" s="13"/>
    </row>
    <row r="420" spans="1:9" ht="22.5" customHeight="1">
      <c r="A420" s="20"/>
      <c r="B420" s="21"/>
      <c r="C420" s="22"/>
      <c r="D420" s="13"/>
      <c r="E420" s="13"/>
      <c r="F420" s="13"/>
      <c r="G420" s="23"/>
      <c r="H420" s="13"/>
      <c r="I420" s="13"/>
    </row>
    <row r="421" spans="1:9" ht="22.5" customHeight="1">
      <c r="A421" s="20"/>
      <c r="B421" s="21"/>
      <c r="C421" s="22"/>
      <c r="D421" s="13"/>
      <c r="E421" s="13"/>
      <c r="F421" s="13"/>
      <c r="G421" s="23"/>
      <c r="H421" s="13"/>
      <c r="I421" s="13"/>
    </row>
    <row r="422" spans="1:9" ht="22.5" customHeight="1">
      <c r="A422" s="20"/>
      <c r="B422" s="21"/>
      <c r="C422" s="22"/>
      <c r="D422" s="13"/>
      <c r="E422" s="13"/>
      <c r="F422" s="13"/>
      <c r="G422" s="23"/>
      <c r="H422" s="13"/>
      <c r="I422" s="13"/>
    </row>
    <row r="423" spans="1:9" ht="22.5" customHeight="1">
      <c r="A423" s="20"/>
      <c r="B423" s="21"/>
      <c r="C423" s="22"/>
      <c r="D423" s="13"/>
      <c r="E423" s="13"/>
      <c r="F423" s="13"/>
      <c r="G423" s="23"/>
      <c r="H423" s="13"/>
      <c r="I423" s="13"/>
    </row>
    <row r="424" spans="1:9" ht="22.5" customHeight="1">
      <c r="A424" s="20"/>
      <c r="B424" s="21"/>
      <c r="C424" s="22"/>
      <c r="D424" s="13"/>
      <c r="E424" s="13"/>
      <c r="F424" s="13"/>
      <c r="G424" s="23"/>
      <c r="H424" s="13"/>
      <c r="I424" s="13"/>
    </row>
    <row r="425" spans="1:9" ht="22.5" customHeight="1">
      <c r="A425" s="20"/>
      <c r="B425" s="21"/>
      <c r="C425" s="22"/>
      <c r="D425" s="13"/>
      <c r="E425" s="13"/>
      <c r="F425" s="13"/>
      <c r="G425" s="23"/>
      <c r="H425" s="13"/>
      <c r="I425" s="13"/>
    </row>
    <row r="426" spans="1:9" ht="22.5" customHeight="1">
      <c r="A426" s="20"/>
      <c r="B426" s="21"/>
      <c r="C426" s="22"/>
      <c r="D426" s="13"/>
      <c r="E426" s="13"/>
      <c r="F426" s="13"/>
      <c r="G426" s="23"/>
      <c r="H426" s="13"/>
      <c r="I426" s="13"/>
    </row>
    <row r="427" spans="1:9" ht="22.5" customHeight="1">
      <c r="A427" s="20"/>
      <c r="B427" s="21"/>
      <c r="C427" s="22"/>
      <c r="D427" s="13"/>
      <c r="E427" s="13"/>
      <c r="F427" s="13"/>
      <c r="G427" s="23"/>
      <c r="H427" s="13"/>
      <c r="I427" s="13"/>
    </row>
    <row r="428" spans="1:9" ht="22.5" customHeight="1">
      <c r="A428" s="20"/>
      <c r="B428" s="21"/>
      <c r="C428" s="22"/>
      <c r="D428" s="13"/>
      <c r="E428" s="13"/>
      <c r="F428" s="13"/>
      <c r="G428" s="23"/>
      <c r="H428" s="13"/>
      <c r="I428" s="13"/>
    </row>
    <row r="429" spans="1:9" ht="22.5" customHeight="1">
      <c r="A429" s="20"/>
      <c r="B429" s="21"/>
      <c r="C429" s="22"/>
      <c r="D429" s="13"/>
      <c r="E429" s="13"/>
      <c r="F429" s="13"/>
      <c r="G429" s="23"/>
      <c r="H429" s="13"/>
      <c r="I429" s="13"/>
    </row>
    <row r="430" spans="1:9" ht="22.5" customHeight="1">
      <c r="A430" s="20"/>
      <c r="B430" s="21"/>
      <c r="C430" s="22"/>
      <c r="D430" s="13"/>
      <c r="E430" s="13"/>
      <c r="F430" s="13"/>
      <c r="G430" s="23"/>
      <c r="H430" s="13"/>
      <c r="I430" s="13"/>
    </row>
    <row r="431" spans="1:9" ht="22.5" customHeight="1">
      <c r="A431" s="20"/>
      <c r="B431" s="21"/>
      <c r="C431" s="22"/>
      <c r="D431" s="13"/>
      <c r="E431" s="13"/>
      <c r="F431" s="13"/>
      <c r="G431" s="23"/>
      <c r="H431" s="13"/>
      <c r="I431" s="13"/>
    </row>
    <row r="432" spans="1:9" ht="22.5" customHeight="1">
      <c r="A432" s="20"/>
      <c r="B432" s="21"/>
      <c r="C432" s="22"/>
      <c r="D432" s="13"/>
      <c r="E432" s="13"/>
      <c r="F432" s="13"/>
      <c r="G432" s="23"/>
      <c r="H432" s="13"/>
      <c r="I432" s="13"/>
    </row>
    <row r="433" spans="1:9" ht="22.5" customHeight="1">
      <c r="A433" s="20"/>
      <c r="B433" s="21"/>
      <c r="C433" s="22"/>
      <c r="D433" s="13"/>
      <c r="E433" s="13"/>
      <c r="F433" s="13"/>
      <c r="G433" s="23"/>
      <c r="H433" s="13"/>
      <c r="I433" s="13"/>
    </row>
    <row r="434" spans="1:9" ht="22.5" customHeight="1">
      <c r="A434" s="20"/>
      <c r="B434" s="21"/>
      <c r="C434" s="22"/>
      <c r="D434" s="13"/>
      <c r="E434" s="13"/>
      <c r="F434" s="13"/>
      <c r="G434" s="23"/>
      <c r="H434" s="13"/>
      <c r="I434" s="13"/>
    </row>
    <row r="435" spans="1:9" ht="22.5" customHeight="1">
      <c r="A435" s="20"/>
      <c r="B435" s="21"/>
      <c r="C435" s="22"/>
      <c r="D435" s="13"/>
      <c r="E435" s="13"/>
      <c r="F435" s="13"/>
      <c r="G435" s="23"/>
      <c r="H435" s="13"/>
      <c r="I435" s="13"/>
    </row>
    <row r="436" spans="1:9" ht="22.5" customHeight="1">
      <c r="A436" s="20"/>
      <c r="B436" s="21"/>
      <c r="C436" s="22"/>
      <c r="D436" s="13"/>
      <c r="E436" s="13"/>
      <c r="F436" s="13"/>
      <c r="G436" s="23"/>
      <c r="H436" s="13"/>
      <c r="I436" s="13"/>
    </row>
    <row r="437" spans="1:9" ht="22.5" customHeight="1">
      <c r="A437" s="20"/>
      <c r="B437" s="21"/>
      <c r="C437" s="22"/>
      <c r="D437" s="13"/>
      <c r="E437" s="13"/>
      <c r="F437" s="13"/>
      <c r="G437" s="23"/>
      <c r="H437" s="13"/>
      <c r="I437" s="13"/>
    </row>
    <row r="438" spans="1:9" ht="22.5" customHeight="1">
      <c r="A438" s="20"/>
      <c r="B438" s="21"/>
      <c r="C438" s="22"/>
      <c r="D438" s="13"/>
      <c r="E438" s="13"/>
      <c r="F438" s="13"/>
      <c r="G438" s="23"/>
      <c r="H438" s="13"/>
      <c r="I438" s="13"/>
    </row>
    <row r="439" spans="1:9" ht="22.5" customHeight="1">
      <c r="A439" s="20"/>
      <c r="B439" s="21"/>
      <c r="C439" s="22"/>
      <c r="D439" s="13"/>
      <c r="E439" s="13"/>
      <c r="F439" s="13"/>
      <c r="G439" s="23"/>
      <c r="H439" s="13"/>
      <c r="I439" s="13"/>
    </row>
    <row r="440" spans="1:9" ht="22.5" customHeight="1">
      <c r="A440" s="20"/>
      <c r="B440" s="21"/>
      <c r="C440" s="22"/>
      <c r="D440" s="13"/>
      <c r="E440" s="13"/>
      <c r="F440" s="13"/>
      <c r="G440" s="23"/>
      <c r="H440" s="13"/>
      <c r="I440" s="13"/>
    </row>
    <row r="441" spans="1:9" ht="22.5" customHeight="1">
      <c r="A441" s="20"/>
      <c r="B441" s="21"/>
      <c r="C441" s="22"/>
      <c r="D441" s="13"/>
      <c r="E441" s="13"/>
      <c r="F441" s="13"/>
      <c r="G441" s="23"/>
      <c r="H441" s="13"/>
      <c r="I441" s="13"/>
    </row>
    <row r="442" spans="1:9" ht="22.5" customHeight="1">
      <c r="A442" s="20"/>
      <c r="B442" s="21"/>
      <c r="C442" s="22"/>
      <c r="D442" s="13"/>
      <c r="E442" s="13"/>
      <c r="F442" s="13"/>
      <c r="G442" s="23"/>
      <c r="H442" s="13"/>
      <c r="I442" s="13"/>
    </row>
    <row r="443" spans="1:9" ht="22.5" customHeight="1">
      <c r="A443" s="20"/>
      <c r="B443" s="21"/>
      <c r="C443" s="22"/>
      <c r="D443" s="13"/>
      <c r="E443" s="13"/>
      <c r="F443" s="13"/>
      <c r="G443" s="23"/>
      <c r="H443" s="13"/>
      <c r="I443" s="13"/>
    </row>
    <row r="444" spans="1:9" ht="22.5" customHeight="1">
      <c r="A444" s="20"/>
      <c r="B444" s="21"/>
      <c r="C444" s="22"/>
      <c r="D444" s="13"/>
      <c r="E444" s="13"/>
      <c r="F444" s="13"/>
      <c r="G444" s="23"/>
      <c r="H444" s="13"/>
      <c r="I444" s="13"/>
    </row>
    <row r="445" spans="1:9" ht="22.5" customHeight="1">
      <c r="A445" s="20"/>
      <c r="B445" s="21"/>
      <c r="C445" s="22"/>
      <c r="D445" s="13"/>
      <c r="E445" s="13"/>
      <c r="F445" s="13"/>
      <c r="G445" s="23"/>
      <c r="H445" s="13"/>
      <c r="I445" s="13"/>
    </row>
    <row r="446" spans="1:9" ht="22.5" customHeight="1">
      <c r="A446" s="20"/>
      <c r="B446" s="21"/>
      <c r="C446" s="22"/>
      <c r="D446" s="13"/>
      <c r="E446" s="13"/>
      <c r="F446" s="13"/>
      <c r="G446" s="23"/>
      <c r="H446" s="13"/>
      <c r="I446" s="13"/>
    </row>
    <row r="447" spans="1:9" ht="22.5" customHeight="1">
      <c r="A447" s="20"/>
      <c r="B447" s="21"/>
      <c r="C447" s="22"/>
      <c r="D447" s="13"/>
      <c r="E447" s="13"/>
      <c r="F447" s="13"/>
      <c r="G447" s="23"/>
      <c r="H447" s="13"/>
      <c r="I447" s="13"/>
    </row>
    <row r="448" spans="1:9" ht="22.5" customHeight="1">
      <c r="A448" s="20"/>
      <c r="B448" s="21"/>
      <c r="C448" s="22"/>
      <c r="D448" s="13"/>
      <c r="E448" s="13"/>
      <c r="F448" s="13"/>
      <c r="G448" s="23"/>
      <c r="H448" s="13"/>
      <c r="I448" s="13"/>
    </row>
    <row r="449" spans="1:9" ht="22.5" customHeight="1">
      <c r="A449" s="20"/>
      <c r="B449" s="21"/>
      <c r="C449" s="22"/>
      <c r="D449" s="13"/>
      <c r="E449" s="13"/>
      <c r="F449" s="13"/>
      <c r="G449" s="23"/>
      <c r="H449" s="13"/>
      <c r="I449" s="13"/>
    </row>
    <row r="450" spans="1:9" ht="22.5" customHeight="1">
      <c r="A450" s="20"/>
      <c r="B450" s="21"/>
      <c r="C450" s="22"/>
      <c r="D450" s="13"/>
      <c r="E450" s="13"/>
      <c r="F450" s="13"/>
      <c r="G450" s="23"/>
      <c r="H450" s="13"/>
      <c r="I450" s="13"/>
    </row>
    <row r="451" spans="1:9" ht="22.5" customHeight="1">
      <c r="A451" s="20"/>
      <c r="B451" s="21"/>
      <c r="C451" s="22"/>
      <c r="D451" s="13"/>
      <c r="E451" s="13"/>
      <c r="F451" s="13"/>
      <c r="G451" s="23"/>
      <c r="H451" s="13"/>
      <c r="I451" s="13"/>
    </row>
    <row r="452" spans="1:9" ht="22.5" customHeight="1">
      <c r="A452" s="20"/>
      <c r="B452" s="21"/>
      <c r="C452" s="22"/>
      <c r="D452" s="13"/>
      <c r="E452" s="13"/>
      <c r="F452" s="13"/>
      <c r="G452" s="23"/>
      <c r="H452" s="13"/>
      <c r="I452" s="13"/>
    </row>
    <row r="453" spans="1:9" ht="22.5" customHeight="1">
      <c r="A453" s="20"/>
      <c r="B453" s="21"/>
      <c r="C453" s="22"/>
      <c r="D453" s="13"/>
      <c r="E453" s="13"/>
      <c r="F453" s="13"/>
      <c r="G453" s="23"/>
      <c r="H453" s="13"/>
      <c r="I453" s="13"/>
    </row>
    <row r="454" spans="1:9" ht="22.5" customHeight="1">
      <c r="A454" s="20"/>
      <c r="B454" s="21"/>
      <c r="C454" s="22"/>
      <c r="D454" s="13"/>
      <c r="E454" s="13"/>
      <c r="F454" s="13"/>
      <c r="G454" s="23"/>
      <c r="H454" s="13"/>
      <c r="I454" s="13"/>
    </row>
    <row r="455" spans="1:9" ht="22.5" customHeight="1">
      <c r="A455" s="20"/>
      <c r="B455" s="21"/>
      <c r="C455" s="22"/>
      <c r="D455" s="13"/>
      <c r="E455" s="13"/>
      <c r="F455" s="13"/>
      <c r="G455" s="23"/>
      <c r="H455" s="13"/>
      <c r="I455" s="13"/>
    </row>
    <row r="456" spans="1:9" ht="22.5" customHeight="1">
      <c r="A456" s="20"/>
      <c r="B456" s="21"/>
      <c r="C456" s="22"/>
      <c r="D456" s="13"/>
      <c r="E456" s="13"/>
      <c r="F456" s="13"/>
      <c r="G456" s="23"/>
      <c r="H456" s="13"/>
      <c r="I456" s="13"/>
    </row>
    <row r="457" spans="1:9" ht="22.5" customHeight="1">
      <c r="A457" s="20"/>
      <c r="B457" s="21"/>
      <c r="C457" s="22"/>
      <c r="D457" s="13"/>
      <c r="E457" s="13"/>
      <c r="F457" s="13"/>
      <c r="G457" s="23"/>
      <c r="H457" s="13"/>
      <c r="I457" s="13"/>
    </row>
    <row r="458" spans="1:9" ht="22.5" customHeight="1">
      <c r="A458" s="20"/>
      <c r="B458" s="21"/>
      <c r="C458" s="22"/>
      <c r="D458" s="13"/>
      <c r="E458" s="13"/>
      <c r="F458" s="13"/>
      <c r="G458" s="23"/>
      <c r="H458" s="13"/>
      <c r="I458" s="13"/>
    </row>
    <row r="459" spans="1:9" ht="22.5" customHeight="1">
      <c r="A459" s="20"/>
      <c r="B459" s="21"/>
      <c r="C459" s="22"/>
      <c r="D459" s="13"/>
      <c r="E459" s="13"/>
      <c r="F459" s="13"/>
      <c r="G459" s="23"/>
      <c r="H459" s="13"/>
      <c r="I459" s="13"/>
    </row>
    <row r="460" spans="1:9" ht="22.5" customHeight="1">
      <c r="A460" s="20"/>
      <c r="B460" s="21"/>
      <c r="C460" s="22"/>
      <c r="D460" s="13"/>
      <c r="E460" s="13"/>
      <c r="F460" s="13"/>
      <c r="G460" s="23"/>
      <c r="H460" s="13"/>
      <c r="I460" s="13"/>
    </row>
    <row r="461" spans="1:9" ht="22.5" customHeight="1">
      <c r="A461" s="20"/>
      <c r="B461" s="21"/>
      <c r="C461" s="22"/>
      <c r="D461" s="13"/>
      <c r="E461" s="13"/>
      <c r="F461" s="13"/>
      <c r="G461" s="23"/>
      <c r="H461" s="13"/>
      <c r="I461" s="13"/>
    </row>
    <row r="462" spans="1:9" ht="22.5" customHeight="1">
      <c r="A462" s="20"/>
      <c r="B462" s="21"/>
      <c r="C462" s="22"/>
      <c r="D462" s="13"/>
      <c r="E462" s="13"/>
      <c r="F462" s="13"/>
      <c r="G462" s="23"/>
      <c r="H462" s="13"/>
      <c r="I462" s="13"/>
    </row>
    <row r="463" spans="1:9" ht="22.5" customHeight="1">
      <c r="A463" s="20"/>
      <c r="B463" s="21"/>
      <c r="C463" s="22"/>
      <c r="D463" s="13"/>
      <c r="E463" s="13"/>
      <c r="F463" s="13"/>
      <c r="G463" s="23"/>
      <c r="H463" s="13"/>
      <c r="I463" s="13"/>
    </row>
    <row r="464" spans="1:9" ht="22.5" customHeight="1">
      <c r="A464" s="20"/>
      <c r="B464" s="21"/>
      <c r="C464" s="22"/>
      <c r="D464" s="13"/>
      <c r="E464" s="13"/>
      <c r="F464" s="13"/>
      <c r="G464" s="23"/>
      <c r="H464" s="13"/>
      <c r="I464" s="13"/>
    </row>
    <row r="465" spans="1:9" ht="22.5" customHeight="1">
      <c r="A465" s="20"/>
      <c r="B465" s="21"/>
      <c r="C465" s="22"/>
      <c r="D465" s="13"/>
      <c r="E465" s="13"/>
      <c r="F465" s="13"/>
      <c r="G465" s="23"/>
      <c r="H465" s="13"/>
      <c r="I465" s="13"/>
    </row>
    <row r="466" spans="1:9" ht="22.5" customHeight="1">
      <c r="A466" s="20"/>
      <c r="B466" s="21"/>
      <c r="C466" s="22"/>
      <c r="D466" s="13"/>
      <c r="E466" s="13"/>
      <c r="F466" s="13"/>
      <c r="G466" s="23"/>
      <c r="H466" s="13"/>
      <c r="I466" s="13"/>
    </row>
    <row r="467" spans="1:9" ht="22.5" customHeight="1">
      <c r="A467" s="20"/>
      <c r="B467" s="21"/>
      <c r="C467" s="22"/>
      <c r="D467" s="13"/>
      <c r="E467" s="13"/>
      <c r="F467" s="13"/>
      <c r="G467" s="23"/>
      <c r="H467" s="13"/>
      <c r="I467" s="13"/>
    </row>
    <row r="468" spans="1:9" ht="22.5" customHeight="1">
      <c r="A468" s="20"/>
      <c r="B468" s="21"/>
      <c r="C468" s="22"/>
      <c r="D468" s="13"/>
      <c r="E468" s="13"/>
      <c r="F468" s="13"/>
      <c r="G468" s="23"/>
      <c r="H468" s="13"/>
      <c r="I468" s="13"/>
    </row>
    <row r="469" spans="1:9" ht="22.5" customHeight="1">
      <c r="A469" s="20"/>
      <c r="B469" s="21"/>
      <c r="C469" s="22"/>
      <c r="D469" s="13"/>
      <c r="E469" s="13"/>
      <c r="F469" s="13"/>
      <c r="G469" s="23"/>
      <c r="H469" s="13"/>
      <c r="I469" s="13"/>
    </row>
    <row r="470" spans="1:9" ht="22.5" customHeight="1">
      <c r="A470" s="20"/>
      <c r="B470" s="21"/>
      <c r="C470" s="22"/>
      <c r="D470" s="13"/>
      <c r="E470" s="13"/>
      <c r="F470" s="13"/>
      <c r="G470" s="23"/>
      <c r="H470" s="13"/>
      <c r="I470" s="13"/>
    </row>
    <row r="471" spans="1:9" ht="22.5" customHeight="1">
      <c r="A471" s="20"/>
      <c r="B471" s="21"/>
      <c r="C471" s="22"/>
      <c r="D471" s="13"/>
      <c r="E471" s="13"/>
      <c r="F471" s="13"/>
      <c r="G471" s="23"/>
      <c r="H471" s="13"/>
      <c r="I471" s="13"/>
    </row>
    <row r="472" spans="1:9" ht="22.5" customHeight="1">
      <c r="A472" s="20"/>
      <c r="B472" s="21"/>
      <c r="C472" s="22"/>
      <c r="D472" s="13"/>
      <c r="E472" s="13"/>
      <c r="F472" s="13"/>
      <c r="G472" s="23"/>
      <c r="H472" s="13"/>
      <c r="I472" s="13"/>
    </row>
    <row r="473" spans="1:9" ht="22.5" customHeight="1">
      <c r="A473" s="20"/>
      <c r="B473" s="21"/>
      <c r="C473" s="22"/>
      <c r="D473" s="13"/>
      <c r="E473" s="13"/>
      <c r="F473" s="13"/>
      <c r="G473" s="23"/>
      <c r="H473" s="13"/>
      <c r="I473" s="13"/>
    </row>
    <row r="474" spans="1:9" ht="22.5" customHeight="1">
      <c r="A474" s="20"/>
      <c r="B474" s="21"/>
      <c r="C474" s="22"/>
      <c r="D474" s="13"/>
      <c r="E474" s="13"/>
      <c r="F474" s="13"/>
      <c r="G474" s="23"/>
      <c r="H474" s="13"/>
      <c r="I474" s="13"/>
    </row>
    <row r="475" spans="1:9" ht="22.5" customHeight="1">
      <c r="A475" s="20"/>
      <c r="B475" s="21"/>
      <c r="C475" s="22"/>
      <c r="D475" s="13"/>
      <c r="E475" s="13"/>
      <c r="F475" s="13"/>
      <c r="G475" s="23"/>
      <c r="H475" s="13"/>
      <c r="I475" s="13"/>
    </row>
    <row r="476" spans="1:9" ht="22.5" customHeight="1">
      <c r="A476" s="20"/>
      <c r="B476" s="21"/>
      <c r="C476" s="22"/>
      <c r="D476" s="13"/>
      <c r="E476" s="13"/>
      <c r="F476" s="13"/>
      <c r="G476" s="23"/>
      <c r="H476" s="13"/>
      <c r="I476" s="13"/>
    </row>
    <row r="477" spans="1:9" ht="22.5" customHeight="1">
      <c r="A477" s="20"/>
      <c r="B477" s="21"/>
      <c r="C477" s="22"/>
      <c r="D477" s="13"/>
      <c r="E477" s="13"/>
      <c r="F477" s="13"/>
      <c r="G477" s="23"/>
      <c r="H477" s="13"/>
      <c r="I477" s="13"/>
    </row>
    <row r="478" spans="1:9" ht="22.5" customHeight="1">
      <c r="A478" s="20"/>
      <c r="B478" s="21"/>
      <c r="C478" s="22"/>
      <c r="D478" s="13"/>
      <c r="E478" s="13"/>
      <c r="F478" s="13"/>
      <c r="G478" s="23"/>
      <c r="H478" s="13"/>
      <c r="I478" s="13"/>
    </row>
    <row r="479" spans="1:9" ht="22.5" customHeight="1">
      <c r="A479" s="20"/>
      <c r="B479" s="21"/>
      <c r="C479" s="22"/>
      <c r="D479" s="13"/>
      <c r="E479" s="13"/>
      <c r="F479" s="13"/>
      <c r="G479" s="23"/>
      <c r="H479" s="13"/>
      <c r="I479" s="13"/>
    </row>
    <row r="480" spans="1:9" ht="22.5" customHeight="1">
      <c r="A480" s="20"/>
      <c r="B480" s="21"/>
      <c r="C480" s="22"/>
      <c r="D480" s="13"/>
      <c r="E480" s="13"/>
      <c r="F480" s="13"/>
      <c r="G480" s="23"/>
      <c r="H480" s="13"/>
      <c r="I480" s="13"/>
    </row>
    <row r="481" spans="1:9" ht="22.5" customHeight="1">
      <c r="A481" s="20"/>
      <c r="B481" s="21"/>
      <c r="C481" s="22"/>
      <c r="D481" s="13"/>
      <c r="E481" s="13"/>
      <c r="F481" s="13"/>
      <c r="G481" s="23"/>
      <c r="H481" s="13"/>
      <c r="I481" s="13"/>
    </row>
    <row r="482" spans="1:9" ht="22.5" customHeight="1">
      <c r="A482" s="20"/>
      <c r="B482" s="21"/>
      <c r="C482" s="22"/>
      <c r="D482" s="13"/>
      <c r="E482" s="13"/>
      <c r="F482" s="13"/>
      <c r="G482" s="23"/>
      <c r="H482" s="13"/>
      <c r="I482" s="13"/>
    </row>
    <row r="483" spans="1:9" ht="22.5" customHeight="1">
      <c r="A483" s="20"/>
      <c r="B483" s="21"/>
      <c r="C483" s="22"/>
      <c r="D483" s="13"/>
      <c r="E483" s="13"/>
      <c r="F483" s="13"/>
      <c r="G483" s="23"/>
      <c r="H483" s="13"/>
      <c r="I483" s="13"/>
    </row>
    <row r="484" spans="1:9" ht="22.5" customHeight="1">
      <c r="A484" s="20"/>
      <c r="B484" s="21"/>
      <c r="C484" s="22"/>
      <c r="D484" s="13"/>
      <c r="E484" s="13"/>
      <c r="F484" s="13"/>
      <c r="G484" s="23"/>
      <c r="H484" s="13"/>
      <c r="I484" s="13"/>
    </row>
    <row r="485" spans="1:9" ht="22.5" customHeight="1">
      <c r="A485" s="20"/>
      <c r="B485" s="21"/>
      <c r="C485" s="22"/>
      <c r="D485" s="13"/>
      <c r="E485" s="13"/>
      <c r="F485" s="13"/>
      <c r="G485" s="23"/>
      <c r="H485" s="13"/>
      <c r="I485" s="13"/>
    </row>
    <row r="486" spans="1:9" ht="22.5" customHeight="1">
      <c r="A486" s="20"/>
      <c r="B486" s="21"/>
      <c r="C486" s="22"/>
      <c r="D486" s="13"/>
      <c r="E486" s="13"/>
      <c r="F486" s="13"/>
      <c r="G486" s="23"/>
      <c r="H486" s="13"/>
      <c r="I486" s="13"/>
    </row>
    <row r="487" spans="1:9" ht="22.5" customHeight="1">
      <c r="A487" s="20"/>
      <c r="B487" s="21"/>
      <c r="C487" s="22"/>
      <c r="D487" s="13"/>
      <c r="E487" s="13"/>
      <c r="F487" s="13"/>
      <c r="G487" s="23"/>
      <c r="H487" s="13"/>
      <c r="I487" s="13"/>
    </row>
    <row r="488" spans="1:9" ht="22.5" customHeight="1">
      <c r="A488" s="20"/>
      <c r="B488" s="21"/>
      <c r="C488" s="22"/>
      <c r="D488" s="13"/>
      <c r="E488" s="13"/>
      <c r="F488" s="13"/>
      <c r="G488" s="23"/>
      <c r="H488" s="13"/>
      <c r="I488" s="13"/>
    </row>
    <row r="489" spans="1:9" ht="22.5" customHeight="1">
      <c r="A489" s="20"/>
      <c r="B489" s="21"/>
      <c r="C489" s="22"/>
      <c r="D489" s="13"/>
      <c r="E489" s="13"/>
      <c r="F489" s="13"/>
      <c r="G489" s="23"/>
      <c r="H489" s="13"/>
      <c r="I489" s="13"/>
    </row>
    <row r="490" spans="1:9" ht="22.5" customHeight="1">
      <c r="A490" s="20"/>
      <c r="B490" s="21"/>
      <c r="C490" s="22"/>
      <c r="D490" s="13"/>
      <c r="E490" s="13"/>
      <c r="F490" s="13"/>
      <c r="G490" s="23"/>
      <c r="H490" s="13"/>
      <c r="I490" s="13"/>
    </row>
    <row r="491" spans="1:9" ht="22.5" customHeight="1">
      <c r="A491" s="20"/>
      <c r="B491" s="21"/>
      <c r="C491" s="22"/>
      <c r="D491" s="13"/>
      <c r="E491" s="13"/>
      <c r="F491" s="13"/>
      <c r="G491" s="23"/>
      <c r="H491" s="13"/>
      <c r="I491" s="13"/>
    </row>
    <row r="492" spans="1:9" ht="22.5" customHeight="1">
      <c r="A492" s="20"/>
      <c r="B492" s="21"/>
      <c r="C492" s="22"/>
      <c r="D492" s="13"/>
      <c r="E492" s="13"/>
      <c r="F492" s="13"/>
      <c r="G492" s="23"/>
      <c r="H492" s="13"/>
      <c r="I492" s="13"/>
    </row>
    <row r="493" spans="1:9" ht="22.5" customHeight="1">
      <c r="A493" s="20"/>
      <c r="B493" s="21"/>
      <c r="C493" s="22"/>
      <c r="D493" s="13"/>
      <c r="E493" s="13"/>
      <c r="F493" s="13"/>
      <c r="G493" s="23"/>
      <c r="H493" s="13"/>
      <c r="I493" s="13"/>
    </row>
    <row r="494" spans="1:9" ht="22.5" customHeight="1">
      <c r="A494" s="20"/>
      <c r="B494" s="21"/>
      <c r="C494" s="22"/>
      <c r="D494" s="13"/>
      <c r="E494" s="13"/>
      <c r="F494" s="13"/>
      <c r="G494" s="23"/>
      <c r="H494" s="13"/>
      <c r="I494" s="13"/>
    </row>
    <row r="495" spans="1:9" ht="22.5" customHeight="1">
      <c r="A495" s="20"/>
      <c r="B495" s="21"/>
      <c r="C495" s="22"/>
      <c r="D495" s="13"/>
      <c r="E495" s="13"/>
      <c r="F495" s="13"/>
      <c r="G495" s="23"/>
      <c r="H495" s="13"/>
      <c r="I495" s="13"/>
    </row>
    <row r="496" spans="1:9" ht="22.5" customHeight="1">
      <c r="A496" s="20"/>
      <c r="B496" s="21"/>
      <c r="C496" s="22"/>
      <c r="D496" s="13"/>
      <c r="E496" s="13"/>
      <c r="F496" s="13"/>
      <c r="G496" s="23"/>
      <c r="H496" s="13"/>
      <c r="I496" s="13"/>
    </row>
    <row r="497" spans="1:9" ht="22.5" customHeight="1">
      <c r="A497" s="20"/>
      <c r="B497" s="21"/>
      <c r="C497" s="22"/>
      <c r="D497" s="13"/>
      <c r="E497" s="13"/>
      <c r="F497" s="13"/>
      <c r="G497" s="23"/>
      <c r="H497" s="13"/>
      <c r="I497" s="13"/>
    </row>
    <row r="498" spans="1:9" ht="22.5" customHeight="1">
      <c r="A498" s="20"/>
      <c r="B498" s="21"/>
      <c r="C498" s="22"/>
      <c r="D498" s="13"/>
      <c r="E498" s="13"/>
      <c r="F498" s="13"/>
      <c r="G498" s="23"/>
      <c r="H498" s="13"/>
      <c r="I498" s="13"/>
    </row>
    <row r="499" spans="1:9" ht="22.5" customHeight="1">
      <c r="A499" s="20"/>
      <c r="B499" s="21"/>
      <c r="C499" s="22"/>
      <c r="D499" s="13"/>
      <c r="E499" s="13"/>
      <c r="F499" s="13"/>
      <c r="G499" s="23"/>
      <c r="H499" s="13"/>
      <c r="I499" s="13"/>
    </row>
    <row r="500" spans="1:9" ht="22.5" customHeight="1">
      <c r="A500" s="20"/>
      <c r="B500" s="21"/>
      <c r="C500" s="22"/>
      <c r="D500" s="13"/>
      <c r="E500" s="13"/>
      <c r="F500" s="13"/>
      <c r="G500" s="23"/>
      <c r="H500" s="13"/>
      <c r="I500" s="13"/>
    </row>
    <row r="501" spans="1:9" ht="22.5" customHeight="1">
      <c r="A501" s="20"/>
      <c r="B501" s="21"/>
      <c r="C501" s="22"/>
      <c r="D501" s="13"/>
      <c r="E501" s="13"/>
      <c r="F501" s="13"/>
      <c r="G501" s="23"/>
      <c r="H501" s="13"/>
      <c r="I501" s="13"/>
    </row>
    <row r="502" spans="1:9" ht="22.5" customHeight="1">
      <c r="A502" s="20"/>
      <c r="B502" s="21"/>
      <c r="C502" s="22"/>
      <c r="D502" s="13"/>
      <c r="E502" s="13"/>
      <c r="F502" s="13"/>
      <c r="G502" s="23"/>
      <c r="H502" s="13"/>
      <c r="I502" s="13"/>
    </row>
    <row r="503" spans="1:9" ht="22.5" customHeight="1">
      <c r="A503" s="20"/>
      <c r="B503" s="21"/>
      <c r="C503" s="22"/>
      <c r="D503" s="13"/>
      <c r="E503" s="13"/>
      <c r="F503" s="13"/>
      <c r="G503" s="23"/>
      <c r="H503" s="13"/>
      <c r="I503" s="13"/>
    </row>
    <row r="504" spans="1:9" ht="22.5" customHeight="1">
      <c r="A504" s="20"/>
      <c r="B504" s="21"/>
      <c r="C504" s="22"/>
      <c r="D504" s="13"/>
      <c r="E504" s="13"/>
      <c r="F504" s="13"/>
      <c r="G504" s="23"/>
      <c r="H504" s="13"/>
      <c r="I504" s="13"/>
    </row>
    <row r="505" spans="1:9" ht="22.5" customHeight="1">
      <c r="A505" s="20"/>
      <c r="B505" s="21"/>
      <c r="C505" s="22"/>
      <c r="D505" s="13"/>
      <c r="E505" s="13"/>
      <c r="F505" s="13"/>
      <c r="G505" s="23"/>
      <c r="H505" s="13"/>
      <c r="I505" s="13"/>
    </row>
    <row r="506" spans="1:9" ht="22.5" customHeight="1">
      <c r="A506" s="20"/>
      <c r="B506" s="21"/>
      <c r="C506" s="22"/>
      <c r="D506" s="13"/>
      <c r="E506" s="13"/>
      <c r="F506" s="13"/>
      <c r="G506" s="23"/>
      <c r="H506" s="13"/>
      <c r="I506" s="13"/>
    </row>
    <row r="507" spans="1:9" ht="22.5" customHeight="1">
      <c r="A507" s="20"/>
      <c r="B507" s="21"/>
      <c r="C507" s="22"/>
      <c r="D507" s="13"/>
      <c r="E507" s="13"/>
      <c r="F507" s="13"/>
      <c r="G507" s="23"/>
      <c r="H507" s="13"/>
      <c r="I507" s="13"/>
    </row>
    <row r="508" spans="1:9" ht="22.5" customHeight="1">
      <c r="A508" s="20"/>
      <c r="B508" s="21"/>
      <c r="C508" s="22"/>
      <c r="D508" s="13"/>
      <c r="E508" s="13"/>
      <c r="F508" s="13"/>
      <c r="G508" s="23"/>
      <c r="H508" s="13"/>
      <c r="I508" s="13"/>
    </row>
    <row r="509" spans="1:9" ht="22.5" customHeight="1">
      <c r="A509" s="20"/>
      <c r="B509" s="21"/>
      <c r="C509" s="22"/>
      <c r="D509" s="13"/>
      <c r="E509" s="13"/>
      <c r="F509" s="13"/>
      <c r="G509" s="23"/>
      <c r="H509" s="13"/>
      <c r="I509" s="13"/>
    </row>
    <row r="510" spans="1:9" ht="22.5" customHeight="1">
      <c r="A510" s="20"/>
      <c r="B510" s="21"/>
      <c r="C510" s="22"/>
      <c r="D510" s="13"/>
      <c r="E510" s="13"/>
      <c r="F510" s="13"/>
      <c r="G510" s="23"/>
      <c r="H510" s="13"/>
      <c r="I510" s="13"/>
    </row>
    <row r="511" spans="1:9" ht="22.5" customHeight="1">
      <c r="A511" s="20"/>
      <c r="B511" s="21"/>
      <c r="C511" s="22"/>
      <c r="D511" s="13"/>
      <c r="E511" s="13"/>
      <c r="F511" s="13"/>
      <c r="G511" s="23"/>
      <c r="H511" s="13"/>
      <c r="I511" s="13"/>
    </row>
    <row r="512" spans="1:9" ht="22.5" customHeight="1">
      <c r="A512" s="20"/>
      <c r="B512" s="21"/>
      <c r="C512" s="22"/>
      <c r="D512" s="13"/>
      <c r="E512" s="13"/>
      <c r="F512" s="13"/>
      <c r="G512" s="23"/>
      <c r="H512" s="13"/>
      <c r="I512" s="13"/>
    </row>
    <row r="513" spans="1:9" ht="22.5" customHeight="1">
      <c r="A513" s="20"/>
      <c r="B513" s="21"/>
      <c r="C513" s="22"/>
      <c r="D513" s="13"/>
      <c r="E513" s="13"/>
      <c r="F513" s="13"/>
      <c r="G513" s="23"/>
      <c r="H513" s="13"/>
      <c r="I513" s="13"/>
    </row>
    <row r="514" spans="1:9" ht="22.5" customHeight="1">
      <c r="A514" s="20"/>
      <c r="B514" s="21"/>
      <c r="C514" s="22"/>
      <c r="D514" s="13"/>
      <c r="E514" s="13"/>
      <c r="F514" s="13"/>
      <c r="G514" s="23"/>
      <c r="H514" s="13"/>
      <c r="I514" s="13"/>
    </row>
    <row r="515" spans="1:9" ht="22.5" customHeight="1">
      <c r="A515" s="20"/>
      <c r="B515" s="21"/>
      <c r="C515" s="22"/>
      <c r="D515" s="13"/>
      <c r="E515" s="13"/>
      <c r="F515" s="13"/>
      <c r="G515" s="23"/>
      <c r="H515" s="13"/>
      <c r="I515" s="13"/>
    </row>
    <row r="516" spans="1:9" ht="22.5" customHeight="1">
      <c r="A516" s="20"/>
      <c r="B516" s="21"/>
      <c r="C516" s="22"/>
      <c r="D516" s="13"/>
      <c r="E516" s="13"/>
      <c r="F516" s="13"/>
      <c r="G516" s="23"/>
      <c r="H516" s="13"/>
      <c r="I516" s="13"/>
    </row>
    <row r="517" spans="1:9" ht="22.5" customHeight="1">
      <c r="A517" s="20"/>
      <c r="B517" s="21"/>
      <c r="C517" s="22"/>
      <c r="D517" s="13"/>
      <c r="E517" s="13"/>
      <c r="F517" s="13"/>
      <c r="G517" s="23"/>
      <c r="H517" s="13"/>
      <c r="I517" s="13"/>
    </row>
    <row r="518" spans="1:9" ht="22.5" customHeight="1">
      <c r="A518" s="20"/>
      <c r="B518" s="21"/>
      <c r="C518" s="22"/>
      <c r="D518" s="13"/>
      <c r="E518" s="13"/>
      <c r="F518" s="13"/>
      <c r="G518" s="23"/>
      <c r="H518" s="13"/>
      <c r="I518" s="13"/>
    </row>
    <row r="519" spans="1:9" ht="22.5" customHeight="1">
      <c r="A519" s="20"/>
      <c r="B519" s="21"/>
      <c r="C519" s="22"/>
      <c r="D519" s="13"/>
      <c r="E519" s="13"/>
      <c r="F519" s="13"/>
      <c r="G519" s="23"/>
      <c r="H519" s="13"/>
      <c r="I519" s="13"/>
    </row>
    <row r="520" spans="1:9" ht="22.5" customHeight="1">
      <c r="A520" s="20"/>
      <c r="B520" s="21"/>
      <c r="C520" s="22"/>
      <c r="D520" s="13"/>
      <c r="E520" s="13"/>
      <c r="F520" s="13"/>
      <c r="G520" s="23"/>
      <c r="H520" s="13"/>
      <c r="I520" s="13"/>
    </row>
    <row r="521" spans="1:9" ht="22.5" customHeight="1">
      <c r="A521" s="20"/>
      <c r="B521" s="21"/>
      <c r="C521" s="22"/>
      <c r="D521" s="13"/>
      <c r="E521" s="13"/>
      <c r="F521" s="13"/>
      <c r="G521" s="23"/>
      <c r="H521" s="13"/>
      <c r="I521" s="13"/>
    </row>
    <row r="522" spans="1:9" ht="22.5" customHeight="1">
      <c r="A522" s="20"/>
      <c r="B522" s="21"/>
      <c r="C522" s="22"/>
      <c r="D522" s="13"/>
      <c r="E522" s="13"/>
      <c r="F522" s="13"/>
      <c r="G522" s="23"/>
      <c r="H522" s="13"/>
      <c r="I522" s="13"/>
    </row>
    <row r="523" spans="1:9" ht="22.5" customHeight="1">
      <c r="A523" s="20"/>
      <c r="B523" s="21"/>
      <c r="C523" s="22"/>
      <c r="D523" s="13"/>
      <c r="E523" s="13"/>
      <c r="F523" s="13"/>
      <c r="G523" s="23"/>
      <c r="H523" s="13"/>
      <c r="I523" s="13"/>
    </row>
    <row r="524" spans="1:9" ht="22.5" customHeight="1">
      <c r="A524" s="20"/>
      <c r="B524" s="21"/>
      <c r="C524" s="22"/>
      <c r="D524" s="13"/>
      <c r="E524" s="13"/>
      <c r="F524" s="13"/>
      <c r="G524" s="23"/>
      <c r="H524" s="13"/>
      <c r="I524" s="13"/>
    </row>
    <row r="525" spans="1:9" ht="22.5" customHeight="1">
      <c r="A525" s="20"/>
      <c r="B525" s="21"/>
      <c r="C525" s="22"/>
      <c r="D525" s="13"/>
      <c r="E525" s="13"/>
      <c r="F525" s="13"/>
      <c r="G525" s="23"/>
      <c r="H525" s="13"/>
      <c r="I525" s="13"/>
    </row>
    <row r="526" spans="1:9" ht="22.5" customHeight="1">
      <c r="A526" s="20"/>
      <c r="B526" s="21"/>
      <c r="C526" s="22"/>
      <c r="D526" s="13"/>
      <c r="E526" s="13"/>
      <c r="F526" s="13"/>
      <c r="G526" s="23"/>
      <c r="H526" s="13"/>
      <c r="I526" s="13"/>
    </row>
    <row r="527" spans="1:9" ht="22.5" customHeight="1">
      <c r="A527" s="20"/>
      <c r="B527" s="21"/>
      <c r="C527" s="22"/>
      <c r="D527" s="13"/>
      <c r="E527" s="13"/>
      <c r="F527" s="13"/>
      <c r="G527" s="23"/>
      <c r="H527" s="13"/>
      <c r="I527" s="13"/>
    </row>
    <row r="528" spans="1:9" ht="22.5" customHeight="1">
      <c r="A528" s="20"/>
      <c r="B528" s="21"/>
      <c r="C528" s="22"/>
      <c r="D528" s="13"/>
      <c r="E528" s="13"/>
      <c r="F528" s="13"/>
      <c r="G528" s="23"/>
      <c r="H528" s="13"/>
      <c r="I528" s="13"/>
    </row>
    <row r="529" spans="1:9" ht="22.5" customHeight="1">
      <c r="A529" s="20"/>
      <c r="B529" s="21"/>
      <c r="C529" s="22"/>
      <c r="D529" s="13"/>
      <c r="E529" s="13"/>
      <c r="F529" s="13"/>
      <c r="G529" s="23"/>
      <c r="H529" s="13"/>
      <c r="I529" s="13"/>
    </row>
    <row r="530" spans="1:9" ht="22.5" customHeight="1">
      <c r="A530" s="20"/>
      <c r="B530" s="21"/>
      <c r="C530" s="22"/>
      <c r="D530" s="13"/>
      <c r="E530" s="13"/>
      <c r="F530" s="13"/>
      <c r="G530" s="23"/>
      <c r="H530" s="13"/>
      <c r="I530" s="13"/>
    </row>
    <row r="531" spans="1:9" ht="22.5" customHeight="1">
      <c r="A531" s="20"/>
      <c r="B531" s="21"/>
      <c r="C531" s="22"/>
      <c r="D531" s="13"/>
      <c r="E531" s="13"/>
      <c r="F531" s="13"/>
      <c r="G531" s="23"/>
      <c r="H531" s="13"/>
      <c r="I531" s="13"/>
    </row>
    <row r="532" spans="1:9" ht="22.5" customHeight="1">
      <c r="A532" s="20"/>
      <c r="B532" s="21"/>
      <c r="C532" s="22"/>
      <c r="D532" s="13"/>
      <c r="E532" s="13"/>
      <c r="F532" s="13"/>
      <c r="G532" s="23"/>
      <c r="H532" s="13"/>
      <c r="I532" s="13"/>
    </row>
    <row r="533" spans="1:9" ht="22.5" customHeight="1">
      <c r="A533" s="20"/>
      <c r="B533" s="21"/>
      <c r="C533" s="22"/>
      <c r="D533" s="13"/>
      <c r="E533" s="13"/>
      <c r="F533" s="13"/>
      <c r="G533" s="23"/>
      <c r="H533" s="13"/>
      <c r="I533" s="13"/>
    </row>
    <row r="534" spans="1:9" ht="22.5" customHeight="1">
      <c r="A534" s="20"/>
      <c r="B534" s="21"/>
      <c r="C534" s="22"/>
      <c r="D534" s="13"/>
      <c r="E534" s="13"/>
      <c r="F534" s="13"/>
      <c r="G534" s="23"/>
      <c r="H534" s="13"/>
      <c r="I534" s="13"/>
    </row>
    <row r="535" spans="1:9" ht="22.5" customHeight="1">
      <c r="A535" s="20"/>
      <c r="B535" s="21"/>
      <c r="C535" s="22"/>
      <c r="D535" s="13"/>
      <c r="E535" s="13"/>
      <c r="F535" s="13"/>
      <c r="G535" s="23"/>
      <c r="H535" s="13"/>
      <c r="I535" s="13"/>
    </row>
    <row r="536" spans="1:9" ht="22.5" customHeight="1">
      <c r="A536" s="20"/>
      <c r="B536" s="21"/>
      <c r="C536" s="22"/>
      <c r="D536" s="13"/>
      <c r="E536" s="13"/>
      <c r="F536" s="13"/>
      <c r="G536" s="23"/>
      <c r="H536" s="13"/>
      <c r="I536" s="13"/>
    </row>
    <row r="537" spans="1:9" ht="22.5" customHeight="1">
      <c r="A537" s="20"/>
      <c r="B537" s="21"/>
      <c r="C537" s="22"/>
      <c r="D537" s="13"/>
      <c r="E537" s="13"/>
      <c r="F537" s="13"/>
      <c r="G537" s="23"/>
      <c r="H537" s="13"/>
      <c r="I537" s="13"/>
    </row>
    <row r="538" spans="1:9" ht="22.5" customHeight="1">
      <c r="A538" s="20"/>
      <c r="B538" s="21"/>
      <c r="C538" s="22"/>
      <c r="D538" s="13"/>
      <c r="E538" s="13"/>
      <c r="F538" s="13"/>
      <c r="G538" s="23"/>
      <c r="H538" s="13"/>
      <c r="I538" s="13"/>
    </row>
    <row r="539" spans="1:9" ht="22.5" customHeight="1">
      <c r="A539" s="20"/>
      <c r="B539" s="21"/>
      <c r="C539" s="22"/>
      <c r="D539" s="13"/>
      <c r="E539" s="13"/>
      <c r="F539" s="13"/>
      <c r="G539" s="23"/>
      <c r="H539" s="13"/>
      <c r="I539" s="13"/>
    </row>
    <row r="540" spans="1:9" ht="22.5" customHeight="1">
      <c r="A540" s="20"/>
      <c r="B540" s="21"/>
      <c r="C540" s="22"/>
      <c r="D540" s="13"/>
      <c r="E540" s="13"/>
      <c r="F540" s="13"/>
      <c r="G540" s="23"/>
      <c r="H540" s="13"/>
      <c r="I540" s="13"/>
    </row>
    <row r="541" spans="1:9" ht="22.5" customHeight="1">
      <c r="A541" s="20"/>
      <c r="B541" s="21"/>
      <c r="C541" s="22"/>
      <c r="D541" s="13"/>
      <c r="E541" s="13"/>
      <c r="F541" s="13"/>
      <c r="G541" s="23"/>
      <c r="H541" s="13"/>
      <c r="I541" s="13"/>
    </row>
    <row r="542" spans="1:9" ht="22.5" customHeight="1">
      <c r="A542" s="20"/>
      <c r="B542" s="21"/>
      <c r="C542" s="22"/>
      <c r="D542" s="13"/>
      <c r="E542" s="13"/>
      <c r="F542" s="13"/>
      <c r="G542" s="23"/>
      <c r="H542" s="13"/>
      <c r="I542" s="13"/>
    </row>
    <row r="543" spans="1:9" ht="22.5" customHeight="1">
      <c r="A543" s="20"/>
      <c r="B543" s="21"/>
      <c r="C543" s="22"/>
      <c r="D543" s="13"/>
      <c r="E543" s="13"/>
      <c r="F543" s="13"/>
      <c r="G543" s="23"/>
      <c r="H543" s="13"/>
      <c r="I543" s="13"/>
    </row>
    <row r="544" spans="1:9" ht="22.5" customHeight="1">
      <c r="A544" s="20"/>
      <c r="B544" s="21"/>
      <c r="C544" s="22"/>
      <c r="D544" s="13"/>
      <c r="E544" s="13"/>
      <c r="F544" s="13"/>
      <c r="G544" s="23"/>
      <c r="H544" s="13"/>
      <c r="I544" s="13"/>
    </row>
    <row r="545" spans="1:9" ht="22.5" customHeight="1">
      <c r="A545" s="20"/>
      <c r="B545" s="21"/>
      <c r="C545" s="22"/>
      <c r="D545" s="13"/>
      <c r="E545" s="13"/>
      <c r="F545" s="13"/>
      <c r="G545" s="23"/>
      <c r="H545" s="13"/>
      <c r="I545" s="13"/>
    </row>
    <row r="546" spans="1:9" ht="22.5" customHeight="1">
      <c r="A546" s="20"/>
      <c r="B546" s="21"/>
      <c r="C546" s="22"/>
      <c r="D546" s="13"/>
      <c r="E546" s="13"/>
      <c r="F546" s="13"/>
      <c r="G546" s="23"/>
      <c r="H546" s="13"/>
      <c r="I546" s="13"/>
    </row>
    <row r="547" spans="1:9" ht="22.5" customHeight="1">
      <c r="A547" s="20"/>
      <c r="B547" s="21"/>
      <c r="C547" s="22"/>
      <c r="D547" s="13"/>
      <c r="E547" s="13"/>
      <c r="F547" s="13"/>
      <c r="G547" s="23"/>
      <c r="H547" s="13"/>
      <c r="I547" s="13"/>
    </row>
    <row r="548" spans="1:9" ht="22.5" customHeight="1">
      <c r="A548" s="20"/>
      <c r="B548" s="21"/>
      <c r="C548" s="22"/>
      <c r="D548" s="13"/>
      <c r="E548" s="13"/>
      <c r="F548" s="13"/>
      <c r="G548" s="23"/>
      <c r="H548" s="13"/>
      <c r="I548" s="13"/>
    </row>
    <row r="549" spans="1:9" ht="22.5" customHeight="1">
      <c r="A549" s="20"/>
      <c r="B549" s="21"/>
      <c r="C549" s="22"/>
      <c r="D549" s="13"/>
      <c r="E549" s="13"/>
      <c r="F549" s="13"/>
      <c r="G549" s="23"/>
      <c r="H549" s="13"/>
      <c r="I549" s="13"/>
    </row>
    <row r="550" spans="1:9" ht="22.5" customHeight="1">
      <c r="A550" s="20"/>
      <c r="B550" s="21"/>
      <c r="C550" s="22"/>
      <c r="D550" s="13"/>
      <c r="E550" s="13"/>
      <c r="F550" s="13"/>
      <c r="G550" s="23"/>
      <c r="H550" s="13"/>
      <c r="I550" s="13"/>
    </row>
    <row r="551" spans="1:9" ht="22.5" customHeight="1">
      <c r="A551" s="20"/>
      <c r="B551" s="21"/>
      <c r="C551" s="22"/>
      <c r="D551" s="13"/>
      <c r="E551" s="13"/>
      <c r="F551" s="13"/>
      <c r="G551" s="23"/>
      <c r="H551" s="13"/>
      <c r="I551" s="13"/>
    </row>
    <row r="552" spans="1:9" ht="22.5" customHeight="1">
      <c r="A552" s="20"/>
      <c r="B552" s="21"/>
      <c r="C552" s="22"/>
      <c r="D552" s="13"/>
      <c r="E552" s="13"/>
      <c r="F552" s="13"/>
      <c r="G552" s="23"/>
      <c r="H552" s="13"/>
      <c r="I552" s="13"/>
    </row>
    <row r="553" spans="1:9" ht="22.5" customHeight="1">
      <c r="A553" s="20"/>
      <c r="B553" s="21"/>
      <c r="C553" s="22"/>
      <c r="D553" s="13"/>
      <c r="E553" s="13"/>
      <c r="F553" s="13"/>
      <c r="G553" s="23"/>
      <c r="H553" s="13"/>
      <c r="I553" s="13"/>
    </row>
    <row r="554" spans="1:9" ht="22.5" customHeight="1">
      <c r="A554" s="20"/>
      <c r="B554" s="21"/>
      <c r="C554" s="22"/>
      <c r="D554" s="13"/>
      <c r="E554" s="13"/>
      <c r="F554" s="13"/>
      <c r="G554" s="23"/>
      <c r="H554" s="13"/>
      <c r="I554" s="13"/>
    </row>
    <row r="555" spans="1:9" ht="22.5" customHeight="1">
      <c r="A555" s="20"/>
      <c r="B555" s="21"/>
      <c r="C555" s="22"/>
      <c r="D555" s="13"/>
      <c r="E555" s="13"/>
      <c r="F555" s="13"/>
      <c r="G555" s="23"/>
      <c r="H555" s="13"/>
      <c r="I555" s="13"/>
    </row>
    <row r="556" spans="1:9" ht="22.5" customHeight="1">
      <c r="A556" s="20"/>
      <c r="B556" s="21"/>
      <c r="C556" s="22"/>
      <c r="D556" s="13"/>
      <c r="E556" s="13"/>
      <c r="F556" s="13"/>
      <c r="G556" s="23"/>
      <c r="H556" s="13"/>
      <c r="I556" s="13"/>
    </row>
    <row r="557" spans="1:9" ht="22.5" customHeight="1">
      <c r="A557" s="20"/>
      <c r="B557" s="21"/>
      <c r="C557" s="22"/>
      <c r="D557" s="13"/>
      <c r="E557" s="13"/>
      <c r="F557" s="13"/>
      <c r="G557" s="23"/>
      <c r="H557" s="13"/>
      <c r="I557" s="13"/>
    </row>
    <row r="558" spans="1:9" ht="22.5" customHeight="1">
      <c r="A558" s="20"/>
      <c r="B558" s="21"/>
      <c r="C558" s="22"/>
      <c r="D558" s="13"/>
      <c r="E558" s="13"/>
      <c r="F558" s="13"/>
      <c r="G558" s="23"/>
      <c r="H558" s="13"/>
      <c r="I558" s="13"/>
    </row>
    <row r="559" spans="1:9" ht="22.5" customHeight="1">
      <c r="A559" s="20"/>
      <c r="B559" s="21"/>
      <c r="C559" s="22"/>
      <c r="D559" s="13"/>
      <c r="E559" s="13"/>
      <c r="F559" s="13"/>
      <c r="G559" s="23"/>
      <c r="H559" s="13"/>
      <c r="I559" s="13"/>
    </row>
    <row r="560" spans="1:9" ht="22.5" customHeight="1">
      <c r="A560" s="20"/>
      <c r="B560" s="21"/>
      <c r="C560" s="22"/>
      <c r="D560" s="13"/>
      <c r="E560" s="13"/>
      <c r="F560" s="13"/>
      <c r="G560" s="23"/>
      <c r="H560" s="13"/>
      <c r="I560" s="13"/>
    </row>
    <row r="561" spans="1:9" ht="22.5" customHeight="1">
      <c r="A561" s="20"/>
      <c r="B561" s="21"/>
      <c r="C561" s="22"/>
      <c r="D561" s="13"/>
      <c r="E561" s="13"/>
      <c r="F561" s="13"/>
      <c r="G561" s="23"/>
      <c r="H561" s="13"/>
      <c r="I561" s="13"/>
    </row>
    <row r="562" spans="1:9" ht="22.5" customHeight="1">
      <c r="A562" s="20"/>
      <c r="B562" s="21"/>
      <c r="C562" s="22"/>
      <c r="D562" s="13"/>
      <c r="E562" s="13"/>
      <c r="F562" s="13"/>
      <c r="G562" s="23"/>
      <c r="H562" s="13"/>
      <c r="I562" s="13"/>
    </row>
    <row r="563" spans="1:9" ht="22.5" customHeight="1">
      <c r="A563" s="20"/>
      <c r="B563" s="21"/>
      <c r="C563" s="22"/>
      <c r="D563" s="13"/>
      <c r="E563" s="13"/>
      <c r="F563" s="13"/>
      <c r="G563" s="23"/>
      <c r="H563" s="13"/>
      <c r="I563" s="13"/>
    </row>
    <row r="564" spans="1:9" ht="22.5" customHeight="1">
      <c r="A564" s="20"/>
      <c r="B564" s="21"/>
      <c r="C564" s="22"/>
      <c r="D564" s="13"/>
      <c r="E564" s="13"/>
      <c r="F564" s="13"/>
      <c r="G564" s="23"/>
      <c r="H564" s="13"/>
      <c r="I564" s="13"/>
    </row>
    <row r="565" spans="1:9" ht="22.5" customHeight="1">
      <c r="A565" s="20"/>
      <c r="B565" s="21"/>
      <c r="C565" s="22"/>
      <c r="D565" s="13"/>
      <c r="E565" s="13"/>
      <c r="F565" s="13"/>
      <c r="G565" s="23"/>
      <c r="H565" s="13"/>
      <c r="I565" s="13"/>
    </row>
    <row r="566" spans="1:9" ht="22.5" customHeight="1">
      <c r="A566" s="20"/>
      <c r="B566" s="21"/>
      <c r="C566" s="22"/>
      <c r="D566" s="13"/>
      <c r="E566" s="13"/>
      <c r="F566" s="13"/>
      <c r="G566" s="23"/>
      <c r="H566" s="13"/>
      <c r="I566" s="13"/>
    </row>
    <row r="567" spans="1:9" ht="22.5" customHeight="1">
      <c r="A567" s="20"/>
      <c r="B567" s="21"/>
      <c r="C567" s="22"/>
      <c r="D567" s="13"/>
      <c r="E567" s="13"/>
      <c r="F567" s="13"/>
      <c r="G567" s="23"/>
      <c r="H567" s="13"/>
      <c r="I567" s="13"/>
    </row>
    <row r="568" spans="1:9" ht="22.5" customHeight="1">
      <c r="A568" s="20"/>
      <c r="B568" s="21"/>
      <c r="C568" s="22"/>
      <c r="D568" s="13"/>
      <c r="E568" s="13"/>
      <c r="F568" s="13"/>
      <c r="G568" s="23"/>
      <c r="H568" s="13"/>
      <c r="I568" s="13"/>
    </row>
    <row r="569" spans="1:9" ht="22.5" customHeight="1">
      <c r="A569" s="20"/>
      <c r="B569" s="21"/>
      <c r="C569" s="22"/>
      <c r="D569" s="13"/>
      <c r="E569" s="13"/>
      <c r="F569" s="13"/>
      <c r="G569" s="23"/>
      <c r="H569" s="13"/>
      <c r="I569" s="13"/>
    </row>
    <row r="570" spans="1:9" ht="22.5" customHeight="1">
      <c r="A570" s="20"/>
      <c r="B570" s="21"/>
      <c r="C570" s="22"/>
      <c r="D570" s="13"/>
      <c r="E570" s="13"/>
      <c r="F570" s="13"/>
      <c r="G570" s="23"/>
      <c r="H570" s="13"/>
      <c r="I570" s="13"/>
    </row>
    <row r="571" spans="1:9" ht="22.5" customHeight="1">
      <c r="A571" s="20"/>
      <c r="B571" s="21"/>
      <c r="C571" s="22"/>
      <c r="D571" s="13"/>
      <c r="E571" s="13"/>
      <c r="F571" s="13"/>
      <c r="G571" s="23"/>
      <c r="H571" s="13"/>
      <c r="I571" s="13"/>
    </row>
    <row r="572" spans="1:9" ht="22.5" customHeight="1">
      <c r="A572" s="20"/>
      <c r="B572" s="21"/>
      <c r="C572" s="22"/>
      <c r="D572" s="13"/>
      <c r="E572" s="13"/>
      <c r="F572" s="13"/>
      <c r="G572" s="23"/>
      <c r="H572" s="13"/>
      <c r="I572" s="13"/>
    </row>
    <row r="573" spans="1:9" ht="22.5" customHeight="1">
      <c r="A573" s="20"/>
      <c r="B573" s="21"/>
      <c r="C573" s="22"/>
      <c r="D573" s="13"/>
      <c r="E573" s="13"/>
      <c r="F573" s="13"/>
      <c r="G573" s="23"/>
      <c r="H573" s="13"/>
      <c r="I573" s="13"/>
    </row>
    <row r="574" spans="1:9" ht="22.5" customHeight="1">
      <c r="A574" s="20"/>
      <c r="B574" s="21"/>
      <c r="C574" s="22"/>
      <c r="D574" s="13"/>
      <c r="E574" s="13"/>
      <c r="F574" s="13"/>
      <c r="G574" s="23"/>
      <c r="H574" s="13"/>
      <c r="I574" s="13"/>
    </row>
    <row r="575" spans="1:9" ht="22.5" customHeight="1">
      <c r="A575" s="20"/>
      <c r="B575" s="21"/>
      <c r="C575" s="22"/>
      <c r="D575" s="13"/>
      <c r="E575" s="13"/>
      <c r="F575" s="13"/>
      <c r="G575" s="23"/>
      <c r="H575" s="13"/>
      <c r="I575" s="13"/>
    </row>
    <row r="576" spans="1:9" ht="22.5" customHeight="1">
      <c r="A576" s="20"/>
      <c r="B576" s="21"/>
      <c r="C576" s="22"/>
      <c r="D576" s="13"/>
      <c r="E576" s="13"/>
      <c r="F576" s="13"/>
      <c r="G576" s="23"/>
      <c r="H576" s="13"/>
      <c r="I576" s="13"/>
    </row>
    <row r="577" spans="1:9" ht="22.5" customHeight="1">
      <c r="A577" s="20"/>
      <c r="B577" s="21"/>
      <c r="C577" s="22"/>
      <c r="D577" s="13"/>
      <c r="E577" s="13"/>
      <c r="F577" s="13"/>
      <c r="G577" s="23"/>
      <c r="H577" s="13"/>
      <c r="I577" s="13"/>
    </row>
    <row r="578" spans="1:9" ht="22.5" customHeight="1">
      <c r="A578" s="20"/>
      <c r="B578" s="21"/>
      <c r="C578" s="22"/>
      <c r="D578" s="13"/>
      <c r="E578" s="13"/>
      <c r="F578" s="13"/>
      <c r="G578" s="23"/>
      <c r="H578" s="13"/>
      <c r="I578" s="13"/>
    </row>
    <row r="579" spans="1:9" ht="22.5" customHeight="1">
      <c r="A579" s="20"/>
      <c r="B579" s="21"/>
      <c r="C579" s="22"/>
      <c r="D579" s="13"/>
      <c r="E579" s="13"/>
      <c r="F579" s="13"/>
      <c r="G579" s="23"/>
      <c r="H579" s="13"/>
      <c r="I579" s="13"/>
    </row>
    <row r="580" spans="1:9" ht="22.5" customHeight="1">
      <c r="A580" s="20"/>
      <c r="B580" s="21"/>
      <c r="C580" s="22"/>
      <c r="D580" s="13"/>
      <c r="E580" s="13"/>
      <c r="F580" s="13"/>
      <c r="G580" s="23"/>
      <c r="H580" s="13"/>
      <c r="I580" s="13"/>
    </row>
    <row r="581" spans="1:9" ht="22.5" customHeight="1">
      <c r="A581" s="20"/>
      <c r="B581" s="21"/>
      <c r="C581" s="22"/>
      <c r="D581" s="13"/>
      <c r="E581" s="13"/>
      <c r="F581" s="13"/>
      <c r="G581" s="23"/>
      <c r="H581" s="13"/>
      <c r="I581" s="13"/>
    </row>
    <row r="582" spans="1:9" ht="22.5" customHeight="1">
      <c r="A582" s="20"/>
      <c r="B582" s="21"/>
      <c r="C582" s="22"/>
      <c r="D582" s="13"/>
      <c r="E582" s="13"/>
      <c r="F582" s="13"/>
      <c r="G582" s="23"/>
      <c r="H582" s="13"/>
      <c r="I582" s="13"/>
    </row>
    <row r="583" spans="1:9" ht="22.5" customHeight="1">
      <c r="A583" s="20"/>
      <c r="B583" s="21"/>
      <c r="C583" s="22"/>
      <c r="D583" s="13"/>
      <c r="E583" s="13"/>
      <c r="F583" s="13"/>
      <c r="G583" s="23"/>
      <c r="H583" s="13"/>
      <c r="I583" s="13"/>
    </row>
    <row r="584" spans="1:9" ht="22.5" customHeight="1">
      <c r="A584" s="20"/>
      <c r="B584" s="21"/>
      <c r="C584" s="22"/>
      <c r="D584" s="13"/>
      <c r="E584" s="13"/>
      <c r="F584" s="13"/>
      <c r="G584" s="23"/>
      <c r="H584" s="13"/>
      <c r="I584" s="13"/>
    </row>
    <row r="585" spans="1:9" ht="22.5" customHeight="1">
      <c r="A585" s="20"/>
      <c r="B585" s="21"/>
      <c r="C585" s="22"/>
      <c r="D585" s="13"/>
      <c r="E585" s="13"/>
      <c r="F585" s="13"/>
      <c r="G585" s="23"/>
      <c r="H585" s="13"/>
      <c r="I585" s="13"/>
    </row>
    <row r="586" spans="1:9" ht="22.5" customHeight="1">
      <c r="A586" s="20"/>
      <c r="B586" s="21"/>
      <c r="C586" s="22"/>
      <c r="D586" s="13"/>
      <c r="E586" s="13"/>
      <c r="F586" s="13"/>
      <c r="G586" s="23"/>
      <c r="H586" s="13"/>
      <c r="I586" s="13"/>
    </row>
    <row r="587" spans="1:9" ht="22.5" customHeight="1">
      <c r="A587" s="20"/>
      <c r="B587" s="21"/>
      <c r="C587" s="22"/>
      <c r="D587" s="13"/>
      <c r="E587" s="13"/>
      <c r="F587" s="13"/>
      <c r="G587" s="23"/>
      <c r="H587" s="13"/>
      <c r="I587" s="13"/>
    </row>
    <row r="588" spans="1:9" ht="22.5" customHeight="1">
      <c r="A588" s="20"/>
      <c r="B588" s="21"/>
      <c r="C588" s="22"/>
      <c r="D588" s="13"/>
      <c r="E588" s="13"/>
      <c r="F588" s="13"/>
      <c r="G588" s="23"/>
      <c r="H588" s="13"/>
      <c r="I588" s="13"/>
    </row>
    <row r="589" spans="1:9" ht="22.5" customHeight="1">
      <c r="A589" s="20"/>
      <c r="B589" s="21"/>
      <c r="C589" s="22"/>
      <c r="D589" s="13"/>
      <c r="E589" s="13"/>
      <c r="F589" s="13"/>
      <c r="G589" s="23"/>
      <c r="H589" s="13"/>
      <c r="I589" s="13"/>
    </row>
    <row r="590" spans="1:9" ht="22.5" customHeight="1">
      <c r="A590" s="20"/>
      <c r="B590" s="21"/>
      <c r="C590" s="22"/>
      <c r="D590" s="13"/>
      <c r="E590" s="13"/>
      <c r="F590" s="13"/>
      <c r="G590" s="23"/>
      <c r="H590" s="13"/>
      <c r="I590" s="13"/>
    </row>
    <row r="591" spans="1:9" ht="22.5" customHeight="1">
      <c r="A591" s="20"/>
      <c r="B591" s="21"/>
      <c r="C591" s="22"/>
      <c r="D591" s="13"/>
      <c r="E591" s="13"/>
      <c r="F591" s="13"/>
      <c r="G591" s="23"/>
      <c r="H591" s="13"/>
      <c r="I591" s="13"/>
    </row>
    <row r="592" spans="1:9" ht="22.5" customHeight="1">
      <c r="A592" s="20"/>
      <c r="B592" s="21"/>
      <c r="C592" s="22"/>
      <c r="D592" s="13"/>
      <c r="E592" s="13"/>
      <c r="F592" s="13"/>
      <c r="G592" s="23"/>
      <c r="H592" s="13"/>
      <c r="I592" s="13"/>
    </row>
    <row r="593" spans="1:9" ht="22.5" customHeight="1">
      <c r="A593" s="20"/>
      <c r="B593" s="21"/>
      <c r="C593" s="22"/>
      <c r="D593" s="13"/>
      <c r="E593" s="13"/>
      <c r="F593" s="13"/>
      <c r="G593" s="23"/>
      <c r="H593" s="13"/>
      <c r="I593" s="13"/>
    </row>
    <row r="594" spans="1:9" ht="22.5" customHeight="1">
      <c r="A594" s="20"/>
      <c r="B594" s="21"/>
      <c r="C594" s="22"/>
      <c r="D594" s="13"/>
      <c r="E594" s="13"/>
      <c r="F594" s="13"/>
      <c r="G594" s="23"/>
      <c r="H594" s="13"/>
      <c r="I594" s="13"/>
    </row>
    <row r="595" spans="1:9" ht="22.5" customHeight="1">
      <c r="A595" s="20"/>
      <c r="B595" s="21"/>
      <c r="C595" s="22"/>
      <c r="D595" s="13"/>
      <c r="E595" s="13"/>
      <c r="F595" s="13"/>
      <c r="G595" s="23"/>
      <c r="H595" s="13"/>
      <c r="I595" s="13"/>
    </row>
    <row r="596" spans="1:9" ht="22.5" customHeight="1">
      <c r="A596" s="20"/>
      <c r="B596" s="21"/>
      <c r="C596" s="22"/>
      <c r="D596" s="13"/>
      <c r="E596" s="13"/>
      <c r="F596" s="13"/>
      <c r="G596" s="23"/>
      <c r="H596" s="13"/>
      <c r="I596" s="13"/>
    </row>
    <row r="597" spans="1:9" ht="22.5" customHeight="1">
      <c r="A597" s="20"/>
      <c r="B597" s="21"/>
      <c r="C597" s="22"/>
      <c r="D597" s="13"/>
      <c r="E597" s="13"/>
      <c r="F597" s="13"/>
      <c r="G597" s="23"/>
      <c r="H597" s="13"/>
      <c r="I597" s="13"/>
    </row>
    <row r="598" spans="1:9" ht="22.5" customHeight="1">
      <c r="A598" s="20"/>
      <c r="B598" s="21"/>
      <c r="C598" s="22"/>
      <c r="D598" s="13"/>
      <c r="E598" s="13"/>
      <c r="F598" s="13"/>
      <c r="G598" s="23"/>
      <c r="H598" s="13"/>
      <c r="I598" s="13"/>
    </row>
    <row r="599" spans="1:9" ht="22.5" customHeight="1">
      <c r="A599" s="20"/>
      <c r="B599" s="21"/>
      <c r="C599" s="22"/>
      <c r="D599" s="13"/>
      <c r="E599" s="13"/>
      <c r="F599" s="13"/>
      <c r="G599" s="23"/>
      <c r="H599" s="13"/>
      <c r="I599" s="13"/>
    </row>
    <row r="600" spans="1:9" ht="22.5" customHeight="1">
      <c r="A600" s="20"/>
      <c r="B600" s="21"/>
      <c r="C600" s="22"/>
      <c r="D600" s="13"/>
      <c r="E600" s="13"/>
      <c r="F600" s="13"/>
      <c r="G600" s="23"/>
      <c r="H600" s="13"/>
      <c r="I600" s="13"/>
    </row>
    <row r="601" spans="1:9" ht="22.5" customHeight="1">
      <c r="A601" s="20"/>
      <c r="B601" s="21"/>
      <c r="C601" s="22"/>
      <c r="D601" s="13"/>
      <c r="E601" s="13"/>
      <c r="F601" s="13"/>
      <c r="G601" s="23"/>
      <c r="H601" s="13"/>
      <c r="I601" s="13"/>
    </row>
    <row r="602" spans="1:9" ht="22.5" customHeight="1">
      <c r="A602" s="20"/>
      <c r="B602" s="21"/>
      <c r="C602" s="22"/>
      <c r="D602" s="13"/>
      <c r="E602" s="13"/>
      <c r="F602" s="13"/>
      <c r="G602" s="23"/>
      <c r="H602" s="13"/>
      <c r="I602" s="13"/>
    </row>
    <row r="603" spans="1:9" ht="22.5" customHeight="1">
      <c r="A603" s="20"/>
      <c r="B603" s="21"/>
      <c r="C603" s="22"/>
      <c r="D603" s="13"/>
      <c r="E603" s="13"/>
      <c r="F603" s="13"/>
      <c r="G603" s="23"/>
      <c r="H603" s="13"/>
      <c r="I603" s="13"/>
    </row>
    <row r="604" spans="1:9" ht="22.5" customHeight="1">
      <c r="A604" s="20"/>
      <c r="B604" s="21"/>
      <c r="C604" s="22"/>
      <c r="D604" s="13"/>
      <c r="E604" s="13"/>
      <c r="F604" s="13"/>
      <c r="G604" s="23"/>
      <c r="H604" s="13"/>
      <c r="I604" s="13"/>
    </row>
    <row r="605" spans="1:9" ht="22.5" customHeight="1">
      <c r="A605" s="20"/>
      <c r="B605" s="21"/>
      <c r="C605" s="22"/>
      <c r="D605" s="13"/>
      <c r="E605" s="13"/>
      <c r="F605" s="13"/>
      <c r="G605" s="23"/>
      <c r="H605" s="13"/>
      <c r="I605" s="13"/>
    </row>
    <row r="606" spans="1:9" ht="22.5" customHeight="1">
      <c r="A606" s="20"/>
      <c r="B606" s="21"/>
      <c r="C606" s="22"/>
      <c r="D606" s="13"/>
      <c r="E606" s="13"/>
      <c r="F606" s="13"/>
      <c r="G606" s="23"/>
      <c r="H606" s="13"/>
      <c r="I606" s="13"/>
    </row>
    <row r="607" spans="1:9" ht="22.5" customHeight="1">
      <c r="A607" s="20"/>
      <c r="B607" s="21"/>
      <c r="C607" s="22"/>
      <c r="D607" s="13"/>
      <c r="E607" s="13"/>
      <c r="F607" s="13"/>
      <c r="G607" s="23"/>
      <c r="H607" s="13"/>
      <c r="I607" s="13"/>
    </row>
    <row r="608" spans="1:9" ht="22.5" customHeight="1">
      <c r="A608" s="20"/>
      <c r="B608" s="21"/>
      <c r="C608" s="22"/>
      <c r="D608" s="13"/>
      <c r="E608" s="13"/>
      <c r="F608" s="13"/>
      <c r="G608" s="23"/>
      <c r="H608" s="13"/>
      <c r="I608" s="13"/>
    </row>
    <row r="609" spans="1:9" ht="22.5" customHeight="1">
      <c r="A609" s="20"/>
      <c r="B609" s="21"/>
      <c r="C609" s="22"/>
      <c r="D609" s="13"/>
      <c r="E609" s="13"/>
      <c r="F609" s="13"/>
      <c r="G609" s="23"/>
      <c r="H609" s="13"/>
      <c r="I609" s="13"/>
    </row>
    <row r="610" spans="1:9" ht="22.5" customHeight="1">
      <c r="A610" s="20"/>
      <c r="B610" s="21"/>
      <c r="C610" s="22"/>
      <c r="D610" s="13"/>
      <c r="E610" s="13"/>
      <c r="F610" s="13"/>
      <c r="G610" s="23"/>
      <c r="H610" s="13"/>
      <c r="I610" s="13"/>
    </row>
    <row r="611" spans="1:9" ht="22.5" customHeight="1">
      <c r="A611" s="20"/>
      <c r="B611" s="21"/>
      <c r="C611" s="22"/>
      <c r="D611" s="13"/>
      <c r="E611" s="13"/>
      <c r="F611" s="13"/>
      <c r="G611" s="23"/>
      <c r="H611" s="13"/>
      <c r="I611" s="13"/>
    </row>
    <row r="612" spans="1:9" ht="22.5" customHeight="1">
      <c r="A612" s="20"/>
      <c r="B612" s="21"/>
      <c r="C612" s="22"/>
      <c r="D612" s="13"/>
      <c r="E612" s="13"/>
      <c r="F612" s="13"/>
      <c r="G612" s="23"/>
      <c r="H612" s="13"/>
      <c r="I612" s="13"/>
    </row>
    <row r="613" spans="1:9" ht="22.5" customHeight="1">
      <c r="A613" s="20"/>
      <c r="B613" s="21"/>
      <c r="C613" s="22"/>
      <c r="D613" s="13"/>
      <c r="E613" s="13"/>
      <c r="F613" s="13"/>
      <c r="G613" s="23"/>
      <c r="H613" s="13"/>
      <c r="I613" s="13"/>
    </row>
    <row r="614" spans="1:9" ht="22.5" customHeight="1">
      <c r="A614" s="20"/>
      <c r="B614" s="21"/>
      <c r="C614" s="22"/>
      <c r="D614" s="13"/>
      <c r="E614" s="13"/>
      <c r="F614" s="13"/>
      <c r="G614" s="23"/>
      <c r="H614" s="13"/>
      <c r="I614" s="13"/>
    </row>
    <row r="615" spans="1:9" ht="22.5" customHeight="1">
      <c r="A615" s="20"/>
      <c r="B615" s="21"/>
      <c r="C615" s="22"/>
      <c r="D615" s="13"/>
      <c r="E615" s="13"/>
      <c r="F615" s="13"/>
      <c r="G615" s="23"/>
      <c r="H615" s="13"/>
      <c r="I615" s="13"/>
    </row>
    <row r="616" spans="1:9" ht="22.5" customHeight="1">
      <c r="A616" s="20"/>
      <c r="B616" s="21"/>
      <c r="C616" s="22"/>
      <c r="D616" s="13"/>
      <c r="E616" s="13"/>
      <c r="F616" s="13"/>
      <c r="G616" s="23"/>
      <c r="H616" s="13"/>
      <c r="I616" s="13"/>
    </row>
    <row r="617" spans="1:9" ht="22.5" customHeight="1">
      <c r="A617" s="20"/>
      <c r="B617" s="21"/>
      <c r="C617" s="22"/>
      <c r="D617" s="13"/>
      <c r="E617" s="13"/>
      <c r="F617" s="13"/>
      <c r="G617" s="23"/>
      <c r="H617" s="13"/>
      <c r="I617" s="13"/>
    </row>
    <row r="618" spans="1:9" ht="22.5" customHeight="1">
      <c r="A618" s="20"/>
      <c r="B618" s="21"/>
      <c r="C618" s="22"/>
      <c r="D618" s="13"/>
      <c r="E618" s="13"/>
      <c r="F618" s="13"/>
      <c r="G618" s="23"/>
      <c r="H618" s="13"/>
      <c r="I618" s="13"/>
    </row>
    <row r="619" spans="1:9" ht="22.5" customHeight="1">
      <c r="A619" s="20"/>
      <c r="B619" s="21"/>
      <c r="C619" s="22"/>
      <c r="D619" s="13"/>
      <c r="E619" s="13"/>
      <c r="F619" s="13"/>
      <c r="G619" s="23"/>
      <c r="H619" s="13"/>
      <c r="I619" s="13"/>
    </row>
    <row r="620" spans="1:9" ht="22.5" customHeight="1">
      <c r="A620" s="20"/>
      <c r="B620" s="21"/>
      <c r="C620" s="22"/>
      <c r="D620" s="13"/>
      <c r="E620" s="13"/>
      <c r="F620" s="13"/>
      <c r="G620" s="23"/>
      <c r="H620" s="13"/>
      <c r="I620" s="13"/>
    </row>
    <row r="621" spans="1:9" ht="22.5" customHeight="1">
      <c r="A621" s="20"/>
      <c r="B621" s="21"/>
      <c r="C621" s="22"/>
      <c r="D621" s="13"/>
      <c r="E621" s="13"/>
      <c r="F621" s="13"/>
      <c r="G621" s="23"/>
      <c r="H621" s="13"/>
      <c r="I621" s="13"/>
    </row>
    <row r="622" spans="1:9" ht="22.5" customHeight="1">
      <c r="A622" s="20"/>
      <c r="B622" s="21"/>
      <c r="C622" s="22"/>
      <c r="D622" s="13"/>
      <c r="E622" s="13"/>
      <c r="F622" s="13"/>
      <c r="G622" s="23"/>
      <c r="H622" s="13"/>
      <c r="I622" s="13"/>
    </row>
    <row r="623" spans="1:9" ht="22.5" customHeight="1">
      <c r="A623" s="20"/>
      <c r="B623" s="21"/>
      <c r="C623" s="22"/>
      <c r="D623" s="13"/>
      <c r="E623" s="13"/>
      <c r="F623" s="13"/>
      <c r="G623" s="23"/>
      <c r="H623" s="13"/>
      <c r="I623" s="13"/>
    </row>
    <row r="624" spans="1:9" ht="22.5" customHeight="1">
      <c r="A624" s="20"/>
      <c r="B624" s="21"/>
      <c r="C624" s="22"/>
      <c r="D624" s="13"/>
      <c r="E624" s="13"/>
      <c r="F624" s="13"/>
      <c r="G624" s="23"/>
      <c r="H624" s="13"/>
      <c r="I624" s="13"/>
    </row>
    <row r="625" spans="1:9" ht="22.5" customHeight="1">
      <c r="A625" s="20"/>
      <c r="B625" s="21"/>
      <c r="C625" s="22"/>
      <c r="D625" s="13"/>
      <c r="E625" s="13"/>
      <c r="F625" s="13"/>
      <c r="G625" s="23"/>
      <c r="H625" s="13"/>
      <c r="I625" s="13"/>
    </row>
    <row r="626" spans="1:9" ht="22.5" customHeight="1">
      <c r="A626" s="20"/>
      <c r="B626" s="21"/>
      <c r="C626" s="22"/>
      <c r="D626" s="13"/>
      <c r="E626" s="13"/>
      <c r="F626" s="13"/>
      <c r="G626" s="23"/>
      <c r="H626" s="13"/>
      <c r="I626" s="13"/>
    </row>
    <row r="627" spans="1:9" ht="22.5" customHeight="1">
      <c r="A627" s="20"/>
      <c r="B627" s="21"/>
      <c r="C627" s="22"/>
      <c r="D627" s="13"/>
      <c r="E627" s="13"/>
      <c r="F627" s="13"/>
      <c r="G627" s="23"/>
      <c r="H627" s="13"/>
      <c r="I627" s="13"/>
    </row>
    <row r="628" spans="1:9" ht="22.5" customHeight="1">
      <c r="A628" s="20"/>
      <c r="B628" s="21"/>
      <c r="C628" s="22"/>
      <c r="D628" s="13"/>
      <c r="E628" s="13"/>
      <c r="F628" s="13"/>
      <c r="G628" s="23"/>
      <c r="H628" s="13"/>
      <c r="I628" s="13"/>
    </row>
    <row r="629" spans="1:9" ht="22.5" customHeight="1">
      <c r="A629" s="20"/>
      <c r="B629" s="21"/>
      <c r="C629" s="22"/>
      <c r="D629" s="13"/>
      <c r="E629" s="13"/>
      <c r="F629" s="13"/>
      <c r="G629" s="23"/>
      <c r="H629" s="13"/>
      <c r="I629" s="13"/>
    </row>
    <row r="630" spans="1:9" ht="22.5" customHeight="1">
      <c r="A630" s="20"/>
      <c r="B630" s="21"/>
      <c r="C630" s="22"/>
      <c r="D630" s="13"/>
      <c r="E630" s="13"/>
      <c r="F630" s="13"/>
      <c r="G630" s="23"/>
      <c r="H630" s="13"/>
      <c r="I630" s="13"/>
    </row>
    <row r="631" spans="1:9" ht="22.5" customHeight="1">
      <c r="A631" s="20"/>
      <c r="B631" s="21"/>
      <c r="C631" s="22"/>
      <c r="D631" s="13"/>
      <c r="E631" s="13"/>
      <c r="F631" s="13"/>
      <c r="G631" s="23"/>
      <c r="H631" s="13"/>
      <c r="I631" s="13"/>
    </row>
    <row r="632" spans="1:9" ht="22.5" customHeight="1">
      <c r="A632" s="20"/>
      <c r="B632" s="21"/>
      <c r="C632" s="22"/>
      <c r="D632" s="13"/>
      <c r="E632" s="13"/>
      <c r="F632" s="13"/>
      <c r="G632" s="23"/>
      <c r="H632" s="13"/>
      <c r="I632" s="13"/>
    </row>
    <row r="633" spans="1:9" ht="22.5" customHeight="1">
      <c r="A633" s="20"/>
      <c r="B633" s="21"/>
      <c r="C633" s="22"/>
      <c r="D633" s="13"/>
      <c r="E633" s="13"/>
      <c r="F633" s="13"/>
      <c r="G633" s="23"/>
      <c r="H633" s="13"/>
      <c r="I633" s="13"/>
    </row>
    <row r="634" spans="1:9" ht="22.5" customHeight="1">
      <c r="A634" s="20"/>
      <c r="B634" s="21"/>
      <c r="C634" s="22"/>
      <c r="D634" s="13"/>
      <c r="E634" s="13"/>
      <c r="F634" s="13"/>
      <c r="G634" s="23"/>
      <c r="H634" s="13"/>
      <c r="I634" s="13"/>
    </row>
    <row r="635" spans="1:9" ht="22.5" customHeight="1">
      <c r="A635" s="20"/>
      <c r="B635" s="21"/>
      <c r="C635" s="22"/>
      <c r="D635" s="13"/>
      <c r="E635" s="13"/>
      <c r="F635" s="13"/>
      <c r="G635" s="23"/>
      <c r="H635" s="13"/>
      <c r="I635" s="13"/>
    </row>
    <row r="636" spans="1:9" ht="22.5" customHeight="1">
      <c r="A636" s="20"/>
      <c r="B636" s="21"/>
      <c r="C636" s="22"/>
      <c r="D636" s="13"/>
      <c r="E636" s="13"/>
      <c r="F636" s="13"/>
      <c r="G636" s="23"/>
      <c r="H636" s="13"/>
      <c r="I636" s="13"/>
    </row>
    <row r="637" spans="1:9" ht="22.5" customHeight="1">
      <c r="A637" s="20"/>
      <c r="B637" s="21"/>
      <c r="C637" s="22"/>
      <c r="D637" s="13"/>
      <c r="E637" s="13"/>
      <c r="F637" s="13"/>
      <c r="G637" s="23"/>
      <c r="H637" s="13"/>
      <c r="I637" s="13"/>
    </row>
    <row r="638" spans="1:9" ht="22.5" customHeight="1">
      <c r="A638" s="20"/>
      <c r="B638" s="21"/>
      <c r="C638" s="22"/>
      <c r="D638" s="13"/>
      <c r="E638" s="13"/>
      <c r="F638" s="13"/>
      <c r="G638" s="23"/>
      <c r="H638" s="13"/>
      <c r="I638" s="13"/>
    </row>
    <row r="639" spans="1:9" ht="22.5" customHeight="1">
      <c r="A639" s="20"/>
      <c r="B639" s="21"/>
      <c r="C639" s="22"/>
      <c r="D639" s="13"/>
      <c r="E639" s="13"/>
      <c r="F639" s="13"/>
      <c r="G639" s="23"/>
      <c r="H639" s="13"/>
      <c r="I639" s="13"/>
    </row>
    <row r="640" spans="1:9" ht="22.5" customHeight="1">
      <c r="A640" s="20"/>
      <c r="B640" s="21"/>
      <c r="C640" s="22"/>
      <c r="D640" s="13"/>
      <c r="E640" s="13"/>
      <c r="F640" s="13"/>
      <c r="G640" s="23"/>
      <c r="H640" s="13"/>
      <c r="I640" s="13"/>
    </row>
    <row r="641" spans="1:9" ht="22.5" customHeight="1">
      <c r="A641" s="20"/>
      <c r="B641" s="21"/>
      <c r="C641" s="22"/>
      <c r="D641" s="13"/>
      <c r="E641" s="13"/>
      <c r="F641" s="13"/>
      <c r="G641" s="23"/>
      <c r="H641" s="13"/>
      <c r="I641" s="13"/>
    </row>
    <row r="642" spans="1:9" ht="22.5" customHeight="1">
      <c r="A642" s="20"/>
      <c r="B642" s="21"/>
      <c r="C642" s="22"/>
      <c r="D642" s="13"/>
      <c r="E642" s="13"/>
      <c r="F642" s="13"/>
      <c r="G642" s="23"/>
      <c r="H642" s="13"/>
      <c r="I642" s="13"/>
    </row>
    <row r="643" spans="1:9" ht="22.5" customHeight="1">
      <c r="A643" s="20"/>
      <c r="B643" s="21"/>
      <c r="C643" s="22"/>
      <c r="D643" s="13"/>
      <c r="E643" s="13"/>
      <c r="F643" s="13"/>
      <c r="G643" s="23"/>
      <c r="H643" s="13"/>
      <c r="I643" s="13"/>
    </row>
    <row r="644" spans="1:9" ht="22.5" customHeight="1">
      <c r="A644" s="20"/>
      <c r="B644" s="21"/>
      <c r="C644" s="22"/>
      <c r="D644" s="13"/>
      <c r="E644" s="13"/>
      <c r="F644" s="13"/>
      <c r="G644" s="23"/>
      <c r="H644" s="13"/>
      <c r="I644" s="13"/>
    </row>
    <row r="645" spans="1:9" ht="22.5" customHeight="1">
      <c r="A645" s="20"/>
      <c r="B645" s="21"/>
      <c r="C645" s="22"/>
      <c r="D645" s="13"/>
      <c r="E645" s="13"/>
      <c r="F645" s="13"/>
      <c r="G645" s="23"/>
      <c r="H645" s="13"/>
      <c r="I645" s="13"/>
    </row>
    <row r="646" spans="1:9" ht="22.5" customHeight="1">
      <c r="A646" s="20"/>
      <c r="B646" s="21"/>
      <c r="C646" s="22"/>
      <c r="D646" s="13"/>
      <c r="E646" s="13"/>
      <c r="F646" s="13"/>
      <c r="G646" s="23"/>
      <c r="H646" s="13"/>
      <c r="I646" s="13"/>
    </row>
    <row r="647" spans="1:9" ht="22.5" customHeight="1">
      <c r="A647" s="20"/>
      <c r="B647" s="21"/>
      <c r="C647" s="22"/>
      <c r="D647" s="13"/>
      <c r="E647" s="13"/>
      <c r="F647" s="13"/>
      <c r="G647" s="23"/>
      <c r="H647" s="13"/>
      <c r="I647" s="13"/>
    </row>
    <row r="648" spans="1:9" ht="22.5" customHeight="1">
      <c r="A648" s="20"/>
      <c r="B648" s="21"/>
      <c r="C648" s="22"/>
      <c r="D648" s="13"/>
      <c r="E648" s="13"/>
      <c r="F648" s="13"/>
      <c r="G648" s="23"/>
      <c r="H648" s="13"/>
      <c r="I648" s="13"/>
    </row>
    <row r="649" spans="1:9" ht="22.5" customHeight="1">
      <c r="A649" s="20"/>
      <c r="B649" s="21"/>
      <c r="C649" s="22"/>
      <c r="D649" s="13"/>
      <c r="E649" s="13"/>
      <c r="F649" s="13"/>
      <c r="G649" s="23"/>
      <c r="H649" s="13"/>
      <c r="I649" s="13"/>
    </row>
    <row r="650" spans="1:9" ht="22.5" customHeight="1">
      <c r="A650" s="20"/>
      <c r="B650" s="21"/>
      <c r="C650" s="22"/>
      <c r="D650" s="13"/>
      <c r="E650" s="13"/>
      <c r="F650" s="13"/>
      <c r="G650" s="23"/>
      <c r="H650" s="13"/>
      <c r="I650" s="13"/>
    </row>
    <row r="651" spans="1:9" ht="22.5" customHeight="1">
      <c r="A651" s="20"/>
      <c r="B651" s="21"/>
      <c r="C651" s="22"/>
      <c r="D651" s="13"/>
      <c r="E651" s="13"/>
      <c r="F651" s="13"/>
      <c r="G651" s="23"/>
      <c r="H651" s="13"/>
      <c r="I651" s="13"/>
    </row>
    <row r="652" spans="1:9" ht="22.5" customHeight="1">
      <c r="A652" s="20"/>
      <c r="B652" s="21"/>
      <c r="C652" s="22"/>
      <c r="D652" s="13"/>
      <c r="E652" s="13"/>
      <c r="F652" s="13"/>
      <c r="G652" s="23"/>
      <c r="H652" s="13"/>
      <c r="I652" s="13"/>
    </row>
    <row r="653" spans="1:9" ht="22.5" customHeight="1">
      <c r="A653" s="20"/>
      <c r="B653" s="21"/>
      <c r="C653" s="22"/>
      <c r="D653" s="13"/>
      <c r="E653" s="13"/>
      <c r="F653" s="13"/>
      <c r="G653" s="23"/>
      <c r="H653" s="13"/>
      <c r="I653" s="13"/>
    </row>
    <row r="654" spans="1:9" ht="22.5" customHeight="1">
      <c r="A654" s="20"/>
      <c r="B654" s="21"/>
      <c r="C654" s="22"/>
      <c r="D654" s="13"/>
      <c r="E654" s="13"/>
      <c r="F654" s="13"/>
      <c r="G654" s="23"/>
      <c r="H654" s="13"/>
      <c r="I654" s="13"/>
    </row>
    <row r="655" spans="1:9" ht="22.5" customHeight="1">
      <c r="A655" s="20"/>
      <c r="B655" s="21"/>
      <c r="C655" s="22"/>
      <c r="D655" s="13"/>
      <c r="E655" s="13"/>
      <c r="F655" s="13"/>
      <c r="G655" s="23"/>
      <c r="H655" s="13"/>
      <c r="I655" s="13"/>
    </row>
    <row r="656" spans="1:9" ht="22.5" customHeight="1">
      <c r="A656" s="20"/>
      <c r="B656" s="21"/>
      <c r="C656" s="22"/>
      <c r="D656" s="13"/>
      <c r="E656" s="13"/>
      <c r="F656" s="13"/>
      <c r="G656" s="23"/>
      <c r="H656" s="13"/>
      <c r="I656" s="13"/>
    </row>
    <row r="657" spans="1:9" ht="22.5" customHeight="1">
      <c r="A657" s="20"/>
      <c r="B657" s="21"/>
      <c r="C657" s="22"/>
      <c r="D657" s="13"/>
      <c r="E657" s="13"/>
      <c r="F657" s="13"/>
      <c r="G657" s="23"/>
      <c r="H657" s="13"/>
      <c r="I657" s="13"/>
    </row>
    <row r="658" spans="1:9" ht="22.5" customHeight="1">
      <c r="A658" s="20"/>
      <c r="B658" s="21"/>
      <c r="C658" s="22"/>
      <c r="D658" s="13"/>
      <c r="E658" s="13"/>
      <c r="F658" s="13"/>
      <c r="G658" s="23"/>
      <c r="H658" s="13"/>
      <c r="I658" s="13"/>
    </row>
    <row r="659" spans="1:9" ht="22.5" customHeight="1">
      <c r="A659" s="20"/>
      <c r="B659" s="21"/>
      <c r="C659" s="22"/>
      <c r="D659" s="13"/>
      <c r="E659" s="13"/>
      <c r="F659" s="13"/>
      <c r="G659" s="23"/>
      <c r="H659" s="13"/>
      <c r="I659" s="13"/>
    </row>
    <row r="660" spans="1:9" ht="22.5" customHeight="1">
      <c r="A660" s="20"/>
      <c r="B660" s="21"/>
      <c r="C660" s="22"/>
      <c r="D660" s="13"/>
      <c r="E660" s="13"/>
      <c r="F660" s="13"/>
      <c r="G660" s="23"/>
      <c r="H660" s="13"/>
      <c r="I660" s="13"/>
    </row>
    <row r="661" spans="1:9" ht="22.5" customHeight="1">
      <c r="A661" s="20"/>
      <c r="B661" s="21"/>
      <c r="C661" s="22"/>
      <c r="D661" s="13"/>
      <c r="E661" s="13"/>
      <c r="F661" s="13"/>
      <c r="G661" s="23"/>
      <c r="H661" s="13"/>
      <c r="I661" s="13"/>
    </row>
    <row r="662" spans="1:9" ht="22.5" customHeight="1">
      <c r="A662" s="20"/>
      <c r="B662" s="21"/>
      <c r="C662" s="22"/>
      <c r="D662" s="13"/>
      <c r="E662" s="13"/>
      <c r="F662" s="13"/>
      <c r="G662" s="23"/>
      <c r="H662" s="13"/>
      <c r="I662" s="13"/>
    </row>
    <row r="663" spans="1:9" ht="22.5" customHeight="1">
      <c r="A663" s="20"/>
      <c r="B663" s="21"/>
      <c r="C663" s="22"/>
      <c r="D663" s="13"/>
      <c r="E663" s="13"/>
      <c r="F663" s="13"/>
      <c r="G663" s="23"/>
      <c r="H663" s="13"/>
      <c r="I663" s="13"/>
    </row>
    <row r="664" spans="1:9" ht="22.5" customHeight="1">
      <c r="A664" s="20"/>
      <c r="B664" s="21"/>
      <c r="C664" s="22"/>
      <c r="D664" s="13"/>
      <c r="E664" s="13"/>
      <c r="F664" s="13"/>
      <c r="G664" s="23"/>
      <c r="H664" s="13"/>
      <c r="I664" s="13"/>
    </row>
    <row r="665" spans="1:9" ht="22.5" customHeight="1">
      <c r="A665" s="20"/>
      <c r="B665" s="21"/>
      <c r="C665" s="22"/>
      <c r="D665" s="13"/>
      <c r="E665" s="13"/>
      <c r="F665" s="13"/>
      <c r="G665" s="23"/>
      <c r="H665" s="13"/>
      <c r="I665" s="13"/>
    </row>
    <row r="666" spans="1:9" ht="22.5" customHeight="1">
      <c r="A666" s="20"/>
      <c r="B666" s="21"/>
      <c r="C666" s="22"/>
      <c r="D666" s="13"/>
      <c r="E666" s="13"/>
      <c r="F666" s="13"/>
      <c r="G666" s="23"/>
      <c r="H666" s="13"/>
      <c r="I666" s="13"/>
    </row>
    <row r="667" spans="1:9" ht="22.5" customHeight="1">
      <c r="A667" s="20"/>
      <c r="B667" s="21"/>
      <c r="C667" s="22"/>
      <c r="D667" s="13"/>
      <c r="E667" s="13"/>
      <c r="F667" s="13"/>
      <c r="G667" s="23"/>
      <c r="H667" s="13"/>
      <c r="I667" s="13"/>
    </row>
    <row r="668" spans="1:9" ht="22.5" customHeight="1">
      <c r="A668" s="20"/>
      <c r="B668" s="21"/>
      <c r="C668" s="22"/>
      <c r="D668" s="13"/>
      <c r="E668" s="13"/>
      <c r="F668" s="13"/>
      <c r="G668" s="23"/>
      <c r="H668" s="13"/>
      <c r="I668" s="13"/>
    </row>
    <row r="669" spans="1:9" ht="22.5" customHeight="1">
      <c r="A669" s="20"/>
      <c r="B669" s="21"/>
      <c r="C669" s="22"/>
      <c r="D669" s="13"/>
      <c r="E669" s="13"/>
      <c r="F669" s="13"/>
      <c r="G669" s="23"/>
      <c r="H669" s="13"/>
      <c r="I669" s="13"/>
    </row>
    <row r="670" spans="1:9" ht="22.5" customHeight="1">
      <c r="A670" s="20"/>
      <c r="B670" s="21"/>
      <c r="C670" s="22"/>
      <c r="D670" s="13"/>
      <c r="E670" s="13"/>
      <c r="F670" s="13"/>
      <c r="G670" s="23"/>
      <c r="H670" s="13"/>
      <c r="I670" s="13"/>
    </row>
    <row r="671" spans="1:9" ht="22.5" customHeight="1">
      <c r="A671" s="20"/>
      <c r="B671" s="21"/>
      <c r="C671" s="22"/>
      <c r="D671" s="13"/>
      <c r="E671" s="13"/>
      <c r="F671" s="13"/>
      <c r="G671" s="23"/>
      <c r="H671" s="13"/>
      <c r="I671" s="13"/>
    </row>
    <row r="672" spans="1:9" ht="22.5" customHeight="1">
      <c r="A672" s="20"/>
      <c r="B672" s="21"/>
      <c r="C672" s="22"/>
      <c r="D672" s="13"/>
      <c r="E672" s="13"/>
      <c r="F672" s="13"/>
      <c r="G672" s="23"/>
      <c r="H672" s="13"/>
      <c r="I672" s="13"/>
    </row>
    <row r="673" spans="1:9" ht="22.5" customHeight="1">
      <c r="A673" s="20"/>
      <c r="B673" s="21"/>
      <c r="C673" s="22"/>
      <c r="D673" s="13"/>
      <c r="E673" s="13"/>
      <c r="F673" s="13"/>
      <c r="G673" s="23"/>
      <c r="H673" s="13"/>
      <c r="I673" s="13"/>
    </row>
    <row r="674" spans="1:9" ht="22.5" customHeight="1">
      <c r="A674" s="20"/>
      <c r="B674" s="21"/>
      <c r="C674" s="22"/>
      <c r="D674" s="13"/>
      <c r="E674" s="13"/>
      <c r="F674" s="13"/>
      <c r="G674" s="23"/>
      <c r="H674" s="13"/>
      <c r="I674" s="13"/>
    </row>
    <row r="675" spans="1:9" ht="22.5" customHeight="1">
      <c r="A675" s="20"/>
      <c r="B675" s="21"/>
      <c r="C675" s="22"/>
      <c r="D675" s="13"/>
      <c r="E675" s="13"/>
      <c r="F675" s="13"/>
      <c r="G675" s="23"/>
      <c r="H675" s="13"/>
      <c r="I675" s="13"/>
    </row>
    <row r="676" spans="1:9" ht="22.5" customHeight="1">
      <c r="A676" s="20"/>
      <c r="B676" s="21"/>
      <c r="C676" s="22"/>
      <c r="D676" s="13"/>
      <c r="E676" s="13"/>
      <c r="F676" s="13"/>
      <c r="G676" s="23"/>
      <c r="H676" s="13"/>
      <c r="I676" s="13"/>
    </row>
    <row r="677" spans="1:9" ht="22.5" customHeight="1">
      <c r="A677" s="20"/>
      <c r="B677" s="21"/>
      <c r="C677" s="22"/>
      <c r="D677" s="13"/>
      <c r="E677" s="13"/>
      <c r="F677" s="13"/>
      <c r="G677" s="23"/>
      <c r="H677" s="13"/>
      <c r="I677" s="13"/>
    </row>
    <row r="678" spans="1:9" ht="22.5" customHeight="1">
      <c r="A678" s="20"/>
      <c r="B678" s="21"/>
      <c r="C678" s="22"/>
      <c r="D678" s="13"/>
      <c r="E678" s="13"/>
      <c r="F678" s="13"/>
      <c r="G678" s="23"/>
      <c r="H678" s="13"/>
      <c r="I678" s="13"/>
    </row>
    <row r="679" spans="1:9" ht="22.5" customHeight="1">
      <c r="A679" s="20"/>
      <c r="B679" s="21"/>
      <c r="C679" s="22"/>
      <c r="D679" s="13"/>
      <c r="E679" s="13"/>
      <c r="F679" s="13"/>
      <c r="G679" s="23"/>
      <c r="H679" s="13"/>
      <c r="I679" s="13"/>
    </row>
    <row r="680" spans="1:9" ht="22.5" customHeight="1">
      <c r="A680" s="20"/>
      <c r="B680" s="21"/>
      <c r="C680" s="22"/>
      <c r="D680" s="13"/>
      <c r="E680" s="13"/>
      <c r="F680" s="13"/>
      <c r="G680" s="23"/>
      <c r="H680" s="13"/>
      <c r="I680" s="13"/>
    </row>
    <row r="681" spans="1:9" ht="22.5" customHeight="1">
      <c r="A681" s="20"/>
      <c r="B681" s="21"/>
      <c r="C681" s="22"/>
      <c r="D681" s="13"/>
      <c r="E681" s="13"/>
      <c r="F681" s="13"/>
      <c r="G681" s="23"/>
      <c r="H681" s="13"/>
      <c r="I681" s="13"/>
    </row>
    <row r="682" spans="1:9" ht="22.5" customHeight="1">
      <c r="A682" s="20"/>
      <c r="B682" s="21"/>
      <c r="C682" s="22"/>
      <c r="D682" s="13"/>
      <c r="E682" s="13"/>
      <c r="F682" s="13"/>
      <c r="G682" s="23"/>
      <c r="H682" s="13"/>
      <c r="I682" s="13"/>
    </row>
    <row r="683" spans="1:9" ht="22.5" customHeight="1">
      <c r="A683" s="20"/>
      <c r="B683" s="21"/>
      <c r="C683" s="22"/>
      <c r="D683" s="13"/>
      <c r="E683" s="13"/>
      <c r="F683" s="13"/>
      <c r="G683" s="23"/>
      <c r="H683" s="13"/>
      <c r="I683" s="13"/>
    </row>
    <row r="684" spans="1:9" ht="22.5" customHeight="1">
      <c r="A684" s="20"/>
      <c r="B684" s="21"/>
      <c r="C684" s="22"/>
      <c r="D684" s="13"/>
      <c r="E684" s="13"/>
      <c r="F684" s="13"/>
      <c r="G684" s="23"/>
      <c r="H684" s="13"/>
      <c r="I684" s="13"/>
    </row>
    <row r="685" spans="1:9" ht="22.5" customHeight="1">
      <c r="A685" s="20"/>
      <c r="B685" s="21"/>
      <c r="C685" s="22"/>
      <c r="D685" s="13"/>
      <c r="E685" s="13"/>
      <c r="F685" s="13"/>
      <c r="G685" s="23"/>
      <c r="H685" s="13"/>
      <c r="I685" s="13"/>
    </row>
    <row r="686" spans="1:9" ht="22.5" customHeight="1">
      <c r="A686" s="20"/>
      <c r="B686" s="21"/>
      <c r="C686" s="22"/>
      <c r="D686" s="13"/>
      <c r="E686" s="13"/>
      <c r="F686" s="13"/>
      <c r="G686" s="23"/>
      <c r="H686" s="13"/>
      <c r="I686" s="13"/>
    </row>
    <row r="687" spans="1:9" ht="22.5" customHeight="1">
      <c r="A687" s="20"/>
      <c r="B687" s="21"/>
      <c r="C687" s="22"/>
      <c r="D687" s="13"/>
      <c r="E687" s="13"/>
      <c r="F687" s="13"/>
      <c r="G687" s="23"/>
      <c r="H687" s="13"/>
      <c r="I687" s="13"/>
    </row>
    <row r="688" spans="1:9" ht="22.5" customHeight="1">
      <c r="A688" s="20"/>
      <c r="B688" s="21"/>
      <c r="C688" s="22"/>
      <c r="D688" s="13"/>
      <c r="E688" s="13"/>
      <c r="F688" s="13"/>
      <c r="G688" s="23"/>
      <c r="H688" s="13"/>
      <c r="I688" s="13"/>
    </row>
    <row r="689" spans="1:9" ht="22.5" customHeight="1">
      <c r="A689" s="20"/>
      <c r="B689" s="21"/>
      <c r="C689" s="22"/>
      <c r="D689" s="13"/>
      <c r="E689" s="13"/>
      <c r="F689" s="13"/>
      <c r="G689" s="23"/>
      <c r="H689" s="13"/>
      <c r="I689" s="13"/>
    </row>
    <row r="690" spans="1:9" ht="22.5" customHeight="1">
      <c r="A690" s="20"/>
      <c r="B690" s="21"/>
      <c r="C690" s="22"/>
      <c r="D690" s="13"/>
      <c r="E690" s="13"/>
      <c r="F690" s="13"/>
      <c r="G690" s="23"/>
      <c r="H690" s="13"/>
      <c r="I690" s="13"/>
    </row>
    <row r="691" spans="1:9" ht="22.5" customHeight="1">
      <c r="A691" s="20"/>
      <c r="B691" s="21"/>
      <c r="C691" s="22"/>
      <c r="D691" s="13"/>
      <c r="E691" s="13"/>
      <c r="F691" s="13"/>
      <c r="G691" s="23"/>
      <c r="H691" s="13"/>
      <c r="I691" s="13"/>
    </row>
    <row r="692" spans="1:9" ht="22.5" customHeight="1">
      <c r="A692" s="20"/>
      <c r="B692" s="21"/>
      <c r="C692" s="22"/>
      <c r="D692" s="13"/>
      <c r="E692" s="13"/>
      <c r="F692" s="13"/>
      <c r="G692" s="23"/>
      <c r="H692" s="13"/>
      <c r="I692" s="13"/>
    </row>
    <row r="693" spans="1:9" ht="22.5" customHeight="1">
      <c r="A693" s="20"/>
      <c r="B693" s="21"/>
      <c r="C693" s="22"/>
      <c r="D693" s="13"/>
      <c r="E693" s="13"/>
      <c r="F693" s="13"/>
      <c r="G693" s="23"/>
      <c r="H693" s="13"/>
      <c r="I693" s="13"/>
    </row>
    <row r="694" spans="1:9" ht="22.5" customHeight="1">
      <c r="A694" s="20"/>
      <c r="B694" s="21"/>
      <c r="C694" s="22"/>
      <c r="D694" s="13"/>
      <c r="E694" s="13"/>
      <c r="F694" s="13"/>
      <c r="G694" s="23"/>
      <c r="H694" s="13"/>
      <c r="I694" s="13"/>
    </row>
    <row r="695" spans="1:9" ht="22.5" customHeight="1">
      <c r="A695" s="20"/>
      <c r="B695" s="21"/>
      <c r="C695" s="22"/>
      <c r="D695" s="13"/>
      <c r="E695" s="13"/>
      <c r="F695" s="13"/>
      <c r="G695" s="23"/>
      <c r="H695" s="13"/>
      <c r="I695" s="13"/>
    </row>
    <row r="696" spans="1:9" ht="22.5" customHeight="1">
      <c r="A696" s="20"/>
      <c r="B696" s="21"/>
      <c r="C696" s="22"/>
      <c r="D696" s="13"/>
      <c r="E696" s="13"/>
      <c r="F696" s="13"/>
      <c r="G696" s="23"/>
      <c r="H696" s="13"/>
      <c r="I696" s="13"/>
    </row>
    <row r="697" spans="1:9" ht="22.5" customHeight="1">
      <c r="A697" s="20"/>
      <c r="B697" s="21"/>
      <c r="C697" s="22"/>
      <c r="D697" s="13"/>
      <c r="E697" s="13"/>
      <c r="F697" s="13"/>
      <c r="G697" s="23"/>
      <c r="H697" s="13"/>
      <c r="I697" s="13"/>
    </row>
    <row r="698" spans="1:9" ht="22.5" customHeight="1">
      <c r="A698" s="20"/>
      <c r="B698" s="21"/>
      <c r="C698" s="22"/>
      <c r="D698" s="13"/>
      <c r="E698" s="13"/>
      <c r="F698" s="13"/>
      <c r="G698" s="23"/>
      <c r="H698" s="13"/>
      <c r="I698" s="13"/>
    </row>
    <row r="699" spans="1:9" ht="22.5" customHeight="1">
      <c r="A699" s="20"/>
      <c r="B699" s="21"/>
      <c r="C699" s="22"/>
      <c r="D699" s="13"/>
      <c r="E699" s="13"/>
      <c r="F699" s="13"/>
      <c r="G699" s="23"/>
      <c r="H699" s="13"/>
      <c r="I699" s="13"/>
    </row>
    <row r="700" spans="1:9" ht="22.5" customHeight="1">
      <c r="A700" s="20"/>
      <c r="B700" s="21"/>
      <c r="C700" s="22"/>
      <c r="D700" s="13"/>
      <c r="E700" s="13"/>
      <c r="F700" s="13"/>
      <c r="G700" s="23"/>
      <c r="H700" s="13"/>
      <c r="I700" s="13"/>
    </row>
    <row r="701" spans="1:9" ht="22.5" customHeight="1">
      <c r="A701" s="20"/>
      <c r="B701" s="21"/>
      <c r="C701" s="22"/>
      <c r="D701" s="13"/>
      <c r="E701" s="13"/>
      <c r="F701" s="13"/>
      <c r="G701" s="23"/>
      <c r="H701" s="13"/>
      <c r="I701" s="13"/>
    </row>
    <row r="702" spans="1:9" ht="22.5" customHeight="1">
      <c r="A702" s="20"/>
      <c r="B702" s="21"/>
      <c r="C702" s="22"/>
      <c r="D702" s="13"/>
      <c r="E702" s="13"/>
      <c r="F702" s="13"/>
      <c r="G702" s="23"/>
      <c r="H702" s="13"/>
      <c r="I702" s="13"/>
    </row>
    <row r="703" spans="1:9" ht="22.5" customHeight="1">
      <c r="A703" s="20"/>
      <c r="B703" s="21"/>
      <c r="C703" s="22"/>
      <c r="D703" s="13"/>
      <c r="E703" s="13"/>
      <c r="F703" s="13"/>
      <c r="G703" s="23"/>
      <c r="H703" s="13"/>
      <c r="I703" s="13"/>
    </row>
    <row r="704" spans="1:9" ht="22.5" customHeight="1">
      <c r="A704" s="20"/>
      <c r="B704" s="21"/>
      <c r="C704" s="22"/>
      <c r="D704" s="13"/>
      <c r="E704" s="13"/>
      <c r="F704" s="13"/>
      <c r="G704" s="23"/>
      <c r="H704" s="13"/>
      <c r="I704" s="13"/>
    </row>
    <row r="705" spans="1:9" ht="22.5" customHeight="1">
      <c r="A705" s="20"/>
      <c r="B705" s="21"/>
      <c r="C705" s="22"/>
      <c r="D705" s="13"/>
      <c r="E705" s="13"/>
      <c r="F705" s="13"/>
      <c r="G705" s="23"/>
      <c r="H705" s="13"/>
      <c r="I705" s="13"/>
    </row>
    <row r="706" spans="1:9" ht="22.5" customHeight="1">
      <c r="A706" s="20"/>
      <c r="B706" s="21"/>
      <c r="C706" s="22"/>
      <c r="D706" s="13"/>
      <c r="E706" s="13"/>
      <c r="F706" s="13"/>
      <c r="G706" s="23"/>
      <c r="H706" s="13"/>
      <c r="I706" s="13"/>
    </row>
    <row r="707" spans="1:9" ht="22.5" customHeight="1">
      <c r="A707" s="20"/>
      <c r="B707" s="21"/>
      <c r="C707" s="22"/>
      <c r="D707" s="13"/>
      <c r="E707" s="13"/>
      <c r="F707" s="13"/>
      <c r="G707" s="23"/>
      <c r="H707" s="13"/>
      <c r="I707" s="13"/>
    </row>
    <row r="708" spans="1:9" ht="22.5" customHeight="1">
      <c r="A708" s="20"/>
      <c r="B708" s="21"/>
      <c r="C708" s="22"/>
      <c r="D708" s="13"/>
      <c r="E708" s="13"/>
      <c r="F708" s="13"/>
      <c r="G708" s="23"/>
      <c r="H708" s="13"/>
      <c r="I708" s="13"/>
    </row>
    <row r="709" spans="1:9" ht="22.5" customHeight="1">
      <c r="A709" s="20"/>
      <c r="B709" s="21"/>
      <c r="C709" s="22"/>
      <c r="D709" s="13"/>
      <c r="E709" s="13"/>
      <c r="F709" s="13"/>
      <c r="G709" s="23"/>
      <c r="H709" s="13"/>
      <c r="I709" s="13"/>
    </row>
    <row r="710" spans="1:9" ht="22.5" customHeight="1">
      <c r="A710" s="20"/>
      <c r="B710" s="21"/>
      <c r="C710" s="22"/>
      <c r="D710" s="13"/>
      <c r="E710" s="13"/>
      <c r="F710" s="13"/>
      <c r="G710" s="23"/>
      <c r="H710" s="13"/>
      <c r="I710" s="13"/>
    </row>
    <row r="711" spans="1:9" ht="22.5" customHeight="1">
      <c r="A711" s="20"/>
      <c r="B711" s="21"/>
      <c r="C711" s="22"/>
      <c r="D711" s="13"/>
      <c r="E711" s="13"/>
      <c r="F711" s="13"/>
      <c r="G711" s="23"/>
      <c r="H711" s="13"/>
      <c r="I711" s="13"/>
    </row>
    <row r="712" spans="1:9" ht="22.5" customHeight="1">
      <c r="A712" s="20"/>
      <c r="B712" s="21"/>
      <c r="C712" s="22"/>
      <c r="D712" s="13"/>
      <c r="E712" s="13"/>
      <c r="F712" s="13"/>
      <c r="G712" s="23"/>
      <c r="H712" s="13"/>
      <c r="I712" s="13"/>
    </row>
    <row r="713" spans="1:9" ht="22.5" customHeight="1">
      <c r="A713" s="20"/>
      <c r="B713" s="21"/>
      <c r="C713" s="22"/>
      <c r="D713" s="13"/>
      <c r="E713" s="13"/>
      <c r="F713" s="13"/>
      <c r="G713" s="23"/>
      <c r="H713" s="13"/>
      <c r="I713" s="13"/>
    </row>
    <row r="714" spans="1:9" ht="22.5" customHeight="1">
      <c r="A714" s="20"/>
      <c r="B714" s="21"/>
      <c r="C714" s="22"/>
      <c r="D714" s="13"/>
      <c r="E714" s="13"/>
      <c r="F714" s="13"/>
      <c r="G714" s="23"/>
      <c r="H714" s="13"/>
      <c r="I714" s="13"/>
    </row>
    <row r="715" spans="1:9" ht="22.5" customHeight="1">
      <c r="A715" s="20"/>
      <c r="B715" s="21"/>
      <c r="C715" s="22"/>
      <c r="D715" s="13"/>
      <c r="E715" s="13"/>
      <c r="F715" s="13"/>
      <c r="G715" s="23"/>
      <c r="H715" s="13"/>
      <c r="I715" s="13"/>
    </row>
    <row r="716" spans="1:9" ht="22.5" customHeight="1">
      <c r="A716" s="20"/>
      <c r="B716" s="21"/>
      <c r="C716" s="22"/>
      <c r="D716" s="13"/>
      <c r="E716" s="13"/>
      <c r="F716" s="13"/>
      <c r="G716" s="23"/>
      <c r="H716" s="13"/>
      <c r="I716" s="13"/>
    </row>
    <row r="717" spans="1:9" ht="22.5" customHeight="1">
      <c r="A717" s="20"/>
      <c r="B717" s="21"/>
      <c r="C717" s="22"/>
      <c r="D717" s="13"/>
      <c r="E717" s="13"/>
      <c r="F717" s="13"/>
      <c r="G717" s="23"/>
      <c r="H717" s="13"/>
      <c r="I717" s="13"/>
    </row>
    <row r="718" spans="1:9" ht="22.5" customHeight="1">
      <c r="A718" s="20"/>
      <c r="B718" s="21"/>
      <c r="C718" s="22"/>
      <c r="D718" s="13"/>
      <c r="E718" s="13"/>
      <c r="F718" s="13"/>
      <c r="G718" s="23"/>
      <c r="H718" s="13"/>
      <c r="I718" s="13"/>
    </row>
    <row r="719" spans="1:9" ht="22.5" customHeight="1">
      <c r="A719" s="20"/>
      <c r="B719" s="21"/>
      <c r="C719" s="22"/>
      <c r="D719" s="13"/>
      <c r="E719" s="13"/>
      <c r="F719" s="13"/>
      <c r="G719" s="23"/>
      <c r="H719" s="13"/>
      <c r="I719" s="13"/>
    </row>
    <row r="720" spans="1:9" ht="22.5" customHeight="1">
      <c r="A720" s="20"/>
      <c r="B720" s="21"/>
      <c r="C720" s="22"/>
      <c r="D720" s="13"/>
      <c r="E720" s="13"/>
      <c r="F720" s="13"/>
      <c r="G720" s="23"/>
      <c r="H720" s="13"/>
      <c r="I720" s="13"/>
    </row>
    <row r="721" spans="1:9" ht="22.5" customHeight="1">
      <c r="A721" s="20"/>
      <c r="B721" s="21"/>
      <c r="C721" s="22"/>
      <c r="D721" s="13"/>
      <c r="E721" s="13"/>
      <c r="F721" s="13"/>
      <c r="G721" s="23"/>
      <c r="H721" s="13"/>
      <c r="I721" s="13"/>
    </row>
    <row r="722" spans="1:9" ht="22.5" customHeight="1">
      <c r="A722" s="20"/>
      <c r="B722" s="21"/>
      <c r="C722" s="22"/>
      <c r="D722" s="13"/>
      <c r="E722" s="13"/>
      <c r="F722" s="13"/>
      <c r="G722" s="23"/>
      <c r="H722" s="13"/>
      <c r="I722" s="13"/>
    </row>
    <row r="723" spans="1:9" ht="22.5" customHeight="1">
      <c r="A723" s="20"/>
      <c r="B723" s="21"/>
      <c r="C723" s="22"/>
      <c r="D723" s="13"/>
      <c r="E723" s="13"/>
      <c r="F723" s="13"/>
      <c r="G723" s="23"/>
      <c r="H723" s="13"/>
      <c r="I723" s="13"/>
    </row>
    <row r="724" spans="1:9" ht="22.5" customHeight="1">
      <c r="A724" s="20"/>
      <c r="B724" s="21"/>
      <c r="C724" s="22"/>
      <c r="D724" s="13"/>
      <c r="E724" s="13"/>
      <c r="F724" s="13"/>
      <c r="G724" s="23"/>
      <c r="H724" s="13"/>
      <c r="I724" s="13"/>
    </row>
    <row r="725" spans="1:9" ht="22.5" customHeight="1">
      <c r="A725" s="20"/>
      <c r="B725" s="21"/>
      <c r="C725" s="22"/>
      <c r="D725" s="13"/>
      <c r="E725" s="13"/>
      <c r="F725" s="13"/>
      <c r="G725" s="23"/>
      <c r="H725" s="13"/>
      <c r="I725" s="13"/>
    </row>
    <row r="726" spans="1:9" ht="22.5" customHeight="1">
      <c r="A726" s="20"/>
      <c r="B726" s="21"/>
      <c r="C726" s="22"/>
      <c r="D726" s="13"/>
      <c r="E726" s="13"/>
      <c r="F726" s="13"/>
      <c r="G726" s="23"/>
      <c r="H726" s="13"/>
      <c r="I726" s="13"/>
    </row>
    <row r="727" spans="1:9" ht="22.5" customHeight="1">
      <c r="A727" s="20"/>
      <c r="B727" s="21"/>
      <c r="C727" s="22"/>
      <c r="D727" s="13"/>
      <c r="E727" s="13"/>
      <c r="F727" s="13"/>
      <c r="G727" s="23"/>
      <c r="H727" s="13"/>
      <c r="I727" s="13"/>
    </row>
    <row r="728" spans="1:9" ht="22.5" customHeight="1">
      <c r="A728" s="20"/>
      <c r="B728" s="21"/>
      <c r="C728" s="22"/>
      <c r="D728" s="13"/>
      <c r="E728" s="13"/>
      <c r="F728" s="13"/>
      <c r="G728" s="23"/>
      <c r="H728" s="13"/>
      <c r="I728" s="13"/>
    </row>
    <row r="729" spans="1:9" ht="22.5" customHeight="1">
      <c r="A729" s="20"/>
      <c r="B729" s="21"/>
      <c r="C729" s="22"/>
      <c r="D729" s="13"/>
      <c r="E729" s="13"/>
      <c r="F729" s="13"/>
      <c r="G729" s="23"/>
      <c r="H729" s="13"/>
      <c r="I729" s="13"/>
    </row>
    <row r="730" spans="1:9" ht="22.5" customHeight="1">
      <c r="A730" s="20"/>
      <c r="B730" s="21"/>
      <c r="C730" s="22"/>
      <c r="D730" s="13"/>
      <c r="E730" s="13"/>
      <c r="F730" s="13"/>
      <c r="G730" s="23"/>
      <c r="H730" s="13"/>
      <c r="I730" s="13"/>
    </row>
    <row r="731" spans="1:9" ht="22.5" customHeight="1">
      <c r="A731" s="20"/>
      <c r="B731" s="21"/>
      <c r="C731" s="22"/>
      <c r="D731" s="13"/>
      <c r="E731" s="13"/>
      <c r="F731" s="13"/>
      <c r="G731" s="23"/>
      <c r="H731" s="13"/>
      <c r="I731" s="13"/>
    </row>
    <row r="732" spans="1:9" ht="22.5" customHeight="1">
      <c r="A732" s="20"/>
      <c r="B732" s="21"/>
      <c r="C732" s="22"/>
      <c r="D732" s="13"/>
      <c r="E732" s="13"/>
      <c r="F732" s="13"/>
      <c r="G732" s="23"/>
      <c r="H732" s="13"/>
      <c r="I732" s="13"/>
    </row>
    <row r="733" spans="1:9" ht="22.5" customHeight="1">
      <c r="A733" s="20"/>
      <c r="B733" s="21"/>
      <c r="C733" s="22"/>
      <c r="D733" s="13"/>
      <c r="E733" s="13"/>
      <c r="F733" s="13"/>
      <c r="G733" s="23"/>
      <c r="H733" s="13"/>
      <c r="I733" s="13"/>
    </row>
    <row r="734" spans="1:9" ht="22.5" customHeight="1">
      <c r="A734" s="20"/>
      <c r="B734" s="21"/>
      <c r="C734" s="22"/>
      <c r="D734" s="13"/>
      <c r="E734" s="13"/>
      <c r="F734" s="13"/>
      <c r="G734" s="23"/>
      <c r="H734" s="13"/>
      <c r="I734" s="13"/>
    </row>
    <row r="735" spans="1:9" ht="22.5" customHeight="1">
      <c r="A735" s="20"/>
      <c r="B735" s="21"/>
      <c r="C735" s="22"/>
      <c r="D735" s="13"/>
      <c r="E735" s="13"/>
      <c r="F735" s="13"/>
      <c r="G735" s="23"/>
      <c r="H735" s="13"/>
      <c r="I735" s="13"/>
    </row>
    <row r="736" spans="1:9" ht="22.5" customHeight="1">
      <c r="A736" s="20"/>
      <c r="B736" s="21"/>
      <c r="C736" s="22"/>
      <c r="D736" s="13"/>
      <c r="E736" s="13"/>
      <c r="F736" s="13"/>
      <c r="G736" s="23"/>
      <c r="H736" s="13"/>
      <c r="I736" s="13"/>
    </row>
    <row r="737" spans="1:9" ht="22.5" customHeight="1">
      <c r="A737" s="20"/>
      <c r="B737" s="21"/>
      <c r="C737" s="22"/>
      <c r="D737" s="13"/>
      <c r="E737" s="13"/>
      <c r="F737" s="13"/>
      <c r="G737" s="23"/>
      <c r="H737" s="13"/>
      <c r="I737" s="13"/>
    </row>
    <row r="738" spans="1:9" ht="22.5" customHeight="1">
      <c r="A738" s="20"/>
      <c r="B738" s="21"/>
      <c r="C738" s="22"/>
      <c r="D738" s="13"/>
      <c r="E738" s="13"/>
      <c r="F738" s="13"/>
      <c r="G738" s="23"/>
      <c r="H738" s="13"/>
      <c r="I738" s="13"/>
    </row>
    <row r="739" spans="1:9" ht="22.5" customHeight="1">
      <c r="A739" s="20"/>
      <c r="B739" s="21"/>
      <c r="C739" s="22"/>
      <c r="D739" s="13"/>
      <c r="E739" s="13"/>
      <c r="F739" s="13"/>
      <c r="G739" s="23"/>
      <c r="H739" s="13"/>
      <c r="I739" s="13"/>
    </row>
    <row r="740" spans="1:9" ht="22.5" customHeight="1">
      <c r="A740" s="20"/>
      <c r="B740" s="21"/>
      <c r="C740" s="22"/>
      <c r="D740" s="13"/>
      <c r="E740" s="13"/>
      <c r="F740" s="13"/>
      <c r="G740" s="23"/>
      <c r="H740" s="13"/>
      <c r="I740" s="13"/>
    </row>
    <row r="741" spans="1:9" ht="22.5" customHeight="1">
      <c r="A741" s="20"/>
      <c r="B741" s="21"/>
      <c r="C741" s="22"/>
      <c r="D741" s="13"/>
      <c r="E741" s="13"/>
      <c r="F741" s="13"/>
      <c r="G741" s="23"/>
      <c r="H741" s="13"/>
      <c r="I741" s="13"/>
    </row>
    <row r="742" spans="1:9" ht="22.5" customHeight="1">
      <c r="A742" s="20"/>
      <c r="B742" s="21"/>
      <c r="C742" s="22"/>
      <c r="D742" s="13"/>
      <c r="E742" s="13"/>
      <c r="F742" s="13"/>
      <c r="G742" s="23"/>
      <c r="H742" s="13"/>
      <c r="I742" s="13"/>
    </row>
    <row r="743" spans="1:9" ht="22.5" customHeight="1">
      <c r="A743" s="20"/>
      <c r="B743" s="21"/>
      <c r="C743" s="22"/>
      <c r="D743" s="13"/>
      <c r="E743" s="13"/>
      <c r="F743" s="13"/>
      <c r="G743" s="23"/>
      <c r="H743" s="13"/>
      <c r="I743" s="13"/>
    </row>
    <row r="744" spans="1:9" ht="22.5" customHeight="1">
      <c r="A744" s="20"/>
      <c r="B744" s="21"/>
      <c r="C744" s="22"/>
      <c r="D744" s="13"/>
      <c r="E744" s="13"/>
      <c r="F744" s="13"/>
      <c r="G744" s="23"/>
      <c r="H744" s="13"/>
      <c r="I744" s="13"/>
    </row>
    <row r="745" spans="1:9" ht="22.5" customHeight="1">
      <c r="A745" s="20"/>
      <c r="B745" s="21"/>
      <c r="C745" s="22"/>
      <c r="D745" s="13"/>
      <c r="E745" s="13"/>
      <c r="F745" s="13"/>
      <c r="G745" s="23"/>
      <c r="H745" s="13"/>
      <c r="I745" s="13"/>
    </row>
    <row r="746" spans="1:9" ht="22.5" customHeight="1">
      <c r="A746" s="20"/>
      <c r="B746" s="21"/>
      <c r="C746" s="22"/>
      <c r="D746" s="13"/>
      <c r="E746" s="13"/>
      <c r="F746" s="13"/>
      <c r="G746" s="23"/>
      <c r="H746" s="13"/>
      <c r="I746" s="13"/>
    </row>
    <row r="747" spans="1:9" ht="22.5" customHeight="1">
      <c r="A747" s="20"/>
      <c r="B747" s="21"/>
      <c r="C747" s="22"/>
      <c r="D747" s="13"/>
      <c r="E747" s="13"/>
      <c r="F747" s="13"/>
      <c r="G747" s="23"/>
      <c r="H747" s="13"/>
      <c r="I747" s="13"/>
    </row>
    <row r="748" spans="1:9" ht="22.5" customHeight="1">
      <c r="A748" s="20"/>
      <c r="B748" s="21"/>
      <c r="C748" s="22"/>
      <c r="D748" s="13"/>
      <c r="E748" s="13"/>
      <c r="F748" s="13"/>
      <c r="G748" s="23"/>
      <c r="H748" s="13"/>
      <c r="I748" s="13"/>
    </row>
    <row r="749" spans="1:9" ht="22.5" customHeight="1">
      <c r="A749" s="20"/>
      <c r="B749" s="21"/>
      <c r="C749" s="22"/>
      <c r="D749" s="13"/>
      <c r="E749" s="13"/>
      <c r="F749" s="13"/>
      <c r="G749" s="23"/>
      <c r="H749" s="13"/>
      <c r="I749" s="13"/>
    </row>
    <row r="750" spans="1:9" ht="22.5" customHeight="1">
      <c r="A750" s="20"/>
      <c r="B750" s="21"/>
      <c r="C750" s="22"/>
      <c r="D750" s="13"/>
      <c r="E750" s="13"/>
      <c r="F750" s="13"/>
      <c r="G750" s="23"/>
      <c r="H750" s="13"/>
      <c r="I750" s="13"/>
    </row>
    <row r="751" spans="1:9" ht="22.5" customHeight="1">
      <c r="A751" s="20"/>
      <c r="B751" s="21"/>
      <c r="C751" s="22"/>
      <c r="D751" s="13"/>
      <c r="E751" s="13"/>
      <c r="F751" s="13"/>
      <c r="G751" s="23"/>
      <c r="H751" s="13"/>
      <c r="I751" s="13"/>
    </row>
    <row r="752" spans="1:9" ht="22.5" customHeight="1">
      <c r="A752" s="20"/>
      <c r="B752" s="21"/>
      <c r="C752" s="22"/>
      <c r="D752" s="13"/>
      <c r="E752" s="13"/>
      <c r="F752" s="13"/>
      <c r="G752" s="23"/>
      <c r="H752" s="13"/>
      <c r="I752" s="13"/>
    </row>
    <row r="753" spans="1:9" ht="22.5" customHeight="1">
      <c r="A753" s="20"/>
      <c r="B753" s="21"/>
      <c r="C753" s="22"/>
      <c r="D753" s="13"/>
      <c r="E753" s="13"/>
      <c r="F753" s="13"/>
      <c r="G753" s="23"/>
      <c r="H753" s="13"/>
      <c r="I753" s="13"/>
    </row>
    <row r="754" spans="1:9" ht="22.5" customHeight="1">
      <c r="A754" s="20"/>
      <c r="B754" s="21"/>
      <c r="C754" s="22"/>
      <c r="D754" s="13"/>
      <c r="E754" s="13"/>
      <c r="F754" s="13"/>
      <c r="G754" s="23"/>
      <c r="H754" s="13"/>
      <c r="I754" s="13"/>
    </row>
    <row r="755" spans="1:9" ht="22.5" customHeight="1">
      <c r="A755" s="20"/>
      <c r="B755" s="21"/>
      <c r="C755" s="22"/>
      <c r="D755" s="13"/>
      <c r="E755" s="13"/>
      <c r="F755" s="13"/>
      <c r="G755" s="23"/>
      <c r="H755" s="13"/>
      <c r="I755" s="13"/>
    </row>
    <row r="756" spans="1:9" ht="22.5" customHeight="1">
      <c r="A756" s="20"/>
      <c r="B756" s="21"/>
      <c r="C756" s="22"/>
      <c r="D756" s="13"/>
      <c r="E756" s="13"/>
      <c r="F756" s="13"/>
      <c r="G756" s="23"/>
      <c r="H756" s="13"/>
      <c r="I756" s="13"/>
    </row>
    <row r="757" spans="1:9" ht="22.5" customHeight="1">
      <c r="A757" s="20"/>
      <c r="B757" s="21"/>
      <c r="C757" s="22"/>
      <c r="D757" s="13"/>
      <c r="E757" s="13"/>
      <c r="F757" s="13"/>
      <c r="G757" s="23"/>
      <c r="H757" s="13"/>
      <c r="I757" s="13"/>
    </row>
    <row r="758" spans="1:9" ht="22.5" customHeight="1">
      <c r="A758" s="20"/>
      <c r="B758" s="21"/>
      <c r="C758" s="22"/>
      <c r="D758" s="13"/>
      <c r="E758" s="13"/>
      <c r="F758" s="13"/>
      <c r="G758" s="23"/>
      <c r="H758" s="13"/>
      <c r="I758" s="13"/>
    </row>
    <row r="759" spans="1:9" ht="22.5" customHeight="1">
      <c r="A759" s="20"/>
      <c r="B759" s="21"/>
      <c r="C759" s="22"/>
      <c r="D759" s="13"/>
      <c r="E759" s="13"/>
      <c r="F759" s="13"/>
      <c r="G759" s="23"/>
      <c r="H759" s="13"/>
      <c r="I759" s="13"/>
    </row>
    <row r="760" spans="1:9" ht="22.5" customHeight="1">
      <c r="A760" s="20"/>
      <c r="B760" s="21"/>
      <c r="C760" s="22"/>
      <c r="D760" s="13"/>
      <c r="E760" s="13"/>
      <c r="F760" s="13"/>
      <c r="G760" s="23"/>
      <c r="H760" s="13"/>
      <c r="I760" s="13"/>
    </row>
    <row r="761" spans="1:9" ht="22.5" customHeight="1">
      <c r="A761" s="20"/>
      <c r="B761" s="21"/>
      <c r="C761" s="22"/>
      <c r="D761" s="13"/>
      <c r="E761" s="13"/>
      <c r="F761" s="13"/>
      <c r="G761" s="23"/>
      <c r="H761" s="13"/>
      <c r="I761" s="13"/>
    </row>
    <row r="762" spans="1:9" ht="22.5" customHeight="1">
      <c r="A762" s="20"/>
      <c r="B762" s="21"/>
      <c r="C762" s="22"/>
      <c r="D762" s="13"/>
      <c r="E762" s="13"/>
      <c r="F762" s="13"/>
      <c r="G762" s="23"/>
      <c r="H762" s="13"/>
      <c r="I762" s="13"/>
    </row>
    <row r="763" spans="1:9" ht="22.5" customHeight="1">
      <c r="A763" s="20"/>
      <c r="B763" s="21"/>
      <c r="C763" s="22"/>
      <c r="D763" s="13"/>
      <c r="E763" s="13"/>
      <c r="F763" s="13"/>
      <c r="G763" s="23"/>
      <c r="H763" s="13"/>
      <c r="I763" s="13"/>
    </row>
    <row r="764" spans="1:9" ht="22.5" customHeight="1">
      <c r="A764" s="20"/>
      <c r="B764" s="21"/>
      <c r="C764" s="22"/>
      <c r="D764" s="13"/>
      <c r="E764" s="13"/>
      <c r="F764" s="13"/>
      <c r="G764" s="23"/>
      <c r="H764" s="13"/>
      <c r="I764" s="13"/>
    </row>
    <row r="765" spans="1:9" ht="22.5" customHeight="1">
      <c r="A765" s="20"/>
      <c r="B765" s="21"/>
      <c r="C765" s="22"/>
      <c r="D765" s="13"/>
      <c r="E765" s="13"/>
      <c r="F765" s="13"/>
      <c r="G765" s="23"/>
      <c r="H765" s="13"/>
      <c r="I765" s="13"/>
    </row>
    <row r="766" spans="1:9" ht="22.5" customHeight="1">
      <c r="A766" s="20"/>
      <c r="B766" s="21"/>
      <c r="C766" s="22"/>
      <c r="D766" s="13"/>
      <c r="E766" s="13"/>
      <c r="F766" s="13"/>
      <c r="G766" s="23"/>
      <c r="H766" s="13"/>
      <c r="I766" s="13"/>
    </row>
    <row r="767" spans="1:9" ht="22.5" customHeight="1">
      <c r="A767" s="20"/>
      <c r="B767" s="21"/>
      <c r="C767" s="22"/>
      <c r="D767" s="13"/>
      <c r="E767" s="13"/>
      <c r="F767" s="13"/>
      <c r="G767" s="23"/>
      <c r="H767" s="13"/>
      <c r="I767" s="13"/>
    </row>
    <row r="768" spans="1:9" ht="22.5" customHeight="1">
      <c r="A768" s="20"/>
      <c r="B768" s="21"/>
      <c r="C768" s="22"/>
      <c r="D768" s="13"/>
      <c r="E768" s="13"/>
      <c r="F768" s="13"/>
      <c r="G768" s="23"/>
      <c r="H768" s="13"/>
      <c r="I768" s="13"/>
    </row>
    <row r="769" spans="1:9" ht="22.5" customHeight="1">
      <c r="A769" s="20"/>
      <c r="B769" s="21"/>
      <c r="C769" s="22"/>
      <c r="D769" s="13"/>
      <c r="E769" s="13"/>
      <c r="F769" s="13"/>
      <c r="G769" s="23"/>
      <c r="H769" s="13"/>
      <c r="I769" s="13"/>
    </row>
    <row r="770" spans="1:9" ht="22.5" customHeight="1">
      <c r="A770" s="20"/>
      <c r="B770" s="21"/>
      <c r="C770" s="22"/>
      <c r="D770" s="13"/>
      <c r="E770" s="13"/>
      <c r="F770" s="13"/>
      <c r="G770" s="23"/>
      <c r="H770" s="13"/>
      <c r="I770" s="13"/>
    </row>
    <row r="771" spans="1:9" ht="22.5" customHeight="1">
      <c r="A771" s="20"/>
      <c r="B771" s="21"/>
      <c r="C771" s="22"/>
      <c r="D771" s="13"/>
      <c r="E771" s="13"/>
      <c r="F771" s="13"/>
      <c r="G771" s="23"/>
      <c r="H771" s="13"/>
      <c r="I771" s="13"/>
    </row>
    <row r="772" spans="1:9" ht="22.5" customHeight="1">
      <c r="A772" s="20"/>
      <c r="B772" s="21"/>
      <c r="C772" s="22"/>
      <c r="D772" s="13"/>
      <c r="E772" s="13"/>
      <c r="F772" s="13"/>
      <c r="G772" s="23"/>
      <c r="H772" s="13"/>
      <c r="I772" s="13"/>
    </row>
    <row r="773" spans="1:9" ht="22.5" customHeight="1">
      <c r="A773" s="20"/>
      <c r="B773" s="21"/>
      <c r="C773" s="22"/>
      <c r="D773" s="13"/>
      <c r="E773" s="13"/>
      <c r="F773" s="13"/>
      <c r="G773" s="23"/>
      <c r="H773" s="13"/>
      <c r="I773" s="13"/>
    </row>
    <row r="774" spans="1:9" ht="22.5" customHeight="1">
      <c r="A774" s="20"/>
      <c r="B774" s="21"/>
      <c r="C774" s="22"/>
      <c r="D774" s="13"/>
      <c r="E774" s="13"/>
      <c r="F774" s="13"/>
      <c r="G774" s="23"/>
      <c r="H774" s="13"/>
      <c r="I774" s="13"/>
    </row>
    <row r="775" spans="1:9" ht="22.5" customHeight="1">
      <c r="A775" s="20"/>
      <c r="B775" s="21"/>
      <c r="C775" s="22"/>
      <c r="D775" s="13"/>
      <c r="E775" s="13"/>
      <c r="F775" s="13"/>
      <c r="G775" s="23"/>
      <c r="H775" s="13"/>
      <c r="I775" s="13"/>
    </row>
    <row r="776" spans="1:9" ht="22.5" customHeight="1">
      <c r="A776" s="20"/>
      <c r="B776" s="21"/>
      <c r="C776" s="22"/>
      <c r="D776" s="13"/>
      <c r="E776" s="13"/>
      <c r="F776" s="13"/>
      <c r="G776" s="23"/>
      <c r="H776" s="13"/>
      <c r="I776" s="13"/>
    </row>
    <row r="777" spans="1:9" ht="22.5" customHeight="1">
      <c r="A777" s="20"/>
      <c r="B777" s="21"/>
      <c r="C777" s="22"/>
      <c r="D777" s="13"/>
      <c r="E777" s="13"/>
      <c r="F777" s="13"/>
      <c r="G777" s="23"/>
      <c r="H777" s="13"/>
      <c r="I777" s="13"/>
    </row>
    <row r="778" spans="1:9" ht="22.5" customHeight="1">
      <c r="A778" s="20"/>
      <c r="B778" s="21"/>
      <c r="C778" s="22"/>
      <c r="D778" s="13"/>
      <c r="E778" s="13"/>
      <c r="F778" s="13"/>
      <c r="G778" s="23"/>
      <c r="H778" s="13"/>
      <c r="I778" s="13"/>
    </row>
    <row r="779" spans="1:9" ht="22.5" customHeight="1">
      <c r="A779" s="20"/>
      <c r="B779" s="21"/>
      <c r="C779" s="22"/>
      <c r="D779" s="13"/>
      <c r="E779" s="13"/>
      <c r="F779" s="13"/>
      <c r="G779" s="23"/>
      <c r="H779" s="13"/>
      <c r="I779" s="13"/>
    </row>
    <row r="780" spans="1:9" ht="22.5" customHeight="1">
      <c r="A780" s="20"/>
      <c r="B780" s="21"/>
      <c r="C780" s="22"/>
      <c r="D780" s="13"/>
      <c r="E780" s="13"/>
      <c r="F780" s="13"/>
      <c r="G780" s="23"/>
      <c r="H780" s="13"/>
      <c r="I780" s="13"/>
    </row>
    <row r="781" spans="1:9" ht="22.5" customHeight="1">
      <c r="A781" s="20"/>
      <c r="B781" s="21"/>
      <c r="C781" s="22"/>
      <c r="D781" s="13"/>
      <c r="E781" s="13"/>
      <c r="F781" s="13"/>
      <c r="G781" s="23"/>
      <c r="H781" s="13"/>
      <c r="I781" s="13"/>
    </row>
    <row r="782" spans="1:9" ht="22.5" customHeight="1">
      <c r="A782" s="20"/>
      <c r="B782" s="21"/>
      <c r="C782" s="22"/>
      <c r="D782" s="13"/>
      <c r="E782" s="13"/>
      <c r="F782" s="13"/>
      <c r="G782" s="23"/>
      <c r="H782" s="13"/>
      <c r="I782" s="13"/>
    </row>
    <row r="783" spans="1:9" ht="22.5" customHeight="1">
      <c r="A783" s="20"/>
      <c r="B783" s="21"/>
      <c r="C783" s="22"/>
      <c r="D783" s="13"/>
      <c r="E783" s="13"/>
      <c r="F783" s="13"/>
      <c r="G783" s="23"/>
      <c r="H783" s="13"/>
      <c r="I783" s="13"/>
    </row>
    <row r="784" spans="1:9" ht="22.5" customHeight="1">
      <c r="A784" s="20"/>
      <c r="B784" s="21"/>
      <c r="C784" s="22"/>
      <c r="D784" s="13"/>
      <c r="E784" s="13"/>
      <c r="F784" s="13"/>
      <c r="G784" s="23"/>
      <c r="H784" s="13"/>
      <c r="I784" s="13"/>
    </row>
    <row r="785" spans="1:9" ht="22.5" customHeight="1">
      <c r="A785" s="20"/>
      <c r="B785" s="21"/>
      <c r="C785" s="22"/>
      <c r="D785" s="13"/>
      <c r="E785" s="13"/>
      <c r="F785" s="13"/>
      <c r="G785" s="23"/>
      <c r="H785" s="13"/>
      <c r="I785" s="13"/>
    </row>
    <row r="786" spans="1:9" ht="22.5" customHeight="1">
      <c r="A786" s="20"/>
      <c r="B786" s="21"/>
      <c r="C786" s="22"/>
      <c r="D786" s="13"/>
      <c r="E786" s="13"/>
      <c r="F786" s="13"/>
      <c r="G786" s="23"/>
      <c r="H786" s="13"/>
      <c r="I786" s="13"/>
    </row>
    <row r="787" spans="1:9" ht="22.5" customHeight="1">
      <c r="A787" s="20"/>
      <c r="B787" s="21"/>
      <c r="C787" s="22"/>
      <c r="D787" s="13"/>
      <c r="E787" s="13"/>
      <c r="F787" s="13"/>
      <c r="G787" s="23"/>
      <c r="H787" s="13"/>
      <c r="I787" s="13"/>
    </row>
    <row r="788" spans="1:9" ht="22.5" customHeight="1">
      <c r="A788" s="20"/>
      <c r="B788" s="21"/>
      <c r="C788" s="22"/>
      <c r="D788" s="13"/>
      <c r="E788" s="13"/>
      <c r="F788" s="13"/>
      <c r="G788" s="23"/>
      <c r="H788" s="13"/>
      <c r="I788" s="13"/>
    </row>
    <row r="789" spans="1:9" ht="22.5" customHeight="1">
      <c r="A789" s="20"/>
      <c r="B789" s="21"/>
      <c r="C789" s="22"/>
      <c r="D789" s="13"/>
      <c r="E789" s="13"/>
      <c r="F789" s="13"/>
      <c r="G789" s="23"/>
      <c r="H789" s="13"/>
      <c r="I789" s="13"/>
    </row>
    <row r="790" spans="1:9" ht="22.5" customHeight="1">
      <c r="A790" s="20"/>
      <c r="B790" s="21"/>
      <c r="C790" s="22"/>
      <c r="D790" s="13"/>
      <c r="E790" s="13"/>
      <c r="F790" s="13"/>
      <c r="G790" s="23"/>
      <c r="H790" s="13"/>
      <c r="I790" s="13"/>
    </row>
    <row r="791" spans="1:9" ht="22.5" customHeight="1">
      <c r="A791" s="20"/>
      <c r="B791" s="21"/>
      <c r="C791" s="22"/>
      <c r="D791" s="13"/>
      <c r="E791" s="13"/>
      <c r="F791" s="13"/>
      <c r="G791" s="23"/>
      <c r="H791" s="13"/>
      <c r="I791" s="13"/>
    </row>
    <row r="792" spans="1:9" ht="22.5" customHeight="1">
      <c r="A792" s="20"/>
      <c r="B792" s="21"/>
      <c r="C792" s="22"/>
      <c r="D792" s="13"/>
      <c r="E792" s="13"/>
      <c r="F792" s="13"/>
      <c r="G792" s="23"/>
      <c r="H792" s="13"/>
      <c r="I792" s="13"/>
    </row>
    <row r="793" spans="1:9" ht="22.5" customHeight="1">
      <c r="A793" s="20"/>
      <c r="B793" s="21"/>
      <c r="C793" s="22"/>
      <c r="D793" s="13"/>
      <c r="E793" s="13"/>
      <c r="F793" s="13"/>
      <c r="G793" s="23"/>
      <c r="H793" s="13"/>
      <c r="I793" s="13"/>
    </row>
    <row r="794" spans="1:9" ht="22.5" customHeight="1">
      <c r="A794" s="20"/>
      <c r="B794" s="21"/>
      <c r="C794" s="22"/>
      <c r="D794" s="13"/>
      <c r="E794" s="13"/>
      <c r="F794" s="13"/>
      <c r="G794" s="23"/>
      <c r="H794" s="13"/>
      <c r="I794" s="13"/>
    </row>
    <row r="795" spans="1:9" ht="22.5" customHeight="1">
      <c r="A795" s="20"/>
      <c r="B795" s="21"/>
      <c r="C795" s="22"/>
      <c r="D795" s="13"/>
      <c r="E795" s="13"/>
      <c r="F795" s="13"/>
      <c r="G795" s="23"/>
      <c r="H795" s="13"/>
      <c r="I795" s="13"/>
    </row>
    <row r="796" spans="1:9" ht="22.5" customHeight="1">
      <c r="A796" s="20"/>
      <c r="B796" s="21"/>
      <c r="C796" s="22"/>
      <c r="D796" s="13"/>
      <c r="E796" s="13"/>
      <c r="F796" s="13"/>
      <c r="G796" s="23"/>
      <c r="H796" s="13"/>
      <c r="I796" s="13"/>
    </row>
    <row r="797" spans="1:9" ht="22.5" customHeight="1">
      <c r="A797" s="20"/>
      <c r="B797" s="21"/>
      <c r="C797" s="22"/>
      <c r="D797" s="13"/>
      <c r="E797" s="13"/>
      <c r="F797" s="13"/>
      <c r="G797" s="23"/>
      <c r="H797" s="13"/>
      <c r="I797" s="13"/>
    </row>
    <row r="798" spans="1:9" ht="22.5" customHeight="1">
      <c r="A798" s="20"/>
      <c r="B798" s="21"/>
      <c r="C798" s="22"/>
      <c r="D798" s="13"/>
      <c r="E798" s="13"/>
      <c r="F798" s="13"/>
      <c r="G798" s="23"/>
      <c r="H798" s="13"/>
      <c r="I798" s="13"/>
    </row>
    <row r="799" spans="1:9" ht="22.5" customHeight="1">
      <c r="A799" s="20"/>
      <c r="B799" s="21"/>
      <c r="C799" s="22"/>
      <c r="D799" s="13"/>
      <c r="E799" s="13"/>
      <c r="F799" s="13"/>
      <c r="G799" s="23"/>
      <c r="H799" s="13"/>
      <c r="I799" s="13"/>
    </row>
    <row r="800" spans="1:9" ht="22.5" customHeight="1">
      <c r="A800" s="20"/>
      <c r="B800" s="21"/>
      <c r="C800" s="22"/>
      <c r="D800" s="13"/>
      <c r="E800" s="13"/>
      <c r="F800" s="13"/>
      <c r="G800" s="23"/>
      <c r="H800" s="13"/>
      <c r="I800" s="13"/>
    </row>
    <row r="801" spans="1:9" ht="22.5" customHeight="1">
      <c r="A801" s="20"/>
      <c r="B801" s="21"/>
      <c r="C801" s="22"/>
      <c r="D801" s="13"/>
      <c r="E801" s="13"/>
      <c r="F801" s="13"/>
      <c r="G801" s="23"/>
      <c r="H801" s="13"/>
      <c r="I801" s="13"/>
    </row>
    <row r="802" spans="1:9" ht="22.5" customHeight="1">
      <c r="A802" s="20"/>
      <c r="B802" s="21"/>
      <c r="C802" s="22"/>
      <c r="D802" s="13"/>
      <c r="E802" s="13"/>
      <c r="F802" s="13"/>
      <c r="G802" s="23"/>
      <c r="H802" s="13"/>
      <c r="I802" s="13"/>
    </row>
    <row r="803" spans="1:9" ht="22.5" customHeight="1">
      <c r="A803" s="20"/>
      <c r="B803" s="21"/>
      <c r="C803" s="22"/>
      <c r="D803" s="13"/>
      <c r="E803" s="13"/>
      <c r="F803" s="13"/>
      <c r="G803" s="23"/>
      <c r="H803" s="13"/>
      <c r="I803" s="13"/>
    </row>
    <row r="804" spans="1:9" ht="22.5" customHeight="1">
      <c r="A804" s="20"/>
      <c r="B804" s="21"/>
      <c r="C804" s="22"/>
      <c r="D804" s="13"/>
      <c r="E804" s="13"/>
      <c r="F804" s="13"/>
      <c r="G804" s="23"/>
      <c r="H804" s="13"/>
      <c r="I804" s="13"/>
    </row>
    <row r="805" spans="1:9" ht="22.5" customHeight="1">
      <c r="A805" s="20"/>
      <c r="B805" s="21"/>
      <c r="C805" s="22"/>
      <c r="D805" s="13"/>
      <c r="E805" s="13"/>
      <c r="F805" s="13"/>
      <c r="G805" s="23"/>
      <c r="H805" s="13"/>
      <c r="I805" s="13"/>
    </row>
    <row r="806" spans="1:9" ht="22.5" customHeight="1">
      <c r="A806" s="20"/>
      <c r="B806" s="21"/>
      <c r="C806" s="22"/>
      <c r="D806" s="13"/>
      <c r="E806" s="13"/>
      <c r="F806" s="13"/>
      <c r="G806" s="23"/>
      <c r="H806" s="13"/>
      <c r="I806" s="13"/>
    </row>
    <row r="807" spans="1:9" ht="22.5" customHeight="1">
      <c r="A807" s="20"/>
      <c r="B807" s="21"/>
      <c r="C807" s="22"/>
      <c r="D807" s="13"/>
      <c r="E807" s="13"/>
      <c r="F807" s="13"/>
      <c r="G807" s="23"/>
      <c r="H807" s="13"/>
      <c r="I807" s="13"/>
    </row>
    <row r="808" spans="1:9" ht="22.5" customHeight="1">
      <c r="A808" s="20"/>
      <c r="B808" s="21"/>
      <c r="C808" s="22"/>
      <c r="D808" s="13"/>
      <c r="E808" s="13"/>
      <c r="F808" s="13"/>
      <c r="G808" s="23"/>
      <c r="H808" s="13"/>
      <c r="I808" s="13"/>
    </row>
    <row r="809" spans="1:9" ht="22.5" customHeight="1">
      <c r="A809" s="20"/>
      <c r="B809" s="21"/>
      <c r="C809" s="22"/>
      <c r="D809" s="13"/>
      <c r="E809" s="13"/>
      <c r="F809" s="13"/>
      <c r="G809" s="23"/>
      <c r="H809" s="13"/>
      <c r="I809" s="13"/>
    </row>
    <row r="810" spans="1:9" ht="22.5" customHeight="1">
      <c r="A810" s="20"/>
      <c r="B810" s="21"/>
      <c r="C810" s="22"/>
      <c r="D810" s="13"/>
      <c r="E810" s="13"/>
      <c r="F810" s="13"/>
      <c r="G810" s="23"/>
      <c r="H810" s="13"/>
      <c r="I810" s="13"/>
    </row>
    <row r="811" spans="1:9" ht="22.5" customHeight="1">
      <c r="A811" s="20"/>
      <c r="B811" s="21"/>
      <c r="C811" s="22"/>
      <c r="D811" s="13"/>
      <c r="E811" s="13"/>
      <c r="F811" s="13"/>
      <c r="G811" s="23"/>
      <c r="H811" s="13"/>
      <c r="I811" s="13"/>
    </row>
    <row r="812" spans="1:9" ht="22.5" customHeight="1">
      <c r="A812" s="20"/>
      <c r="B812" s="21"/>
      <c r="C812" s="22"/>
      <c r="D812" s="13"/>
      <c r="E812" s="13"/>
      <c r="F812" s="13"/>
      <c r="G812" s="23"/>
      <c r="H812" s="13"/>
      <c r="I812" s="13"/>
    </row>
    <row r="813" spans="1:9" ht="22.5" customHeight="1">
      <c r="A813" s="20"/>
      <c r="B813" s="21"/>
      <c r="C813" s="22"/>
      <c r="D813" s="13"/>
      <c r="E813" s="13"/>
      <c r="F813" s="13"/>
      <c r="G813" s="23"/>
      <c r="H813" s="13"/>
      <c r="I813" s="13"/>
    </row>
    <row r="814" spans="1:9" ht="22.5" customHeight="1">
      <c r="A814" s="20"/>
      <c r="B814" s="21"/>
      <c r="C814" s="22"/>
      <c r="D814" s="13"/>
      <c r="E814" s="13"/>
      <c r="F814" s="13"/>
      <c r="G814" s="23"/>
      <c r="H814" s="13"/>
      <c r="I814" s="13"/>
    </row>
    <row r="815" spans="1:9" ht="22.5" customHeight="1">
      <c r="A815" s="20"/>
      <c r="B815" s="21"/>
      <c r="C815" s="22"/>
      <c r="D815" s="13"/>
      <c r="E815" s="13"/>
      <c r="F815" s="13"/>
      <c r="G815" s="23"/>
      <c r="H815" s="13"/>
      <c r="I815" s="13"/>
    </row>
    <row r="816" spans="1:9" ht="22.5" customHeight="1">
      <c r="A816" s="20"/>
      <c r="B816" s="21"/>
      <c r="C816" s="22"/>
      <c r="D816" s="13"/>
      <c r="E816" s="13"/>
      <c r="F816" s="13"/>
      <c r="G816" s="23"/>
      <c r="H816" s="13"/>
      <c r="I816" s="13"/>
    </row>
    <row r="817" spans="1:9" ht="22.5" customHeight="1">
      <c r="A817" s="20"/>
      <c r="B817" s="21"/>
      <c r="C817" s="22"/>
      <c r="D817" s="13"/>
      <c r="E817" s="13"/>
      <c r="F817" s="13"/>
      <c r="G817" s="23"/>
      <c r="H817" s="13"/>
      <c r="I817" s="13"/>
    </row>
    <row r="818" spans="1:9" ht="22.5" customHeight="1">
      <c r="A818" s="20"/>
      <c r="B818" s="21"/>
      <c r="C818" s="22"/>
      <c r="D818" s="13"/>
      <c r="E818" s="13"/>
      <c r="F818" s="13"/>
      <c r="G818" s="23"/>
      <c r="H818" s="13"/>
      <c r="I818" s="13"/>
    </row>
    <row r="819" spans="1:9" ht="22.5" customHeight="1">
      <c r="A819" s="20"/>
      <c r="B819" s="21"/>
      <c r="C819" s="22"/>
      <c r="D819" s="13"/>
      <c r="E819" s="13"/>
      <c r="F819" s="13"/>
      <c r="G819" s="23"/>
      <c r="H819" s="13"/>
      <c r="I819" s="13"/>
    </row>
    <row r="820" spans="1:9" ht="22.5" customHeight="1">
      <c r="A820" s="20"/>
      <c r="B820" s="21"/>
      <c r="C820" s="22"/>
      <c r="D820" s="13"/>
      <c r="E820" s="13"/>
      <c r="F820" s="13"/>
      <c r="G820" s="23"/>
      <c r="H820" s="13"/>
      <c r="I820" s="13"/>
    </row>
    <row r="821" spans="1:9" ht="22.5" customHeight="1">
      <c r="A821" s="20"/>
      <c r="B821" s="21"/>
      <c r="C821" s="22"/>
      <c r="D821" s="13"/>
      <c r="E821" s="13"/>
      <c r="F821" s="13"/>
      <c r="G821" s="23"/>
      <c r="H821" s="13"/>
      <c r="I821" s="13"/>
    </row>
    <row r="822" spans="1:9" ht="22.5" customHeight="1">
      <c r="A822" s="20"/>
      <c r="B822" s="21"/>
      <c r="C822" s="22"/>
      <c r="D822" s="13"/>
      <c r="E822" s="13"/>
      <c r="F822" s="13"/>
      <c r="G822" s="23"/>
      <c r="H822" s="13"/>
      <c r="I822" s="13"/>
    </row>
    <row r="823" spans="1:9" ht="22.5" customHeight="1">
      <c r="A823" s="20"/>
      <c r="B823" s="21"/>
      <c r="C823" s="22"/>
      <c r="D823" s="13"/>
      <c r="E823" s="13"/>
      <c r="F823" s="13"/>
      <c r="G823" s="23"/>
      <c r="H823" s="13"/>
      <c r="I823" s="13"/>
    </row>
    <row r="824" spans="1:9" ht="22.5" customHeight="1">
      <c r="A824" s="20"/>
      <c r="B824" s="21"/>
      <c r="C824" s="22"/>
      <c r="D824" s="13"/>
      <c r="E824" s="13"/>
      <c r="F824" s="13"/>
      <c r="G824" s="23"/>
      <c r="H824" s="13"/>
      <c r="I824" s="13"/>
    </row>
    <row r="825" spans="1:9" ht="22.5" customHeight="1">
      <c r="A825" s="20"/>
      <c r="B825" s="21"/>
      <c r="C825" s="22"/>
      <c r="D825" s="13"/>
      <c r="E825" s="13"/>
      <c r="F825" s="13"/>
      <c r="G825" s="23"/>
      <c r="H825" s="13"/>
      <c r="I825" s="13"/>
    </row>
    <row r="826" spans="1:9" ht="22.5" customHeight="1">
      <c r="A826" s="20"/>
      <c r="B826" s="21"/>
      <c r="C826" s="22"/>
      <c r="D826" s="13"/>
      <c r="E826" s="13"/>
      <c r="F826" s="13"/>
      <c r="G826" s="23"/>
      <c r="H826" s="13"/>
      <c r="I826" s="13"/>
    </row>
    <row r="827" spans="1:9" ht="22.5" customHeight="1">
      <c r="A827" s="20"/>
      <c r="B827" s="21"/>
      <c r="C827" s="22"/>
      <c r="D827" s="13"/>
      <c r="E827" s="13"/>
      <c r="F827" s="13"/>
      <c r="G827" s="23"/>
      <c r="H827" s="13"/>
      <c r="I827" s="13"/>
    </row>
    <row r="828" spans="1:9" ht="22.5" customHeight="1">
      <c r="A828" s="20"/>
      <c r="B828" s="21"/>
      <c r="C828" s="22"/>
      <c r="D828" s="13"/>
      <c r="E828" s="13"/>
      <c r="F828" s="13"/>
      <c r="G828" s="23"/>
      <c r="H828" s="13"/>
      <c r="I828" s="13"/>
    </row>
    <row r="829" spans="1:9" ht="22.5" customHeight="1">
      <c r="A829" s="20"/>
      <c r="B829" s="21"/>
      <c r="C829" s="22"/>
      <c r="D829" s="13"/>
      <c r="E829" s="13"/>
      <c r="F829" s="13"/>
      <c r="G829" s="23"/>
      <c r="H829" s="13"/>
      <c r="I829" s="13"/>
    </row>
    <row r="830" spans="1:9" ht="22.5" customHeight="1">
      <c r="A830" s="20"/>
      <c r="B830" s="21"/>
      <c r="C830" s="22"/>
      <c r="D830" s="13"/>
      <c r="E830" s="13"/>
      <c r="F830" s="13"/>
      <c r="G830" s="23"/>
      <c r="H830" s="13"/>
      <c r="I830" s="13"/>
    </row>
    <row r="831" spans="1:9" ht="22.5" customHeight="1">
      <c r="A831" s="20"/>
      <c r="B831" s="21"/>
      <c r="C831" s="22"/>
      <c r="D831" s="13"/>
      <c r="E831" s="13"/>
      <c r="F831" s="13"/>
      <c r="G831" s="23"/>
      <c r="H831" s="13"/>
      <c r="I831" s="13"/>
    </row>
    <row r="832" spans="1:9" ht="22.5" customHeight="1">
      <c r="A832" s="20"/>
      <c r="B832" s="21"/>
      <c r="C832" s="22"/>
      <c r="D832" s="13"/>
      <c r="E832" s="13"/>
      <c r="F832" s="13"/>
      <c r="G832" s="23"/>
      <c r="H832" s="13"/>
      <c r="I832" s="13"/>
    </row>
    <row r="833" spans="1:9" ht="22.5" customHeight="1">
      <c r="A833" s="20"/>
      <c r="B833" s="21"/>
      <c r="C833" s="22"/>
      <c r="D833" s="13"/>
      <c r="E833" s="13"/>
      <c r="F833" s="13"/>
      <c r="G833" s="23"/>
      <c r="H833" s="13"/>
      <c r="I833" s="13"/>
    </row>
    <row r="834" spans="1:9" ht="22.5" customHeight="1">
      <c r="A834" s="20"/>
      <c r="B834" s="21"/>
      <c r="C834" s="22"/>
      <c r="D834" s="13"/>
      <c r="E834" s="13"/>
      <c r="F834" s="13"/>
      <c r="G834" s="23"/>
      <c r="H834" s="13"/>
      <c r="I834" s="13"/>
    </row>
    <row r="835" spans="1:9" ht="22.5" customHeight="1">
      <c r="A835" s="20"/>
      <c r="B835" s="21"/>
      <c r="C835" s="22"/>
      <c r="D835" s="13"/>
      <c r="E835" s="13"/>
      <c r="F835" s="13"/>
      <c r="G835" s="23"/>
      <c r="H835" s="13"/>
      <c r="I835" s="13"/>
    </row>
    <row r="836" spans="1:9" ht="22.5" customHeight="1">
      <c r="A836" s="20"/>
      <c r="B836" s="21"/>
      <c r="C836" s="22"/>
      <c r="D836" s="13"/>
      <c r="E836" s="13"/>
      <c r="F836" s="13"/>
      <c r="G836" s="23"/>
      <c r="H836" s="13"/>
      <c r="I836" s="13"/>
    </row>
    <row r="837" spans="1:9" ht="22.5" customHeight="1">
      <c r="A837" s="20"/>
      <c r="B837" s="21"/>
      <c r="C837" s="22"/>
      <c r="D837" s="13"/>
      <c r="E837" s="13"/>
      <c r="F837" s="13"/>
      <c r="G837" s="23"/>
      <c r="H837" s="13"/>
      <c r="I837" s="13"/>
    </row>
    <row r="838" spans="1:9" ht="22.5" customHeight="1">
      <c r="A838" s="20"/>
      <c r="B838" s="21"/>
      <c r="C838" s="22"/>
      <c r="D838" s="13"/>
      <c r="E838" s="13"/>
      <c r="F838" s="13"/>
      <c r="G838" s="23"/>
      <c r="H838" s="13"/>
      <c r="I838" s="13"/>
    </row>
    <row r="839" spans="1:9" ht="22.5" customHeight="1">
      <c r="A839" s="20"/>
      <c r="B839" s="21"/>
      <c r="C839" s="22"/>
      <c r="D839" s="13"/>
      <c r="E839" s="13"/>
      <c r="F839" s="13"/>
      <c r="G839" s="23"/>
      <c r="H839" s="13"/>
      <c r="I839" s="13"/>
    </row>
    <row r="840" spans="1:9" ht="22.5" customHeight="1">
      <c r="A840" s="20"/>
      <c r="B840" s="21"/>
      <c r="C840" s="22"/>
      <c r="D840" s="13"/>
      <c r="E840" s="13"/>
      <c r="F840" s="13"/>
      <c r="G840" s="23"/>
      <c r="H840" s="13"/>
      <c r="I840" s="13"/>
    </row>
    <row r="841" spans="1:9" ht="22.5" customHeight="1">
      <c r="A841" s="20"/>
      <c r="B841" s="21"/>
      <c r="C841" s="22"/>
      <c r="D841" s="13"/>
      <c r="E841" s="13"/>
      <c r="F841" s="13"/>
      <c r="G841" s="23"/>
      <c r="H841" s="13"/>
      <c r="I841" s="13"/>
    </row>
    <row r="842" spans="1:9" ht="22.5" customHeight="1">
      <c r="A842" s="20"/>
      <c r="B842" s="21"/>
      <c r="C842" s="22"/>
      <c r="D842" s="13"/>
      <c r="E842" s="13"/>
      <c r="F842" s="13"/>
      <c r="G842" s="23"/>
      <c r="H842" s="13"/>
      <c r="I842" s="13"/>
    </row>
    <row r="843" spans="1:9" ht="22.5" customHeight="1">
      <c r="A843" s="20"/>
      <c r="B843" s="21"/>
      <c r="C843" s="22"/>
      <c r="D843" s="13"/>
      <c r="E843" s="13"/>
      <c r="F843" s="13"/>
      <c r="G843" s="23"/>
      <c r="H843" s="13"/>
      <c r="I843" s="13"/>
    </row>
    <row r="844" spans="1:9" ht="22.5" customHeight="1">
      <c r="A844" s="20"/>
      <c r="B844" s="21"/>
      <c r="C844" s="22"/>
      <c r="D844" s="13"/>
      <c r="E844" s="13"/>
      <c r="F844" s="13"/>
      <c r="G844" s="23"/>
      <c r="H844" s="13"/>
      <c r="I844" s="13"/>
    </row>
    <row r="845" spans="1:9" ht="22.5" customHeight="1">
      <c r="A845" s="20"/>
      <c r="B845" s="21"/>
      <c r="C845" s="22"/>
      <c r="D845" s="13"/>
      <c r="E845" s="13"/>
      <c r="F845" s="13"/>
      <c r="G845" s="23"/>
      <c r="H845" s="13"/>
      <c r="I845" s="13"/>
    </row>
    <row r="846" spans="1:9" ht="22.5" customHeight="1">
      <c r="A846" s="20"/>
      <c r="B846" s="21"/>
      <c r="C846" s="22"/>
      <c r="D846" s="13"/>
      <c r="E846" s="13"/>
      <c r="F846" s="13"/>
      <c r="G846" s="23"/>
      <c r="H846" s="13"/>
      <c r="I846" s="13"/>
    </row>
    <row r="847" spans="1:9" ht="22.5" customHeight="1">
      <c r="A847" s="20"/>
      <c r="B847" s="21"/>
      <c r="C847" s="22"/>
      <c r="D847" s="13"/>
      <c r="E847" s="13"/>
      <c r="F847" s="13"/>
      <c r="G847" s="23"/>
      <c r="H847" s="13"/>
      <c r="I847" s="13"/>
    </row>
    <row r="848" spans="1:9" ht="22.5" customHeight="1">
      <c r="A848" s="20"/>
      <c r="B848" s="21"/>
      <c r="C848" s="22"/>
      <c r="D848" s="13"/>
      <c r="E848" s="13"/>
      <c r="F848" s="13"/>
      <c r="G848" s="23"/>
      <c r="H848" s="13"/>
      <c r="I848" s="13"/>
    </row>
    <row r="849" spans="1:9" ht="22.5" customHeight="1">
      <c r="A849" s="20"/>
      <c r="B849" s="21"/>
      <c r="C849" s="22"/>
      <c r="D849" s="13"/>
      <c r="E849" s="13"/>
      <c r="F849" s="13"/>
      <c r="G849" s="23"/>
      <c r="H849" s="13"/>
      <c r="I849" s="13"/>
    </row>
    <row r="850" spans="1:9" ht="22.5" customHeight="1">
      <c r="A850" s="20"/>
      <c r="B850" s="21"/>
      <c r="C850" s="22"/>
      <c r="D850" s="13"/>
      <c r="E850" s="13"/>
      <c r="F850" s="13"/>
      <c r="G850" s="23"/>
      <c r="H850" s="13"/>
      <c r="I850" s="13"/>
    </row>
    <row r="851" spans="1:9" ht="22.5" customHeight="1">
      <c r="A851" s="20"/>
      <c r="B851" s="21"/>
      <c r="C851" s="22"/>
      <c r="D851" s="13"/>
      <c r="E851" s="13"/>
      <c r="F851" s="13"/>
      <c r="G851" s="23"/>
      <c r="H851" s="13"/>
      <c r="I851" s="13"/>
    </row>
    <row r="852" spans="1:9" ht="22.5" customHeight="1">
      <c r="A852" s="20"/>
      <c r="B852" s="21"/>
      <c r="C852" s="22"/>
      <c r="D852" s="13"/>
      <c r="E852" s="13"/>
      <c r="F852" s="13"/>
      <c r="G852" s="23"/>
      <c r="H852" s="13"/>
      <c r="I852" s="13"/>
    </row>
    <row r="853" spans="1:9" ht="22.5" customHeight="1">
      <c r="A853" s="20"/>
      <c r="B853" s="21"/>
      <c r="C853" s="22"/>
      <c r="D853" s="13"/>
      <c r="E853" s="13"/>
      <c r="F853" s="13"/>
      <c r="G853" s="23"/>
      <c r="H853" s="13"/>
      <c r="I853" s="13"/>
    </row>
    <row r="854" spans="1:9" ht="22.5" customHeight="1">
      <c r="A854" s="20"/>
      <c r="B854" s="21"/>
      <c r="C854" s="22"/>
      <c r="D854" s="13"/>
      <c r="E854" s="13"/>
      <c r="F854" s="13"/>
      <c r="G854" s="23"/>
      <c r="H854" s="13"/>
      <c r="I854" s="13"/>
    </row>
    <row r="855" spans="1:9" ht="22.5" customHeight="1">
      <c r="A855" s="20"/>
      <c r="B855" s="21"/>
      <c r="C855" s="22"/>
      <c r="D855" s="13"/>
      <c r="E855" s="13"/>
      <c r="F855" s="13"/>
      <c r="G855" s="23"/>
      <c r="H855" s="13"/>
      <c r="I855" s="13"/>
    </row>
    <row r="856" spans="1:9" ht="22.5" customHeight="1">
      <c r="A856" s="20"/>
      <c r="B856" s="21"/>
      <c r="C856" s="22"/>
      <c r="D856" s="13"/>
      <c r="E856" s="13"/>
      <c r="F856" s="13"/>
      <c r="G856" s="23"/>
      <c r="H856" s="13"/>
      <c r="I856" s="13"/>
    </row>
    <row r="857" spans="1:9" ht="22.5" customHeight="1">
      <c r="A857" s="20"/>
      <c r="B857" s="21"/>
      <c r="C857" s="22"/>
      <c r="D857" s="13"/>
      <c r="E857" s="13"/>
      <c r="F857" s="13"/>
      <c r="G857" s="23"/>
      <c r="H857" s="13"/>
      <c r="I857" s="13"/>
    </row>
    <row r="858" spans="1:9" ht="22.5" customHeight="1">
      <c r="A858" s="20"/>
      <c r="B858" s="21"/>
      <c r="C858" s="22"/>
      <c r="D858" s="13"/>
      <c r="E858" s="13"/>
      <c r="F858" s="13"/>
      <c r="G858" s="23"/>
      <c r="H858" s="13"/>
      <c r="I858" s="13"/>
    </row>
    <row r="859" spans="1:9" ht="22.5" customHeight="1">
      <c r="A859" s="20"/>
      <c r="B859" s="21"/>
      <c r="C859" s="22"/>
      <c r="D859" s="13"/>
      <c r="E859" s="13"/>
      <c r="F859" s="13"/>
      <c r="G859" s="23"/>
      <c r="H859" s="13"/>
      <c r="I859" s="13"/>
    </row>
    <row r="860" spans="1:9" ht="22.5" customHeight="1">
      <c r="A860" s="20"/>
      <c r="B860" s="21"/>
      <c r="C860" s="22"/>
      <c r="D860" s="13"/>
      <c r="E860" s="13"/>
      <c r="F860" s="13"/>
      <c r="G860" s="23"/>
      <c r="H860" s="13"/>
      <c r="I860" s="13"/>
    </row>
    <row r="861" spans="1:9" ht="22.5" customHeight="1">
      <c r="A861" s="20"/>
      <c r="B861" s="21"/>
      <c r="C861" s="22"/>
      <c r="D861" s="13"/>
      <c r="E861" s="13"/>
      <c r="F861" s="13"/>
      <c r="G861" s="23"/>
      <c r="H861" s="13"/>
      <c r="I861" s="13"/>
    </row>
    <row r="862" spans="1:9" ht="22.5" customHeight="1">
      <c r="A862" s="20"/>
      <c r="B862" s="21"/>
      <c r="C862" s="22"/>
      <c r="D862" s="13"/>
      <c r="E862" s="13"/>
      <c r="F862" s="13"/>
      <c r="G862" s="23"/>
      <c r="H862" s="13"/>
      <c r="I862" s="13"/>
    </row>
    <row r="863" spans="1:9" ht="22.5" customHeight="1">
      <c r="A863" s="20"/>
      <c r="B863" s="21"/>
      <c r="C863" s="22"/>
      <c r="D863" s="13"/>
      <c r="E863" s="13"/>
      <c r="F863" s="13"/>
      <c r="G863" s="23"/>
      <c r="H863" s="13"/>
      <c r="I863" s="13"/>
    </row>
    <row r="864" spans="1:9" ht="22.5" customHeight="1">
      <c r="A864" s="20"/>
      <c r="B864" s="21"/>
      <c r="C864" s="22"/>
      <c r="D864" s="13"/>
      <c r="E864" s="13"/>
      <c r="F864" s="13"/>
      <c r="G864" s="23"/>
      <c r="H864" s="13"/>
      <c r="I864" s="13"/>
    </row>
    <row r="865" spans="1:9" ht="22.5" customHeight="1">
      <c r="A865" s="20"/>
      <c r="B865" s="21"/>
      <c r="C865" s="22"/>
      <c r="D865" s="13"/>
      <c r="E865" s="13"/>
      <c r="F865" s="13"/>
      <c r="G865" s="23"/>
      <c r="H865" s="13"/>
      <c r="I865" s="13"/>
    </row>
    <row r="866" spans="1:9" ht="22.5" customHeight="1">
      <c r="A866" s="20"/>
      <c r="B866" s="21"/>
      <c r="C866" s="22"/>
      <c r="D866" s="13"/>
      <c r="E866" s="13"/>
      <c r="F866" s="13"/>
      <c r="G866" s="23"/>
      <c r="H866" s="13"/>
      <c r="I866" s="13"/>
    </row>
    <row r="867" spans="1:9" ht="22.5" customHeight="1">
      <c r="A867" s="20"/>
      <c r="B867" s="21"/>
      <c r="C867" s="22"/>
      <c r="D867" s="13"/>
      <c r="E867" s="13"/>
      <c r="F867" s="13"/>
      <c r="G867" s="23"/>
      <c r="H867" s="13"/>
      <c r="I867" s="13"/>
    </row>
    <row r="868" spans="1:9" ht="22.5" customHeight="1">
      <c r="A868" s="20"/>
      <c r="B868" s="21"/>
      <c r="C868" s="22"/>
      <c r="D868" s="13"/>
      <c r="E868" s="13"/>
      <c r="F868" s="13"/>
      <c r="G868" s="23"/>
      <c r="H868" s="13"/>
      <c r="I868" s="13"/>
    </row>
    <row r="869" spans="1:9" ht="22.5" customHeight="1">
      <c r="A869" s="20"/>
      <c r="B869" s="21"/>
      <c r="C869" s="22"/>
      <c r="D869" s="13"/>
      <c r="E869" s="13"/>
      <c r="F869" s="13"/>
      <c r="G869" s="23"/>
      <c r="H869" s="13"/>
      <c r="I869" s="13"/>
    </row>
    <row r="870" spans="1:9" ht="22.5" customHeight="1">
      <c r="A870" s="20"/>
      <c r="B870" s="21"/>
      <c r="C870" s="22"/>
      <c r="D870" s="13"/>
      <c r="E870" s="13"/>
      <c r="F870" s="13"/>
      <c r="G870" s="23"/>
      <c r="H870" s="13"/>
      <c r="I870" s="13"/>
    </row>
    <row r="871" spans="1:9" ht="22.5" customHeight="1">
      <c r="A871" s="20"/>
      <c r="B871" s="21"/>
      <c r="C871" s="22"/>
      <c r="D871" s="13"/>
      <c r="E871" s="13"/>
      <c r="F871" s="13"/>
      <c r="G871" s="23"/>
      <c r="H871" s="13"/>
      <c r="I871" s="13"/>
    </row>
    <row r="872" spans="1:9" ht="22.5" customHeight="1">
      <c r="A872" s="20"/>
      <c r="B872" s="21"/>
      <c r="C872" s="22"/>
      <c r="D872" s="13"/>
      <c r="E872" s="13"/>
      <c r="F872" s="13"/>
      <c r="G872" s="23"/>
      <c r="H872" s="13"/>
      <c r="I872" s="13"/>
    </row>
    <row r="873" spans="1:9" ht="22.5" customHeight="1">
      <c r="A873" s="20"/>
      <c r="B873" s="21"/>
      <c r="C873" s="22"/>
      <c r="D873" s="13"/>
      <c r="E873" s="13"/>
      <c r="F873" s="13"/>
      <c r="G873" s="23"/>
      <c r="H873" s="13"/>
      <c r="I873" s="13"/>
    </row>
    <row r="874" spans="1:9" ht="22.5" customHeight="1">
      <c r="A874" s="20"/>
      <c r="B874" s="21"/>
      <c r="C874" s="22"/>
      <c r="D874" s="13"/>
      <c r="E874" s="13"/>
      <c r="F874" s="13"/>
      <c r="G874" s="23"/>
      <c r="H874" s="13"/>
      <c r="I874" s="13"/>
    </row>
    <row r="875" spans="1:9" ht="22.5" customHeight="1">
      <c r="A875" s="20"/>
      <c r="B875" s="21"/>
      <c r="C875" s="22"/>
      <c r="D875" s="13"/>
      <c r="E875" s="13"/>
      <c r="F875" s="13"/>
      <c r="G875" s="23"/>
      <c r="H875" s="13"/>
      <c r="I875" s="13"/>
    </row>
    <row r="876" spans="1:9" ht="22.5" customHeight="1">
      <c r="A876" s="20"/>
      <c r="B876" s="21"/>
      <c r="C876" s="22"/>
      <c r="D876" s="13"/>
      <c r="E876" s="13"/>
      <c r="F876" s="13"/>
      <c r="G876" s="23"/>
      <c r="H876" s="13"/>
      <c r="I876" s="13"/>
    </row>
    <row r="877" spans="1:9" ht="22.5" customHeight="1">
      <c r="A877" s="20"/>
      <c r="B877" s="21"/>
      <c r="C877" s="22"/>
      <c r="D877" s="13"/>
      <c r="E877" s="13"/>
      <c r="F877" s="13"/>
      <c r="G877" s="23"/>
      <c r="H877" s="13"/>
      <c r="I877" s="13"/>
    </row>
    <row r="878" spans="1:9" ht="22.5" customHeight="1">
      <c r="A878" s="20"/>
      <c r="B878" s="21"/>
      <c r="C878" s="22"/>
      <c r="D878" s="13"/>
      <c r="E878" s="13"/>
      <c r="F878" s="13"/>
      <c r="G878" s="23"/>
      <c r="H878" s="13"/>
      <c r="I878" s="13"/>
    </row>
    <row r="879" spans="1:9" ht="22.5" customHeight="1">
      <c r="A879" s="20"/>
      <c r="B879" s="21"/>
      <c r="C879" s="22"/>
      <c r="D879" s="13"/>
      <c r="E879" s="13"/>
      <c r="F879" s="13"/>
      <c r="G879" s="23"/>
      <c r="H879" s="13"/>
      <c r="I879" s="13"/>
    </row>
    <row r="880" spans="1:9" ht="22.5" customHeight="1">
      <c r="A880" s="20"/>
      <c r="B880" s="21"/>
      <c r="C880" s="22"/>
      <c r="D880" s="13"/>
      <c r="E880" s="13"/>
      <c r="F880" s="13"/>
      <c r="G880" s="23"/>
      <c r="H880" s="13"/>
      <c r="I880" s="13"/>
    </row>
    <row r="881" spans="1:9" ht="22.5" customHeight="1">
      <c r="A881" s="20"/>
      <c r="B881" s="21"/>
      <c r="C881" s="22"/>
      <c r="D881" s="13"/>
      <c r="E881" s="13"/>
      <c r="F881" s="13"/>
      <c r="G881" s="23"/>
      <c r="H881" s="13"/>
      <c r="I881" s="13"/>
    </row>
    <row r="882" spans="1:9" ht="22.5" customHeight="1">
      <c r="A882" s="20"/>
      <c r="B882" s="21"/>
      <c r="C882" s="22"/>
      <c r="D882" s="13"/>
      <c r="E882" s="13"/>
      <c r="F882" s="13"/>
      <c r="G882" s="23"/>
      <c r="H882" s="13"/>
      <c r="I882" s="13"/>
    </row>
    <row r="883" spans="1:9" ht="22.5" customHeight="1">
      <c r="A883" s="20"/>
      <c r="B883" s="21"/>
      <c r="C883" s="22"/>
      <c r="D883" s="13"/>
      <c r="E883" s="13"/>
      <c r="F883" s="13"/>
      <c r="G883" s="23"/>
      <c r="H883" s="13"/>
      <c r="I883" s="13"/>
    </row>
    <row r="884" spans="1:9" ht="22.5" customHeight="1">
      <c r="A884" s="20"/>
      <c r="B884" s="21"/>
      <c r="C884" s="22"/>
      <c r="D884" s="13"/>
      <c r="E884" s="13"/>
      <c r="F884" s="13"/>
      <c r="G884" s="23"/>
      <c r="H884" s="13"/>
      <c r="I884" s="13"/>
    </row>
    <row r="885" spans="1:9" ht="22.5" customHeight="1">
      <c r="A885" s="20"/>
      <c r="B885" s="21"/>
      <c r="C885" s="22"/>
      <c r="D885" s="13"/>
      <c r="E885" s="13"/>
      <c r="F885" s="13"/>
      <c r="G885" s="23"/>
      <c r="H885" s="13"/>
      <c r="I885" s="13"/>
    </row>
    <row r="886" spans="1:9" ht="22.5" customHeight="1">
      <c r="A886" s="20"/>
      <c r="B886" s="21"/>
      <c r="C886" s="22"/>
      <c r="D886" s="13"/>
      <c r="E886" s="13"/>
      <c r="F886" s="13"/>
      <c r="G886" s="23"/>
      <c r="H886" s="13"/>
      <c r="I886" s="13"/>
    </row>
    <row r="887" spans="1:9" ht="22.5" customHeight="1">
      <c r="A887" s="20"/>
      <c r="B887" s="21"/>
      <c r="C887" s="22"/>
      <c r="D887" s="13"/>
      <c r="E887" s="13"/>
      <c r="F887" s="13"/>
      <c r="G887" s="23"/>
      <c r="H887" s="13"/>
      <c r="I887" s="13"/>
    </row>
    <row r="888" spans="1:9" ht="22.5" customHeight="1">
      <c r="A888" s="20"/>
      <c r="B888" s="21"/>
      <c r="C888" s="22"/>
      <c r="D888" s="13"/>
      <c r="E888" s="13"/>
      <c r="F888" s="13"/>
      <c r="G888" s="23"/>
      <c r="H888" s="13"/>
      <c r="I888" s="13"/>
    </row>
    <row r="889" spans="1:9" ht="22.5" customHeight="1">
      <c r="A889" s="20"/>
      <c r="B889" s="21"/>
      <c r="C889" s="22"/>
      <c r="D889" s="13"/>
      <c r="E889" s="13"/>
      <c r="F889" s="13"/>
      <c r="G889" s="23"/>
      <c r="H889" s="13"/>
      <c r="I889" s="13"/>
    </row>
    <row r="890" spans="1:9" ht="22.5" customHeight="1">
      <c r="A890" s="20"/>
      <c r="B890" s="21"/>
      <c r="C890" s="22"/>
      <c r="D890" s="13"/>
      <c r="E890" s="13"/>
      <c r="F890" s="13"/>
      <c r="G890" s="23"/>
      <c r="H890" s="13"/>
      <c r="I890" s="13"/>
    </row>
    <row r="891" spans="1:9" ht="22.5" customHeight="1">
      <c r="A891" s="20"/>
      <c r="B891" s="21"/>
      <c r="C891" s="22"/>
      <c r="D891" s="13"/>
      <c r="E891" s="13"/>
      <c r="F891" s="13"/>
      <c r="G891" s="23"/>
      <c r="H891" s="13"/>
      <c r="I891" s="13"/>
    </row>
    <row r="892" spans="1:9" ht="22.5" customHeight="1">
      <c r="A892" s="20"/>
      <c r="B892" s="21"/>
      <c r="C892" s="22"/>
      <c r="D892" s="13"/>
      <c r="E892" s="13"/>
      <c r="F892" s="13"/>
      <c r="G892" s="23"/>
      <c r="H892" s="13"/>
      <c r="I892" s="13"/>
    </row>
    <row r="893" spans="1:9" ht="22.5" customHeight="1">
      <c r="A893" s="20"/>
      <c r="B893" s="21"/>
      <c r="C893" s="22"/>
      <c r="D893" s="13"/>
      <c r="E893" s="13"/>
      <c r="F893" s="13"/>
      <c r="G893" s="23"/>
      <c r="H893" s="13"/>
      <c r="I893" s="13"/>
    </row>
    <row r="894" spans="1:9" ht="22.5" customHeight="1">
      <c r="A894" s="20"/>
      <c r="B894" s="21"/>
      <c r="C894" s="22"/>
      <c r="D894" s="13"/>
      <c r="E894" s="13"/>
      <c r="F894" s="13"/>
      <c r="G894" s="23"/>
      <c r="H894" s="13"/>
      <c r="I894" s="13"/>
    </row>
    <row r="895" spans="1:9" ht="22.5" customHeight="1">
      <c r="A895" s="20"/>
      <c r="B895" s="21"/>
      <c r="C895" s="22"/>
      <c r="D895" s="13"/>
      <c r="E895" s="13"/>
      <c r="F895" s="13"/>
      <c r="G895" s="23"/>
      <c r="H895" s="13"/>
      <c r="I895" s="13"/>
    </row>
    <row r="896" spans="1:9" ht="22.5" customHeight="1">
      <c r="A896" s="20"/>
      <c r="B896" s="21"/>
      <c r="C896" s="22"/>
      <c r="D896" s="13"/>
      <c r="E896" s="13"/>
      <c r="F896" s="13"/>
      <c r="G896" s="23"/>
      <c r="H896" s="13"/>
      <c r="I896" s="13"/>
    </row>
    <row r="897" spans="1:9" ht="22.5" customHeight="1">
      <c r="A897" s="20"/>
      <c r="B897" s="21"/>
      <c r="C897" s="22"/>
      <c r="D897" s="13"/>
      <c r="E897" s="13"/>
      <c r="F897" s="13"/>
      <c r="G897" s="23"/>
      <c r="H897" s="13"/>
      <c r="I897" s="13"/>
    </row>
    <row r="898" spans="1:9" ht="22.5" customHeight="1">
      <c r="A898" s="20"/>
      <c r="B898" s="21"/>
      <c r="C898" s="22"/>
      <c r="D898" s="13"/>
      <c r="E898" s="13"/>
      <c r="F898" s="13"/>
      <c r="G898" s="23"/>
      <c r="H898" s="13"/>
      <c r="I898" s="13"/>
    </row>
    <row r="899" spans="1:9" ht="22.5" customHeight="1">
      <c r="A899" s="20"/>
      <c r="B899" s="21"/>
      <c r="C899" s="22"/>
      <c r="D899" s="13"/>
      <c r="E899" s="13"/>
      <c r="F899" s="13"/>
      <c r="G899" s="23"/>
      <c r="H899" s="13"/>
      <c r="I899" s="13"/>
    </row>
    <row r="900" spans="1:9" ht="22.5" customHeight="1">
      <c r="A900" s="20"/>
      <c r="B900" s="21"/>
      <c r="C900" s="22"/>
      <c r="D900" s="13"/>
      <c r="E900" s="13"/>
      <c r="F900" s="13"/>
      <c r="G900" s="23"/>
      <c r="H900" s="13"/>
      <c r="I900" s="13"/>
    </row>
    <row r="901" spans="1:9" ht="22.5" customHeight="1">
      <c r="A901" s="20"/>
      <c r="B901" s="21"/>
      <c r="C901" s="22"/>
      <c r="D901" s="13"/>
      <c r="E901" s="13"/>
      <c r="F901" s="13"/>
      <c r="G901" s="23"/>
      <c r="H901" s="13"/>
      <c r="I901" s="13"/>
    </row>
    <row r="902" spans="1:9" ht="22.5" customHeight="1">
      <c r="A902" s="20"/>
      <c r="B902" s="21"/>
      <c r="C902" s="22"/>
      <c r="D902" s="13"/>
      <c r="E902" s="13"/>
      <c r="F902" s="13"/>
      <c r="G902" s="23"/>
      <c r="H902" s="13"/>
      <c r="I902" s="13"/>
    </row>
    <row r="903" spans="1:9" ht="22.5" customHeight="1">
      <c r="A903" s="20"/>
      <c r="B903" s="21"/>
      <c r="C903" s="22"/>
      <c r="D903" s="13"/>
      <c r="E903" s="13"/>
      <c r="F903" s="13"/>
      <c r="G903" s="23"/>
      <c r="H903" s="13"/>
      <c r="I903" s="13"/>
    </row>
    <row r="904" spans="1:9" ht="22.5" customHeight="1">
      <c r="A904" s="20"/>
      <c r="B904" s="21"/>
      <c r="C904" s="22"/>
      <c r="D904" s="13"/>
      <c r="E904" s="13"/>
      <c r="F904" s="13"/>
      <c r="G904" s="23"/>
      <c r="H904" s="13"/>
      <c r="I904" s="13"/>
    </row>
    <row r="905" spans="1:9" ht="22.5" customHeight="1">
      <c r="A905" s="20"/>
      <c r="B905" s="21"/>
      <c r="C905" s="22"/>
      <c r="D905" s="13"/>
      <c r="E905" s="13"/>
      <c r="F905" s="13"/>
      <c r="G905" s="23"/>
      <c r="H905" s="13"/>
      <c r="I905" s="13"/>
    </row>
    <row r="906" spans="1:9" ht="22.5" customHeight="1">
      <c r="A906" s="20"/>
      <c r="B906" s="21"/>
      <c r="C906" s="22"/>
      <c r="D906" s="13"/>
      <c r="E906" s="13"/>
      <c r="F906" s="13"/>
      <c r="G906" s="23"/>
      <c r="H906" s="13"/>
      <c r="I906" s="13"/>
    </row>
    <row r="907" spans="1:9" ht="22.5" customHeight="1">
      <c r="A907" s="20"/>
      <c r="B907" s="21"/>
      <c r="C907" s="22"/>
      <c r="D907" s="13"/>
      <c r="E907" s="13"/>
      <c r="F907" s="13"/>
      <c r="G907" s="23"/>
      <c r="H907" s="13"/>
      <c r="I907" s="13"/>
    </row>
    <row r="908" spans="1:9" ht="22.5" customHeight="1">
      <c r="A908" s="20"/>
      <c r="B908" s="21"/>
      <c r="C908" s="22"/>
      <c r="D908" s="13"/>
      <c r="E908" s="13"/>
      <c r="F908" s="13"/>
      <c r="G908" s="23"/>
      <c r="H908" s="13"/>
      <c r="I908" s="13"/>
    </row>
    <row r="909" spans="1:9" ht="22.5" customHeight="1">
      <c r="A909" s="20"/>
      <c r="B909" s="21"/>
      <c r="C909" s="22"/>
      <c r="D909" s="13"/>
      <c r="E909" s="13"/>
      <c r="F909" s="13"/>
      <c r="G909" s="23"/>
      <c r="H909" s="13"/>
      <c r="I909" s="13"/>
    </row>
    <row r="910" spans="1:9" ht="22.5" customHeight="1">
      <c r="A910" s="20"/>
      <c r="B910" s="21"/>
      <c r="C910" s="22"/>
      <c r="D910" s="13"/>
      <c r="E910" s="13"/>
      <c r="F910" s="13"/>
      <c r="G910" s="23"/>
      <c r="H910" s="13"/>
      <c r="I910" s="13"/>
    </row>
    <row r="911" spans="1:9" ht="22.5" customHeight="1">
      <c r="A911" s="20"/>
      <c r="B911" s="21"/>
      <c r="C911" s="22"/>
      <c r="D911" s="13"/>
      <c r="E911" s="13"/>
      <c r="F911" s="13"/>
      <c r="G911" s="23"/>
      <c r="H911" s="13"/>
      <c r="I911" s="13"/>
    </row>
    <row r="912" spans="1:9" ht="22.5" customHeight="1">
      <c r="A912" s="20"/>
      <c r="B912" s="21"/>
      <c r="C912" s="22"/>
      <c r="D912" s="13"/>
      <c r="E912" s="13"/>
      <c r="F912" s="13"/>
      <c r="G912" s="23"/>
      <c r="H912" s="13"/>
      <c r="I912" s="13"/>
    </row>
    <row r="913" spans="1:9" ht="22.5" customHeight="1">
      <c r="A913" s="20"/>
      <c r="B913" s="21"/>
      <c r="C913" s="22"/>
      <c r="D913" s="13"/>
      <c r="E913" s="13"/>
      <c r="F913" s="13"/>
      <c r="G913" s="23"/>
      <c r="H913" s="13"/>
      <c r="I913" s="13"/>
    </row>
    <row r="914" spans="1:9" ht="22.5" customHeight="1">
      <c r="A914" s="20"/>
      <c r="B914" s="21"/>
      <c r="C914" s="22"/>
      <c r="D914" s="13"/>
      <c r="E914" s="13"/>
      <c r="F914" s="13"/>
      <c r="G914" s="23"/>
      <c r="H914" s="13"/>
      <c r="I914" s="13"/>
    </row>
    <row r="915" spans="1:9" ht="22.5" customHeight="1">
      <c r="A915" s="20"/>
      <c r="B915" s="21"/>
      <c r="C915" s="22"/>
      <c r="D915" s="13"/>
      <c r="E915" s="13"/>
      <c r="F915" s="13"/>
      <c r="G915" s="23"/>
      <c r="H915" s="13"/>
      <c r="I915" s="13"/>
    </row>
    <row r="916" spans="1:9" ht="22.5" customHeight="1">
      <c r="A916" s="20"/>
      <c r="B916" s="21"/>
      <c r="C916" s="22"/>
      <c r="D916" s="13"/>
      <c r="E916" s="13"/>
      <c r="F916" s="13"/>
      <c r="G916" s="23"/>
      <c r="H916" s="13"/>
      <c r="I916" s="13"/>
    </row>
    <row r="917" spans="1:9" ht="22.5" customHeight="1">
      <c r="A917" s="20"/>
      <c r="B917" s="21"/>
      <c r="C917" s="22"/>
      <c r="D917" s="13"/>
      <c r="E917" s="13"/>
      <c r="F917" s="13"/>
      <c r="G917" s="23"/>
      <c r="H917" s="13"/>
      <c r="I917" s="13"/>
    </row>
    <row r="918" spans="1:9" ht="22.5" customHeight="1">
      <c r="A918" s="20"/>
      <c r="B918" s="21"/>
      <c r="C918" s="22"/>
      <c r="D918" s="13"/>
      <c r="E918" s="13"/>
      <c r="F918" s="13"/>
      <c r="G918" s="23"/>
      <c r="H918" s="13"/>
      <c r="I918" s="13"/>
    </row>
    <row r="919" spans="1:9" ht="22.5" customHeight="1">
      <c r="A919" s="20"/>
      <c r="B919" s="21"/>
      <c r="C919" s="22"/>
      <c r="D919" s="13"/>
      <c r="E919" s="13"/>
      <c r="F919" s="13"/>
      <c r="G919" s="23"/>
      <c r="H919" s="13"/>
      <c r="I919" s="13"/>
    </row>
    <row r="920" spans="1:9" ht="22.5" customHeight="1">
      <c r="A920" s="20"/>
      <c r="B920" s="21"/>
      <c r="C920" s="22"/>
      <c r="D920" s="13"/>
      <c r="E920" s="13"/>
      <c r="F920" s="13"/>
      <c r="G920" s="23"/>
      <c r="H920" s="13"/>
      <c r="I920" s="13"/>
    </row>
    <row r="921" spans="1:9" ht="22.5" customHeight="1">
      <c r="A921" s="20"/>
      <c r="B921" s="21"/>
      <c r="C921" s="22"/>
      <c r="D921" s="13"/>
      <c r="E921" s="13"/>
      <c r="F921" s="13"/>
      <c r="G921" s="23"/>
      <c r="H921" s="13"/>
      <c r="I921" s="13"/>
    </row>
    <row r="922" spans="1:9" ht="22.5" customHeight="1">
      <c r="A922" s="20"/>
      <c r="B922" s="21"/>
      <c r="C922" s="22"/>
      <c r="D922" s="13"/>
      <c r="E922" s="13"/>
      <c r="F922" s="13"/>
      <c r="G922" s="23"/>
      <c r="H922" s="13"/>
      <c r="I922" s="13"/>
    </row>
    <row r="923" spans="1:9" ht="22.5" customHeight="1">
      <c r="A923" s="20"/>
      <c r="B923" s="21"/>
      <c r="C923" s="22"/>
      <c r="D923" s="13"/>
      <c r="E923" s="13"/>
      <c r="F923" s="13"/>
      <c r="G923" s="23"/>
      <c r="H923" s="13"/>
      <c r="I923" s="13"/>
    </row>
    <row r="924" spans="1:9" ht="22.5" customHeight="1">
      <c r="A924" s="20"/>
      <c r="B924" s="21"/>
      <c r="C924" s="22"/>
      <c r="D924" s="13"/>
      <c r="E924" s="13"/>
      <c r="F924" s="13"/>
      <c r="G924" s="23"/>
      <c r="H924" s="13"/>
      <c r="I924" s="13"/>
    </row>
    <row r="925" spans="1:9" ht="22.5" customHeight="1">
      <c r="A925" s="20"/>
      <c r="B925" s="21"/>
      <c r="C925" s="22"/>
      <c r="D925" s="13"/>
      <c r="E925" s="13"/>
      <c r="F925" s="13"/>
      <c r="G925" s="23"/>
      <c r="H925" s="13"/>
      <c r="I925" s="13"/>
    </row>
    <row r="926" spans="1:9" ht="22.5" customHeight="1">
      <c r="A926" s="20"/>
      <c r="B926" s="21"/>
      <c r="C926" s="22"/>
      <c r="D926" s="13"/>
      <c r="E926" s="13"/>
      <c r="F926" s="13"/>
      <c r="G926" s="23"/>
      <c r="H926" s="13"/>
      <c r="I926" s="13"/>
    </row>
    <row r="927" spans="1:9" ht="22.5" customHeight="1">
      <c r="A927" s="20"/>
      <c r="B927" s="21"/>
      <c r="C927" s="22"/>
      <c r="D927" s="13"/>
      <c r="E927" s="13"/>
      <c r="F927" s="13"/>
      <c r="G927" s="23"/>
      <c r="H927" s="13"/>
      <c r="I927" s="13"/>
    </row>
    <row r="928" spans="1:9" ht="22.5" customHeight="1">
      <c r="A928" s="20"/>
      <c r="B928" s="21"/>
      <c r="C928" s="22"/>
      <c r="D928" s="13"/>
      <c r="E928" s="13"/>
      <c r="F928" s="13"/>
      <c r="G928" s="23"/>
      <c r="H928" s="13"/>
      <c r="I928" s="13"/>
    </row>
    <row r="929" spans="1:9" ht="22.5" customHeight="1">
      <c r="A929" s="20"/>
      <c r="B929" s="21"/>
      <c r="C929" s="22"/>
      <c r="D929" s="13"/>
      <c r="E929" s="13"/>
      <c r="F929" s="13"/>
      <c r="G929" s="23"/>
      <c r="H929" s="13"/>
      <c r="I929" s="13"/>
    </row>
    <row r="930" spans="1:9" ht="22.5" customHeight="1">
      <c r="A930" s="20"/>
      <c r="B930" s="21"/>
      <c r="C930" s="22"/>
      <c r="D930" s="13"/>
      <c r="E930" s="13"/>
      <c r="F930" s="13"/>
      <c r="G930" s="23"/>
      <c r="H930" s="13"/>
      <c r="I930" s="13"/>
    </row>
    <row r="931" spans="1:9" ht="22.5" customHeight="1">
      <c r="A931" s="20"/>
      <c r="B931" s="21"/>
      <c r="C931" s="22"/>
      <c r="D931" s="13"/>
      <c r="E931" s="13"/>
      <c r="F931" s="13"/>
      <c r="G931" s="23"/>
      <c r="H931" s="13"/>
      <c r="I931" s="13"/>
    </row>
    <row r="932" spans="1:9" ht="22.5" customHeight="1">
      <c r="A932" s="20"/>
      <c r="B932" s="21"/>
      <c r="C932" s="22"/>
      <c r="D932" s="13"/>
      <c r="E932" s="13"/>
      <c r="F932" s="13"/>
      <c r="G932" s="23"/>
      <c r="H932" s="13"/>
      <c r="I932" s="13"/>
    </row>
    <row r="933" spans="1:9" ht="22.5" customHeight="1">
      <c r="A933" s="20"/>
      <c r="B933" s="21"/>
      <c r="C933" s="22"/>
      <c r="D933" s="13"/>
      <c r="E933" s="13"/>
      <c r="F933" s="13"/>
      <c r="G933" s="23"/>
      <c r="H933" s="13"/>
      <c r="I933" s="13"/>
    </row>
    <row r="934" spans="1:9" ht="22.5" customHeight="1">
      <c r="A934" s="20"/>
      <c r="B934" s="21"/>
      <c r="C934" s="22"/>
      <c r="D934" s="13"/>
      <c r="E934" s="13"/>
      <c r="F934" s="13"/>
      <c r="G934" s="23"/>
      <c r="H934" s="13"/>
      <c r="I934" s="13"/>
    </row>
    <row r="935" spans="1:9" ht="22.5" customHeight="1">
      <c r="A935" s="20"/>
      <c r="B935" s="21"/>
      <c r="C935" s="22"/>
      <c r="D935" s="13"/>
      <c r="E935" s="13"/>
      <c r="F935" s="13"/>
      <c r="G935" s="23"/>
      <c r="H935" s="13"/>
      <c r="I935" s="13"/>
    </row>
    <row r="936" spans="1:9" ht="22.5" customHeight="1">
      <c r="A936" s="20"/>
      <c r="B936" s="21"/>
      <c r="C936" s="22"/>
      <c r="D936" s="13"/>
      <c r="E936" s="13"/>
      <c r="F936" s="13"/>
      <c r="G936" s="23"/>
      <c r="H936" s="13"/>
      <c r="I936" s="13"/>
    </row>
    <row r="937" spans="1:9" ht="22.5" customHeight="1">
      <c r="A937" s="20"/>
      <c r="B937" s="21"/>
      <c r="C937" s="22"/>
      <c r="D937" s="13"/>
      <c r="E937" s="13"/>
      <c r="F937" s="13"/>
      <c r="G937" s="23"/>
      <c r="H937" s="13"/>
      <c r="I937" s="13"/>
    </row>
    <row r="938" spans="1:9" ht="22.5" customHeight="1">
      <c r="A938" s="20"/>
      <c r="B938" s="21"/>
      <c r="C938" s="22"/>
      <c r="D938" s="13"/>
      <c r="E938" s="13"/>
      <c r="F938" s="13"/>
      <c r="G938" s="23"/>
      <c r="H938" s="13"/>
      <c r="I938" s="13"/>
    </row>
    <row r="939" spans="1:9" ht="22.5" customHeight="1">
      <c r="A939" s="20"/>
      <c r="B939" s="21"/>
      <c r="C939" s="22"/>
      <c r="D939" s="13"/>
      <c r="E939" s="13"/>
      <c r="F939" s="13"/>
      <c r="G939" s="23"/>
      <c r="H939" s="13"/>
      <c r="I939" s="13"/>
    </row>
    <row r="940" spans="1:9" ht="22.5" customHeight="1">
      <c r="A940" s="20"/>
      <c r="B940" s="21"/>
      <c r="C940" s="22"/>
      <c r="D940" s="13"/>
      <c r="E940" s="13"/>
      <c r="F940" s="13"/>
      <c r="G940" s="23"/>
      <c r="H940" s="13"/>
      <c r="I940" s="13"/>
    </row>
    <row r="941" spans="1:9" ht="22.5" customHeight="1">
      <c r="A941" s="20"/>
      <c r="B941" s="21"/>
      <c r="C941" s="22"/>
      <c r="D941" s="13"/>
      <c r="E941" s="13"/>
      <c r="F941" s="13"/>
      <c r="G941" s="23"/>
      <c r="H941" s="13"/>
      <c r="I941" s="13"/>
    </row>
    <row r="942" spans="1:9" ht="22.5" customHeight="1">
      <c r="A942" s="20"/>
      <c r="B942" s="21"/>
      <c r="C942" s="22"/>
      <c r="D942" s="13"/>
      <c r="E942" s="13"/>
      <c r="F942" s="13"/>
      <c r="G942" s="23"/>
      <c r="H942" s="13"/>
      <c r="I942" s="13"/>
    </row>
    <row r="943" spans="1:9" ht="22.5" customHeight="1">
      <c r="A943" s="20"/>
      <c r="B943" s="21"/>
      <c r="C943" s="22"/>
      <c r="D943" s="13"/>
      <c r="E943" s="13"/>
      <c r="F943" s="13"/>
      <c r="G943" s="23"/>
      <c r="H943" s="13"/>
      <c r="I943" s="13"/>
    </row>
    <row r="944" spans="1:9" ht="22.5" customHeight="1">
      <c r="A944" s="20"/>
      <c r="B944" s="21"/>
      <c r="C944" s="22"/>
      <c r="D944" s="13"/>
      <c r="E944" s="13"/>
      <c r="F944" s="13"/>
      <c r="G944" s="23"/>
      <c r="H944" s="13"/>
      <c r="I944" s="13"/>
    </row>
    <row r="945" spans="1:9" ht="22.5" customHeight="1">
      <c r="A945" s="20"/>
      <c r="B945" s="21"/>
      <c r="C945" s="22"/>
      <c r="D945" s="13"/>
      <c r="E945" s="13"/>
      <c r="F945" s="13"/>
      <c r="G945" s="23"/>
      <c r="H945" s="13"/>
      <c r="I945" s="13"/>
    </row>
    <row r="946" spans="1:9" ht="22.5" customHeight="1">
      <c r="A946" s="20"/>
      <c r="B946" s="21"/>
      <c r="C946" s="22"/>
      <c r="D946" s="13"/>
      <c r="E946" s="13"/>
      <c r="F946" s="13"/>
      <c r="G946" s="23"/>
      <c r="H946" s="13"/>
      <c r="I946" s="13"/>
    </row>
    <row r="947" spans="1:9" ht="22.5" customHeight="1">
      <c r="A947" s="20"/>
      <c r="B947" s="21"/>
      <c r="C947" s="22"/>
      <c r="D947" s="13"/>
      <c r="E947" s="13"/>
      <c r="F947" s="13"/>
      <c r="G947" s="23"/>
      <c r="H947" s="13"/>
      <c r="I947" s="13"/>
    </row>
    <row r="948" spans="1:9" ht="22.5" customHeight="1">
      <c r="A948" s="20"/>
      <c r="B948" s="21"/>
      <c r="C948" s="22"/>
      <c r="D948" s="13"/>
      <c r="E948" s="13"/>
      <c r="F948" s="13"/>
      <c r="G948" s="23"/>
      <c r="H948" s="13"/>
      <c r="I948" s="13"/>
    </row>
    <row r="949" spans="1:9" ht="22.5" customHeight="1">
      <c r="A949" s="20"/>
      <c r="B949" s="21"/>
      <c r="C949" s="22"/>
      <c r="D949" s="13"/>
      <c r="E949" s="13"/>
      <c r="F949" s="13"/>
      <c r="G949" s="23"/>
      <c r="H949" s="13"/>
      <c r="I949" s="13"/>
    </row>
    <row r="950" spans="1:9" ht="22.5" customHeight="1">
      <c r="A950" s="20"/>
      <c r="B950" s="21"/>
      <c r="C950" s="22"/>
      <c r="D950" s="13"/>
      <c r="E950" s="13"/>
      <c r="F950" s="13"/>
      <c r="G950" s="23"/>
      <c r="H950" s="13"/>
      <c r="I950" s="13"/>
    </row>
    <row r="951" spans="1:9" ht="22.5" customHeight="1">
      <c r="A951" s="20"/>
      <c r="B951" s="21"/>
      <c r="C951" s="22"/>
      <c r="D951" s="13"/>
      <c r="E951" s="13"/>
      <c r="F951" s="13"/>
      <c r="G951" s="23"/>
      <c r="H951" s="13"/>
      <c r="I951" s="13"/>
    </row>
    <row r="952" spans="1:9" ht="22.5" customHeight="1">
      <c r="A952" s="20"/>
      <c r="B952" s="21"/>
      <c r="C952" s="22"/>
      <c r="D952" s="13"/>
      <c r="E952" s="13"/>
      <c r="F952" s="13"/>
      <c r="G952" s="23"/>
      <c r="H952" s="13"/>
      <c r="I952" s="13"/>
    </row>
    <row r="953" spans="1:9" ht="22.5" customHeight="1">
      <c r="A953" s="20"/>
      <c r="B953" s="21"/>
      <c r="C953" s="22"/>
      <c r="D953" s="13"/>
      <c r="E953" s="13"/>
      <c r="F953" s="13"/>
      <c r="G953" s="23"/>
      <c r="H953" s="13"/>
      <c r="I953" s="13"/>
    </row>
    <row r="954" spans="1:9" ht="22.5" customHeight="1">
      <c r="A954" s="20"/>
      <c r="B954" s="21"/>
      <c r="C954" s="22"/>
      <c r="D954" s="13"/>
      <c r="E954" s="13"/>
      <c r="F954" s="13"/>
      <c r="G954" s="23"/>
      <c r="H954" s="13"/>
      <c r="I954" s="13"/>
    </row>
    <row r="955" spans="1:9" ht="22.5" customHeight="1">
      <c r="A955" s="20"/>
      <c r="B955" s="21"/>
      <c r="C955" s="22"/>
      <c r="D955" s="13"/>
      <c r="E955" s="13"/>
      <c r="F955" s="13"/>
      <c r="G955" s="23"/>
      <c r="H955" s="13"/>
      <c r="I955" s="13"/>
    </row>
    <row r="956" spans="1:9" ht="22.5" customHeight="1">
      <c r="A956" s="20"/>
      <c r="B956" s="21"/>
      <c r="C956" s="22"/>
      <c r="D956" s="13"/>
      <c r="E956" s="13"/>
      <c r="F956" s="13"/>
      <c r="G956" s="23"/>
      <c r="H956" s="13"/>
      <c r="I956" s="13"/>
    </row>
    <row r="957" spans="1:9" ht="22.5" customHeight="1">
      <c r="A957" s="20"/>
      <c r="B957" s="21"/>
      <c r="C957" s="22"/>
      <c r="D957" s="13"/>
      <c r="E957" s="13"/>
      <c r="F957" s="13"/>
      <c r="G957" s="23"/>
      <c r="H957" s="13"/>
      <c r="I957" s="13"/>
    </row>
    <row r="958" spans="1:9" ht="22.5" customHeight="1">
      <c r="A958" s="20"/>
      <c r="B958" s="21"/>
      <c r="C958" s="22"/>
      <c r="D958" s="13"/>
      <c r="E958" s="13"/>
      <c r="F958" s="13"/>
      <c r="G958" s="23"/>
      <c r="H958" s="13"/>
      <c r="I958" s="13"/>
    </row>
    <row r="959" spans="1:9" ht="22.5" customHeight="1">
      <c r="A959" s="20"/>
      <c r="B959" s="21"/>
      <c r="C959" s="22"/>
      <c r="D959" s="13"/>
      <c r="E959" s="13"/>
      <c r="F959" s="13"/>
      <c r="G959" s="23"/>
      <c r="H959" s="13"/>
      <c r="I959" s="13"/>
    </row>
    <row r="960" spans="1:9" ht="22.5" customHeight="1">
      <c r="A960" s="20"/>
      <c r="B960" s="21"/>
      <c r="C960" s="22"/>
      <c r="D960" s="13"/>
      <c r="E960" s="13"/>
      <c r="F960" s="13"/>
      <c r="G960" s="23"/>
      <c r="H960" s="13"/>
      <c r="I960" s="13"/>
    </row>
    <row r="961" spans="1:9" ht="22.5" customHeight="1">
      <c r="A961" s="20"/>
      <c r="B961" s="21"/>
      <c r="C961" s="22"/>
      <c r="D961" s="13"/>
      <c r="E961" s="13"/>
      <c r="F961" s="13"/>
      <c r="G961" s="23"/>
      <c r="H961" s="13"/>
      <c r="I961" s="13"/>
    </row>
    <row r="962" spans="1:9" ht="22.5" customHeight="1">
      <c r="A962" s="20"/>
      <c r="B962" s="21"/>
      <c r="C962" s="22"/>
      <c r="D962" s="13"/>
      <c r="E962" s="13"/>
      <c r="F962" s="13"/>
      <c r="G962" s="23"/>
      <c r="H962" s="13"/>
      <c r="I962" s="13"/>
    </row>
    <row r="963" spans="1:9" ht="22.5" customHeight="1">
      <c r="A963" s="20"/>
      <c r="B963" s="21"/>
      <c r="C963" s="22"/>
      <c r="D963" s="13"/>
      <c r="E963" s="13"/>
      <c r="F963" s="13"/>
      <c r="G963" s="23"/>
      <c r="H963" s="13"/>
      <c r="I963" s="13"/>
    </row>
    <row r="964" spans="1:9" ht="22.5" customHeight="1">
      <c r="A964" s="20"/>
      <c r="B964" s="21"/>
      <c r="C964" s="22"/>
      <c r="D964" s="13"/>
      <c r="E964" s="13"/>
      <c r="F964" s="13"/>
      <c r="G964" s="23"/>
      <c r="H964" s="13"/>
      <c r="I964" s="13"/>
    </row>
    <row r="965" spans="1:9" ht="22.5" customHeight="1">
      <c r="A965" s="20"/>
      <c r="B965" s="21"/>
      <c r="C965" s="22"/>
      <c r="D965" s="13"/>
      <c r="E965" s="13"/>
      <c r="F965" s="13"/>
      <c r="G965" s="23"/>
      <c r="H965" s="13"/>
      <c r="I965" s="13"/>
    </row>
    <row r="966" spans="1:9" ht="22.5" customHeight="1">
      <c r="A966" s="20"/>
      <c r="B966" s="21"/>
      <c r="C966" s="22"/>
      <c r="D966" s="13"/>
      <c r="E966" s="13"/>
      <c r="F966" s="13"/>
      <c r="G966" s="23"/>
      <c r="H966" s="13"/>
      <c r="I966" s="13"/>
    </row>
    <row r="967" spans="1:9" ht="22.5" customHeight="1">
      <c r="A967" s="20"/>
      <c r="B967" s="21"/>
      <c r="C967" s="22"/>
      <c r="D967" s="13"/>
      <c r="E967" s="13"/>
      <c r="F967" s="13"/>
      <c r="G967" s="23"/>
      <c r="H967" s="13"/>
      <c r="I967" s="13"/>
    </row>
    <row r="968" spans="1:9" ht="22.5" customHeight="1">
      <c r="A968" s="20"/>
      <c r="B968" s="21"/>
      <c r="C968" s="22"/>
      <c r="D968" s="13"/>
      <c r="E968" s="13"/>
      <c r="F968" s="13"/>
      <c r="G968" s="23"/>
      <c r="H968" s="13"/>
      <c r="I968" s="13"/>
    </row>
    <row r="969" spans="1:9" ht="22.5" customHeight="1">
      <c r="A969" s="20"/>
      <c r="B969" s="21"/>
      <c r="C969" s="22"/>
      <c r="D969" s="13"/>
      <c r="E969" s="13"/>
      <c r="F969" s="13"/>
      <c r="G969" s="23"/>
      <c r="H969" s="13"/>
      <c r="I969" s="13"/>
    </row>
    <row r="970" spans="1:9" ht="22.5" customHeight="1">
      <c r="A970" s="20"/>
      <c r="B970" s="21"/>
      <c r="C970" s="22"/>
      <c r="D970" s="13"/>
      <c r="E970" s="13"/>
      <c r="F970" s="13"/>
      <c r="G970" s="23"/>
      <c r="H970" s="13"/>
      <c r="I970" s="13"/>
    </row>
    <row r="971" spans="1:9" ht="22.5" customHeight="1">
      <c r="A971" s="20"/>
      <c r="B971" s="21"/>
      <c r="C971" s="22"/>
      <c r="D971" s="13"/>
      <c r="E971" s="13"/>
      <c r="F971" s="13"/>
      <c r="G971" s="23"/>
      <c r="H971" s="13"/>
      <c r="I971" s="13"/>
    </row>
    <row r="972" spans="1:9" ht="22.5" customHeight="1">
      <c r="A972" s="20"/>
      <c r="B972" s="21"/>
      <c r="C972" s="22"/>
      <c r="D972" s="13"/>
      <c r="E972" s="13"/>
      <c r="F972" s="13"/>
      <c r="G972" s="23"/>
      <c r="H972" s="13"/>
      <c r="I972" s="13"/>
    </row>
    <row r="973" spans="1:9" ht="22.5" customHeight="1">
      <c r="A973" s="20"/>
      <c r="B973" s="21"/>
      <c r="C973" s="22"/>
      <c r="D973" s="13"/>
      <c r="E973" s="13"/>
      <c r="F973" s="13"/>
      <c r="G973" s="23"/>
      <c r="H973" s="13"/>
      <c r="I973" s="13"/>
    </row>
    <row r="974" spans="1:9" ht="22.5" customHeight="1">
      <c r="A974" s="20"/>
      <c r="B974" s="21"/>
      <c r="C974" s="22"/>
      <c r="D974" s="13"/>
      <c r="E974" s="13"/>
      <c r="F974" s="13"/>
      <c r="G974" s="23"/>
      <c r="H974" s="13"/>
      <c r="I974" s="13"/>
    </row>
    <row r="975" spans="1:9" ht="22.5" customHeight="1">
      <c r="A975" s="20"/>
      <c r="B975" s="21"/>
      <c r="C975" s="22"/>
      <c r="D975" s="13"/>
      <c r="E975" s="13"/>
      <c r="F975" s="13"/>
      <c r="G975" s="23"/>
      <c r="H975" s="13"/>
      <c r="I975" s="13"/>
    </row>
    <row r="976" spans="1:9" ht="22.5" customHeight="1">
      <c r="A976" s="20"/>
      <c r="B976" s="21"/>
      <c r="C976" s="22"/>
      <c r="D976" s="13"/>
      <c r="E976" s="13"/>
      <c r="F976" s="13"/>
      <c r="G976" s="23"/>
      <c r="H976" s="13"/>
      <c r="I976" s="13"/>
    </row>
    <row r="977" spans="1:9" ht="22.5" customHeight="1">
      <c r="A977" s="20"/>
      <c r="B977" s="21"/>
      <c r="C977" s="22"/>
      <c r="D977" s="13"/>
      <c r="E977" s="13"/>
      <c r="F977" s="13"/>
      <c r="G977" s="23"/>
      <c r="H977" s="13"/>
      <c r="I977" s="13"/>
    </row>
    <row r="978" spans="1:9" ht="22.5" customHeight="1">
      <c r="A978" s="20"/>
      <c r="B978" s="21"/>
      <c r="C978" s="22"/>
      <c r="D978" s="13"/>
      <c r="E978" s="13"/>
      <c r="F978" s="13"/>
      <c r="G978" s="23"/>
      <c r="H978" s="13"/>
      <c r="I978" s="13"/>
    </row>
    <row r="979" spans="1:9" ht="22.5" customHeight="1">
      <c r="A979" s="20"/>
      <c r="B979" s="21"/>
      <c r="C979" s="22"/>
      <c r="D979" s="13"/>
      <c r="E979" s="13"/>
      <c r="F979" s="13"/>
      <c r="G979" s="23"/>
      <c r="H979" s="13"/>
      <c r="I979" s="13"/>
    </row>
    <row r="980" spans="1:9" ht="22.5" customHeight="1">
      <c r="A980" s="20"/>
      <c r="B980" s="21"/>
      <c r="C980" s="22"/>
      <c r="D980" s="13"/>
      <c r="E980" s="13"/>
      <c r="F980" s="13"/>
      <c r="G980" s="23"/>
      <c r="H980" s="13"/>
      <c r="I980" s="13"/>
    </row>
    <row r="981" spans="1:9" ht="22.5" customHeight="1">
      <c r="A981" s="20"/>
      <c r="B981" s="21"/>
      <c r="C981" s="22"/>
      <c r="D981" s="13"/>
      <c r="E981" s="13"/>
      <c r="F981" s="13"/>
      <c r="G981" s="23"/>
      <c r="H981" s="13"/>
      <c r="I981" s="13"/>
    </row>
    <row r="982" spans="1:9" ht="22.5" customHeight="1">
      <c r="A982" s="20"/>
      <c r="B982" s="21"/>
      <c r="C982" s="22"/>
      <c r="D982" s="13"/>
      <c r="E982" s="13"/>
      <c r="F982" s="13"/>
      <c r="G982" s="23"/>
      <c r="H982" s="13"/>
      <c r="I982" s="13"/>
    </row>
    <row r="983" spans="1:9" ht="22.5" customHeight="1">
      <c r="A983" s="20"/>
      <c r="B983" s="21"/>
      <c r="C983" s="22"/>
      <c r="D983" s="13"/>
      <c r="E983" s="13"/>
      <c r="F983" s="13"/>
      <c r="G983" s="23"/>
      <c r="H983" s="13"/>
      <c r="I983" s="13"/>
    </row>
    <row r="984" spans="1:9" ht="22.5" customHeight="1">
      <c r="A984" s="20"/>
      <c r="B984" s="21"/>
      <c r="C984" s="22"/>
      <c r="D984" s="13"/>
      <c r="E984" s="13"/>
      <c r="F984" s="13"/>
      <c r="G984" s="23"/>
      <c r="H984" s="13"/>
      <c r="I984" s="13"/>
    </row>
    <row r="985" spans="1:9" ht="22.5" customHeight="1">
      <c r="A985" s="20"/>
      <c r="B985" s="21"/>
      <c r="C985" s="22"/>
      <c r="D985" s="13"/>
      <c r="E985" s="13"/>
      <c r="F985" s="13"/>
      <c r="G985" s="23"/>
      <c r="H985" s="13"/>
      <c r="I985" s="13"/>
    </row>
    <row r="986" spans="1:9" ht="22.5" customHeight="1">
      <c r="A986" s="20"/>
      <c r="B986" s="21"/>
      <c r="C986" s="22"/>
      <c r="D986" s="13"/>
      <c r="E986" s="13"/>
      <c r="F986" s="13"/>
      <c r="G986" s="23"/>
      <c r="H986" s="13"/>
      <c r="I986" s="13"/>
    </row>
    <row r="987" spans="1:9" ht="22.5" customHeight="1">
      <c r="A987" s="20"/>
      <c r="B987" s="21"/>
      <c r="C987" s="22"/>
      <c r="D987" s="13"/>
      <c r="E987" s="13"/>
      <c r="F987" s="13"/>
      <c r="G987" s="23"/>
      <c r="H987" s="13"/>
      <c r="I987" s="13"/>
    </row>
    <row r="988" spans="1:9" ht="22.5" customHeight="1">
      <c r="A988" s="20"/>
      <c r="B988" s="21"/>
      <c r="C988" s="22"/>
      <c r="D988" s="13"/>
      <c r="E988" s="13"/>
      <c r="F988" s="13"/>
      <c r="G988" s="23"/>
      <c r="H988" s="13"/>
      <c r="I988" s="13"/>
    </row>
    <row r="989" spans="1:9" ht="22.5" customHeight="1">
      <c r="A989" s="20"/>
      <c r="B989" s="21"/>
      <c r="C989" s="22"/>
      <c r="D989" s="13"/>
      <c r="E989" s="13"/>
      <c r="F989" s="13"/>
      <c r="G989" s="23"/>
      <c r="H989" s="13"/>
      <c r="I989" s="13"/>
    </row>
    <row r="990" spans="1:9" ht="22.5" customHeight="1">
      <c r="A990" s="20"/>
      <c r="B990" s="21"/>
      <c r="C990" s="22"/>
      <c r="D990" s="13"/>
      <c r="E990" s="13"/>
      <c r="F990" s="13"/>
      <c r="G990" s="23"/>
      <c r="H990" s="13"/>
      <c r="I990" s="13"/>
    </row>
    <row r="991" spans="1:9" ht="22.5" customHeight="1">
      <c r="A991" s="20"/>
      <c r="B991" s="21"/>
      <c r="C991" s="22"/>
      <c r="D991" s="13"/>
      <c r="E991" s="13"/>
      <c r="F991" s="13"/>
      <c r="G991" s="23"/>
      <c r="H991" s="13"/>
      <c r="I991" s="13"/>
    </row>
    <row r="992" spans="1:9" ht="22.5" customHeight="1">
      <c r="A992" s="20"/>
      <c r="B992" s="21"/>
      <c r="C992" s="22"/>
      <c r="D992" s="13"/>
      <c r="E992" s="13"/>
      <c r="F992" s="13"/>
      <c r="G992" s="23"/>
      <c r="H992" s="13"/>
      <c r="I992" s="13"/>
    </row>
    <row r="993" spans="1:9" ht="22.5" customHeight="1">
      <c r="A993" s="20"/>
      <c r="B993" s="21"/>
      <c r="C993" s="22"/>
      <c r="D993" s="13"/>
      <c r="E993" s="13"/>
      <c r="F993" s="13"/>
      <c r="G993" s="23"/>
      <c r="H993" s="13"/>
      <c r="I993" s="13"/>
    </row>
    <row r="994" spans="1:9" ht="22.5" customHeight="1">
      <c r="A994" s="20"/>
      <c r="B994" s="21"/>
      <c r="C994" s="22"/>
      <c r="D994" s="13"/>
      <c r="E994" s="13"/>
      <c r="F994" s="13"/>
      <c r="G994" s="23"/>
      <c r="H994" s="13"/>
      <c r="I994" s="13"/>
    </row>
    <row r="995" spans="1:9" ht="22.5" customHeight="1">
      <c r="A995" s="20"/>
      <c r="B995" s="21"/>
      <c r="C995" s="22"/>
      <c r="D995" s="13"/>
      <c r="E995" s="13"/>
      <c r="F995" s="13"/>
      <c r="G995" s="23"/>
      <c r="H995" s="13"/>
      <c r="I995" s="13"/>
    </row>
    <row r="996" spans="1:9" ht="22.5" customHeight="1">
      <c r="A996" s="20"/>
      <c r="B996" s="21"/>
      <c r="C996" s="22"/>
      <c r="D996" s="13"/>
      <c r="E996" s="13"/>
      <c r="F996" s="13"/>
      <c r="G996" s="23"/>
      <c r="H996" s="13"/>
      <c r="I996" s="13"/>
    </row>
    <row r="997" spans="1:9" ht="22.5" customHeight="1">
      <c r="A997" s="20"/>
      <c r="B997" s="21"/>
      <c r="C997" s="22"/>
      <c r="D997" s="13"/>
      <c r="E997" s="13"/>
      <c r="F997" s="13"/>
      <c r="G997" s="23"/>
      <c r="H997" s="13"/>
      <c r="I997" s="13"/>
    </row>
    <row r="998" spans="1:9" ht="22.5" customHeight="1">
      <c r="A998" s="20"/>
      <c r="B998" s="21"/>
      <c r="C998" s="22"/>
      <c r="D998" s="13"/>
      <c r="E998" s="13"/>
      <c r="F998" s="13"/>
      <c r="G998" s="23"/>
      <c r="H998" s="13"/>
      <c r="I998" s="13"/>
    </row>
    <row r="999" spans="1:9" ht="22.5" customHeight="1">
      <c r="A999" s="20"/>
      <c r="B999" s="21"/>
      <c r="C999" s="22"/>
      <c r="D999" s="13"/>
      <c r="E999" s="13"/>
      <c r="F999" s="13"/>
      <c r="G999" s="23"/>
      <c r="H999" s="13"/>
      <c r="I999" s="13"/>
    </row>
  </sheetData>
  <dataValidations count="2">
    <dataValidation type="list" allowBlank="1" sqref="C2:C999" xr:uid="{00000000-0002-0000-0400-000000000000}">
      <formula1>"رئيسي,فرعي"</formula1>
    </dataValidation>
    <dataValidation type="list" allowBlank="1" sqref="G2:G999" xr:uid="{00000000-0002-0000-0400-000001000000}">
      <formula1>#REF!</formula1>
    </dataValidation>
  </dataValidations>
  <hyperlinks>
    <hyperlink ref="B12" r:id="rId1" xr:uid="{00000000-0004-0000-0400-000000000000}"/>
    <hyperlink ref="B16" r:id="rId2" xr:uid="{00000000-0004-0000-0400-000001000000}"/>
    <hyperlink ref="B17" r:id="rId3" xr:uid="{00000000-0004-0000-0400-000002000000}"/>
    <hyperlink ref="B29" r:id="rId4" xr:uid="{00000000-0004-0000-0400-000003000000}"/>
    <hyperlink ref="B30" r:id="rId5" xr:uid="{00000000-0004-0000-0400-000004000000}"/>
  </hyperlinks>
  <pageMargins left="0.7" right="0.7" top="0.75" bottom="0.75" header="0.3" footer="0.3"/>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حر 2026-(3)</vt:lpstr>
      <vt:lpstr>معملجي 2026-(3)</vt:lpstr>
      <vt:lpstr>حر 2026-(2)</vt:lpstr>
      <vt:lpstr>معملجي 2026-(2)</vt:lpstr>
      <vt:lpstr>حر 2026-(1)</vt:lpstr>
      <vt:lpstr>معملجي 2026-(1)</vt:lpstr>
      <vt:lpstr>معملجي 2025-(11-12)</vt:lpstr>
      <vt:lpstr>حر 2025-(11-12)</vt:lpstr>
      <vt:lpstr>الإعدادات</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MR Janaby</cp:lastModifiedBy>
  <cp:lastPrinted>2026-04-13T12:14:28Z</cp:lastPrinted>
  <dcterms:modified xsi:type="dcterms:W3CDTF">2026-10-06T06:15:44Z</dcterms:modified>
</cp:coreProperties>
</file>